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Usuario\Desktop\Nacho-toto-todo\Nacho\Gaceta\"/>
    </mc:Choice>
  </mc:AlternateContent>
  <xr:revisionPtr revIDLastSave="0" documentId="8_{E9FECC65-5DE5-487C-9B46-BC963D1A397D}" xr6:coauthVersionLast="47" xr6:coauthVersionMax="47" xr10:uidLastSave="{00000000-0000-0000-0000-000000000000}"/>
  <bookViews>
    <workbookView xWindow="-108" yWindow="-108" windowWidth="23256" windowHeight="12576" xr2:uid="{00000000-000D-0000-FFFF-FFFF00000000}"/>
  </bookViews>
  <sheets>
    <sheet name="Índice anual" sheetId="1" r:id="rId1"/>
    <sheet name="Fuentes y criterio" sheetId="2" r:id="rId2"/>
  </sheets>
  <calcPr calcId="191029"/>
  <fileRecoveryPr repairLoad="1"/>
</workbook>
</file>

<file path=xl/calcChain.xml><?xml version="1.0" encoding="utf-8"?>
<calcChain xmlns="http://schemas.openxmlformats.org/spreadsheetml/2006/main">
  <c r="F292" i="2" l="1"/>
  <c r="F291" i="2"/>
  <c r="F290" i="2"/>
  <c r="F289" i="2"/>
  <c r="F288" i="2"/>
  <c r="F287" i="2"/>
  <c r="F286" i="2"/>
  <c r="F285" i="2"/>
  <c r="F284" i="2"/>
  <c r="F283" i="2"/>
  <c r="F282" i="2"/>
  <c r="F281" i="2"/>
  <c r="F280" i="2"/>
  <c r="F279" i="2"/>
  <c r="F278" i="2"/>
  <c r="F277" i="2"/>
  <c r="F276" i="2"/>
  <c r="F275" i="2"/>
  <c r="F274" i="2"/>
  <c r="F273" i="2"/>
  <c r="F272" i="2"/>
  <c r="F271" i="2"/>
  <c r="F270" i="2"/>
  <c r="F269" i="2"/>
  <c r="F268" i="2"/>
  <c r="F267" i="2"/>
  <c r="F266" i="2"/>
  <c r="F265" i="2"/>
  <c r="F264" i="2"/>
  <c r="F263" i="2"/>
  <c r="F262" i="2"/>
  <c r="F261" i="2"/>
  <c r="F260" i="2"/>
  <c r="F259" i="2"/>
  <c r="F258" i="2"/>
  <c r="F257" i="2"/>
  <c r="F256" i="2"/>
  <c r="F255" i="2"/>
  <c r="F254" i="2"/>
  <c r="F253" i="2"/>
  <c r="F252" i="2"/>
  <c r="F251" i="2"/>
  <c r="F250" i="2"/>
  <c r="F249" i="2"/>
  <c r="F248" i="2"/>
  <c r="F247" i="2"/>
  <c r="F246" i="2"/>
  <c r="F245" i="2"/>
  <c r="F244" i="2"/>
  <c r="F243" i="2"/>
  <c r="F242" i="2"/>
  <c r="F241" i="2"/>
  <c r="F240" i="2"/>
  <c r="F239" i="2"/>
  <c r="F238" i="2"/>
  <c r="F237" i="2"/>
  <c r="F236" i="2"/>
  <c r="F235" i="2"/>
  <c r="F234" i="2"/>
  <c r="F233" i="2"/>
  <c r="F232" i="2"/>
  <c r="F231" i="2"/>
  <c r="F230" i="2"/>
  <c r="F229" i="2"/>
  <c r="F228" i="2"/>
  <c r="F227" i="2"/>
  <c r="F226" i="2"/>
  <c r="F225" i="2"/>
  <c r="F224" i="2"/>
  <c r="F223" i="2"/>
  <c r="F222" i="2"/>
  <c r="F221" i="2"/>
  <c r="F220" i="2"/>
  <c r="F219" i="2"/>
  <c r="F218" i="2"/>
  <c r="F217" i="2"/>
  <c r="F216" i="2"/>
  <c r="F215" i="2"/>
  <c r="F214" i="2"/>
  <c r="F213" i="2"/>
  <c r="F212" i="2"/>
  <c r="F211" i="2"/>
  <c r="F210" i="2"/>
  <c r="F209" i="2"/>
  <c r="F208" i="2"/>
  <c r="F207" i="2"/>
  <c r="F206" i="2"/>
  <c r="F205" i="2"/>
  <c r="F204" i="2"/>
  <c r="F203" i="2"/>
  <c r="F202" i="2"/>
  <c r="F201" i="2"/>
  <c r="F200" i="2"/>
  <c r="F199" i="2"/>
  <c r="F198" i="2"/>
  <c r="F197" i="2"/>
  <c r="F196" i="2"/>
  <c r="F195" i="2"/>
  <c r="F194" i="2"/>
  <c r="F193" i="2"/>
  <c r="F192" i="2"/>
  <c r="F191" i="2"/>
  <c r="F190" i="2"/>
  <c r="F189" i="2"/>
  <c r="F188" i="2"/>
  <c r="F187" i="2"/>
  <c r="F186" i="2"/>
  <c r="F185" i="2"/>
  <c r="F184" i="2"/>
  <c r="F183" i="2"/>
  <c r="F182" i="2"/>
  <c r="F181" i="2"/>
  <c r="F180" i="2"/>
  <c r="F179" i="2"/>
  <c r="F178" i="2"/>
  <c r="F177" i="2"/>
  <c r="F176" i="2"/>
  <c r="F175" i="2"/>
  <c r="F174" i="2"/>
  <c r="F173" i="2"/>
  <c r="F172" i="2"/>
  <c r="F171" i="2"/>
  <c r="F170" i="2"/>
  <c r="F169" i="2"/>
  <c r="F168" i="2"/>
  <c r="F167" i="2"/>
  <c r="F166" i="2"/>
  <c r="F165" i="2"/>
  <c r="F164" i="2"/>
  <c r="F163" i="2"/>
  <c r="F162" i="2"/>
  <c r="F161" i="2"/>
  <c r="F160" i="2"/>
  <c r="F159" i="2"/>
  <c r="F158" i="2"/>
  <c r="F157" i="2"/>
  <c r="F156" i="2"/>
  <c r="F155" i="2"/>
  <c r="F154" i="2"/>
  <c r="F153" i="2"/>
  <c r="F152" i="2"/>
  <c r="F151" i="2"/>
  <c r="F150" i="2"/>
  <c r="F149" i="2"/>
  <c r="F148" i="2"/>
  <c r="F147" i="2"/>
  <c r="F146" i="2"/>
  <c r="F145" i="2"/>
  <c r="F144" i="2"/>
  <c r="F143" i="2"/>
  <c r="F142" i="2"/>
  <c r="F141" i="2"/>
  <c r="F140" i="2"/>
  <c r="F139" i="2"/>
  <c r="F138" i="2"/>
  <c r="F137" i="2"/>
  <c r="F136" i="2"/>
  <c r="F135" i="2"/>
  <c r="F134" i="2"/>
  <c r="F133" i="2"/>
  <c r="F132" i="2"/>
  <c r="F131" i="2"/>
  <c r="F130" i="2"/>
  <c r="F129" i="2"/>
  <c r="F128" i="2"/>
  <c r="F127" i="2"/>
  <c r="F126" i="2"/>
  <c r="F125" i="2"/>
  <c r="F124" i="2"/>
  <c r="F123" i="2"/>
  <c r="F122" i="2"/>
  <c r="F121" i="2"/>
  <c r="F120" i="2"/>
  <c r="F119" i="2"/>
  <c r="F118" i="2"/>
  <c r="F117" i="2"/>
  <c r="F116" i="2"/>
  <c r="F115" i="2"/>
  <c r="F114" i="2"/>
  <c r="F113" i="2"/>
  <c r="F112" i="2"/>
  <c r="F111" i="2"/>
  <c r="F110" i="2"/>
  <c r="F109" i="2"/>
  <c r="F108" i="2"/>
  <c r="F107" i="2"/>
  <c r="F106" i="2"/>
  <c r="F105" i="2"/>
  <c r="F104" i="2"/>
  <c r="F103" i="2"/>
  <c r="F102" i="2"/>
  <c r="F101" i="2"/>
  <c r="F100" i="2"/>
  <c r="F99" i="2"/>
  <c r="F98" i="2"/>
  <c r="F97" i="2"/>
  <c r="F96" i="2"/>
  <c r="F95" i="2"/>
  <c r="F94" i="2"/>
  <c r="F93" i="2"/>
  <c r="F92" i="2"/>
  <c r="F91" i="2"/>
  <c r="F90" i="2"/>
  <c r="F89" i="2"/>
  <c r="F88" i="2"/>
  <c r="F87" i="2"/>
  <c r="F86" i="2"/>
  <c r="F85" i="2"/>
  <c r="F84" i="2"/>
  <c r="F83" i="2"/>
  <c r="F82" i="2"/>
  <c r="F81" i="2"/>
  <c r="F80" i="2"/>
  <c r="F79" i="2"/>
  <c r="F78" i="2"/>
  <c r="F77" i="2"/>
  <c r="F76" i="2"/>
  <c r="F75" i="2"/>
  <c r="F74" i="2"/>
  <c r="F73" i="2"/>
  <c r="F72" i="2"/>
  <c r="F71" i="2"/>
  <c r="F70" i="2"/>
  <c r="F69" i="2"/>
  <c r="F68" i="2"/>
  <c r="F67" i="2"/>
  <c r="F66" i="2"/>
  <c r="F65" i="2"/>
  <c r="F64" i="2"/>
  <c r="F63" i="2"/>
  <c r="F62" i="2"/>
  <c r="F61" i="2"/>
  <c r="F60" i="2"/>
  <c r="F59" i="2"/>
  <c r="F58" i="2"/>
  <c r="F57" i="2"/>
  <c r="F56" i="2"/>
  <c r="F55" i="2"/>
  <c r="F54" i="2"/>
  <c r="F53" i="2"/>
  <c r="F52" i="2"/>
  <c r="F51" i="2"/>
  <c r="F50" i="2"/>
  <c r="F49" i="2"/>
  <c r="F48" i="2"/>
  <c r="F47" i="2"/>
  <c r="F46" i="2"/>
  <c r="F45" i="2"/>
  <c r="F44" i="2"/>
  <c r="F43" i="2"/>
  <c r="F42" i="2"/>
  <c r="F41" i="2"/>
  <c r="F40" i="2"/>
  <c r="F39" i="2"/>
  <c r="F38" i="2"/>
  <c r="F37" i="2"/>
  <c r="F36" i="2"/>
  <c r="F35" i="2"/>
  <c r="F34" i="2"/>
  <c r="F33" i="2"/>
  <c r="F32" i="2"/>
  <c r="F31" i="2"/>
  <c r="F30" i="2"/>
  <c r="F29" i="2"/>
  <c r="F28" i="2"/>
  <c r="F27" i="2"/>
  <c r="F26" i="2"/>
  <c r="F25" i="2"/>
  <c r="F24" i="2"/>
  <c r="F23" i="2"/>
  <c r="F22" i="2"/>
  <c r="F21" i="2"/>
  <c r="F20" i="2"/>
  <c r="F19" i="2"/>
  <c r="F18" i="2"/>
  <c r="F17" i="2"/>
  <c r="F16" i="2"/>
  <c r="F15" i="2"/>
  <c r="F14" i="2"/>
  <c r="F13" i="2"/>
  <c r="F12" i="2"/>
  <c r="F11" i="2"/>
  <c r="F10" i="2"/>
  <c r="F9" i="2"/>
  <c r="F8" i="2"/>
  <c r="F7" i="2"/>
  <c r="F6" i="2"/>
  <c r="F5" i="2"/>
  <c r="J7284" i="1"/>
  <c r="J7283" i="1"/>
  <c r="J7282" i="1"/>
  <c r="J7281" i="1"/>
  <c r="J7280" i="1"/>
  <c r="J7279" i="1"/>
  <c r="J7278" i="1"/>
  <c r="J7277" i="1"/>
  <c r="J7276" i="1"/>
  <c r="J7275" i="1"/>
  <c r="J7274" i="1"/>
  <c r="J7273" i="1"/>
  <c r="J7272" i="1"/>
  <c r="J7271" i="1"/>
  <c r="J7270" i="1"/>
  <c r="J7269" i="1"/>
  <c r="J7268" i="1"/>
  <c r="J7267" i="1"/>
  <c r="J7266" i="1"/>
  <c r="J7265" i="1"/>
  <c r="J7264" i="1"/>
  <c r="J7263" i="1"/>
  <c r="J7262" i="1"/>
  <c r="J7261" i="1"/>
  <c r="J7260" i="1"/>
  <c r="J7259" i="1"/>
  <c r="J7258" i="1"/>
  <c r="J7257" i="1"/>
  <c r="J7256" i="1"/>
  <c r="J7255" i="1"/>
  <c r="J7254" i="1"/>
  <c r="J7253" i="1"/>
  <c r="J7252" i="1"/>
  <c r="J7251" i="1"/>
  <c r="J7250" i="1"/>
  <c r="J7249" i="1"/>
  <c r="J7248" i="1"/>
  <c r="J7247" i="1"/>
  <c r="J7246" i="1"/>
  <c r="J7245" i="1"/>
  <c r="J7244" i="1"/>
  <c r="J7243" i="1"/>
  <c r="J7242" i="1"/>
  <c r="J7241" i="1"/>
  <c r="J7240" i="1"/>
  <c r="J7239" i="1"/>
  <c r="J7238" i="1"/>
  <c r="J7237" i="1"/>
  <c r="J7236" i="1"/>
  <c r="J7235" i="1"/>
  <c r="J7234" i="1"/>
  <c r="J7233" i="1"/>
  <c r="J7232" i="1"/>
  <c r="J7231" i="1"/>
  <c r="J7230" i="1"/>
  <c r="J7229" i="1"/>
  <c r="J7228" i="1"/>
  <c r="J7227" i="1"/>
  <c r="J7226" i="1"/>
  <c r="J7225" i="1"/>
  <c r="J7224" i="1"/>
  <c r="J7223" i="1"/>
  <c r="J7222" i="1"/>
  <c r="J7221" i="1"/>
  <c r="J7220" i="1"/>
  <c r="J7219" i="1"/>
  <c r="J7218" i="1"/>
  <c r="J7217" i="1"/>
  <c r="J7216" i="1"/>
  <c r="J7215" i="1"/>
  <c r="J7214" i="1"/>
  <c r="J7213" i="1"/>
  <c r="J7212" i="1"/>
  <c r="J7211" i="1"/>
  <c r="J7210" i="1"/>
  <c r="J7209" i="1"/>
  <c r="J7208" i="1"/>
  <c r="J7207" i="1"/>
  <c r="J7206" i="1"/>
  <c r="J7205" i="1"/>
  <c r="J7204" i="1"/>
  <c r="J7203" i="1"/>
  <c r="J7202" i="1"/>
  <c r="J7201" i="1"/>
  <c r="J7200" i="1"/>
  <c r="J7199" i="1"/>
  <c r="J7198" i="1"/>
  <c r="J7197" i="1"/>
  <c r="J7196" i="1"/>
  <c r="J7195" i="1"/>
  <c r="J7194" i="1"/>
  <c r="J7193" i="1"/>
  <c r="J7192" i="1"/>
  <c r="J7191" i="1"/>
  <c r="J7190" i="1"/>
  <c r="J7189" i="1"/>
  <c r="J7188" i="1"/>
  <c r="J7187" i="1"/>
  <c r="J7186" i="1"/>
  <c r="J7185" i="1"/>
  <c r="J7184" i="1"/>
  <c r="J7183" i="1"/>
  <c r="J7182" i="1"/>
  <c r="J7181" i="1"/>
  <c r="J7180" i="1"/>
  <c r="J7179" i="1"/>
  <c r="J7178" i="1"/>
  <c r="J7177" i="1"/>
  <c r="J7176" i="1"/>
  <c r="J7175" i="1"/>
  <c r="J7174" i="1"/>
  <c r="J7173" i="1"/>
  <c r="J7172" i="1"/>
  <c r="J7171" i="1"/>
  <c r="J7170" i="1"/>
  <c r="J7169" i="1"/>
  <c r="J7168" i="1"/>
  <c r="J7167" i="1"/>
  <c r="J7166" i="1"/>
  <c r="J7165" i="1"/>
  <c r="J7164" i="1"/>
  <c r="J7163" i="1"/>
  <c r="J7162" i="1"/>
  <c r="J7161" i="1"/>
  <c r="J7160" i="1"/>
  <c r="J7159" i="1"/>
  <c r="J7158" i="1"/>
  <c r="J7157" i="1"/>
  <c r="J7156" i="1"/>
  <c r="J7155" i="1"/>
  <c r="J7154" i="1"/>
  <c r="J7153" i="1"/>
  <c r="J7152" i="1"/>
  <c r="J7151" i="1"/>
  <c r="J7150" i="1"/>
  <c r="J7149" i="1"/>
  <c r="J7148" i="1"/>
  <c r="J7147" i="1"/>
  <c r="J7146" i="1"/>
  <c r="J7145" i="1"/>
  <c r="J7144" i="1"/>
  <c r="J7143" i="1"/>
  <c r="J7142" i="1"/>
  <c r="J7141" i="1"/>
  <c r="J7140" i="1"/>
  <c r="J7139" i="1"/>
  <c r="J7138" i="1"/>
  <c r="J7137" i="1"/>
  <c r="J7136" i="1"/>
  <c r="J7135" i="1"/>
  <c r="J7134" i="1"/>
  <c r="J7133" i="1"/>
  <c r="J7132" i="1"/>
  <c r="J7131" i="1"/>
  <c r="J7130" i="1"/>
  <c r="J7129" i="1"/>
  <c r="J7128" i="1"/>
  <c r="J7127" i="1"/>
  <c r="J7126" i="1"/>
  <c r="J7125" i="1"/>
  <c r="J7124" i="1"/>
  <c r="J7123" i="1"/>
  <c r="J7122" i="1"/>
  <c r="J7121" i="1"/>
  <c r="J7120" i="1"/>
  <c r="J7119" i="1"/>
  <c r="J7118" i="1"/>
  <c r="J7117" i="1"/>
  <c r="J7116" i="1"/>
  <c r="J7115" i="1"/>
  <c r="J7114" i="1"/>
  <c r="J7113" i="1"/>
  <c r="J7112" i="1"/>
  <c r="J7111" i="1"/>
  <c r="J7110" i="1"/>
  <c r="J7109" i="1"/>
  <c r="J7108" i="1"/>
  <c r="J7107" i="1"/>
  <c r="J7106" i="1"/>
  <c r="J7105" i="1"/>
  <c r="J7104" i="1"/>
  <c r="J7103" i="1"/>
  <c r="J7102" i="1"/>
  <c r="J7101" i="1"/>
  <c r="J7100" i="1"/>
  <c r="J7099" i="1"/>
  <c r="J7098" i="1"/>
  <c r="J7097" i="1"/>
  <c r="J7096" i="1"/>
  <c r="J7095" i="1"/>
  <c r="J7094" i="1"/>
  <c r="J7093" i="1"/>
  <c r="J7092" i="1"/>
  <c r="J7091" i="1"/>
  <c r="J7090" i="1"/>
  <c r="J7089" i="1"/>
  <c r="J7088" i="1"/>
  <c r="J7087" i="1"/>
  <c r="J7086" i="1"/>
  <c r="J7085" i="1"/>
  <c r="J7084" i="1"/>
  <c r="J7083" i="1"/>
  <c r="J7082" i="1"/>
  <c r="J7081" i="1"/>
  <c r="J7080" i="1"/>
  <c r="J7079" i="1"/>
  <c r="J7078" i="1"/>
  <c r="J7077" i="1"/>
  <c r="J7076" i="1"/>
  <c r="J7075" i="1"/>
  <c r="J7074" i="1"/>
  <c r="J7073" i="1"/>
  <c r="J7072" i="1"/>
  <c r="J7071" i="1"/>
  <c r="J7070" i="1"/>
  <c r="J7069" i="1"/>
  <c r="J7068" i="1"/>
  <c r="J7067" i="1"/>
  <c r="J7066" i="1"/>
  <c r="J7065" i="1"/>
  <c r="J7064" i="1"/>
  <c r="J7063" i="1"/>
  <c r="J7062" i="1"/>
  <c r="J7061" i="1"/>
  <c r="J7060" i="1"/>
  <c r="J7059" i="1"/>
  <c r="J7058" i="1"/>
  <c r="J7057" i="1"/>
  <c r="J7056" i="1"/>
  <c r="J7055" i="1"/>
  <c r="J7054" i="1"/>
  <c r="J7053" i="1"/>
  <c r="J7052" i="1"/>
  <c r="J7051" i="1"/>
  <c r="J7050" i="1"/>
  <c r="J7049" i="1"/>
  <c r="J7048" i="1"/>
  <c r="J7047" i="1"/>
  <c r="J7046" i="1"/>
  <c r="J7045" i="1"/>
  <c r="J7044" i="1"/>
  <c r="J7043" i="1"/>
  <c r="J7042" i="1"/>
  <c r="J7041" i="1"/>
  <c r="J7040" i="1"/>
  <c r="J7039" i="1"/>
  <c r="J7038" i="1"/>
  <c r="J7037" i="1"/>
  <c r="J7036" i="1"/>
  <c r="J7035" i="1"/>
  <c r="J7034" i="1"/>
  <c r="J7033" i="1"/>
  <c r="J7032" i="1"/>
  <c r="J7031" i="1"/>
  <c r="J7030" i="1"/>
  <c r="J7029" i="1"/>
  <c r="J7028" i="1"/>
  <c r="J7027" i="1"/>
  <c r="J7026" i="1"/>
  <c r="J7025" i="1"/>
  <c r="J7024" i="1"/>
  <c r="J7023" i="1"/>
  <c r="J7022" i="1"/>
  <c r="J7021" i="1"/>
  <c r="J7020" i="1"/>
  <c r="J7019" i="1"/>
  <c r="J7018" i="1"/>
  <c r="J7017" i="1"/>
  <c r="J7016" i="1"/>
  <c r="J7015" i="1"/>
  <c r="J7014" i="1"/>
  <c r="J7013" i="1"/>
  <c r="J7012" i="1"/>
  <c r="J7011" i="1"/>
  <c r="J7010" i="1"/>
  <c r="J7009" i="1"/>
  <c r="J7008" i="1"/>
  <c r="J7007" i="1"/>
  <c r="J7006" i="1"/>
  <c r="J7005" i="1"/>
  <c r="J7004" i="1"/>
  <c r="J7003" i="1"/>
  <c r="J7002" i="1"/>
  <c r="J7001" i="1"/>
  <c r="J7000" i="1"/>
  <c r="J6999" i="1"/>
  <c r="J6998" i="1"/>
  <c r="J6997" i="1"/>
  <c r="J6996" i="1"/>
  <c r="J6995" i="1"/>
  <c r="J6994" i="1"/>
  <c r="J6993" i="1"/>
  <c r="J6992" i="1"/>
  <c r="J6991" i="1"/>
  <c r="J6990" i="1"/>
  <c r="J6989" i="1"/>
  <c r="J6988" i="1"/>
  <c r="J6987" i="1"/>
  <c r="J6986" i="1"/>
  <c r="J6985" i="1"/>
  <c r="J6984" i="1"/>
  <c r="J6983" i="1"/>
  <c r="J6982" i="1"/>
  <c r="J6981" i="1"/>
  <c r="J6980" i="1"/>
  <c r="J6979" i="1"/>
  <c r="J6978" i="1"/>
  <c r="J6977" i="1"/>
  <c r="J6976" i="1"/>
  <c r="J6975" i="1"/>
  <c r="J6974" i="1"/>
  <c r="J6973" i="1"/>
  <c r="J6972" i="1"/>
  <c r="J6971" i="1"/>
  <c r="J6970" i="1"/>
  <c r="J6969" i="1"/>
  <c r="J6968" i="1"/>
  <c r="J6967" i="1"/>
  <c r="J6966" i="1"/>
  <c r="J6965" i="1"/>
  <c r="J6964" i="1"/>
  <c r="J6963" i="1"/>
  <c r="J6962" i="1"/>
  <c r="J6961" i="1"/>
  <c r="J6960" i="1"/>
  <c r="J6959" i="1"/>
  <c r="J6958" i="1"/>
  <c r="J6957" i="1"/>
  <c r="J6956" i="1"/>
  <c r="J6955" i="1"/>
  <c r="J6954" i="1"/>
  <c r="J6953" i="1"/>
  <c r="J6952" i="1"/>
  <c r="J6951" i="1"/>
  <c r="J6950" i="1"/>
  <c r="J6949" i="1"/>
  <c r="J6948" i="1"/>
  <c r="J6947" i="1"/>
  <c r="J6946" i="1"/>
  <c r="J6945" i="1"/>
  <c r="J6944" i="1"/>
  <c r="J6943" i="1"/>
  <c r="J6942" i="1"/>
  <c r="J6941" i="1"/>
  <c r="J6940" i="1"/>
  <c r="J6939" i="1"/>
  <c r="J6938" i="1"/>
  <c r="J6937" i="1"/>
  <c r="J6936" i="1"/>
  <c r="J6935" i="1"/>
  <c r="J6934" i="1"/>
  <c r="J6933" i="1"/>
  <c r="J6932" i="1"/>
  <c r="J6931" i="1"/>
  <c r="J6930" i="1"/>
  <c r="J6929" i="1"/>
  <c r="J6928" i="1"/>
  <c r="J6927" i="1"/>
  <c r="J6926" i="1"/>
  <c r="J6925" i="1"/>
  <c r="J6924" i="1"/>
  <c r="J6923" i="1"/>
  <c r="J6922" i="1"/>
  <c r="J6921" i="1"/>
  <c r="J6920" i="1"/>
  <c r="J6919" i="1"/>
  <c r="J6918" i="1"/>
  <c r="J6917" i="1"/>
  <c r="J6916" i="1"/>
  <c r="J6915" i="1"/>
  <c r="J6914" i="1"/>
  <c r="J6913" i="1"/>
  <c r="J6912" i="1"/>
  <c r="J6911" i="1"/>
  <c r="J6910" i="1"/>
  <c r="J6909" i="1"/>
  <c r="J6908" i="1"/>
  <c r="J6907" i="1"/>
  <c r="J6906" i="1"/>
  <c r="J6905" i="1"/>
  <c r="J6904" i="1"/>
  <c r="J6903" i="1"/>
  <c r="J6902" i="1"/>
  <c r="J6901" i="1"/>
  <c r="J6900" i="1"/>
  <c r="J6899" i="1"/>
  <c r="J6898" i="1"/>
  <c r="J6897" i="1"/>
  <c r="J6896" i="1"/>
  <c r="J6895" i="1"/>
  <c r="J6894" i="1"/>
  <c r="J6893" i="1"/>
  <c r="J6892" i="1"/>
  <c r="J6891" i="1"/>
  <c r="J6890" i="1"/>
  <c r="J6889" i="1"/>
  <c r="J6888" i="1"/>
  <c r="J6887" i="1"/>
  <c r="J6886" i="1"/>
  <c r="J6885" i="1"/>
  <c r="J6884" i="1"/>
  <c r="J6883" i="1"/>
  <c r="J6882" i="1"/>
  <c r="J6881" i="1"/>
  <c r="J6880" i="1"/>
  <c r="J6879" i="1"/>
  <c r="J6878" i="1"/>
  <c r="J6877" i="1"/>
  <c r="J6876" i="1"/>
  <c r="J6875" i="1"/>
  <c r="J6874" i="1"/>
  <c r="J6873" i="1"/>
  <c r="J6872" i="1"/>
  <c r="J6871" i="1"/>
  <c r="J6870" i="1"/>
  <c r="J6869" i="1"/>
  <c r="J6868" i="1"/>
  <c r="J6867" i="1"/>
  <c r="J6866" i="1"/>
  <c r="J6865" i="1"/>
  <c r="J6864" i="1"/>
  <c r="J6863" i="1"/>
  <c r="J6862" i="1"/>
  <c r="J6861" i="1"/>
  <c r="J6860" i="1"/>
  <c r="J6859" i="1"/>
  <c r="J6858" i="1"/>
  <c r="J6857" i="1"/>
  <c r="J6856" i="1"/>
  <c r="J6855" i="1"/>
  <c r="J6854" i="1"/>
  <c r="J6853" i="1"/>
  <c r="J6852" i="1"/>
  <c r="J6851" i="1"/>
  <c r="J6850" i="1"/>
  <c r="J6849" i="1"/>
  <c r="J6848" i="1"/>
  <c r="J6847" i="1"/>
  <c r="J6846" i="1"/>
  <c r="J6845" i="1"/>
  <c r="J6844" i="1"/>
  <c r="J6843" i="1"/>
  <c r="J6842" i="1"/>
  <c r="J6841" i="1"/>
  <c r="J6840" i="1"/>
  <c r="J6839" i="1"/>
  <c r="J6838" i="1"/>
  <c r="J6837" i="1"/>
  <c r="J6836" i="1"/>
  <c r="J6835" i="1"/>
  <c r="J6834" i="1"/>
  <c r="J6833" i="1"/>
  <c r="J6832" i="1"/>
  <c r="J6831" i="1"/>
  <c r="J6830" i="1"/>
  <c r="J6829" i="1"/>
  <c r="J6828" i="1"/>
  <c r="J6827" i="1"/>
  <c r="J6826" i="1"/>
  <c r="J6825" i="1"/>
  <c r="J6824" i="1"/>
  <c r="J6823" i="1"/>
  <c r="J6822" i="1"/>
  <c r="J6821" i="1"/>
  <c r="J6820" i="1"/>
  <c r="J6819" i="1"/>
  <c r="J6818" i="1"/>
  <c r="J6817" i="1"/>
  <c r="J6816" i="1"/>
  <c r="J6815" i="1"/>
  <c r="J6814" i="1"/>
  <c r="J6813" i="1"/>
  <c r="J6812" i="1"/>
  <c r="J6811" i="1"/>
  <c r="J6810" i="1"/>
  <c r="J6809" i="1"/>
  <c r="J6808" i="1"/>
  <c r="J6807" i="1"/>
  <c r="J6806" i="1"/>
  <c r="J6805" i="1"/>
  <c r="J6804" i="1"/>
  <c r="J6803" i="1"/>
  <c r="J6802" i="1"/>
  <c r="J6801" i="1"/>
  <c r="J6800" i="1"/>
  <c r="J6799" i="1"/>
  <c r="J6798" i="1"/>
  <c r="J6797" i="1"/>
  <c r="J6796" i="1"/>
  <c r="J6795" i="1"/>
  <c r="J6794" i="1"/>
  <c r="J6793" i="1"/>
  <c r="J6792" i="1"/>
  <c r="J6791" i="1"/>
  <c r="J6790" i="1"/>
  <c r="J6789" i="1"/>
  <c r="J6788" i="1"/>
  <c r="J6787" i="1"/>
  <c r="J6786" i="1"/>
  <c r="J6785" i="1"/>
  <c r="J6784" i="1"/>
  <c r="J6783" i="1"/>
  <c r="J6782" i="1"/>
  <c r="J6781" i="1"/>
  <c r="J6780" i="1"/>
  <c r="J6779" i="1"/>
  <c r="J6778" i="1"/>
  <c r="J6777" i="1"/>
  <c r="J6776" i="1"/>
  <c r="J6775" i="1"/>
  <c r="J6774" i="1"/>
  <c r="J6773" i="1"/>
  <c r="J6772" i="1"/>
  <c r="J6771" i="1"/>
  <c r="J6770" i="1"/>
  <c r="J6769" i="1"/>
  <c r="J6768" i="1"/>
  <c r="J6767" i="1"/>
  <c r="J6766" i="1"/>
  <c r="J6765" i="1"/>
  <c r="J6764" i="1"/>
  <c r="J6763" i="1"/>
  <c r="J6762" i="1"/>
  <c r="J6761" i="1"/>
  <c r="J6760" i="1"/>
  <c r="J6759" i="1"/>
  <c r="J6758" i="1"/>
  <c r="J6757" i="1"/>
  <c r="J6756" i="1"/>
  <c r="J6755" i="1"/>
  <c r="J6754" i="1"/>
  <c r="J6753" i="1"/>
  <c r="J6752" i="1"/>
  <c r="J6751" i="1"/>
  <c r="J6750" i="1"/>
  <c r="J6749" i="1"/>
  <c r="J6748" i="1"/>
  <c r="J6747" i="1"/>
  <c r="J6746" i="1"/>
  <c r="J6745" i="1"/>
  <c r="J6744" i="1"/>
  <c r="J6743" i="1"/>
  <c r="J6742" i="1"/>
  <c r="J6741" i="1"/>
  <c r="J6740" i="1"/>
  <c r="J6739" i="1"/>
  <c r="J6738" i="1"/>
  <c r="J6737" i="1"/>
  <c r="J6736" i="1"/>
  <c r="J6735" i="1"/>
  <c r="J6734" i="1"/>
  <c r="J6733" i="1"/>
  <c r="J6732" i="1"/>
  <c r="J6731" i="1"/>
  <c r="J6730" i="1"/>
  <c r="J6729" i="1"/>
  <c r="J6728" i="1"/>
  <c r="J6727" i="1"/>
  <c r="J6726" i="1"/>
  <c r="J6725" i="1"/>
  <c r="J6724" i="1"/>
  <c r="J6723" i="1"/>
  <c r="J6722" i="1"/>
  <c r="J6721" i="1"/>
  <c r="J6720" i="1"/>
  <c r="J6719" i="1"/>
  <c r="J6718" i="1"/>
  <c r="J6717" i="1"/>
  <c r="J6716" i="1"/>
  <c r="J6715" i="1"/>
  <c r="J6714" i="1"/>
  <c r="J6713" i="1"/>
  <c r="J6712" i="1"/>
  <c r="J6711" i="1"/>
  <c r="J6710" i="1"/>
  <c r="J6709" i="1"/>
  <c r="J6708" i="1"/>
  <c r="J6707" i="1"/>
  <c r="J6706" i="1"/>
  <c r="J6705" i="1"/>
  <c r="J6704" i="1"/>
  <c r="J6703" i="1"/>
  <c r="J6702" i="1"/>
  <c r="J6701" i="1"/>
  <c r="J6700" i="1"/>
  <c r="J6699" i="1"/>
  <c r="J6698" i="1"/>
  <c r="J6697" i="1"/>
  <c r="J6696" i="1"/>
  <c r="J6695" i="1"/>
  <c r="J6694" i="1"/>
  <c r="J6693" i="1"/>
  <c r="J6692" i="1"/>
  <c r="J6691" i="1"/>
  <c r="J6690" i="1"/>
  <c r="J6689" i="1"/>
  <c r="J6688" i="1"/>
  <c r="J6687" i="1"/>
  <c r="J6686" i="1"/>
  <c r="J6685" i="1"/>
  <c r="J6684" i="1"/>
  <c r="J6683" i="1"/>
  <c r="J6682" i="1"/>
  <c r="J6681" i="1"/>
  <c r="J6680" i="1"/>
  <c r="J6679" i="1"/>
  <c r="J6678" i="1"/>
  <c r="J6677" i="1"/>
  <c r="J6676" i="1"/>
  <c r="J6675" i="1"/>
  <c r="J6674" i="1"/>
  <c r="J6673" i="1"/>
  <c r="J6672" i="1"/>
  <c r="J6671" i="1"/>
  <c r="J6670" i="1"/>
  <c r="J6669" i="1"/>
  <c r="J6668" i="1"/>
  <c r="J6667" i="1"/>
  <c r="J6666" i="1"/>
  <c r="J6665" i="1"/>
  <c r="J6664" i="1"/>
  <c r="J6663" i="1"/>
  <c r="J6662" i="1"/>
  <c r="J6661" i="1"/>
  <c r="J6660" i="1"/>
  <c r="J6659" i="1"/>
  <c r="J6658" i="1"/>
  <c r="J6657" i="1"/>
  <c r="J6656" i="1"/>
  <c r="J6655" i="1"/>
  <c r="J6654" i="1"/>
  <c r="J6653" i="1"/>
  <c r="J6652" i="1"/>
  <c r="J6651" i="1"/>
  <c r="J6650" i="1"/>
  <c r="J6649" i="1"/>
  <c r="J6648" i="1"/>
  <c r="J6647" i="1"/>
  <c r="J6646" i="1"/>
  <c r="J6645" i="1"/>
  <c r="J6644" i="1"/>
  <c r="J6643" i="1"/>
  <c r="J6642" i="1"/>
  <c r="J6641" i="1"/>
  <c r="J6640" i="1"/>
  <c r="J6639" i="1"/>
  <c r="J6638" i="1"/>
  <c r="J6637" i="1"/>
  <c r="J6636" i="1"/>
  <c r="J6635" i="1"/>
  <c r="J6634" i="1"/>
  <c r="J6633" i="1"/>
  <c r="J6632" i="1"/>
  <c r="J6631" i="1"/>
  <c r="J6630" i="1"/>
  <c r="J6629" i="1"/>
  <c r="J6628" i="1"/>
  <c r="J6627" i="1"/>
  <c r="J6626" i="1"/>
  <c r="J6625" i="1"/>
  <c r="J6624" i="1"/>
  <c r="J6623" i="1"/>
  <c r="J6622" i="1"/>
  <c r="J6621" i="1"/>
  <c r="J6620" i="1"/>
  <c r="J6619" i="1"/>
  <c r="J6618" i="1"/>
  <c r="J6617" i="1"/>
  <c r="J6616" i="1"/>
  <c r="J6615" i="1"/>
  <c r="J6614" i="1"/>
  <c r="J6613" i="1"/>
  <c r="J6612" i="1"/>
  <c r="J6611" i="1"/>
  <c r="J6610" i="1"/>
  <c r="J6609" i="1"/>
  <c r="J6608" i="1"/>
  <c r="J6607" i="1"/>
  <c r="J6606" i="1"/>
  <c r="J6605" i="1"/>
  <c r="J6604" i="1"/>
  <c r="J6603" i="1"/>
  <c r="J6602" i="1"/>
  <c r="J6601" i="1"/>
  <c r="J6600" i="1"/>
  <c r="J6599" i="1"/>
  <c r="J6598" i="1"/>
  <c r="J6597" i="1"/>
  <c r="J6596" i="1"/>
  <c r="J6595" i="1"/>
  <c r="J6594" i="1"/>
  <c r="J6593" i="1"/>
  <c r="J6592" i="1"/>
  <c r="J6591" i="1"/>
  <c r="J6590" i="1"/>
  <c r="J6589" i="1"/>
  <c r="J6588" i="1"/>
  <c r="J6587" i="1"/>
  <c r="J6586" i="1"/>
  <c r="J6585" i="1"/>
  <c r="J6584" i="1"/>
  <c r="J6583" i="1"/>
  <c r="J6582" i="1"/>
  <c r="J6581" i="1"/>
  <c r="J6580" i="1"/>
  <c r="J6579" i="1"/>
  <c r="J6578" i="1"/>
  <c r="J6577" i="1"/>
  <c r="J6576" i="1"/>
  <c r="J6575" i="1"/>
  <c r="J6574" i="1"/>
  <c r="J6573" i="1"/>
  <c r="J6572" i="1"/>
  <c r="J6571" i="1"/>
  <c r="J6570" i="1"/>
  <c r="J6569" i="1"/>
  <c r="J6568" i="1"/>
  <c r="J6567" i="1"/>
  <c r="J6566" i="1"/>
  <c r="J6565" i="1"/>
  <c r="J6564" i="1"/>
  <c r="J6563" i="1"/>
  <c r="J6562" i="1"/>
  <c r="J6561" i="1"/>
  <c r="J6560" i="1"/>
  <c r="J6559" i="1"/>
  <c r="J6558" i="1"/>
  <c r="J6557" i="1"/>
  <c r="J6556" i="1"/>
  <c r="J6555" i="1"/>
  <c r="J6554" i="1"/>
  <c r="J6553" i="1"/>
  <c r="J6552" i="1"/>
  <c r="J6551" i="1"/>
  <c r="J6550" i="1"/>
  <c r="J6549" i="1"/>
  <c r="J6548" i="1"/>
  <c r="J6547" i="1"/>
  <c r="J6546" i="1"/>
  <c r="J6545" i="1"/>
  <c r="J6544" i="1"/>
  <c r="J6543" i="1"/>
  <c r="J6542" i="1"/>
  <c r="J6541" i="1"/>
  <c r="J6540" i="1"/>
  <c r="J6539" i="1"/>
  <c r="J6538" i="1"/>
  <c r="J6537" i="1"/>
  <c r="J6536" i="1"/>
  <c r="J6535" i="1"/>
  <c r="J6534" i="1"/>
  <c r="J6533" i="1"/>
  <c r="J6532" i="1"/>
  <c r="J6531" i="1"/>
  <c r="J6530" i="1"/>
  <c r="J6529" i="1"/>
  <c r="J6528" i="1"/>
  <c r="J6527" i="1"/>
  <c r="J6526" i="1"/>
  <c r="J6525" i="1"/>
  <c r="J6524" i="1"/>
  <c r="J6523" i="1"/>
  <c r="J6522" i="1"/>
  <c r="J6521" i="1"/>
  <c r="J6520" i="1"/>
  <c r="J6519" i="1"/>
  <c r="J6518" i="1"/>
  <c r="J6517" i="1"/>
  <c r="J6516" i="1"/>
  <c r="J6515" i="1"/>
  <c r="J6514" i="1"/>
  <c r="J6513" i="1"/>
  <c r="J6512" i="1"/>
  <c r="J6511" i="1"/>
  <c r="J6510" i="1"/>
  <c r="J6509" i="1"/>
  <c r="J6508" i="1"/>
  <c r="J6507" i="1"/>
  <c r="J6506" i="1"/>
  <c r="J6505" i="1"/>
  <c r="J6504" i="1"/>
  <c r="J6503" i="1"/>
  <c r="J6502" i="1"/>
  <c r="J6501" i="1"/>
  <c r="J6500" i="1"/>
  <c r="J6499" i="1"/>
  <c r="J6498" i="1"/>
  <c r="J6497" i="1"/>
  <c r="J6496" i="1"/>
  <c r="J6495" i="1"/>
  <c r="J6494" i="1"/>
  <c r="J6493" i="1"/>
  <c r="J6492" i="1"/>
  <c r="J6491" i="1"/>
  <c r="J6490" i="1"/>
  <c r="J6489" i="1"/>
  <c r="J6488" i="1"/>
  <c r="J6487" i="1"/>
  <c r="J6486" i="1"/>
  <c r="J6485" i="1"/>
  <c r="J6484" i="1"/>
  <c r="J6483" i="1"/>
  <c r="J6482" i="1"/>
  <c r="J6481" i="1"/>
  <c r="J6480" i="1"/>
  <c r="J6479" i="1"/>
  <c r="J6478" i="1"/>
  <c r="J6477" i="1"/>
  <c r="J6476" i="1"/>
  <c r="J6475" i="1"/>
  <c r="J6474" i="1"/>
  <c r="J6473" i="1"/>
  <c r="J6472" i="1"/>
  <c r="J6471" i="1"/>
  <c r="J6470" i="1"/>
  <c r="J6469" i="1"/>
  <c r="J6468" i="1"/>
  <c r="J6467" i="1"/>
  <c r="J6466" i="1"/>
  <c r="J6465" i="1"/>
  <c r="J6464" i="1"/>
  <c r="J6463" i="1"/>
  <c r="J6462" i="1"/>
  <c r="J6461" i="1"/>
  <c r="J6460" i="1"/>
  <c r="J6459" i="1"/>
  <c r="J6458" i="1"/>
  <c r="J6457" i="1"/>
  <c r="J6456" i="1"/>
  <c r="J6455" i="1"/>
  <c r="J6454" i="1"/>
  <c r="J6453" i="1"/>
  <c r="J6452" i="1"/>
  <c r="J6451" i="1"/>
  <c r="J6450" i="1"/>
  <c r="J6449" i="1"/>
  <c r="J6448" i="1"/>
  <c r="J6447" i="1"/>
  <c r="J6446" i="1"/>
  <c r="J6445" i="1"/>
  <c r="J6444" i="1"/>
  <c r="J6443" i="1"/>
  <c r="J6442" i="1"/>
  <c r="J6441" i="1"/>
  <c r="J6440" i="1"/>
  <c r="J6439" i="1"/>
  <c r="J6438" i="1"/>
  <c r="J6437" i="1"/>
  <c r="J6436" i="1"/>
  <c r="J6435" i="1"/>
  <c r="J6434" i="1"/>
  <c r="J6433" i="1"/>
  <c r="J6432" i="1"/>
  <c r="J6431" i="1"/>
  <c r="J6430" i="1"/>
  <c r="J6429" i="1"/>
  <c r="J6428" i="1"/>
  <c r="J6427" i="1"/>
  <c r="J6426" i="1"/>
  <c r="J6425" i="1"/>
  <c r="J6424" i="1"/>
  <c r="J6423" i="1"/>
  <c r="J6422" i="1"/>
  <c r="J6421" i="1"/>
  <c r="J6420" i="1"/>
  <c r="J6419" i="1"/>
  <c r="J6418" i="1"/>
  <c r="J6417" i="1"/>
  <c r="J6416" i="1"/>
  <c r="J6415" i="1"/>
  <c r="J6414" i="1"/>
  <c r="J6413" i="1"/>
  <c r="J6412" i="1"/>
  <c r="J6411" i="1"/>
  <c r="J6410" i="1"/>
  <c r="J6409" i="1"/>
  <c r="J6408" i="1"/>
  <c r="J6407" i="1"/>
  <c r="J6406" i="1"/>
  <c r="J6405" i="1"/>
  <c r="J6404" i="1"/>
  <c r="J6403" i="1"/>
  <c r="J6402" i="1"/>
  <c r="J6401" i="1"/>
  <c r="J6400" i="1"/>
  <c r="J6399" i="1"/>
  <c r="J6398" i="1"/>
  <c r="J6397" i="1"/>
  <c r="J6396" i="1"/>
  <c r="J6395" i="1"/>
  <c r="J6394" i="1"/>
  <c r="J6393" i="1"/>
  <c r="J6392" i="1"/>
  <c r="J6391" i="1"/>
  <c r="J6390" i="1"/>
  <c r="J6389" i="1"/>
  <c r="J6388" i="1"/>
  <c r="J6387" i="1"/>
  <c r="J6386" i="1"/>
  <c r="J6385" i="1"/>
  <c r="J6384" i="1"/>
  <c r="J6383" i="1"/>
  <c r="J6382" i="1"/>
  <c r="J6381" i="1"/>
  <c r="J6380" i="1"/>
  <c r="J6379" i="1"/>
  <c r="J6378" i="1"/>
  <c r="J6377" i="1"/>
  <c r="J6376" i="1"/>
  <c r="J6375" i="1"/>
  <c r="J6374" i="1"/>
  <c r="J6373" i="1"/>
  <c r="J6372" i="1"/>
  <c r="J6371" i="1"/>
  <c r="J6370" i="1"/>
  <c r="J6369" i="1"/>
  <c r="J6368" i="1"/>
  <c r="J6367" i="1"/>
  <c r="J6366" i="1"/>
  <c r="J6365" i="1"/>
  <c r="J6364" i="1"/>
  <c r="J6363" i="1"/>
  <c r="J6362" i="1"/>
  <c r="J6361" i="1"/>
  <c r="J6360" i="1"/>
  <c r="J6359" i="1"/>
  <c r="J6358" i="1"/>
  <c r="J6357" i="1"/>
  <c r="J6356" i="1"/>
  <c r="J6355" i="1"/>
  <c r="J6354" i="1"/>
  <c r="J6353" i="1"/>
  <c r="J6352" i="1"/>
  <c r="J6351" i="1"/>
  <c r="J6350" i="1"/>
  <c r="J6349" i="1"/>
  <c r="J6348" i="1"/>
  <c r="J6347" i="1"/>
  <c r="J6346" i="1"/>
  <c r="J6345" i="1"/>
  <c r="J6344" i="1"/>
  <c r="J6343" i="1"/>
  <c r="J6342" i="1"/>
  <c r="J6341" i="1"/>
  <c r="J6340" i="1"/>
  <c r="J6339" i="1"/>
  <c r="J6338" i="1"/>
  <c r="J6337" i="1"/>
  <c r="J6336" i="1"/>
  <c r="J6335" i="1"/>
  <c r="J6334" i="1"/>
  <c r="J6333" i="1"/>
  <c r="J6332" i="1"/>
  <c r="J6331" i="1"/>
  <c r="J6330" i="1"/>
  <c r="J6329" i="1"/>
  <c r="J6328" i="1"/>
  <c r="J6327" i="1"/>
  <c r="J6326" i="1"/>
  <c r="J6325" i="1"/>
  <c r="J6324" i="1"/>
  <c r="J6323" i="1"/>
  <c r="J6322" i="1"/>
  <c r="J6321" i="1"/>
  <c r="J6320" i="1"/>
  <c r="J6319" i="1"/>
  <c r="J6318" i="1"/>
  <c r="J6317" i="1"/>
  <c r="J6316" i="1"/>
  <c r="J6315" i="1"/>
  <c r="J6314" i="1"/>
  <c r="J6313" i="1"/>
  <c r="J6312" i="1"/>
  <c r="J6311" i="1"/>
  <c r="J6310" i="1"/>
  <c r="J6309" i="1"/>
  <c r="J6308" i="1"/>
  <c r="J6307" i="1"/>
  <c r="J6306" i="1"/>
  <c r="J6305" i="1"/>
  <c r="J6304" i="1"/>
  <c r="J6303" i="1"/>
  <c r="J6302" i="1"/>
  <c r="J6301" i="1"/>
  <c r="J6300" i="1"/>
  <c r="J6299" i="1"/>
  <c r="J6298" i="1"/>
  <c r="J6297" i="1"/>
  <c r="J6296" i="1"/>
  <c r="J6295" i="1"/>
  <c r="J6294" i="1"/>
  <c r="J6293" i="1"/>
  <c r="J6292" i="1"/>
  <c r="J6291" i="1"/>
  <c r="J6290" i="1"/>
  <c r="J6289" i="1"/>
  <c r="J6288" i="1"/>
  <c r="J6287" i="1"/>
  <c r="J6286" i="1"/>
  <c r="J6285" i="1"/>
  <c r="J6284" i="1"/>
  <c r="J6283" i="1"/>
  <c r="J6282" i="1"/>
  <c r="J6281" i="1"/>
  <c r="J6280" i="1"/>
  <c r="J6279" i="1"/>
  <c r="J6278" i="1"/>
  <c r="J6277" i="1"/>
  <c r="J6276" i="1"/>
  <c r="J6275" i="1"/>
  <c r="J6274" i="1"/>
  <c r="J6273" i="1"/>
  <c r="J6272" i="1"/>
  <c r="J6271" i="1"/>
  <c r="J6270" i="1"/>
  <c r="J6269" i="1"/>
  <c r="J6268" i="1"/>
  <c r="J6267" i="1"/>
  <c r="J6266" i="1"/>
  <c r="J6265" i="1"/>
  <c r="J6264" i="1"/>
  <c r="J6263" i="1"/>
  <c r="J6262" i="1"/>
  <c r="J6261" i="1"/>
  <c r="J6260" i="1"/>
  <c r="J6259" i="1"/>
  <c r="J6258" i="1"/>
  <c r="J6257" i="1"/>
  <c r="J6256" i="1"/>
  <c r="J6255" i="1"/>
  <c r="J6254" i="1"/>
  <c r="J6253" i="1"/>
  <c r="J6252" i="1"/>
  <c r="J6251" i="1"/>
  <c r="J6250" i="1"/>
  <c r="J6249" i="1"/>
  <c r="J6248" i="1"/>
  <c r="J6247" i="1"/>
  <c r="J6246" i="1"/>
  <c r="J6245" i="1"/>
  <c r="J6244" i="1"/>
  <c r="J6243" i="1"/>
  <c r="J6242" i="1"/>
  <c r="J6241" i="1"/>
  <c r="J6240" i="1"/>
  <c r="J6239" i="1"/>
  <c r="J6238" i="1"/>
  <c r="J6237" i="1"/>
  <c r="J6236" i="1"/>
  <c r="J6235" i="1"/>
  <c r="J6234" i="1"/>
  <c r="J6233" i="1"/>
  <c r="J6232" i="1"/>
  <c r="J6231" i="1"/>
  <c r="J6230" i="1"/>
  <c r="J6229" i="1"/>
  <c r="J6228" i="1"/>
  <c r="J6227" i="1"/>
  <c r="J6226" i="1"/>
  <c r="J6225" i="1"/>
  <c r="J6224" i="1"/>
  <c r="J6223" i="1"/>
  <c r="J6222" i="1"/>
  <c r="J6221" i="1"/>
  <c r="J6220" i="1"/>
  <c r="J6219" i="1"/>
  <c r="J6218" i="1"/>
  <c r="J6217" i="1"/>
  <c r="J6216" i="1"/>
  <c r="J6215" i="1"/>
  <c r="J6214" i="1"/>
  <c r="J6213" i="1"/>
  <c r="J6212" i="1"/>
  <c r="J6211" i="1"/>
  <c r="J6210" i="1"/>
  <c r="J6209" i="1"/>
  <c r="J6208" i="1"/>
  <c r="J6207" i="1"/>
  <c r="J6206" i="1"/>
  <c r="J6205" i="1"/>
  <c r="J6204" i="1"/>
  <c r="J6203" i="1"/>
  <c r="J6202" i="1"/>
  <c r="J6201" i="1"/>
  <c r="J6200" i="1"/>
  <c r="J6199" i="1"/>
  <c r="J6198" i="1"/>
  <c r="J6197" i="1"/>
  <c r="J6196" i="1"/>
  <c r="J6195" i="1"/>
  <c r="J6194" i="1"/>
  <c r="J6193" i="1"/>
  <c r="J6192" i="1"/>
  <c r="J6191" i="1"/>
  <c r="J6190" i="1"/>
  <c r="J6189" i="1"/>
  <c r="J6188" i="1"/>
  <c r="J6187" i="1"/>
  <c r="J6186" i="1"/>
  <c r="J6185" i="1"/>
  <c r="J6184" i="1"/>
  <c r="J6183" i="1"/>
  <c r="J6182" i="1"/>
  <c r="J6181" i="1"/>
  <c r="J6180" i="1"/>
  <c r="J6179" i="1"/>
  <c r="J6178" i="1"/>
  <c r="J6177" i="1"/>
  <c r="J6176" i="1"/>
  <c r="J6175" i="1"/>
  <c r="J6174" i="1"/>
  <c r="J6173" i="1"/>
  <c r="J6172" i="1"/>
  <c r="J6171" i="1"/>
  <c r="J6170" i="1"/>
  <c r="J6169" i="1"/>
  <c r="J6168" i="1"/>
  <c r="J6167" i="1"/>
  <c r="J6166" i="1"/>
  <c r="J6165" i="1"/>
  <c r="J6164" i="1"/>
  <c r="J6163" i="1"/>
  <c r="J6162" i="1"/>
  <c r="J6161" i="1"/>
  <c r="J6160" i="1"/>
  <c r="J6159" i="1"/>
  <c r="J6158" i="1"/>
  <c r="J6157" i="1"/>
  <c r="J6156" i="1"/>
  <c r="J6155" i="1"/>
  <c r="J6154" i="1"/>
  <c r="J6153" i="1"/>
  <c r="J6152" i="1"/>
  <c r="J6151" i="1"/>
  <c r="J6150" i="1"/>
  <c r="J6149" i="1"/>
  <c r="J6148" i="1"/>
  <c r="J6147" i="1"/>
  <c r="J6146" i="1"/>
  <c r="J6145" i="1"/>
  <c r="J6144" i="1"/>
  <c r="J6143" i="1"/>
  <c r="J6142" i="1"/>
  <c r="J6141" i="1"/>
  <c r="J6140" i="1"/>
  <c r="J6139" i="1"/>
  <c r="J6138" i="1"/>
  <c r="J6137" i="1"/>
  <c r="J6136" i="1"/>
  <c r="J6135" i="1"/>
  <c r="J6134" i="1"/>
  <c r="J6133" i="1"/>
  <c r="J6132" i="1"/>
  <c r="J6131" i="1"/>
  <c r="J6130" i="1"/>
  <c r="J6129" i="1"/>
  <c r="J6128" i="1"/>
  <c r="J6127" i="1"/>
  <c r="J6126" i="1"/>
  <c r="J6125" i="1"/>
  <c r="J6124" i="1"/>
  <c r="J6123" i="1"/>
  <c r="J6122" i="1"/>
  <c r="J6121" i="1"/>
  <c r="J6120" i="1"/>
  <c r="J6119" i="1"/>
  <c r="J6118" i="1"/>
  <c r="J6117" i="1"/>
  <c r="J6116" i="1"/>
  <c r="J6115" i="1"/>
  <c r="J6114" i="1"/>
  <c r="J6113" i="1"/>
  <c r="J6112" i="1"/>
  <c r="J6111" i="1"/>
  <c r="J6110" i="1"/>
  <c r="J6109" i="1"/>
  <c r="J6108" i="1"/>
  <c r="J6107" i="1"/>
  <c r="J6106" i="1"/>
  <c r="J6105" i="1"/>
  <c r="J6104" i="1"/>
  <c r="J6103" i="1"/>
  <c r="J6102" i="1"/>
  <c r="J6101" i="1"/>
  <c r="J6100" i="1"/>
  <c r="J6099" i="1"/>
  <c r="J6098" i="1"/>
  <c r="J6097" i="1"/>
  <c r="J6096" i="1"/>
  <c r="J6095" i="1"/>
  <c r="J6094" i="1"/>
  <c r="J6093" i="1"/>
  <c r="J6092" i="1"/>
  <c r="J6091" i="1"/>
  <c r="J6090" i="1"/>
  <c r="J6089" i="1"/>
  <c r="J6088" i="1"/>
  <c r="J6087" i="1"/>
  <c r="J6086" i="1"/>
  <c r="J6085" i="1"/>
  <c r="J6084" i="1"/>
  <c r="J6083" i="1"/>
  <c r="J6082" i="1"/>
  <c r="J6081" i="1"/>
  <c r="J6080" i="1"/>
  <c r="J6079" i="1"/>
  <c r="J6078" i="1"/>
  <c r="J6077" i="1"/>
  <c r="J6076" i="1"/>
  <c r="J6075" i="1"/>
  <c r="J6074" i="1"/>
  <c r="J6073" i="1"/>
  <c r="J6072" i="1"/>
  <c r="J6071" i="1"/>
  <c r="J6070" i="1"/>
  <c r="J6069" i="1"/>
  <c r="J6068" i="1"/>
  <c r="J6067" i="1"/>
  <c r="J6066" i="1"/>
  <c r="J6065" i="1"/>
  <c r="J6064" i="1"/>
  <c r="J6063" i="1"/>
  <c r="J6062" i="1"/>
  <c r="J6061" i="1"/>
  <c r="J6060" i="1"/>
  <c r="J6059" i="1"/>
  <c r="J6058" i="1"/>
  <c r="J6057" i="1"/>
  <c r="J6056" i="1"/>
  <c r="J6055" i="1"/>
  <c r="J6054" i="1"/>
  <c r="J6053" i="1"/>
  <c r="J6052" i="1"/>
  <c r="J6051" i="1"/>
  <c r="J6050" i="1"/>
  <c r="J6049" i="1"/>
  <c r="J6048" i="1"/>
  <c r="J6047" i="1"/>
  <c r="J6046" i="1"/>
  <c r="J6045" i="1"/>
  <c r="J6044" i="1"/>
  <c r="J6043" i="1"/>
  <c r="J6042" i="1"/>
  <c r="J6041" i="1"/>
  <c r="J6040" i="1"/>
  <c r="J6039" i="1"/>
  <c r="J6038" i="1"/>
  <c r="J6037" i="1"/>
  <c r="J6036" i="1"/>
  <c r="J6035" i="1"/>
  <c r="J6034" i="1"/>
  <c r="J6033" i="1"/>
  <c r="J6032" i="1"/>
  <c r="J6031" i="1"/>
  <c r="J6030" i="1"/>
  <c r="J6029" i="1"/>
  <c r="J6028" i="1"/>
  <c r="J6027" i="1"/>
  <c r="J6026" i="1"/>
  <c r="J6025" i="1"/>
  <c r="J6024" i="1"/>
  <c r="J6023" i="1"/>
  <c r="J6022" i="1"/>
  <c r="J6021" i="1"/>
  <c r="J6020" i="1"/>
  <c r="J6019" i="1"/>
  <c r="J6018" i="1"/>
  <c r="J6017" i="1"/>
  <c r="J6016" i="1"/>
  <c r="J6015" i="1"/>
  <c r="J6014" i="1"/>
  <c r="J6013" i="1"/>
  <c r="J6012" i="1"/>
  <c r="J6011" i="1"/>
  <c r="J6010" i="1"/>
  <c r="J6009" i="1"/>
  <c r="J6008" i="1"/>
  <c r="J6007" i="1"/>
  <c r="J6006" i="1"/>
  <c r="J6005" i="1"/>
  <c r="J6004" i="1"/>
  <c r="J6003" i="1"/>
  <c r="J6002" i="1"/>
  <c r="J6001" i="1"/>
  <c r="J6000" i="1"/>
  <c r="J5999" i="1"/>
  <c r="J5998" i="1"/>
  <c r="J5997" i="1"/>
  <c r="J5996" i="1"/>
  <c r="J5995" i="1"/>
  <c r="J5994" i="1"/>
  <c r="J5993" i="1"/>
  <c r="J5992" i="1"/>
  <c r="J5991" i="1"/>
  <c r="J5990" i="1"/>
  <c r="J5989" i="1"/>
  <c r="J5988" i="1"/>
  <c r="J5987" i="1"/>
  <c r="J5986" i="1"/>
  <c r="J5985" i="1"/>
  <c r="J5984" i="1"/>
  <c r="J5983" i="1"/>
  <c r="J5982" i="1"/>
  <c r="J5981" i="1"/>
  <c r="J5980" i="1"/>
  <c r="J5979" i="1"/>
  <c r="J5978" i="1"/>
  <c r="J5977" i="1"/>
  <c r="J5976" i="1"/>
  <c r="J5975" i="1"/>
  <c r="J5974" i="1"/>
  <c r="J5973" i="1"/>
  <c r="J5972" i="1"/>
  <c r="J5971" i="1"/>
  <c r="J5970" i="1"/>
  <c r="J5969" i="1"/>
  <c r="J5968" i="1"/>
  <c r="J5967" i="1"/>
  <c r="J5966" i="1"/>
  <c r="J5965" i="1"/>
  <c r="J5964" i="1"/>
  <c r="J5963" i="1"/>
  <c r="J5962" i="1"/>
  <c r="J5961" i="1"/>
  <c r="J5960" i="1"/>
  <c r="J5959" i="1"/>
  <c r="J5958" i="1"/>
  <c r="J5957" i="1"/>
  <c r="J5956" i="1"/>
  <c r="J5955" i="1"/>
  <c r="J5954" i="1"/>
  <c r="J5953" i="1"/>
  <c r="J5952" i="1"/>
  <c r="J5951" i="1"/>
  <c r="J5950" i="1"/>
  <c r="J5949" i="1"/>
  <c r="J5948" i="1"/>
  <c r="J5947" i="1"/>
  <c r="J5946" i="1"/>
  <c r="J5945" i="1"/>
  <c r="J5944" i="1"/>
  <c r="J5943" i="1"/>
  <c r="J5942" i="1"/>
  <c r="J5941" i="1"/>
  <c r="J5940" i="1"/>
  <c r="J5939" i="1"/>
  <c r="J5938" i="1"/>
  <c r="J5937" i="1"/>
  <c r="J5936" i="1"/>
  <c r="J5935" i="1"/>
  <c r="J5934" i="1"/>
  <c r="J5933" i="1"/>
  <c r="J5932" i="1"/>
  <c r="J5931" i="1"/>
  <c r="J5930" i="1"/>
  <c r="J5929" i="1"/>
  <c r="J5928" i="1"/>
  <c r="J5927" i="1"/>
  <c r="J5926" i="1"/>
  <c r="J5925" i="1"/>
  <c r="J5924" i="1"/>
  <c r="J5923" i="1"/>
  <c r="J5922" i="1"/>
  <c r="J5921" i="1"/>
  <c r="J5920" i="1"/>
  <c r="J5919" i="1"/>
  <c r="J5918" i="1"/>
  <c r="J5917" i="1"/>
  <c r="J5916" i="1"/>
  <c r="J5915" i="1"/>
  <c r="J5914" i="1"/>
  <c r="J5913" i="1"/>
  <c r="J5912" i="1"/>
  <c r="J5911" i="1"/>
  <c r="J5910" i="1"/>
  <c r="J5909" i="1"/>
  <c r="J5908" i="1"/>
  <c r="J5907" i="1"/>
  <c r="J5906" i="1"/>
  <c r="J5905" i="1"/>
  <c r="J5904" i="1"/>
  <c r="J5903" i="1"/>
  <c r="J5902" i="1"/>
  <c r="J5901" i="1"/>
  <c r="J5900" i="1"/>
  <c r="J5899" i="1"/>
  <c r="J5898" i="1"/>
  <c r="J5897" i="1"/>
  <c r="J5896" i="1"/>
  <c r="J5895" i="1"/>
  <c r="J5894" i="1"/>
  <c r="J5893" i="1"/>
  <c r="J5892" i="1"/>
  <c r="J5891" i="1"/>
  <c r="J5890" i="1"/>
  <c r="J5889" i="1"/>
  <c r="J5888" i="1"/>
  <c r="J5887" i="1"/>
  <c r="J5886" i="1"/>
  <c r="J5885" i="1"/>
  <c r="J5884" i="1"/>
  <c r="J5883" i="1"/>
  <c r="J5882" i="1"/>
  <c r="J5881" i="1"/>
  <c r="J5880" i="1"/>
  <c r="J5879" i="1"/>
  <c r="J5878" i="1"/>
  <c r="J5877" i="1"/>
  <c r="J5876" i="1"/>
  <c r="J5875" i="1"/>
  <c r="J5874" i="1"/>
  <c r="J5873" i="1"/>
  <c r="J5872" i="1"/>
  <c r="J5871" i="1"/>
  <c r="J5870" i="1"/>
  <c r="J5869" i="1"/>
  <c r="J5868" i="1"/>
  <c r="J5867" i="1"/>
  <c r="J5866" i="1"/>
  <c r="J5865" i="1"/>
  <c r="J5864" i="1"/>
  <c r="J5863" i="1"/>
  <c r="J5862" i="1"/>
  <c r="J5861" i="1"/>
  <c r="J5860" i="1"/>
  <c r="J5859" i="1"/>
  <c r="J5858" i="1"/>
  <c r="J5857" i="1"/>
  <c r="J5856" i="1"/>
  <c r="J5855" i="1"/>
  <c r="J5854" i="1"/>
  <c r="J5853" i="1"/>
  <c r="J5852" i="1"/>
  <c r="J5851" i="1"/>
  <c r="J5850" i="1"/>
  <c r="J5849" i="1"/>
  <c r="J5848" i="1"/>
  <c r="J5847" i="1"/>
  <c r="J5846" i="1"/>
  <c r="J5845" i="1"/>
  <c r="J5844" i="1"/>
  <c r="J5843" i="1"/>
  <c r="J5842" i="1"/>
  <c r="J5841" i="1"/>
  <c r="J5840" i="1"/>
  <c r="J5839" i="1"/>
  <c r="J5838" i="1"/>
  <c r="J5837" i="1"/>
  <c r="J5836" i="1"/>
  <c r="J5835" i="1"/>
  <c r="J5834" i="1"/>
  <c r="J5833" i="1"/>
  <c r="J5832" i="1"/>
  <c r="J5831" i="1"/>
  <c r="J5830" i="1"/>
  <c r="J5829" i="1"/>
  <c r="J5828" i="1"/>
  <c r="J5827" i="1"/>
  <c r="J5826" i="1"/>
  <c r="J5825" i="1"/>
  <c r="J5824" i="1"/>
  <c r="J5823" i="1"/>
  <c r="J5822" i="1"/>
  <c r="J5821" i="1"/>
  <c r="J5820" i="1"/>
  <c r="J5819" i="1"/>
  <c r="J5818" i="1"/>
  <c r="J5817" i="1"/>
  <c r="J5816" i="1"/>
  <c r="J5815" i="1"/>
  <c r="J5814" i="1"/>
  <c r="J5813" i="1"/>
  <c r="J5812" i="1"/>
  <c r="J5811" i="1"/>
  <c r="J5810" i="1"/>
  <c r="J5809" i="1"/>
  <c r="J5808" i="1"/>
  <c r="J5807" i="1"/>
  <c r="J5806" i="1"/>
  <c r="J5805" i="1"/>
  <c r="J5804" i="1"/>
  <c r="J5803" i="1"/>
  <c r="J5802" i="1"/>
  <c r="J5801" i="1"/>
  <c r="J5800" i="1"/>
  <c r="J5799" i="1"/>
  <c r="J5798" i="1"/>
  <c r="J5797" i="1"/>
  <c r="J5796" i="1"/>
  <c r="J5795" i="1"/>
  <c r="J5794" i="1"/>
  <c r="J5793" i="1"/>
  <c r="J5792" i="1"/>
  <c r="J5791" i="1"/>
  <c r="J5790" i="1"/>
  <c r="J5789" i="1"/>
  <c r="J5788" i="1"/>
  <c r="J5787" i="1"/>
  <c r="J5786" i="1"/>
  <c r="J5785" i="1"/>
  <c r="J5784" i="1"/>
  <c r="J5783" i="1"/>
  <c r="J5782" i="1"/>
  <c r="J5781" i="1"/>
  <c r="J5780" i="1"/>
  <c r="J5779" i="1"/>
  <c r="J5778" i="1"/>
  <c r="J5777" i="1"/>
  <c r="J5776" i="1"/>
  <c r="J5775" i="1"/>
  <c r="J5774" i="1"/>
  <c r="J5773" i="1"/>
  <c r="J5772" i="1"/>
  <c r="J5771" i="1"/>
  <c r="J5770" i="1"/>
  <c r="J5769" i="1"/>
  <c r="J5768" i="1"/>
  <c r="J5767" i="1"/>
  <c r="J5766" i="1"/>
  <c r="J5765" i="1"/>
  <c r="J5764" i="1"/>
  <c r="J5763" i="1"/>
  <c r="J5762" i="1"/>
  <c r="J5761" i="1"/>
  <c r="J5760" i="1"/>
  <c r="J5759" i="1"/>
  <c r="J5758" i="1"/>
  <c r="J5757" i="1"/>
  <c r="J5756" i="1"/>
  <c r="J5755" i="1"/>
  <c r="J5754" i="1"/>
  <c r="J5753" i="1"/>
  <c r="J5752" i="1"/>
  <c r="J5751" i="1"/>
  <c r="J5750" i="1"/>
  <c r="J5749" i="1"/>
  <c r="J5748" i="1"/>
  <c r="J5747" i="1"/>
  <c r="J5746" i="1"/>
  <c r="J5745" i="1"/>
  <c r="J5744" i="1"/>
  <c r="J5743" i="1"/>
  <c r="J5742" i="1"/>
  <c r="J5741" i="1"/>
  <c r="J5740" i="1"/>
  <c r="J5739" i="1"/>
  <c r="J5738" i="1"/>
  <c r="J5737" i="1"/>
  <c r="J5736" i="1"/>
  <c r="J5735" i="1"/>
  <c r="J5734" i="1"/>
  <c r="J5733" i="1"/>
  <c r="J5732" i="1"/>
  <c r="J5731" i="1"/>
  <c r="J5730" i="1"/>
  <c r="J5729" i="1"/>
  <c r="J5728" i="1"/>
  <c r="J5727" i="1"/>
  <c r="J5726" i="1"/>
  <c r="J5725" i="1"/>
  <c r="J5724" i="1"/>
  <c r="J5723" i="1"/>
  <c r="J5722" i="1"/>
  <c r="J5721" i="1"/>
  <c r="J5720" i="1"/>
  <c r="J5719" i="1"/>
  <c r="J5718" i="1"/>
  <c r="J5717" i="1"/>
  <c r="J5716" i="1"/>
  <c r="J5715" i="1"/>
  <c r="J5714" i="1"/>
  <c r="J5713" i="1"/>
  <c r="J5712" i="1"/>
  <c r="J5711" i="1"/>
  <c r="J5710" i="1"/>
  <c r="J5709" i="1"/>
  <c r="J5708" i="1"/>
  <c r="J5707" i="1"/>
  <c r="J5706" i="1"/>
  <c r="J5705" i="1"/>
  <c r="J5704" i="1"/>
  <c r="J5703" i="1"/>
  <c r="J5702" i="1"/>
  <c r="J5701" i="1"/>
  <c r="J5700" i="1"/>
  <c r="J5699" i="1"/>
  <c r="J5698" i="1"/>
  <c r="J5697" i="1"/>
  <c r="J5696" i="1"/>
  <c r="J5695" i="1"/>
  <c r="J5694" i="1"/>
  <c r="J5693" i="1"/>
  <c r="J5692" i="1"/>
  <c r="J5691" i="1"/>
  <c r="J5690" i="1"/>
  <c r="J5689" i="1"/>
  <c r="J5688" i="1"/>
  <c r="J5687" i="1"/>
  <c r="J5686" i="1"/>
  <c r="J5685" i="1"/>
  <c r="J5684" i="1"/>
  <c r="J5683" i="1"/>
  <c r="J5682" i="1"/>
  <c r="J5681" i="1"/>
  <c r="J5680" i="1"/>
  <c r="J5679" i="1"/>
  <c r="J5678" i="1"/>
  <c r="J5677" i="1"/>
  <c r="J5676" i="1"/>
  <c r="J5675" i="1"/>
  <c r="J5674" i="1"/>
  <c r="J5673" i="1"/>
  <c r="J5672" i="1"/>
  <c r="J5671" i="1"/>
  <c r="J5670" i="1"/>
  <c r="J5669" i="1"/>
  <c r="J5668" i="1"/>
  <c r="J5667" i="1"/>
  <c r="J5666" i="1"/>
  <c r="J5665" i="1"/>
  <c r="J5664" i="1"/>
  <c r="J5663" i="1"/>
  <c r="J5662" i="1"/>
  <c r="J5661" i="1"/>
  <c r="J5660" i="1"/>
  <c r="J5659" i="1"/>
  <c r="J5658" i="1"/>
  <c r="J5657" i="1"/>
  <c r="J5656" i="1"/>
  <c r="J5655" i="1"/>
  <c r="J5654" i="1"/>
  <c r="J5653" i="1"/>
  <c r="J5652" i="1"/>
  <c r="J5651" i="1"/>
  <c r="J5650" i="1"/>
  <c r="J5649" i="1"/>
  <c r="J5648" i="1"/>
  <c r="J5647" i="1"/>
  <c r="J5646" i="1"/>
  <c r="J5645" i="1"/>
  <c r="J5644" i="1"/>
  <c r="J5643" i="1"/>
  <c r="J5642" i="1"/>
  <c r="J5641" i="1"/>
  <c r="J5640" i="1"/>
  <c r="J5639" i="1"/>
  <c r="J5638" i="1"/>
  <c r="J5637" i="1"/>
  <c r="J5636" i="1"/>
  <c r="J5635" i="1"/>
  <c r="J5634" i="1"/>
  <c r="J5633" i="1"/>
  <c r="J5632" i="1"/>
  <c r="J5631" i="1"/>
  <c r="J5630" i="1"/>
  <c r="J5629" i="1"/>
  <c r="J5628" i="1"/>
  <c r="J5627" i="1"/>
  <c r="J5626" i="1"/>
  <c r="J5625" i="1"/>
  <c r="J5624" i="1"/>
  <c r="J5623" i="1"/>
  <c r="J5622" i="1"/>
  <c r="J5621" i="1"/>
  <c r="J5620" i="1"/>
  <c r="J5619" i="1"/>
  <c r="J5618" i="1"/>
  <c r="J5617" i="1"/>
  <c r="J5616" i="1"/>
  <c r="J5615" i="1"/>
  <c r="J5614" i="1"/>
  <c r="J5613" i="1"/>
  <c r="J5612" i="1"/>
  <c r="J5611" i="1"/>
  <c r="J5610" i="1"/>
  <c r="J5609" i="1"/>
  <c r="J5608" i="1"/>
  <c r="J5607" i="1"/>
  <c r="J5606" i="1"/>
  <c r="J5605" i="1"/>
  <c r="J5604" i="1"/>
  <c r="J5603" i="1"/>
  <c r="J5602" i="1"/>
  <c r="J5601" i="1"/>
  <c r="J5600" i="1"/>
  <c r="J5599" i="1"/>
  <c r="J5598" i="1"/>
  <c r="J5597" i="1"/>
  <c r="J5596" i="1"/>
  <c r="J5595" i="1"/>
  <c r="J5594" i="1"/>
  <c r="J5593" i="1"/>
  <c r="J5592" i="1"/>
  <c r="J5591" i="1"/>
  <c r="J5590" i="1"/>
  <c r="J5589" i="1"/>
  <c r="J5588" i="1"/>
  <c r="J5587" i="1"/>
  <c r="J5586" i="1"/>
  <c r="J5585" i="1"/>
  <c r="J5584" i="1"/>
  <c r="J5583" i="1"/>
  <c r="J5582" i="1"/>
  <c r="J5581" i="1"/>
  <c r="J5580" i="1"/>
  <c r="J5579" i="1"/>
  <c r="J5578" i="1"/>
  <c r="J5577" i="1"/>
  <c r="J5576" i="1"/>
  <c r="J5575" i="1"/>
  <c r="J5574" i="1"/>
  <c r="J5573" i="1"/>
  <c r="J5572" i="1"/>
  <c r="J5571" i="1"/>
  <c r="J5570" i="1"/>
  <c r="J5569" i="1"/>
  <c r="J5568" i="1"/>
  <c r="J5567" i="1"/>
  <c r="J5566" i="1"/>
  <c r="J5565" i="1"/>
  <c r="J5564" i="1"/>
  <c r="J5563" i="1"/>
  <c r="J5562" i="1"/>
  <c r="J5561" i="1"/>
  <c r="J5560" i="1"/>
  <c r="J5559" i="1"/>
  <c r="J5558" i="1"/>
  <c r="J5557" i="1"/>
  <c r="J5556" i="1"/>
  <c r="J5555" i="1"/>
  <c r="J5554" i="1"/>
  <c r="J5553" i="1"/>
  <c r="J5552" i="1"/>
  <c r="J5551" i="1"/>
  <c r="J5550" i="1"/>
  <c r="J5549" i="1"/>
  <c r="J5548" i="1"/>
  <c r="J5547" i="1"/>
  <c r="J5546" i="1"/>
  <c r="J5545" i="1"/>
  <c r="J5544" i="1"/>
  <c r="J5543" i="1"/>
  <c r="J5542" i="1"/>
  <c r="J5541" i="1"/>
  <c r="J5540" i="1"/>
  <c r="J5539" i="1"/>
  <c r="J5538" i="1"/>
  <c r="J5537" i="1"/>
  <c r="J5536" i="1"/>
  <c r="J5535" i="1"/>
  <c r="J5534" i="1"/>
  <c r="J5533" i="1"/>
  <c r="J5532" i="1"/>
  <c r="J5531" i="1"/>
  <c r="J5530" i="1"/>
  <c r="J5529" i="1"/>
  <c r="J5528" i="1"/>
  <c r="J5527" i="1"/>
  <c r="J5526" i="1"/>
  <c r="J5525" i="1"/>
  <c r="J5524" i="1"/>
  <c r="J5523" i="1"/>
  <c r="J5522" i="1"/>
  <c r="J5521" i="1"/>
  <c r="J5520" i="1"/>
  <c r="J5519" i="1"/>
  <c r="J5518" i="1"/>
  <c r="J5517" i="1"/>
  <c r="J5516" i="1"/>
  <c r="J5515" i="1"/>
  <c r="J5514" i="1"/>
  <c r="J5513" i="1"/>
  <c r="J5512" i="1"/>
  <c r="J5511" i="1"/>
  <c r="J5510" i="1"/>
  <c r="J5509" i="1"/>
  <c r="J5508" i="1"/>
  <c r="J5507" i="1"/>
  <c r="J5506" i="1"/>
  <c r="J5505" i="1"/>
  <c r="J5504" i="1"/>
  <c r="J5503" i="1"/>
  <c r="J5502" i="1"/>
  <c r="J5501" i="1"/>
  <c r="J5500" i="1"/>
  <c r="J5499" i="1"/>
  <c r="J5498" i="1"/>
  <c r="J5497" i="1"/>
  <c r="J5496" i="1"/>
  <c r="J5495" i="1"/>
  <c r="J5494" i="1"/>
  <c r="J5493" i="1"/>
  <c r="J5492" i="1"/>
  <c r="J5491" i="1"/>
  <c r="J5490" i="1"/>
  <c r="J5489" i="1"/>
  <c r="J5488" i="1"/>
  <c r="J5487" i="1"/>
  <c r="J5486" i="1"/>
  <c r="J5485" i="1"/>
  <c r="J5484" i="1"/>
  <c r="J5483" i="1"/>
  <c r="J5482" i="1"/>
  <c r="J5481" i="1"/>
  <c r="J5480" i="1"/>
  <c r="J5479" i="1"/>
  <c r="J5478" i="1"/>
  <c r="J5477" i="1"/>
  <c r="J5476" i="1"/>
  <c r="J5475" i="1"/>
  <c r="J5474" i="1"/>
  <c r="J5473" i="1"/>
  <c r="J5472" i="1"/>
  <c r="J5471" i="1"/>
  <c r="J5470" i="1"/>
  <c r="J5469" i="1"/>
  <c r="J5468" i="1"/>
  <c r="J5467" i="1"/>
  <c r="J5466" i="1"/>
  <c r="J5465" i="1"/>
  <c r="J5464" i="1"/>
  <c r="J5463" i="1"/>
  <c r="J5462" i="1"/>
  <c r="J5461" i="1"/>
  <c r="J5460" i="1"/>
  <c r="J5459" i="1"/>
  <c r="J5458" i="1"/>
  <c r="J5457" i="1"/>
  <c r="J5456" i="1"/>
  <c r="J5455" i="1"/>
  <c r="J5454" i="1"/>
  <c r="J5453" i="1"/>
  <c r="J5452" i="1"/>
  <c r="J5451" i="1"/>
  <c r="J5450" i="1"/>
  <c r="J5449" i="1"/>
  <c r="J5448" i="1"/>
  <c r="J5447" i="1"/>
  <c r="J5446" i="1"/>
  <c r="J5445" i="1"/>
  <c r="J5444" i="1"/>
  <c r="J5443" i="1"/>
  <c r="J5442" i="1"/>
  <c r="J5441" i="1"/>
  <c r="J5440" i="1"/>
  <c r="J5439" i="1"/>
  <c r="J5438" i="1"/>
  <c r="J5437" i="1"/>
  <c r="J5436" i="1"/>
  <c r="J5435" i="1"/>
  <c r="J5434" i="1"/>
  <c r="J5433" i="1"/>
  <c r="J5432" i="1"/>
  <c r="J5431" i="1"/>
  <c r="J5430" i="1"/>
  <c r="J5429" i="1"/>
  <c r="J5428" i="1"/>
  <c r="J5427" i="1"/>
  <c r="J5426" i="1"/>
  <c r="J5425" i="1"/>
  <c r="J5424" i="1"/>
  <c r="J5423" i="1"/>
  <c r="J5422" i="1"/>
  <c r="J5421" i="1"/>
  <c r="J5420" i="1"/>
  <c r="J5419" i="1"/>
  <c r="J5418" i="1"/>
  <c r="J5417" i="1"/>
  <c r="J5416" i="1"/>
  <c r="J5415" i="1"/>
  <c r="J5414" i="1"/>
  <c r="J5413" i="1"/>
  <c r="J5412" i="1"/>
  <c r="J5411" i="1"/>
  <c r="J5410" i="1"/>
  <c r="J5409" i="1"/>
  <c r="J5408" i="1"/>
  <c r="J5407" i="1"/>
  <c r="J5406" i="1"/>
  <c r="J5405" i="1"/>
  <c r="J5404" i="1"/>
  <c r="J5403" i="1"/>
  <c r="J5402" i="1"/>
  <c r="J5401" i="1"/>
  <c r="J5400" i="1"/>
  <c r="J5399" i="1"/>
  <c r="J5398" i="1"/>
  <c r="J5397" i="1"/>
  <c r="J5396" i="1"/>
  <c r="J5395" i="1"/>
  <c r="J5394" i="1"/>
  <c r="J5393" i="1"/>
  <c r="J5392" i="1"/>
  <c r="J5391" i="1"/>
  <c r="J5390" i="1"/>
  <c r="J5389" i="1"/>
  <c r="J5388" i="1"/>
  <c r="J5387" i="1"/>
  <c r="J5386" i="1"/>
  <c r="J5385" i="1"/>
  <c r="J5384" i="1"/>
  <c r="J5383" i="1"/>
  <c r="J5382" i="1"/>
  <c r="J5381" i="1"/>
  <c r="J5380" i="1"/>
  <c r="J5379" i="1"/>
  <c r="J5378" i="1"/>
  <c r="J5377" i="1"/>
  <c r="J5376" i="1"/>
  <c r="J5375" i="1"/>
  <c r="J5374" i="1"/>
  <c r="J5373" i="1"/>
  <c r="J5372" i="1"/>
  <c r="J5371" i="1"/>
  <c r="J5370" i="1"/>
  <c r="J5369" i="1"/>
  <c r="J5368" i="1"/>
  <c r="J5367" i="1"/>
  <c r="J5366" i="1"/>
  <c r="J5365" i="1"/>
  <c r="J5364" i="1"/>
  <c r="J5363" i="1"/>
  <c r="J5362" i="1"/>
  <c r="J5361" i="1"/>
  <c r="J5360" i="1"/>
  <c r="J5359" i="1"/>
  <c r="J5358" i="1"/>
  <c r="J5357" i="1"/>
  <c r="J5356" i="1"/>
  <c r="J5355" i="1"/>
  <c r="J5354" i="1"/>
  <c r="J5353" i="1"/>
  <c r="J5352" i="1"/>
  <c r="J5351" i="1"/>
  <c r="J5350" i="1"/>
  <c r="J5349" i="1"/>
  <c r="J5348" i="1"/>
  <c r="J5347" i="1"/>
  <c r="J5346" i="1"/>
  <c r="J5345" i="1"/>
  <c r="J5344" i="1"/>
  <c r="J5343" i="1"/>
  <c r="J5342" i="1"/>
  <c r="J5341" i="1"/>
  <c r="J5340" i="1"/>
  <c r="J5339" i="1"/>
  <c r="J5338" i="1"/>
  <c r="J5337" i="1"/>
  <c r="J5336" i="1"/>
  <c r="J5335" i="1"/>
  <c r="J5334" i="1"/>
  <c r="J5333" i="1"/>
  <c r="J5332" i="1"/>
  <c r="J5331" i="1"/>
  <c r="J5330" i="1"/>
  <c r="J5329" i="1"/>
  <c r="J5328" i="1"/>
  <c r="J5327" i="1"/>
  <c r="J5326" i="1"/>
  <c r="J5325" i="1"/>
  <c r="J5324" i="1"/>
  <c r="J5323" i="1"/>
  <c r="J5322" i="1"/>
  <c r="J5321" i="1"/>
  <c r="J5320" i="1"/>
  <c r="J5319" i="1"/>
  <c r="J5318" i="1"/>
  <c r="J5317" i="1"/>
  <c r="J5316" i="1"/>
  <c r="J5315" i="1"/>
  <c r="J5314" i="1"/>
  <c r="J5313" i="1"/>
  <c r="J5312" i="1"/>
  <c r="J5311" i="1"/>
  <c r="J5310" i="1"/>
  <c r="J5309" i="1"/>
  <c r="J5308" i="1"/>
  <c r="J5307" i="1"/>
  <c r="J5306" i="1"/>
  <c r="J5305" i="1"/>
  <c r="J5304" i="1"/>
  <c r="J5303" i="1"/>
  <c r="J5302" i="1"/>
  <c r="J5301" i="1"/>
  <c r="J5300" i="1"/>
  <c r="J5299" i="1"/>
  <c r="J5298" i="1"/>
  <c r="J5297" i="1"/>
  <c r="J5296" i="1"/>
  <c r="J5295" i="1"/>
  <c r="J5294" i="1"/>
  <c r="J5293" i="1"/>
  <c r="J5292" i="1"/>
  <c r="J5291" i="1"/>
  <c r="J5290" i="1"/>
  <c r="J5289" i="1"/>
  <c r="J5288" i="1"/>
  <c r="J5287" i="1"/>
  <c r="J5286" i="1"/>
  <c r="J5285" i="1"/>
  <c r="J5284" i="1"/>
  <c r="J5283" i="1"/>
  <c r="J5282" i="1"/>
  <c r="J5281" i="1"/>
  <c r="J5280" i="1"/>
  <c r="J5279" i="1"/>
  <c r="J5278" i="1"/>
  <c r="J5277" i="1"/>
  <c r="J5276" i="1"/>
  <c r="J5275" i="1"/>
  <c r="J5274" i="1"/>
  <c r="J5273" i="1"/>
  <c r="J5272" i="1"/>
  <c r="J5271" i="1"/>
  <c r="J5270" i="1"/>
  <c r="J5269" i="1"/>
  <c r="J5268" i="1"/>
  <c r="J5267" i="1"/>
  <c r="J5266" i="1"/>
  <c r="J5265" i="1"/>
  <c r="J5264" i="1"/>
  <c r="J5263" i="1"/>
  <c r="J5262" i="1"/>
  <c r="J5261" i="1"/>
  <c r="J5260" i="1"/>
  <c r="J5259" i="1"/>
  <c r="J5258" i="1"/>
  <c r="J5257" i="1"/>
  <c r="J5256" i="1"/>
  <c r="J5255" i="1"/>
  <c r="J5254" i="1"/>
  <c r="J5253" i="1"/>
  <c r="J5252" i="1"/>
  <c r="J5251" i="1"/>
  <c r="J5250" i="1"/>
  <c r="J5249" i="1"/>
  <c r="J5248" i="1"/>
  <c r="J5247" i="1"/>
  <c r="J5246" i="1"/>
  <c r="J5245" i="1"/>
  <c r="J5244" i="1"/>
  <c r="J5243" i="1"/>
  <c r="J5242" i="1"/>
  <c r="J5241" i="1"/>
  <c r="J5240" i="1"/>
  <c r="J5239" i="1"/>
  <c r="J5238" i="1"/>
  <c r="J5237" i="1"/>
  <c r="J5236" i="1"/>
  <c r="J5235" i="1"/>
  <c r="J5234" i="1"/>
  <c r="J5233" i="1"/>
  <c r="J5232" i="1"/>
  <c r="J5231" i="1"/>
  <c r="J5230" i="1"/>
  <c r="J5229" i="1"/>
  <c r="J5228" i="1"/>
  <c r="J5227" i="1"/>
  <c r="J5226" i="1"/>
  <c r="J5225" i="1"/>
  <c r="J5224" i="1"/>
  <c r="J5223" i="1"/>
  <c r="J5222" i="1"/>
  <c r="J5221" i="1"/>
  <c r="J5220" i="1"/>
  <c r="J5219" i="1"/>
  <c r="J5218" i="1"/>
  <c r="J5217" i="1"/>
  <c r="J5216" i="1"/>
  <c r="J5215" i="1"/>
  <c r="J5214" i="1"/>
  <c r="J5213" i="1"/>
  <c r="J5212" i="1"/>
  <c r="J5211" i="1"/>
  <c r="J5210" i="1"/>
  <c r="J5209" i="1"/>
  <c r="J5208" i="1"/>
  <c r="J5207" i="1"/>
  <c r="J5206" i="1"/>
  <c r="J5205" i="1"/>
  <c r="J5204" i="1"/>
  <c r="J5203" i="1"/>
  <c r="J5202" i="1"/>
  <c r="J5201" i="1"/>
  <c r="J5200" i="1"/>
  <c r="J5199" i="1"/>
  <c r="J5198" i="1"/>
  <c r="J5197" i="1"/>
  <c r="J5196" i="1"/>
  <c r="J5195" i="1"/>
  <c r="J5194" i="1"/>
  <c r="J5193" i="1"/>
  <c r="J5192" i="1"/>
  <c r="J5191" i="1"/>
  <c r="J5190" i="1"/>
  <c r="J5189" i="1"/>
  <c r="J5188" i="1"/>
  <c r="J5187" i="1"/>
  <c r="J5186" i="1"/>
  <c r="J5185" i="1"/>
  <c r="J5184" i="1"/>
  <c r="J5183" i="1"/>
  <c r="J5182" i="1"/>
  <c r="J5181" i="1"/>
  <c r="J5180" i="1"/>
  <c r="J5179" i="1"/>
  <c r="J5178" i="1"/>
  <c r="J5177" i="1"/>
  <c r="J5176" i="1"/>
  <c r="J5175" i="1"/>
  <c r="J5174" i="1"/>
  <c r="J5173" i="1"/>
  <c r="J5172" i="1"/>
  <c r="J5171" i="1"/>
  <c r="J5170" i="1"/>
  <c r="J5169" i="1"/>
  <c r="J5168" i="1"/>
  <c r="J5167" i="1"/>
  <c r="J5166" i="1"/>
  <c r="J5165" i="1"/>
  <c r="J5164" i="1"/>
  <c r="J5163" i="1"/>
  <c r="J5162" i="1"/>
  <c r="J5161" i="1"/>
  <c r="J5160" i="1"/>
  <c r="J5159" i="1"/>
  <c r="J5158" i="1"/>
  <c r="J5157" i="1"/>
  <c r="J5156" i="1"/>
  <c r="J5155" i="1"/>
  <c r="J5154" i="1"/>
  <c r="J5153" i="1"/>
  <c r="J5152" i="1"/>
  <c r="J5151" i="1"/>
  <c r="J5150" i="1"/>
  <c r="J5149" i="1"/>
  <c r="J5148" i="1"/>
  <c r="J5147" i="1"/>
  <c r="J5146" i="1"/>
  <c r="J5145" i="1"/>
  <c r="J5144" i="1"/>
  <c r="J5143" i="1"/>
  <c r="J5142" i="1"/>
  <c r="J5141" i="1"/>
  <c r="J5140" i="1"/>
  <c r="J5139" i="1"/>
  <c r="J5138" i="1"/>
  <c r="J5137" i="1"/>
  <c r="J5136" i="1"/>
  <c r="J5135" i="1"/>
  <c r="J5134" i="1"/>
  <c r="J5133" i="1"/>
  <c r="J5132" i="1"/>
  <c r="J5131" i="1"/>
  <c r="J5130" i="1"/>
  <c r="J5129" i="1"/>
  <c r="J5128" i="1"/>
  <c r="J5127" i="1"/>
  <c r="J5126" i="1"/>
  <c r="J5125" i="1"/>
  <c r="J5124" i="1"/>
  <c r="J5123" i="1"/>
  <c r="J5122" i="1"/>
  <c r="J5121" i="1"/>
  <c r="J5120" i="1"/>
  <c r="J5119" i="1"/>
  <c r="J5118" i="1"/>
  <c r="J5117" i="1"/>
  <c r="J5116" i="1"/>
  <c r="J5115" i="1"/>
  <c r="J5114" i="1"/>
  <c r="J5113" i="1"/>
  <c r="J5112" i="1"/>
  <c r="J5111" i="1"/>
  <c r="J5110" i="1"/>
  <c r="J5109" i="1"/>
  <c r="J5108" i="1"/>
  <c r="J5107" i="1"/>
  <c r="J5106" i="1"/>
  <c r="J5105" i="1"/>
  <c r="J5104" i="1"/>
  <c r="J5103" i="1"/>
  <c r="J5102" i="1"/>
  <c r="J5101" i="1"/>
  <c r="J5100" i="1"/>
  <c r="J5099" i="1"/>
  <c r="J5098" i="1"/>
  <c r="J5097" i="1"/>
  <c r="J5096" i="1"/>
  <c r="J5095" i="1"/>
  <c r="J5094" i="1"/>
  <c r="J5093" i="1"/>
  <c r="J5092" i="1"/>
  <c r="J5091" i="1"/>
  <c r="J5090" i="1"/>
  <c r="J5089" i="1"/>
  <c r="J5088" i="1"/>
  <c r="J5087" i="1"/>
  <c r="J5086" i="1"/>
  <c r="J5085" i="1"/>
  <c r="J5084" i="1"/>
  <c r="J5083" i="1"/>
  <c r="J5082" i="1"/>
  <c r="J5081" i="1"/>
  <c r="J5080" i="1"/>
  <c r="J5079" i="1"/>
  <c r="J5078" i="1"/>
  <c r="J5077" i="1"/>
  <c r="J5076" i="1"/>
  <c r="J5075" i="1"/>
  <c r="J5074" i="1"/>
  <c r="J5073" i="1"/>
  <c r="J5072" i="1"/>
  <c r="J5071" i="1"/>
  <c r="J5070" i="1"/>
  <c r="J5069" i="1"/>
  <c r="J5068" i="1"/>
  <c r="J5067" i="1"/>
  <c r="J5066" i="1"/>
  <c r="J5065" i="1"/>
  <c r="J5064" i="1"/>
  <c r="J5063" i="1"/>
  <c r="J5062" i="1"/>
  <c r="J5061" i="1"/>
  <c r="J5060" i="1"/>
  <c r="J5059" i="1"/>
  <c r="J5058" i="1"/>
  <c r="J5057" i="1"/>
  <c r="J5056" i="1"/>
  <c r="J5055" i="1"/>
  <c r="J5054" i="1"/>
  <c r="J5053" i="1"/>
  <c r="J5052" i="1"/>
  <c r="J5051" i="1"/>
  <c r="J5050" i="1"/>
  <c r="J5049" i="1"/>
  <c r="J5048" i="1"/>
  <c r="J5047" i="1"/>
  <c r="J5046" i="1"/>
  <c r="J5045" i="1"/>
  <c r="J5044" i="1"/>
  <c r="J5043" i="1"/>
  <c r="J5042" i="1"/>
  <c r="J5041" i="1"/>
  <c r="J5040" i="1"/>
  <c r="J5039" i="1"/>
  <c r="J5038" i="1"/>
  <c r="J5037" i="1"/>
  <c r="J5036" i="1"/>
  <c r="J5035" i="1"/>
  <c r="J5034" i="1"/>
  <c r="J5033" i="1"/>
  <c r="J5032" i="1"/>
  <c r="J5031" i="1"/>
  <c r="J5030" i="1"/>
  <c r="J5029" i="1"/>
  <c r="J5028" i="1"/>
  <c r="J5027" i="1"/>
  <c r="J5026" i="1"/>
  <c r="J5025" i="1"/>
  <c r="J5024" i="1"/>
  <c r="J5023" i="1"/>
  <c r="J5022" i="1"/>
  <c r="J5021" i="1"/>
  <c r="J5020" i="1"/>
  <c r="J5019" i="1"/>
  <c r="J5018" i="1"/>
  <c r="J5017" i="1"/>
  <c r="J5016" i="1"/>
  <c r="J5015" i="1"/>
  <c r="J5014" i="1"/>
  <c r="J5013" i="1"/>
  <c r="J5012" i="1"/>
  <c r="J5011" i="1"/>
  <c r="J5010" i="1"/>
  <c r="J5009" i="1"/>
  <c r="J5008" i="1"/>
  <c r="J5007" i="1"/>
  <c r="J5006" i="1"/>
  <c r="J5005" i="1"/>
  <c r="J5004" i="1"/>
  <c r="J5003" i="1"/>
  <c r="J5002" i="1"/>
  <c r="J5001" i="1"/>
  <c r="J5000" i="1"/>
  <c r="J4999" i="1"/>
  <c r="J4998" i="1"/>
  <c r="J4997" i="1"/>
  <c r="J4996" i="1"/>
  <c r="J4995" i="1"/>
  <c r="J4994" i="1"/>
  <c r="J4993" i="1"/>
  <c r="J4992" i="1"/>
  <c r="J4991" i="1"/>
  <c r="J4990" i="1"/>
  <c r="J4989" i="1"/>
  <c r="J4988" i="1"/>
  <c r="J4987" i="1"/>
  <c r="J4986" i="1"/>
  <c r="J4985" i="1"/>
  <c r="J4984" i="1"/>
  <c r="J4983" i="1"/>
  <c r="J4982" i="1"/>
  <c r="J4981" i="1"/>
  <c r="J4980" i="1"/>
  <c r="J4979" i="1"/>
  <c r="J4978" i="1"/>
  <c r="J4977" i="1"/>
  <c r="J4976" i="1"/>
  <c r="J4975" i="1"/>
  <c r="J4974" i="1"/>
  <c r="J4973" i="1"/>
  <c r="J4972" i="1"/>
  <c r="J4971" i="1"/>
  <c r="J4970" i="1"/>
  <c r="J4969" i="1"/>
  <c r="J4968" i="1"/>
  <c r="J4967" i="1"/>
  <c r="J4966" i="1"/>
  <c r="J4965" i="1"/>
  <c r="J4964" i="1"/>
  <c r="J4963" i="1"/>
  <c r="J4962" i="1"/>
  <c r="J4961" i="1"/>
  <c r="J4960" i="1"/>
  <c r="J4959" i="1"/>
  <c r="J4958" i="1"/>
  <c r="J4957" i="1"/>
  <c r="J4956" i="1"/>
  <c r="J4955" i="1"/>
  <c r="J4954" i="1"/>
  <c r="J4953" i="1"/>
  <c r="J4952" i="1"/>
  <c r="J4951" i="1"/>
  <c r="J4950" i="1"/>
  <c r="J4949" i="1"/>
  <c r="J4948" i="1"/>
  <c r="J4947" i="1"/>
  <c r="J4946" i="1"/>
  <c r="J4945" i="1"/>
  <c r="J4944" i="1"/>
  <c r="J4943" i="1"/>
  <c r="J4942" i="1"/>
  <c r="J4941" i="1"/>
  <c r="J4940" i="1"/>
  <c r="J4939" i="1"/>
  <c r="J4938" i="1"/>
  <c r="J4937" i="1"/>
  <c r="J4936" i="1"/>
  <c r="J4935" i="1"/>
  <c r="J4934" i="1"/>
  <c r="J4933" i="1"/>
  <c r="J4932" i="1"/>
  <c r="J4931" i="1"/>
  <c r="J4930" i="1"/>
  <c r="J4929" i="1"/>
  <c r="J4928" i="1"/>
  <c r="J4927" i="1"/>
  <c r="J4926" i="1"/>
  <c r="J4925" i="1"/>
  <c r="J4924" i="1"/>
  <c r="J4923" i="1"/>
  <c r="J4922" i="1"/>
  <c r="J4921" i="1"/>
  <c r="J4920" i="1"/>
  <c r="J4919" i="1"/>
  <c r="J4918" i="1"/>
  <c r="J4917" i="1"/>
  <c r="J4916" i="1"/>
  <c r="J4915" i="1"/>
  <c r="J4914" i="1"/>
  <c r="J4913" i="1"/>
  <c r="J4912" i="1"/>
  <c r="J4911" i="1"/>
  <c r="J4910" i="1"/>
  <c r="J4909" i="1"/>
  <c r="J4908" i="1"/>
  <c r="J4907" i="1"/>
  <c r="J4906" i="1"/>
  <c r="J4905" i="1"/>
  <c r="J4904" i="1"/>
  <c r="J4903" i="1"/>
  <c r="J4902" i="1"/>
  <c r="J4901" i="1"/>
  <c r="J4900" i="1"/>
  <c r="J4899" i="1"/>
  <c r="J4898" i="1"/>
  <c r="J4897" i="1"/>
  <c r="J4896" i="1"/>
  <c r="J4895" i="1"/>
  <c r="J4894" i="1"/>
  <c r="J4893" i="1"/>
  <c r="J4892" i="1"/>
  <c r="J4891" i="1"/>
  <c r="J4890" i="1"/>
  <c r="J4889" i="1"/>
  <c r="J4888" i="1"/>
  <c r="J4887" i="1"/>
  <c r="J4886" i="1"/>
  <c r="J4885" i="1"/>
  <c r="J4884" i="1"/>
  <c r="J4883" i="1"/>
  <c r="J4882" i="1"/>
  <c r="J4881" i="1"/>
  <c r="J4880" i="1"/>
  <c r="J4879" i="1"/>
  <c r="J4878" i="1"/>
  <c r="J4877" i="1"/>
  <c r="J4876" i="1"/>
  <c r="J4875" i="1"/>
  <c r="J4874" i="1"/>
  <c r="J4873" i="1"/>
  <c r="J4872" i="1"/>
  <c r="J4871" i="1"/>
  <c r="J4870" i="1"/>
  <c r="J4869" i="1"/>
  <c r="J4868" i="1"/>
  <c r="J4867" i="1"/>
  <c r="J4866" i="1"/>
  <c r="J4865" i="1"/>
  <c r="J4864" i="1"/>
  <c r="J4863" i="1"/>
  <c r="J4862" i="1"/>
  <c r="J4861" i="1"/>
  <c r="J4860" i="1"/>
  <c r="J4859" i="1"/>
  <c r="J4858" i="1"/>
  <c r="J4857" i="1"/>
  <c r="J4856" i="1"/>
  <c r="J4855" i="1"/>
  <c r="J4854" i="1"/>
  <c r="J4853" i="1"/>
  <c r="J4852" i="1"/>
  <c r="J4851" i="1"/>
  <c r="J4850" i="1"/>
  <c r="J4849" i="1"/>
  <c r="J4848" i="1"/>
  <c r="J4847" i="1"/>
  <c r="J4846" i="1"/>
  <c r="J4845" i="1"/>
  <c r="J4844" i="1"/>
  <c r="J4843" i="1"/>
  <c r="J4842" i="1"/>
  <c r="J4841" i="1"/>
  <c r="J4840" i="1"/>
  <c r="J4839" i="1"/>
  <c r="J4838" i="1"/>
  <c r="J4837" i="1"/>
  <c r="J4836" i="1"/>
  <c r="J4835" i="1"/>
  <c r="J4834" i="1"/>
  <c r="J4833" i="1"/>
  <c r="J4832" i="1"/>
  <c r="J4831" i="1"/>
  <c r="J4830" i="1"/>
  <c r="J4829" i="1"/>
  <c r="J4828" i="1"/>
  <c r="J4827" i="1"/>
  <c r="J4826" i="1"/>
  <c r="J4825" i="1"/>
  <c r="J4824" i="1"/>
  <c r="J4823" i="1"/>
  <c r="J4822" i="1"/>
  <c r="J4821" i="1"/>
  <c r="J4820" i="1"/>
  <c r="J4819" i="1"/>
  <c r="J4818" i="1"/>
  <c r="J4817" i="1"/>
  <c r="J4816" i="1"/>
  <c r="J4815" i="1"/>
  <c r="J4814" i="1"/>
  <c r="J4813" i="1"/>
  <c r="J4812" i="1"/>
  <c r="J4811" i="1"/>
  <c r="J4810" i="1"/>
  <c r="J4809" i="1"/>
  <c r="J4808" i="1"/>
  <c r="J4807" i="1"/>
  <c r="J4806" i="1"/>
  <c r="J4805" i="1"/>
  <c r="J4804" i="1"/>
  <c r="J4803" i="1"/>
  <c r="J4802" i="1"/>
  <c r="J4801" i="1"/>
  <c r="J4800" i="1"/>
  <c r="J4799" i="1"/>
  <c r="J4798" i="1"/>
  <c r="J4797" i="1"/>
  <c r="J4796" i="1"/>
  <c r="J4795" i="1"/>
  <c r="J4794" i="1"/>
  <c r="J4793" i="1"/>
  <c r="J4792" i="1"/>
  <c r="J4791" i="1"/>
  <c r="J4790" i="1"/>
  <c r="J4789" i="1"/>
  <c r="J4788" i="1"/>
  <c r="J4787" i="1"/>
  <c r="J4786" i="1"/>
  <c r="J4785" i="1"/>
  <c r="J4784" i="1"/>
  <c r="J4783" i="1"/>
  <c r="J4782" i="1"/>
  <c r="J4781" i="1"/>
  <c r="J4780" i="1"/>
  <c r="J4779" i="1"/>
  <c r="J4778" i="1"/>
  <c r="J4777" i="1"/>
  <c r="J4776" i="1"/>
  <c r="J4775" i="1"/>
  <c r="J4774" i="1"/>
  <c r="J4773" i="1"/>
  <c r="J4772" i="1"/>
  <c r="J4771" i="1"/>
  <c r="J4770" i="1"/>
  <c r="J4769" i="1"/>
  <c r="J4768" i="1"/>
  <c r="J4767" i="1"/>
  <c r="J4766" i="1"/>
  <c r="J4765" i="1"/>
  <c r="J4764" i="1"/>
  <c r="J4763" i="1"/>
  <c r="J4762" i="1"/>
  <c r="J4761" i="1"/>
  <c r="J4760" i="1"/>
  <c r="J4759" i="1"/>
  <c r="J4758" i="1"/>
  <c r="J4757" i="1"/>
  <c r="J4756" i="1"/>
  <c r="J4755" i="1"/>
  <c r="J4754" i="1"/>
  <c r="J4753" i="1"/>
  <c r="J4752" i="1"/>
  <c r="J4751" i="1"/>
  <c r="J4750" i="1"/>
  <c r="J4749" i="1"/>
  <c r="J4748" i="1"/>
  <c r="J4747" i="1"/>
  <c r="J4746" i="1"/>
  <c r="J4745" i="1"/>
  <c r="J4744" i="1"/>
  <c r="J4743" i="1"/>
  <c r="J4742" i="1"/>
  <c r="J4741" i="1"/>
  <c r="J4740" i="1"/>
  <c r="J4739" i="1"/>
  <c r="J4738" i="1"/>
  <c r="J4737" i="1"/>
  <c r="J4736" i="1"/>
  <c r="J4735" i="1"/>
  <c r="J4734" i="1"/>
  <c r="J4733" i="1"/>
  <c r="J4732" i="1"/>
  <c r="J4731" i="1"/>
  <c r="J4730" i="1"/>
  <c r="J4729" i="1"/>
  <c r="J4728" i="1"/>
  <c r="J4727" i="1"/>
  <c r="J4726" i="1"/>
  <c r="J4725" i="1"/>
  <c r="J4724" i="1"/>
  <c r="J4723" i="1"/>
  <c r="J4722" i="1"/>
  <c r="J4721" i="1"/>
  <c r="J4720" i="1"/>
  <c r="J4719" i="1"/>
  <c r="J4718" i="1"/>
  <c r="J4717" i="1"/>
  <c r="J4716" i="1"/>
  <c r="J4715" i="1"/>
  <c r="J4714" i="1"/>
  <c r="J4713" i="1"/>
  <c r="J4712" i="1"/>
  <c r="J4711" i="1"/>
  <c r="J4710" i="1"/>
  <c r="J4709" i="1"/>
  <c r="J4708" i="1"/>
  <c r="J4707" i="1"/>
  <c r="J4706" i="1"/>
  <c r="J4705" i="1"/>
  <c r="J4704" i="1"/>
  <c r="J4703" i="1"/>
  <c r="J4702" i="1"/>
  <c r="J4701" i="1"/>
  <c r="J4700" i="1"/>
  <c r="J4699" i="1"/>
  <c r="J4698" i="1"/>
  <c r="J4697" i="1"/>
  <c r="J4696" i="1"/>
  <c r="J4695" i="1"/>
  <c r="J4694" i="1"/>
  <c r="J4693" i="1"/>
  <c r="J4692" i="1"/>
  <c r="J4691" i="1"/>
  <c r="J4690" i="1"/>
  <c r="J4689" i="1"/>
  <c r="J4688" i="1"/>
  <c r="J4687" i="1"/>
  <c r="J4686" i="1"/>
  <c r="J4685" i="1"/>
  <c r="J4684" i="1"/>
  <c r="J4683" i="1"/>
  <c r="J4682" i="1"/>
  <c r="J4681" i="1"/>
  <c r="J4680" i="1"/>
  <c r="J4679" i="1"/>
  <c r="J4678" i="1"/>
  <c r="J4677" i="1"/>
  <c r="J4676" i="1"/>
  <c r="J4675" i="1"/>
  <c r="J4674" i="1"/>
  <c r="J4673" i="1"/>
  <c r="J4672" i="1"/>
  <c r="J4671" i="1"/>
  <c r="J4670" i="1"/>
  <c r="J4669" i="1"/>
  <c r="J4668" i="1"/>
  <c r="J4667" i="1"/>
  <c r="J4666" i="1"/>
  <c r="J4665" i="1"/>
  <c r="J4664" i="1"/>
  <c r="J4663" i="1"/>
  <c r="J4662" i="1"/>
  <c r="J4661" i="1"/>
  <c r="J4660" i="1"/>
  <c r="J4659" i="1"/>
  <c r="J4658" i="1"/>
  <c r="J4657" i="1"/>
  <c r="J4656" i="1"/>
  <c r="J4655" i="1"/>
  <c r="J4654" i="1"/>
  <c r="J4653" i="1"/>
  <c r="J4652" i="1"/>
  <c r="J4651" i="1"/>
  <c r="J4650" i="1"/>
  <c r="J4649" i="1"/>
  <c r="J4648" i="1"/>
  <c r="J4647" i="1"/>
  <c r="J4646" i="1"/>
  <c r="J4645" i="1"/>
  <c r="J4644" i="1"/>
  <c r="J4643" i="1"/>
  <c r="J4642" i="1"/>
  <c r="J4641" i="1"/>
  <c r="J4640" i="1"/>
  <c r="J4639" i="1"/>
  <c r="J4638" i="1"/>
  <c r="J4637" i="1"/>
  <c r="J4636" i="1"/>
  <c r="J4635" i="1"/>
  <c r="J4634" i="1"/>
  <c r="J4633" i="1"/>
  <c r="J4632" i="1"/>
  <c r="J4631" i="1"/>
  <c r="J4630" i="1"/>
  <c r="J4629" i="1"/>
  <c r="J4628" i="1"/>
  <c r="J4627" i="1"/>
  <c r="J4626" i="1"/>
  <c r="J4625" i="1"/>
  <c r="J4624" i="1"/>
  <c r="J4623" i="1"/>
  <c r="J4622" i="1"/>
  <c r="J4621" i="1"/>
  <c r="J4620" i="1"/>
  <c r="J4619" i="1"/>
  <c r="J4618" i="1"/>
  <c r="J4617" i="1"/>
  <c r="J4616" i="1"/>
  <c r="J4615" i="1"/>
  <c r="J4614" i="1"/>
  <c r="J4613" i="1"/>
  <c r="J4612" i="1"/>
  <c r="J4611" i="1"/>
  <c r="J4610" i="1"/>
  <c r="J4609" i="1"/>
  <c r="J4608" i="1"/>
  <c r="J4607" i="1"/>
  <c r="J4606" i="1"/>
  <c r="J4605" i="1"/>
  <c r="J4604" i="1"/>
  <c r="J4603" i="1"/>
  <c r="J4602" i="1"/>
  <c r="J4601" i="1"/>
  <c r="J4600" i="1"/>
  <c r="J4599" i="1"/>
  <c r="J4598" i="1"/>
  <c r="J4597" i="1"/>
  <c r="J4596" i="1"/>
  <c r="J4595" i="1"/>
  <c r="J4594" i="1"/>
  <c r="J4593" i="1"/>
  <c r="J4592" i="1"/>
  <c r="J4591" i="1"/>
  <c r="J4590" i="1"/>
  <c r="J4589" i="1"/>
  <c r="J4588" i="1"/>
  <c r="J4587" i="1"/>
  <c r="J4586" i="1"/>
  <c r="J4585" i="1"/>
  <c r="J4584" i="1"/>
  <c r="J4583" i="1"/>
  <c r="J4582" i="1"/>
  <c r="J4581" i="1"/>
  <c r="J4580" i="1"/>
  <c r="J4579" i="1"/>
  <c r="J4578" i="1"/>
  <c r="J4577" i="1"/>
  <c r="J4576" i="1"/>
  <c r="J4575" i="1"/>
  <c r="J4574" i="1"/>
  <c r="J4573" i="1"/>
  <c r="J4572" i="1"/>
  <c r="J4571" i="1"/>
  <c r="J4570" i="1"/>
  <c r="J4569" i="1"/>
  <c r="J4568" i="1"/>
  <c r="J4567" i="1"/>
  <c r="J4566" i="1"/>
  <c r="J4565" i="1"/>
  <c r="J4564" i="1"/>
  <c r="J4563" i="1"/>
  <c r="J4562" i="1"/>
  <c r="J4561" i="1"/>
  <c r="J4560" i="1"/>
  <c r="J4559" i="1"/>
  <c r="J4558" i="1"/>
  <c r="J4557" i="1"/>
  <c r="J4556" i="1"/>
  <c r="J4555" i="1"/>
  <c r="J4554" i="1"/>
  <c r="J4553" i="1"/>
  <c r="J4552" i="1"/>
  <c r="J4551" i="1"/>
  <c r="J4550" i="1"/>
  <c r="J4549" i="1"/>
  <c r="J4548" i="1"/>
  <c r="J4547" i="1"/>
  <c r="J4546" i="1"/>
  <c r="J4545" i="1"/>
  <c r="J4544" i="1"/>
  <c r="J4543" i="1"/>
  <c r="J4542" i="1"/>
  <c r="J4541" i="1"/>
  <c r="J4540" i="1"/>
  <c r="J4539" i="1"/>
  <c r="J4538" i="1"/>
  <c r="J4537" i="1"/>
  <c r="J4536" i="1"/>
  <c r="J4535" i="1"/>
  <c r="J4534" i="1"/>
  <c r="J4533" i="1"/>
  <c r="J4532" i="1"/>
  <c r="J4531" i="1"/>
  <c r="J4530" i="1"/>
  <c r="J4529" i="1"/>
  <c r="J4528" i="1"/>
  <c r="J4527" i="1"/>
  <c r="J4526" i="1"/>
  <c r="J4525" i="1"/>
  <c r="J4524" i="1"/>
  <c r="J4523" i="1"/>
  <c r="J4522" i="1"/>
  <c r="J4521" i="1"/>
  <c r="J4520" i="1"/>
  <c r="J4519" i="1"/>
  <c r="J4518" i="1"/>
  <c r="J4517" i="1"/>
  <c r="J4516" i="1"/>
  <c r="J4515" i="1"/>
  <c r="J4514" i="1"/>
  <c r="J4513" i="1"/>
  <c r="J4512" i="1"/>
  <c r="J4511" i="1"/>
  <c r="J4510" i="1"/>
  <c r="J4509" i="1"/>
  <c r="J4508" i="1"/>
  <c r="J4507" i="1"/>
  <c r="J4506" i="1"/>
  <c r="J4505" i="1"/>
  <c r="J4504" i="1"/>
  <c r="J4503" i="1"/>
  <c r="J4502" i="1"/>
  <c r="J4501" i="1"/>
  <c r="J4500" i="1"/>
  <c r="J4499" i="1"/>
  <c r="J4498" i="1"/>
  <c r="J4497" i="1"/>
  <c r="J4496" i="1"/>
  <c r="J4495" i="1"/>
  <c r="J4494" i="1"/>
  <c r="J4493" i="1"/>
  <c r="J4492" i="1"/>
  <c r="J4491" i="1"/>
  <c r="J4490" i="1"/>
  <c r="J4489" i="1"/>
  <c r="J4488" i="1"/>
  <c r="J4487" i="1"/>
  <c r="J4486" i="1"/>
  <c r="J4485" i="1"/>
  <c r="J4484" i="1"/>
  <c r="J4483" i="1"/>
  <c r="J4482" i="1"/>
  <c r="J4481" i="1"/>
  <c r="J4480" i="1"/>
  <c r="J4479" i="1"/>
  <c r="J4478" i="1"/>
  <c r="J4477" i="1"/>
  <c r="J4476" i="1"/>
  <c r="J4475" i="1"/>
  <c r="J4474" i="1"/>
  <c r="J4473" i="1"/>
  <c r="J4472" i="1"/>
  <c r="J4471" i="1"/>
  <c r="J4470" i="1"/>
  <c r="J4469" i="1"/>
  <c r="J4468" i="1"/>
  <c r="J4467" i="1"/>
  <c r="J4466" i="1"/>
  <c r="J4465" i="1"/>
  <c r="J4464" i="1"/>
  <c r="J4463" i="1"/>
  <c r="J4462" i="1"/>
  <c r="J4461" i="1"/>
  <c r="J4460" i="1"/>
  <c r="J4459" i="1"/>
  <c r="J4458" i="1"/>
  <c r="J4457" i="1"/>
  <c r="J4456" i="1"/>
  <c r="J4455" i="1"/>
  <c r="J4454" i="1"/>
  <c r="J4453" i="1"/>
  <c r="J4452" i="1"/>
  <c r="J4451" i="1"/>
  <c r="J4450" i="1"/>
  <c r="J4449" i="1"/>
  <c r="J4448" i="1"/>
  <c r="J4447" i="1"/>
  <c r="J4446" i="1"/>
  <c r="J4445" i="1"/>
  <c r="J4444" i="1"/>
  <c r="J4443" i="1"/>
  <c r="J4442" i="1"/>
  <c r="J4441" i="1"/>
  <c r="J4440" i="1"/>
  <c r="J4439" i="1"/>
  <c r="J4438" i="1"/>
  <c r="J4437" i="1"/>
  <c r="J4436" i="1"/>
  <c r="J4435" i="1"/>
  <c r="J4434" i="1"/>
  <c r="J4433" i="1"/>
  <c r="J4432" i="1"/>
  <c r="J4431" i="1"/>
  <c r="J4430" i="1"/>
  <c r="J4429" i="1"/>
  <c r="J4428" i="1"/>
  <c r="J4427" i="1"/>
  <c r="J4426" i="1"/>
  <c r="J4425" i="1"/>
  <c r="J4424" i="1"/>
  <c r="J4423" i="1"/>
  <c r="J4422" i="1"/>
  <c r="J4421" i="1"/>
  <c r="J4420" i="1"/>
  <c r="J4419" i="1"/>
  <c r="J4418" i="1"/>
  <c r="J4417" i="1"/>
  <c r="J4416" i="1"/>
  <c r="J4415" i="1"/>
  <c r="J4414" i="1"/>
  <c r="J4413" i="1"/>
  <c r="J4412" i="1"/>
  <c r="J4411" i="1"/>
  <c r="J4410" i="1"/>
  <c r="J4409" i="1"/>
  <c r="J4408" i="1"/>
  <c r="J4407" i="1"/>
  <c r="J4406" i="1"/>
  <c r="J4405" i="1"/>
  <c r="J4404" i="1"/>
  <c r="J4403" i="1"/>
  <c r="J4402" i="1"/>
  <c r="J4401" i="1"/>
  <c r="J4400" i="1"/>
  <c r="J4399" i="1"/>
  <c r="J4398" i="1"/>
  <c r="J4397" i="1"/>
  <c r="J4396" i="1"/>
  <c r="J4395" i="1"/>
  <c r="J4394" i="1"/>
  <c r="J4393" i="1"/>
  <c r="J4392" i="1"/>
  <c r="J4391" i="1"/>
  <c r="J4390" i="1"/>
  <c r="J4389" i="1"/>
  <c r="J4388" i="1"/>
  <c r="J4387" i="1"/>
  <c r="J4386" i="1"/>
  <c r="J4385" i="1"/>
  <c r="J4384" i="1"/>
  <c r="J4383" i="1"/>
  <c r="J4382" i="1"/>
  <c r="J4381" i="1"/>
  <c r="J4380" i="1"/>
  <c r="J4379" i="1"/>
  <c r="J4378" i="1"/>
  <c r="J4377" i="1"/>
  <c r="J4376" i="1"/>
  <c r="J4375" i="1"/>
  <c r="J4374" i="1"/>
  <c r="J4373" i="1"/>
  <c r="J4372" i="1"/>
  <c r="J4371" i="1"/>
  <c r="J4370" i="1"/>
  <c r="J4369" i="1"/>
  <c r="J4368" i="1"/>
  <c r="J4367" i="1"/>
  <c r="J4366" i="1"/>
  <c r="J4365" i="1"/>
  <c r="J4364" i="1"/>
  <c r="J4363" i="1"/>
  <c r="J4362" i="1"/>
  <c r="J4361" i="1"/>
  <c r="J4360" i="1"/>
  <c r="J4359" i="1"/>
  <c r="J4358" i="1"/>
  <c r="J4357" i="1"/>
  <c r="J4356" i="1"/>
  <c r="J4355" i="1"/>
  <c r="J4354" i="1"/>
  <c r="J4353" i="1"/>
  <c r="J4352" i="1"/>
  <c r="J4351" i="1"/>
  <c r="J4350" i="1"/>
  <c r="J4349" i="1"/>
  <c r="J4348" i="1"/>
  <c r="J4347" i="1"/>
  <c r="J4346" i="1"/>
  <c r="J4345" i="1"/>
  <c r="J4344" i="1"/>
  <c r="J4343" i="1"/>
  <c r="J4342" i="1"/>
  <c r="J4341" i="1"/>
  <c r="J4340" i="1"/>
  <c r="J4339" i="1"/>
  <c r="J4338" i="1"/>
  <c r="J4337" i="1"/>
  <c r="J4336" i="1"/>
  <c r="J4335" i="1"/>
  <c r="J4334" i="1"/>
  <c r="J4333" i="1"/>
  <c r="J4332" i="1"/>
  <c r="J4331" i="1"/>
  <c r="J4330" i="1"/>
  <c r="J4329" i="1"/>
  <c r="J4328" i="1"/>
  <c r="J4327" i="1"/>
  <c r="J4326" i="1"/>
  <c r="J4325" i="1"/>
  <c r="J4324" i="1"/>
  <c r="J4323" i="1"/>
  <c r="J4322" i="1"/>
  <c r="J4321" i="1"/>
  <c r="J4320" i="1"/>
  <c r="J4319" i="1"/>
  <c r="J4318" i="1"/>
  <c r="J4317" i="1"/>
  <c r="J4316" i="1"/>
  <c r="J4315" i="1"/>
  <c r="J4314" i="1"/>
  <c r="J4313" i="1"/>
  <c r="J4312" i="1"/>
  <c r="J4311" i="1"/>
  <c r="J4310" i="1"/>
  <c r="J4309" i="1"/>
  <c r="J4308" i="1"/>
  <c r="J4307" i="1"/>
  <c r="J4306" i="1"/>
  <c r="J4305" i="1"/>
  <c r="J4304" i="1"/>
  <c r="J4303" i="1"/>
  <c r="J4302" i="1"/>
  <c r="J4301" i="1"/>
  <c r="J4300" i="1"/>
  <c r="J4299" i="1"/>
  <c r="J4298" i="1"/>
  <c r="J4297" i="1"/>
  <c r="J4296" i="1"/>
  <c r="J4295" i="1"/>
  <c r="J4294" i="1"/>
  <c r="J4293" i="1"/>
  <c r="J4292" i="1"/>
  <c r="J4291" i="1"/>
  <c r="J4290" i="1"/>
  <c r="J4289" i="1"/>
  <c r="J4288" i="1"/>
  <c r="J4287" i="1"/>
  <c r="J4286" i="1"/>
  <c r="J4285" i="1"/>
  <c r="J4284" i="1"/>
  <c r="J4283" i="1"/>
  <c r="J4282" i="1"/>
  <c r="J4281" i="1"/>
  <c r="J4280" i="1"/>
  <c r="J4279" i="1"/>
  <c r="J4278" i="1"/>
  <c r="J4277" i="1"/>
  <c r="J4276" i="1"/>
  <c r="J4275" i="1"/>
  <c r="J4274" i="1"/>
  <c r="J4273" i="1"/>
  <c r="J4272" i="1"/>
  <c r="J4271" i="1"/>
  <c r="J4270" i="1"/>
  <c r="J4269" i="1"/>
  <c r="J4268" i="1"/>
  <c r="J4267" i="1"/>
  <c r="J4266" i="1"/>
  <c r="J4265" i="1"/>
  <c r="J4264" i="1"/>
  <c r="J4263" i="1"/>
  <c r="J4262" i="1"/>
  <c r="J4261" i="1"/>
  <c r="J4260" i="1"/>
  <c r="J4259" i="1"/>
  <c r="J4258" i="1"/>
  <c r="J4257" i="1"/>
  <c r="J4256" i="1"/>
  <c r="J4255" i="1"/>
  <c r="J4254" i="1"/>
  <c r="J4253" i="1"/>
  <c r="J4252" i="1"/>
  <c r="J4251" i="1"/>
  <c r="J4250" i="1"/>
  <c r="J4249" i="1"/>
  <c r="J4248" i="1"/>
  <c r="J4247" i="1"/>
  <c r="J4246" i="1"/>
  <c r="J4245" i="1"/>
  <c r="J4244" i="1"/>
  <c r="J4243" i="1"/>
  <c r="J4242" i="1"/>
  <c r="J4241" i="1"/>
  <c r="J4240" i="1"/>
  <c r="J4239" i="1"/>
  <c r="J4238" i="1"/>
  <c r="J4237" i="1"/>
  <c r="J4236" i="1"/>
  <c r="J4235" i="1"/>
  <c r="J4234" i="1"/>
  <c r="J4233" i="1"/>
  <c r="J4232" i="1"/>
  <c r="J4231" i="1"/>
  <c r="J4230" i="1"/>
  <c r="J4229" i="1"/>
  <c r="J4228" i="1"/>
  <c r="J4227" i="1"/>
  <c r="J4226" i="1"/>
  <c r="J4225" i="1"/>
  <c r="J4224" i="1"/>
  <c r="J4223" i="1"/>
  <c r="J4222" i="1"/>
  <c r="J4221" i="1"/>
  <c r="J4220" i="1"/>
  <c r="J4219" i="1"/>
  <c r="J4218" i="1"/>
  <c r="J4217" i="1"/>
  <c r="J4216" i="1"/>
  <c r="J4215" i="1"/>
  <c r="J4214" i="1"/>
  <c r="J4213" i="1"/>
  <c r="J4212" i="1"/>
  <c r="J4211" i="1"/>
  <c r="J4210" i="1"/>
  <c r="J4209" i="1"/>
  <c r="J4208" i="1"/>
  <c r="J4207" i="1"/>
  <c r="J4206" i="1"/>
  <c r="J4205" i="1"/>
  <c r="J4204" i="1"/>
  <c r="J4203" i="1"/>
  <c r="J4202" i="1"/>
  <c r="J4201" i="1"/>
  <c r="J4200" i="1"/>
  <c r="J4199" i="1"/>
  <c r="J4198" i="1"/>
  <c r="J4197" i="1"/>
  <c r="J4196" i="1"/>
  <c r="J4195" i="1"/>
  <c r="J4194" i="1"/>
  <c r="J4193" i="1"/>
  <c r="J4192" i="1"/>
  <c r="J4191" i="1"/>
  <c r="J4190" i="1"/>
  <c r="J4189" i="1"/>
  <c r="J4188" i="1"/>
  <c r="J4187" i="1"/>
  <c r="J4186" i="1"/>
  <c r="J4185" i="1"/>
  <c r="J4184" i="1"/>
  <c r="J4183" i="1"/>
  <c r="J4182" i="1"/>
  <c r="J4181" i="1"/>
  <c r="J4180" i="1"/>
  <c r="J4179" i="1"/>
  <c r="J4178" i="1"/>
  <c r="J4177" i="1"/>
  <c r="J4176" i="1"/>
  <c r="J4175" i="1"/>
  <c r="J4174" i="1"/>
  <c r="J4173" i="1"/>
  <c r="J4172" i="1"/>
  <c r="J4171" i="1"/>
  <c r="J4170" i="1"/>
  <c r="J4169" i="1"/>
  <c r="J4168" i="1"/>
  <c r="J4167" i="1"/>
  <c r="J4166" i="1"/>
  <c r="J4165" i="1"/>
  <c r="J4164" i="1"/>
  <c r="J4163" i="1"/>
  <c r="J4162" i="1"/>
  <c r="J4161" i="1"/>
  <c r="J4160" i="1"/>
  <c r="J4159" i="1"/>
  <c r="J4158" i="1"/>
  <c r="J4157" i="1"/>
  <c r="J4156" i="1"/>
  <c r="J4155" i="1"/>
  <c r="J4154" i="1"/>
  <c r="J4153" i="1"/>
  <c r="J4152" i="1"/>
  <c r="J4151" i="1"/>
  <c r="J4150" i="1"/>
  <c r="J4149" i="1"/>
  <c r="J4148" i="1"/>
  <c r="J4147" i="1"/>
  <c r="J4146" i="1"/>
  <c r="J4145" i="1"/>
  <c r="J4144" i="1"/>
  <c r="J4143" i="1"/>
  <c r="J4142" i="1"/>
  <c r="J4141" i="1"/>
  <c r="J4140" i="1"/>
  <c r="J4139" i="1"/>
  <c r="J4138" i="1"/>
  <c r="J4137" i="1"/>
  <c r="J4136" i="1"/>
  <c r="J4135" i="1"/>
  <c r="J4134" i="1"/>
  <c r="J4133" i="1"/>
  <c r="J4132" i="1"/>
  <c r="J4131" i="1"/>
  <c r="J4130" i="1"/>
  <c r="J4129" i="1"/>
  <c r="J4128" i="1"/>
  <c r="J4127" i="1"/>
  <c r="J4126" i="1"/>
  <c r="J4125" i="1"/>
  <c r="J4124" i="1"/>
  <c r="J4123" i="1"/>
  <c r="J4122" i="1"/>
  <c r="J4121" i="1"/>
  <c r="J4120" i="1"/>
  <c r="J4119" i="1"/>
  <c r="J4118" i="1"/>
  <c r="J4117" i="1"/>
  <c r="J4116" i="1"/>
  <c r="J4115" i="1"/>
  <c r="J4114" i="1"/>
  <c r="J4113" i="1"/>
  <c r="J4112" i="1"/>
  <c r="J4111" i="1"/>
  <c r="J4110" i="1"/>
  <c r="J4109" i="1"/>
  <c r="J4108" i="1"/>
  <c r="J4107" i="1"/>
  <c r="J4106" i="1"/>
  <c r="J4105" i="1"/>
  <c r="J4104" i="1"/>
  <c r="J4103" i="1"/>
  <c r="J4102" i="1"/>
  <c r="J4101" i="1"/>
  <c r="J4100" i="1"/>
  <c r="J4099" i="1"/>
  <c r="J4098" i="1"/>
  <c r="J4097" i="1"/>
  <c r="J4096" i="1"/>
  <c r="J4095" i="1"/>
  <c r="J4094" i="1"/>
  <c r="J4093" i="1"/>
  <c r="J4092" i="1"/>
  <c r="J4091" i="1"/>
  <c r="J4090" i="1"/>
  <c r="J4089" i="1"/>
  <c r="J4088" i="1"/>
  <c r="J4087" i="1"/>
  <c r="J4086" i="1"/>
  <c r="J4085" i="1"/>
  <c r="J4084" i="1"/>
  <c r="J4083" i="1"/>
  <c r="J4082" i="1"/>
  <c r="J4081" i="1"/>
  <c r="J4080" i="1"/>
  <c r="J4079" i="1"/>
  <c r="J4078" i="1"/>
  <c r="J4077" i="1"/>
  <c r="J4076" i="1"/>
  <c r="J4075" i="1"/>
  <c r="J4074" i="1"/>
  <c r="J4073" i="1"/>
  <c r="J4072" i="1"/>
  <c r="J4071" i="1"/>
  <c r="J4070" i="1"/>
  <c r="J4069" i="1"/>
  <c r="J4068" i="1"/>
  <c r="J4067" i="1"/>
  <c r="J4066" i="1"/>
  <c r="J4065" i="1"/>
  <c r="J4064" i="1"/>
  <c r="J4063" i="1"/>
  <c r="J4062" i="1"/>
  <c r="J4061" i="1"/>
  <c r="J4060" i="1"/>
  <c r="J4059" i="1"/>
  <c r="J4058" i="1"/>
  <c r="J4057" i="1"/>
  <c r="J4056" i="1"/>
  <c r="J4055" i="1"/>
  <c r="J4054" i="1"/>
  <c r="J4053" i="1"/>
  <c r="J4052" i="1"/>
  <c r="J4051" i="1"/>
  <c r="J4050" i="1"/>
  <c r="J4049" i="1"/>
  <c r="J4048" i="1"/>
  <c r="J4047" i="1"/>
  <c r="J4046" i="1"/>
  <c r="J4045" i="1"/>
  <c r="J4044" i="1"/>
  <c r="J4043" i="1"/>
  <c r="J4042" i="1"/>
  <c r="J4041" i="1"/>
  <c r="J4040" i="1"/>
  <c r="J4039" i="1"/>
  <c r="J4038" i="1"/>
  <c r="J4037" i="1"/>
  <c r="J4036" i="1"/>
  <c r="J4035" i="1"/>
  <c r="J4034" i="1"/>
  <c r="J4033" i="1"/>
  <c r="J4032" i="1"/>
  <c r="J4031" i="1"/>
  <c r="J4030" i="1"/>
  <c r="J4029" i="1"/>
  <c r="J4028" i="1"/>
  <c r="J4027" i="1"/>
  <c r="J4026" i="1"/>
  <c r="J4025" i="1"/>
  <c r="J4024" i="1"/>
  <c r="J4023" i="1"/>
  <c r="J4022" i="1"/>
  <c r="J4021" i="1"/>
  <c r="J4020" i="1"/>
  <c r="J4019" i="1"/>
  <c r="J4018" i="1"/>
  <c r="J4017" i="1"/>
  <c r="J4016" i="1"/>
  <c r="J4015" i="1"/>
  <c r="J4014" i="1"/>
  <c r="J4013" i="1"/>
  <c r="J4012" i="1"/>
  <c r="J4011" i="1"/>
  <c r="J4010" i="1"/>
  <c r="J4009" i="1"/>
  <c r="J4008" i="1"/>
  <c r="J4007" i="1"/>
  <c r="J4006" i="1"/>
  <c r="J4005" i="1"/>
  <c r="J4004" i="1"/>
  <c r="J4003" i="1"/>
  <c r="J4002" i="1"/>
  <c r="J4001" i="1"/>
  <c r="J4000" i="1"/>
  <c r="J3999" i="1"/>
  <c r="J3998" i="1"/>
  <c r="J3997" i="1"/>
  <c r="J3996" i="1"/>
  <c r="J3995" i="1"/>
  <c r="J3994" i="1"/>
  <c r="J3993" i="1"/>
  <c r="J3992" i="1"/>
  <c r="J3991" i="1"/>
  <c r="J3990" i="1"/>
  <c r="J3989" i="1"/>
  <c r="J3988" i="1"/>
  <c r="J3987" i="1"/>
  <c r="J3986" i="1"/>
  <c r="J3985" i="1"/>
  <c r="J3984" i="1"/>
  <c r="J3983" i="1"/>
  <c r="J3982" i="1"/>
  <c r="J3981" i="1"/>
  <c r="J3980" i="1"/>
  <c r="J3979" i="1"/>
  <c r="J3978" i="1"/>
  <c r="J3977" i="1"/>
  <c r="J3976" i="1"/>
  <c r="J3975" i="1"/>
  <c r="J3974" i="1"/>
  <c r="J3973" i="1"/>
  <c r="J3972" i="1"/>
  <c r="J3971" i="1"/>
  <c r="J3970" i="1"/>
  <c r="J3969" i="1"/>
  <c r="J3968" i="1"/>
  <c r="J3967" i="1"/>
  <c r="J3966" i="1"/>
  <c r="J3965" i="1"/>
  <c r="J3964" i="1"/>
  <c r="J3963" i="1"/>
  <c r="J3962" i="1"/>
  <c r="J3961" i="1"/>
  <c r="J3960" i="1"/>
  <c r="J3959" i="1"/>
  <c r="J3958" i="1"/>
  <c r="J3957" i="1"/>
  <c r="J3956" i="1"/>
  <c r="J3955" i="1"/>
  <c r="J3954" i="1"/>
  <c r="J3953" i="1"/>
  <c r="J3952" i="1"/>
  <c r="J3951" i="1"/>
  <c r="J3950" i="1"/>
  <c r="J3949" i="1"/>
  <c r="J3948" i="1"/>
  <c r="J3947" i="1"/>
  <c r="J3946" i="1"/>
  <c r="J3945" i="1"/>
  <c r="J3944" i="1"/>
  <c r="J3943" i="1"/>
  <c r="J3942" i="1"/>
  <c r="J3941" i="1"/>
  <c r="J3940" i="1"/>
  <c r="J3939" i="1"/>
  <c r="J3938" i="1"/>
  <c r="J3937" i="1"/>
  <c r="J3936" i="1"/>
  <c r="J3935" i="1"/>
  <c r="J3934" i="1"/>
  <c r="J3933" i="1"/>
  <c r="J3932" i="1"/>
  <c r="J3931" i="1"/>
  <c r="J3930" i="1"/>
  <c r="J3929" i="1"/>
  <c r="J3928" i="1"/>
  <c r="J3927" i="1"/>
  <c r="J3926" i="1"/>
  <c r="J3925" i="1"/>
  <c r="J3924" i="1"/>
  <c r="J3923" i="1"/>
  <c r="J3922" i="1"/>
  <c r="J3921" i="1"/>
  <c r="J3920" i="1"/>
  <c r="J3919" i="1"/>
  <c r="J3918" i="1"/>
  <c r="J3917" i="1"/>
  <c r="J3916" i="1"/>
  <c r="J3915" i="1"/>
  <c r="J3914" i="1"/>
  <c r="J3913" i="1"/>
  <c r="J3912" i="1"/>
  <c r="J3911" i="1"/>
  <c r="J3910" i="1"/>
  <c r="J3909" i="1"/>
  <c r="J3908" i="1"/>
  <c r="J3907" i="1"/>
  <c r="J3906" i="1"/>
  <c r="J3905" i="1"/>
  <c r="J3904" i="1"/>
  <c r="J3903" i="1"/>
  <c r="J3902" i="1"/>
  <c r="J3901" i="1"/>
  <c r="J3900" i="1"/>
  <c r="J3899" i="1"/>
  <c r="J3898" i="1"/>
  <c r="J3897" i="1"/>
  <c r="J3896" i="1"/>
  <c r="J3895" i="1"/>
  <c r="J3894" i="1"/>
  <c r="J3893" i="1"/>
  <c r="J3892" i="1"/>
  <c r="J3891" i="1"/>
  <c r="J3890" i="1"/>
  <c r="J3889" i="1"/>
  <c r="J3888" i="1"/>
  <c r="J3887" i="1"/>
  <c r="J3886" i="1"/>
  <c r="J3885" i="1"/>
  <c r="J3884" i="1"/>
  <c r="J3883" i="1"/>
  <c r="J3882" i="1"/>
  <c r="J3881" i="1"/>
  <c r="J3880" i="1"/>
  <c r="J3879" i="1"/>
  <c r="J3878" i="1"/>
  <c r="J3877" i="1"/>
  <c r="J3876" i="1"/>
  <c r="J3875" i="1"/>
  <c r="J3874" i="1"/>
  <c r="J3873" i="1"/>
  <c r="J3872" i="1"/>
  <c r="J3871" i="1"/>
  <c r="J3870" i="1"/>
  <c r="J3869" i="1"/>
  <c r="J3868" i="1"/>
  <c r="J3867" i="1"/>
  <c r="J3866" i="1"/>
  <c r="J3865" i="1"/>
  <c r="J3864" i="1"/>
  <c r="J3863" i="1"/>
  <c r="J3862" i="1"/>
  <c r="J3861" i="1"/>
  <c r="J3860" i="1"/>
  <c r="J3859" i="1"/>
  <c r="J3858" i="1"/>
  <c r="J3857" i="1"/>
  <c r="J3856" i="1"/>
  <c r="J3855" i="1"/>
  <c r="J3854" i="1"/>
  <c r="J3853" i="1"/>
  <c r="J3852" i="1"/>
  <c r="J3851" i="1"/>
  <c r="J3850" i="1"/>
  <c r="J3849" i="1"/>
  <c r="J3848" i="1"/>
  <c r="J3847" i="1"/>
  <c r="J3846" i="1"/>
  <c r="J3845" i="1"/>
  <c r="J3844" i="1"/>
  <c r="J3843" i="1"/>
  <c r="J3842" i="1"/>
  <c r="J3841" i="1"/>
  <c r="J3840" i="1"/>
  <c r="J3839" i="1"/>
  <c r="J3838" i="1"/>
  <c r="J3837" i="1"/>
  <c r="J3836" i="1"/>
  <c r="J3835" i="1"/>
  <c r="J3834" i="1"/>
  <c r="J3833" i="1"/>
  <c r="J3832" i="1"/>
  <c r="J3831" i="1"/>
  <c r="J3830" i="1"/>
  <c r="J3829" i="1"/>
  <c r="J3828" i="1"/>
  <c r="J3827" i="1"/>
  <c r="J3826" i="1"/>
  <c r="J3825" i="1"/>
  <c r="J3824" i="1"/>
  <c r="J3823" i="1"/>
  <c r="J3822" i="1"/>
  <c r="J3821" i="1"/>
  <c r="J3820" i="1"/>
  <c r="J3819" i="1"/>
  <c r="J3818" i="1"/>
  <c r="J3817" i="1"/>
  <c r="J3816" i="1"/>
  <c r="J3815" i="1"/>
  <c r="J3814" i="1"/>
  <c r="J3813" i="1"/>
  <c r="J3812" i="1"/>
  <c r="J3811" i="1"/>
  <c r="J3810" i="1"/>
  <c r="J3809" i="1"/>
  <c r="J3808" i="1"/>
  <c r="J3807" i="1"/>
  <c r="J3806" i="1"/>
  <c r="J3805" i="1"/>
  <c r="J3804" i="1"/>
  <c r="J3803" i="1"/>
  <c r="J3802" i="1"/>
  <c r="J3801" i="1"/>
  <c r="J3800" i="1"/>
  <c r="J3799" i="1"/>
  <c r="J3798" i="1"/>
  <c r="J3797" i="1"/>
  <c r="J3796" i="1"/>
  <c r="J3795" i="1"/>
  <c r="J3794" i="1"/>
  <c r="J3793" i="1"/>
  <c r="J3792" i="1"/>
  <c r="J3791" i="1"/>
  <c r="J3790" i="1"/>
  <c r="J3789" i="1"/>
  <c r="J3788" i="1"/>
  <c r="J3787" i="1"/>
  <c r="J3786" i="1"/>
  <c r="J3785" i="1"/>
  <c r="J3784" i="1"/>
  <c r="J3783" i="1"/>
  <c r="J3782" i="1"/>
  <c r="J3781" i="1"/>
  <c r="J3780" i="1"/>
  <c r="J3779" i="1"/>
  <c r="J3778" i="1"/>
  <c r="J3777" i="1"/>
  <c r="J3776" i="1"/>
  <c r="J3775" i="1"/>
  <c r="J3774" i="1"/>
  <c r="J3773" i="1"/>
  <c r="J3772" i="1"/>
  <c r="J3771" i="1"/>
  <c r="J3770" i="1"/>
  <c r="J3769" i="1"/>
  <c r="J3768" i="1"/>
  <c r="J3767" i="1"/>
  <c r="J3766" i="1"/>
  <c r="J3765" i="1"/>
  <c r="J3764" i="1"/>
  <c r="J3763" i="1"/>
  <c r="J3762" i="1"/>
  <c r="J3761" i="1"/>
  <c r="J3760" i="1"/>
  <c r="J3759" i="1"/>
  <c r="J3758" i="1"/>
  <c r="J3757" i="1"/>
  <c r="J3756" i="1"/>
  <c r="J3755" i="1"/>
  <c r="J3754" i="1"/>
  <c r="J3753" i="1"/>
  <c r="J3752" i="1"/>
  <c r="J3751" i="1"/>
  <c r="J3750" i="1"/>
  <c r="J3749" i="1"/>
  <c r="J3748" i="1"/>
  <c r="J3747" i="1"/>
  <c r="J3746" i="1"/>
  <c r="J3745" i="1"/>
  <c r="J3744" i="1"/>
  <c r="J3743" i="1"/>
  <c r="J3742" i="1"/>
  <c r="J3741" i="1"/>
  <c r="J3740" i="1"/>
  <c r="J3739" i="1"/>
  <c r="J3738" i="1"/>
  <c r="J3737" i="1"/>
  <c r="J3736" i="1"/>
  <c r="J3735" i="1"/>
  <c r="J3734" i="1"/>
  <c r="J3733" i="1"/>
  <c r="J3732" i="1"/>
  <c r="J3731" i="1"/>
  <c r="J3730" i="1"/>
  <c r="J3729" i="1"/>
  <c r="J3728" i="1"/>
  <c r="J3727" i="1"/>
  <c r="J3726" i="1"/>
  <c r="J3725" i="1"/>
  <c r="J3724" i="1"/>
  <c r="J3723" i="1"/>
  <c r="J3722" i="1"/>
  <c r="J3721" i="1"/>
  <c r="J3720" i="1"/>
  <c r="J3719" i="1"/>
  <c r="J3718" i="1"/>
  <c r="J3717" i="1"/>
  <c r="J3716" i="1"/>
  <c r="J3715" i="1"/>
  <c r="J3714" i="1"/>
  <c r="J3713" i="1"/>
  <c r="J3712" i="1"/>
  <c r="J3711" i="1"/>
  <c r="J3710" i="1"/>
  <c r="J3709" i="1"/>
  <c r="J3708" i="1"/>
  <c r="J3707" i="1"/>
  <c r="J3706" i="1"/>
  <c r="J3705" i="1"/>
  <c r="J3704" i="1"/>
  <c r="J3703" i="1"/>
  <c r="J3702" i="1"/>
  <c r="J3701" i="1"/>
  <c r="J3700" i="1"/>
  <c r="J3699" i="1"/>
  <c r="J3698" i="1"/>
  <c r="J3697" i="1"/>
  <c r="J3696" i="1"/>
  <c r="J3695" i="1"/>
  <c r="J3694" i="1"/>
  <c r="J3693" i="1"/>
  <c r="J3692" i="1"/>
  <c r="J3691" i="1"/>
  <c r="J3690" i="1"/>
  <c r="J3689" i="1"/>
  <c r="J3688" i="1"/>
  <c r="J3687" i="1"/>
  <c r="J3686" i="1"/>
  <c r="J3685" i="1"/>
  <c r="J3684" i="1"/>
  <c r="J3683" i="1"/>
  <c r="J3682" i="1"/>
  <c r="J3681" i="1"/>
  <c r="J3680" i="1"/>
  <c r="J3679" i="1"/>
  <c r="J3678" i="1"/>
  <c r="J3677" i="1"/>
  <c r="J3676" i="1"/>
  <c r="J3675" i="1"/>
  <c r="J3674" i="1"/>
  <c r="J3673" i="1"/>
  <c r="J3672" i="1"/>
  <c r="J3671" i="1"/>
  <c r="J3670" i="1"/>
  <c r="J3669" i="1"/>
  <c r="J3668" i="1"/>
  <c r="J3667" i="1"/>
  <c r="J3666" i="1"/>
  <c r="J3665" i="1"/>
  <c r="J3664" i="1"/>
  <c r="J3663" i="1"/>
  <c r="J3662" i="1"/>
  <c r="J3661" i="1"/>
  <c r="J3660" i="1"/>
  <c r="J3659" i="1"/>
  <c r="J3658" i="1"/>
  <c r="J3657" i="1"/>
  <c r="J3656" i="1"/>
  <c r="J3655" i="1"/>
  <c r="J3654" i="1"/>
  <c r="J3653" i="1"/>
  <c r="J3652" i="1"/>
  <c r="J3651" i="1"/>
  <c r="J3650" i="1"/>
  <c r="J3649" i="1"/>
  <c r="J3648" i="1"/>
  <c r="J3647" i="1"/>
  <c r="J3646" i="1"/>
  <c r="J3645" i="1"/>
  <c r="J3644" i="1"/>
  <c r="J3643" i="1"/>
  <c r="J3642" i="1"/>
  <c r="J3641" i="1"/>
  <c r="J3640" i="1"/>
  <c r="J3639" i="1"/>
  <c r="J3638" i="1"/>
  <c r="J3637" i="1"/>
  <c r="J3636" i="1"/>
  <c r="J3635" i="1"/>
  <c r="J3634" i="1"/>
  <c r="J3633" i="1"/>
  <c r="J3632" i="1"/>
  <c r="J3631" i="1"/>
  <c r="J3630" i="1"/>
  <c r="J3629" i="1"/>
  <c r="J3628" i="1"/>
  <c r="J3627" i="1"/>
  <c r="J3626" i="1"/>
  <c r="J3625" i="1"/>
  <c r="J3624" i="1"/>
  <c r="J3623" i="1"/>
  <c r="J3622" i="1"/>
  <c r="J3621" i="1"/>
  <c r="J3620" i="1"/>
  <c r="J3619" i="1"/>
  <c r="J3618" i="1"/>
  <c r="J3617" i="1"/>
  <c r="J3616" i="1"/>
  <c r="J3615" i="1"/>
  <c r="J3614" i="1"/>
  <c r="J3613" i="1"/>
  <c r="J3612" i="1"/>
  <c r="J3611" i="1"/>
  <c r="J3610" i="1"/>
  <c r="J3609" i="1"/>
  <c r="J3608" i="1"/>
  <c r="J3607" i="1"/>
  <c r="J3606" i="1"/>
  <c r="J3605" i="1"/>
  <c r="J3604" i="1"/>
  <c r="J3603" i="1"/>
  <c r="J3602" i="1"/>
  <c r="J3601" i="1"/>
  <c r="J3600" i="1"/>
  <c r="J3599" i="1"/>
  <c r="J3598" i="1"/>
  <c r="J3597" i="1"/>
  <c r="J3596" i="1"/>
  <c r="J3595" i="1"/>
  <c r="J3594" i="1"/>
  <c r="J3593" i="1"/>
  <c r="J3592" i="1"/>
  <c r="J3591" i="1"/>
  <c r="J3590" i="1"/>
  <c r="J3589" i="1"/>
  <c r="J3588" i="1"/>
  <c r="J3587" i="1"/>
  <c r="J3586" i="1"/>
  <c r="J3585" i="1"/>
  <c r="J3584" i="1"/>
  <c r="J3583" i="1"/>
  <c r="J3582" i="1"/>
  <c r="J3581" i="1"/>
  <c r="J3580" i="1"/>
  <c r="J3579" i="1"/>
  <c r="J3578" i="1"/>
  <c r="J3577" i="1"/>
  <c r="J3576" i="1"/>
  <c r="J3575" i="1"/>
  <c r="J3574" i="1"/>
  <c r="J3573" i="1"/>
  <c r="J3572" i="1"/>
  <c r="J3571" i="1"/>
  <c r="J3570" i="1"/>
  <c r="J3569" i="1"/>
  <c r="J3568" i="1"/>
  <c r="J3567" i="1"/>
  <c r="J3566" i="1"/>
  <c r="J3565" i="1"/>
  <c r="J3564" i="1"/>
  <c r="J3563" i="1"/>
  <c r="J3562" i="1"/>
  <c r="J3561" i="1"/>
  <c r="J3560" i="1"/>
  <c r="J3559" i="1"/>
  <c r="J3558" i="1"/>
  <c r="J3557" i="1"/>
  <c r="J3556" i="1"/>
  <c r="J3555" i="1"/>
  <c r="J3554" i="1"/>
  <c r="J3553" i="1"/>
  <c r="J3552" i="1"/>
  <c r="J3551" i="1"/>
  <c r="J3550" i="1"/>
  <c r="J3549" i="1"/>
  <c r="J3548" i="1"/>
  <c r="J3547" i="1"/>
  <c r="J3546" i="1"/>
  <c r="J3545" i="1"/>
  <c r="J3544" i="1"/>
  <c r="J3543" i="1"/>
  <c r="J3542" i="1"/>
  <c r="J3541" i="1"/>
  <c r="J3540" i="1"/>
  <c r="J3539" i="1"/>
  <c r="J3538" i="1"/>
  <c r="J3537" i="1"/>
  <c r="J3536" i="1"/>
  <c r="J3535" i="1"/>
  <c r="J3534" i="1"/>
  <c r="J3533" i="1"/>
  <c r="J3532" i="1"/>
  <c r="J3531" i="1"/>
  <c r="J3530" i="1"/>
  <c r="J3529" i="1"/>
  <c r="J3528" i="1"/>
  <c r="J3527" i="1"/>
  <c r="J3526" i="1"/>
  <c r="J3525" i="1"/>
  <c r="J3524" i="1"/>
  <c r="J3523" i="1"/>
  <c r="J3522" i="1"/>
  <c r="J3521" i="1"/>
  <c r="J3520" i="1"/>
  <c r="J3519" i="1"/>
  <c r="J3518" i="1"/>
  <c r="J3517" i="1"/>
  <c r="J3516" i="1"/>
  <c r="J3515" i="1"/>
  <c r="J3514" i="1"/>
  <c r="J3513" i="1"/>
  <c r="J3512" i="1"/>
  <c r="J3511" i="1"/>
  <c r="J3510" i="1"/>
  <c r="J3509" i="1"/>
  <c r="J3508" i="1"/>
  <c r="J3507" i="1"/>
  <c r="J3506" i="1"/>
  <c r="J3505" i="1"/>
  <c r="J3504" i="1"/>
  <c r="J3503" i="1"/>
  <c r="J3502" i="1"/>
  <c r="J3501" i="1"/>
  <c r="J3500" i="1"/>
  <c r="J3499" i="1"/>
  <c r="J3498" i="1"/>
  <c r="J3497" i="1"/>
  <c r="J3496" i="1"/>
  <c r="J3495" i="1"/>
  <c r="J3494" i="1"/>
  <c r="J3493" i="1"/>
  <c r="J3492" i="1"/>
  <c r="J3491" i="1"/>
  <c r="J3490" i="1"/>
  <c r="J3489" i="1"/>
  <c r="J3488" i="1"/>
  <c r="J3487" i="1"/>
  <c r="J3486" i="1"/>
  <c r="J3485" i="1"/>
  <c r="J3484" i="1"/>
  <c r="J3483" i="1"/>
  <c r="J3482" i="1"/>
  <c r="J3481" i="1"/>
  <c r="J3480" i="1"/>
  <c r="J3479" i="1"/>
  <c r="J3478" i="1"/>
  <c r="J3477" i="1"/>
  <c r="J3476" i="1"/>
  <c r="J3475" i="1"/>
  <c r="J3474" i="1"/>
  <c r="J3473" i="1"/>
  <c r="J3472" i="1"/>
  <c r="J3471" i="1"/>
  <c r="J3470" i="1"/>
  <c r="J3469" i="1"/>
  <c r="J3468" i="1"/>
  <c r="J3467" i="1"/>
  <c r="J3466" i="1"/>
  <c r="J3465" i="1"/>
  <c r="J3464" i="1"/>
  <c r="J3463" i="1"/>
  <c r="J3462" i="1"/>
  <c r="J3461" i="1"/>
  <c r="J3460" i="1"/>
  <c r="J3459" i="1"/>
  <c r="J3458" i="1"/>
  <c r="J3457" i="1"/>
  <c r="J3456" i="1"/>
  <c r="J3455" i="1"/>
  <c r="J3454" i="1"/>
  <c r="J3453" i="1"/>
  <c r="J3452" i="1"/>
  <c r="J3451" i="1"/>
  <c r="J3450" i="1"/>
  <c r="J3449" i="1"/>
  <c r="J3448" i="1"/>
  <c r="J3447" i="1"/>
  <c r="J3446" i="1"/>
  <c r="J3445" i="1"/>
  <c r="J3444" i="1"/>
  <c r="J3443" i="1"/>
  <c r="J3442" i="1"/>
  <c r="J3441" i="1"/>
  <c r="J3440" i="1"/>
  <c r="J3439" i="1"/>
  <c r="J3438" i="1"/>
  <c r="J3437" i="1"/>
  <c r="J3436" i="1"/>
  <c r="J3435" i="1"/>
  <c r="J3434" i="1"/>
  <c r="J3433" i="1"/>
  <c r="J3432" i="1"/>
  <c r="J3431" i="1"/>
  <c r="J3430" i="1"/>
  <c r="J3429" i="1"/>
  <c r="J3428" i="1"/>
  <c r="J3427" i="1"/>
  <c r="J3426" i="1"/>
  <c r="J3425" i="1"/>
  <c r="J3424" i="1"/>
  <c r="J3423" i="1"/>
  <c r="J3422" i="1"/>
  <c r="J3421" i="1"/>
  <c r="J3420" i="1"/>
  <c r="J3419" i="1"/>
  <c r="J3418" i="1"/>
  <c r="J3417" i="1"/>
  <c r="J3416" i="1"/>
  <c r="J3415" i="1"/>
  <c r="J3414" i="1"/>
  <c r="J3413" i="1"/>
  <c r="J3412" i="1"/>
  <c r="J3411" i="1"/>
  <c r="J3410" i="1"/>
  <c r="J3409" i="1"/>
  <c r="J3408" i="1"/>
  <c r="J3407" i="1"/>
  <c r="J3406" i="1"/>
  <c r="J3405" i="1"/>
  <c r="J3404" i="1"/>
  <c r="J3403" i="1"/>
  <c r="J3402" i="1"/>
  <c r="J3401" i="1"/>
  <c r="J3400" i="1"/>
  <c r="J3399" i="1"/>
  <c r="J3398" i="1"/>
  <c r="J3397" i="1"/>
  <c r="J3396" i="1"/>
  <c r="J3395" i="1"/>
  <c r="J3394" i="1"/>
  <c r="J3393" i="1"/>
  <c r="J3392" i="1"/>
  <c r="J3391" i="1"/>
  <c r="J3390" i="1"/>
  <c r="J3389" i="1"/>
  <c r="J3388" i="1"/>
  <c r="J3387" i="1"/>
  <c r="J3386" i="1"/>
  <c r="J3385" i="1"/>
  <c r="J3384" i="1"/>
  <c r="J3383" i="1"/>
  <c r="J3382" i="1"/>
  <c r="J3381" i="1"/>
  <c r="J3380" i="1"/>
  <c r="J3379" i="1"/>
  <c r="J3378" i="1"/>
  <c r="J3377" i="1"/>
  <c r="J3376" i="1"/>
  <c r="J3375" i="1"/>
  <c r="J3374" i="1"/>
  <c r="J3373" i="1"/>
  <c r="J3372" i="1"/>
  <c r="J3371" i="1"/>
  <c r="J3370" i="1"/>
  <c r="J3369" i="1"/>
  <c r="J3368" i="1"/>
  <c r="J3367" i="1"/>
  <c r="J3366" i="1"/>
  <c r="J3365" i="1"/>
  <c r="J3364" i="1"/>
  <c r="J3363" i="1"/>
  <c r="J3362" i="1"/>
  <c r="J3361" i="1"/>
  <c r="J3360" i="1"/>
  <c r="J3359" i="1"/>
  <c r="J3358" i="1"/>
  <c r="J3357" i="1"/>
  <c r="J3356" i="1"/>
  <c r="J3355" i="1"/>
  <c r="J3354" i="1"/>
  <c r="J3353" i="1"/>
  <c r="J3352" i="1"/>
  <c r="J3351" i="1"/>
  <c r="J3350" i="1"/>
  <c r="J3349" i="1"/>
  <c r="J3348" i="1"/>
  <c r="J3347" i="1"/>
  <c r="J3346" i="1"/>
  <c r="J3345" i="1"/>
  <c r="J3344" i="1"/>
  <c r="J3343" i="1"/>
  <c r="J3342" i="1"/>
  <c r="J3341" i="1"/>
  <c r="J3340" i="1"/>
  <c r="J3339" i="1"/>
  <c r="J3338" i="1"/>
  <c r="J3337" i="1"/>
  <c r="J3336" i="1"/>
  <c r="J3335" i="1"/>
  <c r="J3334" i="1"/>
  <c r="J3333" i="1"/>
  <c r="J3332" i="1"/>
  <c r="J3331" i="1"/>
  <c r="J3330" i="1"/>
  <c r="J3329" i="1"/>
  <c r="J3328" i="1"/>
  <c r="J3327" i="1"/>
  <c r="J3326" i="1"/>
  <c r="J3325" i="1"/>
  <c r="J3324" i="1"/>
  <c r="J3323" i="1"/>
  <c r="J3322" i="1"/>
  <c r="J3321" i="1"/>
  <c r="J3320" i="1"/>
  <c r="J3319" i="1"/>
  <c r="J3318" i="1"/>
  <c r="J3317" i="1"/>
  <c r="J3316" i="1"/>
  <c r="J3315" i="1"/>
  <c r="J3314" i="1"/>
  <c r="J3313" i="1"/>
  <c r="J3312" i="1"/>
  <c r="J3311" i="1"/>
  <c r="J3310" i="1"/>
  <c r="J3309" i="1"/>
  <c r="J3308" i="1"/>
  <c r="J3307" i="1"/>
  <c r="J3306" i="1"/>
  <c r="J3305" i="1"/>
  <c r="J3304" i="1"/>
  <c r="J3303" i="1"/>
  <c r="J3302" i="1"/>
  <c r="J3301" i="1"/>
  <c r="J3300" i="1"/>
  <c r="J3299" i="1"/>
  <c r="J3298" i="1"/>
  <c r="J3297" i="1"/>
  <c r="J3296" i="1"/>
  <c r="J3295" i="1"/>
  <c r="J3294" i="1"/>
  <c r="J3293" i="1"/>
  <c r="J3292" i="1"/>
  <c r="J3291" i="1"/>
  <c r="J3290" i="1"/>
  <c r="J3289" i="1"/>
  <c r="J3288" i="1"/>
  <c r="J3287" i="1"/>
  <c r="J3286" i="1"/>
  <c r="J3285" i="1"/>
  <c r="J3284" i="1"/>
  <c r="J3283" i="1"/>
  <c r="J3282" i="1"/>
  <c r="J3281" i="1"/>
  <c r="J3280" i="1"/>
  <c r="J3279" i="1"/>
  <c r="J3278" i="1"/>
  <c r="J3277" i="1"/>
  <c r="J3276" i="1"/>
  <c r="J3275" i="1"/>
  <c r="J3274" i="1"/>
  <c r="J3273" i="1"/>
  <c r="J3272" i="1"/>
  <c r="J3271" i="1"/>
  <c r="J3270" i="1"/>
  <c r="J3269" i="1"/>
  <c r="J3268" i="1"/>
  <c r="J3267" i="1"/>
  <c r="J3266" i="1"/>
  <c r="J3265" i="1"/>
  <c r="J3264" i="1"/>
  <c r="J3263" i="1"/>
  <c r="J3262" i="1"/>
  <c r="J3261" i="1"/>
  <c r="J3260" i="1"/>
  <c r="J3259" i="1"/>
  <c r="J3258" i="1"/>
  <c r="J3257" i="1"/>
  <c r="J3256" i="1"/>
  <c r="J3255" i="1"/>
  <c r="J3254" i="1"/>
  <c r="J3253" i="1"/>
  <c r="J3252" i="1"/>
  <c r="J3251" i="1"/>
  <c r="J3250" i="1"/>
  <c r="J3249" i="1"/>
  <c r="J3248" i="1"/>
  <c r="J3247" i="1"/>
  <c r="J3246" i="1"/>
  <c r="J3245" i="1"/>
  <c r="J3244" i="1"/>
  <c r="J3243" i="1"/>
  <c r="J3242" i="1"/>
  <c r="J3241" i="1"/>
  <c r="J3240" i="1"/>
  <c r="J3239" i="1"/>
  <c r="J3238" i="1"/>
  <c r="J3237" i="1"/>
  <c r="J3236" i="1"/>
  <c r="J3235" i="1"/>
  <c r="J3234" i="1"/>
  <c r="J3233" i="1"/>
  <c r="J3232" i="1"/>
  <c r="J3231" i="1"/>
  <c r="J3230" i="1"/>
  <c r="J3229" i="1"/>
  <c r="J3228" i="1"/>
  <c r="J3227" i="1"/>
  <c r="J3226" i="1"/>
  <c r="J3225" i="1"/>
  <c r="J3224" i="1"/>
  <c r="J3223" i="1"/>
  <c r="J3222" i="1"/>
  <c r="J3221" i="1"/>
  <c r="J3220" i="1"/>
  <c r="J3219" i="1"/>
  <c r="J3218" i="1"/>
  <c r="J3217" i="1"/>
  <c r="J3216" i="1"/>
  <c r="J3215" i="1"/>
  <c r="J3214" i="1"/>
  <c r="J3213" i="1"/>
  <c r="J3212" i="1"/>
  <c r="J3211" i="1"/>
  <c r="J3210" i="1"/>
  <c r="J3209" i="1"/>
  <c r="J3208" i="1"/>
  <c r="J3207" i="1"/>
  <c r="J3206" i="1"/>
  <c r="J3205" i="1"/>
  <c r="J3204" i="1"/>
  <c r="J3203" i="1"/>
  <c r="J3202" i="1"/>
  <c r="J3201" i="1"/>
  <c r="J3200" i="1"/>
  <c r="J3199" i="1"/>
  <c r="J3198" i="1"/>
  <c r="J3197" i="1"/>
  <c r="J3196" i="1"/>
  <c r="J3195" i="1"/>
  <c r="J3194" i="1"/>
  <c r="J3193" i="1"/>
  <c r="J3192" i="1"/>
  <c r="J3191" i="1"/>
  <c r="J3190" i="1"/>
  <c r="J3189" i="1"/>
  <c r="J3188" i="1"/>
  <c r="J3187" i="1"/>
  <c r="J3186" i="1"/>
  <c r="J3185" i="1"/>
  <c r="J3184" i="1"/>
  <c r="J3183" i="1"/>
  <c r="J3182" i="1"/>
  <c r="J3181" i="1"/>
  <c r="J3180" i="1"/>
  <c r="J3179" i="1"/>
  <c r="J3178" i="1"/>
  <c r="J3177" i="1"/>
  <c r="J3176" i="1"/>
  <c r="J3175" i="1"/>
  <c r="J3174" i="1"/>
  <c r="J3173" i="1"/>
  <c r="J3172" i="1"/>
  <c r="J3171" i="1"/>
  <c r="J3170" i="1"/>
  <c r="J3169" i="1"/>
  <c r="J3168" i="1"/>
  <c r="J3167" i="1"/>
  <c r="J3166" i="1"/>
  <c r="J3165" i="1"/>
  <c r="J3164" i="1"/>
  <c r="J3163" i="1"/>
  <c r="J3162" i="1"/>
  <c r="J3161" i="1"/>
  <c r="J3160" i="1"/>
  <c r="J3159" i="1"/>
  <c r="J3158" i="1"/>
  <c r="J3157" i="1"/>
  <c r="J3156" i="1"/>
  <c r="J3155" i="1"/>
  <c r="J3154" i="1"/>
  <c r="J3153" i="1"/>
  <c r="J3152" i="1"/>
  <c r="J3151" i="1"/>
  <c r="J3150" i="1"/>
  <c r="J3149" i="1"/>
  <c r="J3148" i="1"/>
  <c r="J3147" i="1"/>
  <c r="J3146" i="1"/>
  <c r="J3145" i="1"/>
  <c r="J3144" i="1"/>
  <c r="J3143" i="1"/>
  <c r="J3142" i="1"/>
  <c r="J3141" i="1"/>
  <c r="J3140" i="1"/>
  <c r="J3139" i="1"/>
  <c r="J3138" i="1"/>
  <c r="J3137" i="1"/>
  <c r="J3136" i="1"/>
  <c r="J3135" i="1"/>
  <c r="J3134" i="1"/>
  <c r="J3133" i="1"/>
  <c r="J3132" i="1"/>
  <c r="J3131" i="1"/>
  <c r="J3130" i="1"/>
  <c r="J3129" i="1"/>
  <c r="J3128" i="1"/>
  <c r="J3127" i="1"/>
  <c r="J3126" i="1"/>
  <c r="J3125" i="1"/>
  <c r="J3124" i="1"/>
  <c r="J3123" i="1"/>
  <c r="J3122" i="1"/>
  <c r="J3121" i="1"/>
  <c r="J3120" i="1"/>
  <c r="J3119" i="1"/>
  <c r="J3118" i="1"/>
  <c r="J3117" i="1"/>
  <c r="J3116" i="1"/>
  <c r="J3115" i="1"/>
  <c r="J3114" i="1"/>
  <c r="J3113" i="1"/>
  <c r="J3112" i="1"/>
  <c r="J3111" i="1"/>
  <c r="J3110" i="1"/>
  <c r="J3109" i="1"/>
  <c r="J3108" i="1"/>
  <c r="J3107" i="1"/>
  <c r="J3106" i="1"/>
  <c r="J3105" i="1"/>
  <c r="J3104" i="1"/>
  <c r="J3103" i="1"/>
  <c r="J3102" i="1"/>
  <c r="J3101" i="1"/>
  <c r="J3100" i="1"/>
  <c r="J3099" i="1"/>
  <c r="J3098" i="1"/>
  <c r="J3097" i="1"/>
  <c r="J3096" i="1"/>
  <c r="J3095" i="1"/>
  <c r="J3094" i="1"/>
  <c r="J3093" i="1"/>
  <c r="J3092" i="1"/>
  <c r="J3091" i="1"/>
  <c r="J3090" i="1"/>
  <c r="J3089" i="1"/>
  <c r="J3088" i="1"/>
  <c r="J3087" i="1"/>
  <c r="J3086" i="1"/>
  <c r="J3085" i="1"/>
  <c r="J3084" i="1"/>
  <c r="J3083" i="1"/>
  <c r="J3082" i="1"/>
  <c r="J3081" i="1"/>
  <c r="J3080" i="1"/>
  <c r="J3079" i="1"/>
  <c r="J3078" i="1"/>
  <c r="J3077" i="1"/>
  <c r="J3076" i="1"/>
  <c r="J3075" i="1"/>
  <c r="J3074" i="1"/>
  <c r="J3073" i="1"/>
  <c r="J3072" i="1"/>
  <c r="J3071" i="1"/>
  <c r="J3070" i="1"/>
  <c r="J3069" i="1"/>
  <c r="J3068" i="1"/>
  <c r="J3067" i="1"/>
  <c r="J3066" i="1"/>
  <c r="J3065" i="1"/>
  <c r="J3064" i="1"/>
  <c r="J3063" i="1"/>
  <c r="J3062" i="1"/>
  <c r="J3061" i="1"/>
  <c r="J3060" i="1"/>
  <c r="J3059" i="1"/>
  <c r="J3058" i="1"/>
  <c r="J3057" i="1"/>
  <c r="J3056" i="1"/>
  <c r="J3055" i="1"/>
  <c r="J3054" i="1"/>
  <c r="J3053" i="1"/>
  <c r="J3052" i="1"/>
  <c r="J3051" i="1"/>
  <c r="J3050" i="1"/>
  <c r="J3049" i="1"/>
  <c r="J3048" i="1"/>
  <c r="J3047" i="1"/>
  <c r="J3046" i="1"/>
  <c r="J3045" i="1"/>
  <c r="J3044" i="1"/>
  <c r="J3043" i="1"/>
  <c r="J3042" i="1"/>
  <c r="J3041" i="1"/>
  <c r="J3040" i="1"/>
  <c r="J3039" i="1"/>
  <c r="J3038" i="1"/>
  <c r="J3037" i="1"/>
  <c r="J3036" i="1"/>
  <c r="J3035" i="1"/>
  <c r="J3034" i="1"/>
  <c r="J3033" i="1"/>
  <c r="J3032" i="1"/>
  <c r="J3031" i="1"/>
  <c r="J3030" i="1"/>
  <c r="J3029" i="1"/>
  <c r="J3028" i="1"/>
  <c r="J3027" i="1"/>
  <c r="J3026" i="1"/>
  <c r="J3025" i="1"/>
  <c r="J3024" i="1"/>
  <c r="J3023" i="1"/>
  <c r="J3022" i="1"/>
  <c r="J3021" i="1"/>
  <c r="J3020" i="1"/>
  <c r="J3019" i="1"/>
  <c r="J3018" i="1"/>
  <c r="J3017" i="1"/>
  <c r="J3016" i="1"/>
  <c r="J3015" i="1"/>
  <c r="J3014" i="1"/>
  <c r="J3013" i="1"/>
  <c r="J3012" i="1"/>
  <c r="J3011" i="1"/>
  <c r="J3010" i="1"/>
  <c r="J3009" i="1"/>
  <c r="J3008" i="1"/>
  <c r="J3007" i="1"/>
  <c r="J3006" i="1"/>
  <c r="J3005" i="1"/>
  <c r="J3004" i="1"/>
  <c r="J3003" i="1"/>
  <c r="J3002" i="1"/>
  <c r="J3001" i="1"/>
  <c r="J3000" i="1"/>
  <c r="J2999" i="1"/>
  <c r="J2998" i="1"/>
  <c r="J2997" i="1"/>
  <c r="J2996" i="1"/>
  <c r="J2995" i="1"/>
  <c r="J2994" i="1"/>
  <c r="J2993" i="1"/>
  <c r="J2992" i="1"/>
  <c r="J2991" i="1"/>
  <c r="J2990" i="1"/>
  <c r="J2989" i="1"/>
  <c r="J2988" i="1"/>
  <c r="J2987" i="1"/>
  <c r="J2986" i="1"/>
  <c r="J2985" i="1"/>
  <c r="J2984" i="1"/>
  <c r="J2983" i="1"/>
  <c r="J2982" i="1"/>
  <c r="J2981" i="1"/>
  <c r="J2980" i="1"/>
  <c r="J2979" i="1"/>
  <c r="J2978" i="1"/>
  <c r="J2977" i="1"/>
  <c r="J2976" i="1"/>
  <c r="J2975" i="1"/>
  <c r="J2974" i="1"/>
  <c r="J2973" i="1"/>
  <c r="J2972" i="1"/>
  <c r="J2971" i="1"/>
  <c r="J2970" i="1"/>
  <c r="J2969" i="1"/>
  <c r="J2968" i="1"/>
  <c r="J2967" i="1"/>
  <c r="J2966" i="1"/>
  <c r="J2965" i="1"/>
  <c r="J2964" i="1"/>
  <c r="J2963" i="1"/>
  <c r="J2962" i="1"/>
  <c r="J2961" i="1"/>
  <c r="J2960" i="1"/>
  <c r="J2959" i="1"/>
  <c r="J2958" i="1"/>
  <c r="J2957" i="1"/>
  <c r="J2956" i="1"/>
  <c r="J2955" i="1"/>
  <c r="J2954" i="1"/>
  <c r="J2953" i="1"/>
  <c r="J2952" i="1"/>
  <c r="J2951" i="1"/>
  <c r="J2950" i="1"/>
  <c r="J2949" i="1"/>
  <c r="J2948" i="1"/>
  <c r="J2947" i="1"/>
  <c r="J2946" i="1"/>
  <c r="J2945" i="1"/>
  <c r="J2944" i="1"/>
  <c r="J2943" i="1"/>
  <c r="J2942" i="1"/>
  <c r="J2941" i="1"/>
  <c r="J2940" i="1"/>
  <c r="J2939" i="1"/>
  <c r="J2938" i="1"/>
  <c r="J2937" i="1"/>
  <c r="J2936" i="1"/>
  <c r="J2935" i="1"/>
  <c r="J2934" i="1"/>
  <c r="J2933" i="1"/>
  <c r="J2932" i="1"/>
  <c r="J2931" i="1"/>
  <c r="J2930" i="1"/>
  <c r="J2929" i="1"/>
  <c r="J2928" i="1"/>
  <c r="J2927" i="1"/>
  <c r="J2926" i="1"/>
  <c r="J2925" i="1"/>
  <c r="J2924" i="1"/>
  <c r="J2923" i="1"/>
  <c r="J2922" i="1"/>
  <c r="J2921" i="1"/>
  <c r="J2920" i="1"/>
  <c r="J2919" i="1"/>
  <c r="J2918" i="1"/>
  <c r="J2917" i="1"/>
  <c r="J2916" i="1"/>
  <c r="J2915" i="1"/>
  <c r="J2914" i="1"/>
  <c r="J2913" i="1"/>
  <c r="J2912" i="1"/>
  <c r="J2911" i="1"/>
  <c r="J2910" i="1"/>
  <c r="J2909" i="1"/>
  <c r="J2908" i="1"/>
  <c r="J2907" i="1"/>
  <c r="J2906" i="1"/>
  <c r="J2905" i="1"/>
  <c r="J2904" i="1"/>
  <c r="J2903" i="1"/>
  <c r="J2902" i="1"/>
  <c r="J2901" i="1"/>
  <c r="J2900" i="1"/>
  <c r="J2899" i="1"/>
  <c r="J2898" i="1"/>
  <c r="J2897" i="1"/>
  <c r="J2896" i="1"/>
  <c r="J2895" i="1"/>
  <c r="J2894" i="1"/>
  <c r="J2893" i="1"/>
  <c r="J2892" i="1"/>
  <c r="J2891" i="1"/>
  <c r="J2890" i="1"/>
  <c r="J2889" i="1"/>
  <c r="J2888" i="1"/>
  <c r="J2887" i="1"/>
  <c r="J2886" i="1"/>
  <c r="J2885" i="1"/>
  <c r="J2884" i="1"/>
  <c r="J2883" i="1"/>
  <c r="J2882" i="1"/>
  <c r="J2881" i="1"/>
  <c r="J2880" i="1"/>
  <c r="J2879" i="1"/>
  <c r="J2878" i="1"/>
  <c r="J2877" i="1"/>
  <c r="J2876" i="1"/>
  <c r="J2875" i="1"/>
  <c r="J2874" i="1"/>
  <c r="J2873" i="1"/>
  <c r="J2872" i="1"/>
  <c r="J2871" i="1"/>
  <c r="J2870" i="1"/>
  <c r="J2869" i="1"/>
  <c r="J2868" i="1"/>
  <c r="J2867" i="1"/>
  <c r="J2866" i="1"/>
  <c r="J2865" i="1"/>
  <c r="J2864" i="1"/>
  <c r="J2863" i="1"/>
  <c r="J2862" i="1"/>
  <c r="J2861" i="1"/>
  <c r="J2860" i="1"/>
  <c r="J2859" i="1"/>
  <c r="J2858" i="1"/>
  <c r="J2857" i="1"/>
  <c r="J2856" i="1"/>
  <c r="J2855" i="1"/>
  <c r="J2854" i="1"/>
  <c r="J2853" i="1"/>
  <c r="J2852" i="1"/>
  <c r="J2851" i="1"/>
  <c r="J2850" i="1"/>
  <c r="J2849" i="1"/>
  <c r="J2848" i="1"/>
  <c r="J2847" i="1"/>
  <c r="J2846" i="1"/>
  <c r="J2845" i="1"/>
  <c r="J2844" i="1"/>
  <c r="J2843" i="1"/>
  <c r="J2842" i="1"/>
  <c r="J2841" i="1"/>
  <c r="J2840" i="1"/>
  <c r="J2839" i="1"/>
  <c r="J2838" i="1"/>
  <c r="J2837" i="1"/>
  <c r="J2836" i="1"/>
  <c r="J2835" i="1"/>
  <c r="J2834" i="1"/>
  <c r="J2833" i="1"/>
  <c r="J2832" i="1"/>
  <c r="J2831" i="1"/>
  <c r="J2830" i="1"/>
  <c r="J2829" i="1"/>
  <c r="J2828" i="1"/>
  <c r="J2827" i="1"/>
  <c r="J2826" i="1"/>
  <c r="J2825" i="1"/>
  <c r="J2824" i="1"/>
  <c r="J2823" i="1"/>
  <c r="J2822" i="1"/>
  <c r="J2821" i="1"/>
  <c r="J2820" i="1"/>
  <c r="J2819" i="1"/>
  <c r="J2818" i="1"/>
  <c r="J2817" i="1"/>
  <c r="J2816" i="1"/>
  <c r="J2815" i="1"/>
  <c r="J2814" i="1"/>
  <c r="J2813" i="1"/>
  <c r="J2812" i="1"/>
  <c r="J2811" i="1"/>
  <c r="J2810" i="1"/>
  <c r="J2809" i="1"/>
  <c r="J2808" i="1"/>
  <c r="J2807" i="1"/>
  <c r="J2806" i="1"/>
  <c r="J2805" i="1"/>
  <c r="J2804" i="1"/>
  <c r="J2803" i="1"/>
  <c r="J2802" i="1"/>
  <c r="J2801" i="1"/>
  <c r="J2800" i="1"/>
  <c r="J2799" i="1"/>
  <c r="J2798" i="1"/>
  <c r="J2797" i="1"/>
  <c r="J2796" i="1"/>
  <c r="J2795" i="1"/>
  <c r="J2794" i="1"/>
  <c r="J2793" i="1"/>
  <c r="J2792" i="1"/>
  <c r="J2791" i="1"/>
  <c r="J2790" i="1"/>
  <c r="J2789" i="1"/>
  <c r="J2788" i="1"/>
  <c r="J2787" i="1"/>
  <c r="J2786" i="1"/>
  <c r="J2785" i="1"/>
  <c r="J2784" i="1"/>
  <c r="J2783" i="1"/>
  <c r="J2782" i="1"/>
  <c r="J2781" i="1"/>
  <c r="J2780" i="1"/>
  <c r="J2779" i="1"/>
  <c r="J2778" i="1"/>
  <c r="J2777" i="1"/>
  <c r="J2776" i="1"/>
  <c r="J2775" i="1"/>
  <c r="J2774" i="1"/>
  <c r="J2773" i="1"/>
  <c r="J2772" i="1"/>
  <c r="J2771" i="1"/>
  <c r="J2770" i="1"/>
  <c r="J2769" i="1"/>
  <c r="J2768" i="1"/>
  <c r="J2767" i="1"/>
  <c r="J2766" i="1"/>
  <c r="J2765" i="1"/>
  <c r="J2764" i="1"/>
  <c r="J2763" i="1"/>
  <c r="J2762" i="1"/>
  <c r="J2761" i="1"/>
  <c r="J2760" i="1"/>
  <c r="J2759" i="1"/>
  <c r="J2758" i="1"/>
  <c r="J2757" i="1"/>
  <c r="J2756" i="1"/>
  <c r="J2755" i="1"/>
  <c r="J2754" i="1"/>
  <c r="J2753" i="1"/>
  <c r="J2752" i="1"/>
  <c r="J2751" i="1"/>
  <c r="J2750" i="1"/>
  <c r="J2749" i="1"/>
  <c r="J2748" i="1"/>
  <c r="J2747" i="1"/>
  <c r="J2746" i="1"/>
  <c r="J2745" i="1"/>
  <c r="J2744" i="1"/>
  <c r="J2743" i="1"/>
  <c r="J2742" i="1"/>
  <c r="J2741" i="1"/>
  <c r="J2740" i="1"/>
  <c r="J2739" i="1"/>
  <c r="J2738" i="1"/>
  <c r="J2737" i="1"/>
  <c r="J2736" i="1"/>
  <c r="J2735" i="1"/>
  <c r="J2734" i="1"/>
  <c r="J2733" i="1"/>
  <c r="J2732" i="1"/>
  <c r="J2731" i="1"/>
  <c r="J2730" i="1"/>
  <c r="J2729" i="1"/>
  <c r="J2728" i="1"/>
  <c r="J2727" i="1"/>
  <c r="J2726" i="1"/>
  <c r="J2725" i="1"/>
  <c r="J2724" i="1"/>
  <c r="J2723" i="1"/>
  <c r="J2722" i="1"/>
  <c r="J2721" i="1"/>
  <c r="J2720" i="1"/>
  <c r="J2719" i="1"/>
  <c r="J2718" i="1"/>
  <c r="J2717" i="1"/>
  <c r="J2716" i="1"/>
  <c r="J2715" i="1"/>
  <c r="J2714" i="1"/>
  <c r="J2713" i="1"/>
  <c r="J2712" i="1"/>
  <c r="J2711" i="1"/>
  <c r="J2710" i="1"/>
  <c r="J2709" i="1"/>
  <c r="J2708" i="1"/>
  <c r="J2707" i="1"/>
  <c r="J2706" i="1"/>
  <c r="J2705" i="1"/>
  <c r="J2704" i="1"/>
  <c r="J2703" i="1"/>
  <c r="J2702" i="1"/>
  <c r="J2701" i="1"/>
  <c r="J2700" i="1"/>
  <c r="J2699" i="1"/>
  <c r="J2698" i="1"/>
  <c r="J2697" i="1"/>
  <c r="J2696" i="1"/>
  <c r="J2695" i="1"/>
  <c r="J2694" i="1"/>
  <c r="J2693" i="1"/>
  <c r="J2692" i="1"/>
  <c r="J2691" i="1"/>
  <c r="J2690" i="1"/>
  <c r="J2689" i="1"/>
  <c r="J2688" i="1"/>
  <c r="J2687" i="1"/>
  <c r="J2686" i="1"/>
  <c r="J2685" i="1"/>
  <c r="J2684" i="1"/>
  <c r="J2683" i="1"/>
  <c r="J2682" i="1"/>
  <c r="J2681" i="1"/>
  <c r="J2680" i="1"/>
  <c r="J2679" i="1"/>
  <c r="J2678" i="1"/>
  <c r="J2677" i="1"/>
  <c r="J2676" i="1"/>
  <c r="J2675" i="1"/>
  <c r="J2674" i="1"/>
  <c r="J2673" i="1"/>
  <c r="J2672" i="1"/>
  <c r="J2671" i="1"/>
  <c r="J2670" i="1"/>
  <c r="J2669" i="1"/>
  <c r="J2668" i="1"/>
  <c r="J2667" i="1"/>
  <c r="J2666" i="1"/>
  <c r="J2665" i="1"/>
  <c r="J2664" i="1"/>
  <c r="J2663" i="1"/>
  <c r="J2662" i="1"/>
  <c r="J2661" i="1"/>
  <c r="J2660" i="1"/>
  <c r="J2659" i="1"/>
  <c r="J2658" i="1"/>
  <c r="J2657" i="1"/>
  <c r="J2656" i="1"/>
  <c r="J2655" i="1"/>
  <c r="J2654" i="1"/>
  <c r="J2653" i="1"/>
  <c r="J2652" i="1"/>
  <c r="J2651" i="1"/>
  <c r="J2650" i="1"/>
  <c r="J2649" i="1"/>
  <c r="J2648" i="1"/>
  <c r="J2647" i="1"/>
  <c r="J2646" i="1"/>
  <c r="J2645" i="1"/>
  <c r="J2644" i="1"/>
  <c r="J2643" i="1"/>
  <c r="J2642" i="1"/>
  <c r="J2641" i="1"/>
  <c r="J2640" i="1"/>
  <c r="J2639" i="1"/>
  <c r="J2638" i="1"/>
  <c r="J2637" i="1"/>
  <c r="J2636" i="1"/>
  <c r="J2635" i="1"/>
  <c r="J2634" i="1"/>
  <c r="J2633" i="1"/>
  <c r="J2632" i="1"/>
  <c r="J2631" i="1"/>
  <c r="J2630" i="1"/>
  <c r="J2629" i="1"/>
  <c r="J2628" i="1"/>
  <c r="J2627" i="1"/>
  <c r="J2626" i="1"/>
  <c r="J2625" i="1"/>
  <c r="J2624" i="1"/>
  <c r="J2623" i="1"/>
  <c r="J2622" i="1"/>
  <c r="J2621" i="1"/>
  <c r="J2620" i="1"/>
  <c r="J2619" i="1"/>
  <c r="J2618" i="1"/>
  <c r="J2617" i="1"/>
  <c r="J2616" i="1"/>
  <c r="J2615" i="1"/>
  <c r="J2614" i="1"/>
  <c r="J2613" i="1"/>
  <c r="J2612" i="1"/>
  <c r="J2611" i="1"/>
  <c r="J2610" i="1"/>
  <c r="J2609" i="1"/>
  <c r="J2608" i="1"/>
  <c r="J2607" i="1"/>
  <c r="J2606" i="1"/>
  <c r="J2605" i="1"/>
  <c r="J2604" i="1"/>
  <c r="J2603" i="1"/>
  <c r="J2602" i="1"/>
  <c r="J2601" i="1"/>
  <c r="J2600" i="1"/>
  <c r="J2599" i="1"/>
  <c r="J2598" i="1"/>
  <c r="J2597" i="1"/>
  <c r="J2596" i="1"/>
  <c r="J2595" i="1"/>
  <c r="J2594" i="1"/>
  <c r="J2593" i="1"/>
  <c r="J2592" i="1"/>
  <c r="J2591" i="1"/>
  <c r="J2590" i="1"/>
  <c r="J2589" i="1"/>
  <c r="J2588" i="1"/>
  <c r="J2587" i="1"/>
  <c r="J2586" i="1"/>
  <c r="J2585" i="1"/>
  <c r="J2584" i="1"/>
  <c r="J2583" i="1"/>
  <c r="J2582" i="1"/>
  <c r="J2581" i="1"/>
  <c r="J2580" i="1"/>
  <c r="J2579" i="1"/>
  <c r="J2578" i="1"/>
  <c r="J2577" i="1"/>
  <c r="J2576" i="1"/>
  <c r="J2575" i="1"/>
  <c r="J2574" i="1"/>
  <c r="J2573" i="1"/>
  <c r="J2572" i="1"/>
  <c r="J2571" i="1"/>
  <c r="J2570" i="1"/>
  <c r="J2569" i="1"/>
  <c r="J2568" i="1"/>
  <c r="J2567" i="1"/>
  <c r="J2566" i="1"/>
  <c r="J2565" i="1"/>
  <c r="J2564" i="1"/>
  <c r="J2563" i="1"/>
  <c r="J2562" i="1"/>
  <c r="J2561" i="1"/>
  <c r="J2560" i="1"/>
  <c r="J2559" i="1"/>
  <c r="J2558" i="1"/>
  <c r="J2557" i="1"/>
  <c r="J2556" i="1"/>
  <c r="J2555" i="1"/>
  <c r="J2554" i="1"/>
  <c r="J2553" i="1"/>
  <c r="J2552" i="1"/>
  <c r="J2551" i="1"/>
  <c r="J2550" i="1"/>
  <c r="J2549" i="1"/>
  <c r="J2548" i="1"/>
  <c r="J2547" i="1"/>
  <c r="J2546" i="1"/>
  <c r="J2545" i="1"/>
  <c r="J2544" i="1"/>
  <c r="J2543" i="1"/>
  <c r="J2542" i="1"/>
  <c r="J2541" i="1"/>
  <c r="J2540" i="1"/>
  <c r="J2539" i="1"/>
  <c r="J2538" i="1"/>
  <c r="J2537" i="1"/>
  <c r="J2536" i="1"/>
  <c r="J2535" i="1"/>
  <c r="J2534" i="1"/>
  <c r="J2533" i="1"/>
  <c r="J2532" i="1"/>
  <c r="J2531" i="1"/>
  <c r="J2530" i="1"/>
  <c r="J2529" i="1"/>
  <c r="J2528" i="1"/>
  <c r="J2527" i="1"/>
  <c r="J2526" i="1"/>
  <c r="J2525" i="1"/>
  <c r="J2524" i="1"/>
  <c r="J2523" i="1"/>
  <c r="J2522" i="1"/>
  <c r="J2521" i="1"/>
  <c r="J2520" i="1"/>
  <c r="J2519" i="1"/>
  <c r="J2518" i="1"/>
  <c r="J2517" i="1"/>
  <c r="J2516" i="1"/>
  <c r="J2515" i="1"/>
  <c r="J2514" i="1"/>
  <c r="J2513" i="1"/>
  <c r="J2512" i="1"/>
  <c r="J2511" i="1"/>
  <c r="J2510" i="1"/>
  <c r="J2509" i="1"/>
  <c r="J2508" i="1"/>
  <c r="J2507" i="1"/>
  <c r="J2506" i="1"/>
  <c r="J2505" i="1"/>
  <c r="J2504" i="1"/>
  <c r="J2503" i="1"/>
  <c r="J2502" i="1"/>
  <c r="J2501" i="1"/>
  <c r="J2500" i="1"/>
  <c r="J2499" i="1"/>
  <c r="J2498" i="1"/>
  <c r="J2497" i="1"/>
  <c r="J2496" i="1"/>
  <c r="J2495" i="1"/>
  <c r="J2494" i="1"/>
  <c r="J2493" i="1"/>
  <c r="J2492" i="1"/>
  <c r="J2491" i="1"/>
  <c r="J2490" i="1"/>
  <c r="J2489" i="1"/>
  <c r="J2488" i="1"/>
  <c r="J2487" i="1"/>
  <c r="J2486" i="1"/>
  <c r="J2485" i="1"/>
  <c r="J2484" i="1"/>
  <c r="J2483" i="1"/>
  <c r="J2482" i="1"/>
  <c r="J2481" i="1"/>
  <c r="J2480" i="1"/>
  <c r="J2479" i="1"/>
  <c r="J2478" i="1"/>
  <c r="J2477" i="1"/>
  <c r="J2476" i="1"/>
  <c r="J2475" i="1"/>
  <c r="J2474" i="1"/>
  <c r="J2473" i="1"/>
  <c r="J2472" i="1"/>
  <c r="J2471" i="1"/>
  <c r="J2470" i="1"/>
  <c r="J2469" i="1"/>
  <c r="J2468" i="1"/>
  <c r="J2467" i="1"/>
  <c r="J2466" i="1"/>
  <c r="J2465" i="1"/>
  <c r="J2464" i="1"/>
  <c r="J2463" i="1"/>
  <c r="J2462" i="1"/>
  <c r="J2461" i="1"/>
  <c r="J2460" i="1"/>
  <c r="J2459" i="1"/>
  <c r="J2458" i="1"/>
  <c r="J2457" i="1"/>
  <c r="J2456" i="1"/>
  <c r="J2455" i="1"/>
  <c r="J2454" i="1"/>
  <c r="J2453" i="1"/>
  <c r="J2452" i="1"/>
  <c r="J2451" i="1"/>
  <c r="J2450" i="1"/>
  <c r="J2449" i="1"/>
  <c r="J2448" i="1"/>
  <c r="J2447" i="1"/>
  <c r="J2446" i="1"/>
  <c r="J2445" i="1"/>
  <c r="J2444" i="1"/>
  <c r="J2443" i="1"/>
  <c r="J2442" i="1"/>
  <c r="J2441" i="1"/>
  <c r="J2440" i="1"/>
  <c r="J2439" i="1"/>
  <c r="J2438" i="1"/>
  <c r="J2437" i="1"/>
  <c r="J2436" i="1"/>
  <c r="J2435" i="1"/>
  <c r="J2434" i="1"/>
  <c r="J2433" i="1"/>
  <c r="J2432" i="1"/>
  <c r="J2431" i="1"/>
  <c r="J2430" i="1"/>
  <c r="J2429" i="1"/>
  <c r="J2428" i="1"/>
  <c r="J2427" i="1"/>
  <c r="J2426" i="1"/>
  <c r="J2425" i="1"/>
  <c r="J2424" i="1"/>
  <c r="J2423" i="1"/>
  <c r="J2422" i="1"/>
  <c r="J2421" i="1"/>
  <c r="J2420" i="1"/>
  <c r="J2419" i="1"/>
  <c r="J2418" i="1"/>
  <c r="J2417" i="1"/>
  <c r="J2416" i="1"/>
  <c r="J2415" i="1"/>
  <c r="J2414" i="1"/>
  <c r="J2413" i="1"/>
  <c r="J2412" i="1"/>
  <c r="J2411" i="1"/>
  <c r="J2410" i="1"/>
  <c r="J2409" i="1"/>
  <c r="J2408" i="1"/>
  <c r="J2407" i="1"/>
  <c r="J2406" i="1"/>
  <c r="J2405" i="1"/>
  <c r="J2404" i="1"/>
  <c r="J2403" i="1"/>
  <c r="J2402" i="1"/>
  <c r="J2401" i="1"/>
  <c r="J2400" i="1"/>
  <c r="J2399" i="1"/>
  <c r="J2398" i="1"/>
  <c r="J2397" i="1"/>
  <c r="J2396" i="1"/>
  <c r="J2395" i="1"/>
  <c r="J2394" i="1"/>
  <c r="J2393" i="1"/>
  <c r="J2392" i="1"/>
  <c r="J2391" i="1"/>
  <c r="J2390" i="1"/>
  <c r="J2389" i="1"/>
  <c r="J2388" i="1"/>
  <c r="J2387" i="1"/>
  <c r="J2386" i="1"/>
  <c r="J2385" i="1"/>
  <c r="J2384" i="1"/>
  <c r="J2383" i="1"/>
  <c r="J2382" i="1"/>
  <c r="J2381" i="1"/>
  <c r="J2380" i="1"/>
  <c r="J2379" i="1"/>
  <c r="J2378" i="1"/>
  <c r="J2377" i="1"/>
  <c r="J2376" i="1"/>
  <c r="J2375" i="1"/>
  <c r="J2374" i="1"/>
  <c r="J2373" i="1"/>
  <c r="J2372" i="1"/>
  <c r="J2371" i="1"/>
  <c r="J2370" i="1"/>
  <c r="J2369" i="1"/>
  <c r="J2368" i="1"/>
  <c r="J2367" i="1"/>
  <c r="J2366" i="1"/>
  <c r="J2365" i="1"/>
  <c r="J2364" i="1"/>
  <c r="J2363" i="1"/>
  <c r="J2362" i="1"/>
  <c r="J2361" i="1"/>
  <c r="J2360" i="1"/>
  <c r="J2359" i="1"/>
  <c r="J2358" i="1"/>
  <c r="J2357" i="1"/>
  <c r="J2356" i="1"/>
  <c r="J2355" i="1"/>
  <c r="J2354" i="1"/>
  <c r="J2353" i="1"/>
  <c r="J2352" i="1"/>
  <c r="J2351" i="1"/>
  <c r="J2350" i="1"/>
  <c r="J2349" i="1"/>
  <c r="J2348" i="1"/>
  <c r="J2347" i="1"/>
  <c r="J2346" i="1"/>
  <c r="J2345" i="1"/>
  <c r="J2344" i="1"/>
  <c r="J2343" i="1"/>
  <c r="J2342" i="1"/>
  <c r="J2341" i="1"/>
  <c r="J2340" i="1"/>
  <c r="J2339" i="1"/>
  <c r="J2338" i="1"/>
  <c r="J2337" i="1"/>
  <c r="J2336" i="1"/>
  <c r="J2335" i="1"/>
  <c r="J2334" i="1"/>
  <c r="J2333" i="1"/>
  <c r="J2332" i="1"/>
  <c r="J2331" i="1"/>
  <c r="J2330" i="1"/>
  <c r="J2329" i="1"/>
  <c r="J2328" i="1"/>
  <c r="J2327" i="1"/>
  <c r="J2326" i="1"/>
  <c r="J2325" i="1"/>
  <c r="J2324" i="1"/>
  <c r="J2323" i="1"/>
  <c r="J2322" i="1"/>
  <c r="J2321" i="1"/>
  <c r="J2320" i="1"/>
  <c r="J2319" i="1"/>
  <c r="J2318" i="1"/>
  <c r="J2317" i="1"/>
  <c r="J2316" i="1"/>
  <c r="J2315" i="1"/>
  <c r="J2314" i="1"/>
  <c r="J2313" i="1"/>
  <c r="J2312" i="1"/>
  <c r="J2311" i="1"/>
  <c r="J2310" i="1"/>
  <c r="J2309" i="1"/>
  <c r="J2308" i="1"/>
  <c r="J2307" i="1"/>
  <c r="J2306" i="1"/>
  <c r="J2305" i="1"/>
  <c r="J2304" i="1"/>
  <c r="J2303" i="1"/>
  <c r="J2302" i="1"/>
  <c r="J2301" i="1"/>
  <c r="J2300" i="1"/>
  <c r="J2299" i="1"/>
  <c r="J2298" i="1"/>
  <c r="J2297" i="1"/>
  <c r="J2296" i="1"/>
  <c r="J2295" i="1"/>
  <c r="J2294" i="1"/>
  <c r="J2293" i="1"/>
  <c r="J2292" i="1"/>
  <c r="J2291" i="1"/>
  <c r="J2290" i="1"/>
  <c r="J2289" i="1"/>
  <c r="J2288" i="1"/>
  <c r="J2287" i="1"/>
  <c r="J2286" i="1"/>
  <c r="J2285" i="1"/>
  <c r="J2284" i="1"/>
  <c r="J2283" i="1"/>
  <c r="J2282" i="1"/>
  <c r="J2281" i="1"/>
  <c r="J2280" i="1"/>
  <c r="J2279" i="1"/>
  <c r="J2278" i="1"/>
  <c r="J2277" i="1"/>
  <c r="J2276" i="1"/>
  <c r="J2275" i="1"/>
  <c r="J2274" i="1"/>
  <c r="J2273" i="1"/>
  <c r="J2272" i="1"/>
  <c r="J2271" i="1"/>
  <c r="J2270" i="1"/>
  <c r="J2269" i="1"/>
  <c r="J2268" i="1"/>
  <c r="J2267" i="1"/>
  <c r="J2266" i="1"/>
  <c r="J2265" i="1"/>
  <c r="J2264" i="1"/>
  <c r="J2263" i="1"/>
  <c r="J2262" i="1"/>
  <c r="J2261" i="1"/>
  <c r="J2260" i="1"/>
  <c r="J2259" i="1"/>
  <c r="J2258" i="1"/>
  <c r="J2257" i="1"/>
  <c r="J2256" i="1"/>
  <c r="J2255" i="1"/>
  <c r="J2254" i="1"/>
  <c r="J2253" i="1"/>
  <c r="J2252" i="1"/>
  <c r="J2251" i="1"/>
  <c r="J2250" i="1"/>
  <c r="J2249" i="1"/>
  <c r="J2248" i="1"/>
  <c r="J2247" i="1"/>
  <c r="J2246" i="1"/>
  <c r="J2245" i="1"/>
  <c r="J2244" i="1"/>
  <c r="J2243" i="1"/>
  <c r="J2242" i="1"/>
  <c r="J2241" i="1"/>
  <c r="J2240" i="1"/>
  <c r="J2239" i="1"/>
  <c r="J2238" i="1"/>
  <c r="J2237" i="1"/>
  <c r="J2236" i="1"/>
  <c r="J2235" i="1"/>
  <c r="J2234" i="1"/>
  <c r="J2233" i="1"/>
  <c r="J2232" i="1"/>
  <c r="J2231" i="1"/>
  <c r="J2230" i="1"/>
  <c r="J2229" i="1"/>
  <c r="J2228" i="1"/>
  <c r="J2227" i="1"/>
  <c r="J2226" i="1"/>
  <c r="J2225" i="1"/>
  <c r="J2224" i="1"/>
  <c r="J2223" i="1"/>
  <c r="J2222" i="1"/>
  <c r="J2221" i="1"/>
  <c r="J2220" i="1"/>
  <c r="J2219" i="1"/>
  <c r="J2218" i="1"/>
  <c r="J2217" i="1"/>
  <c r="J2216" i="1"/>
  <c r="J2215" i="1"/>
  <c r="J2214" i="1"/>
  <c r="J2213" i="1"/>
  <c r="J2212" i="1"/>
  <c r="J2211" i="1"/>
  <c r="J2210" i="1"/>
  <c r="J2209" i="1"/>
  <c r="J2208" i="1"/>
  <c r="J2207" i="1"/>
  <c r="J2206" i="1"/>
  <c r="J2205" i="1"/>
  <c r="J2204" i="1"/>
  <c r="J2203" i="1"/>
  <c r="J2202" i="1"/>
  <c r="J2201" i="1"/>
  <c r="J2200" i="1"/>
  <c r="J2199" i="1"/>
  <c r="J2198" i="1"/>
  <c r="J2197" i="1"/>
  <c r="J2196" i="1"/>
  <c r="J2195" i="1"/>
  <c r="J2194" i="1"/>
  <c r="J2193" i="1"/>
  <c r="J2192" i="1"/>
  <c r="J2191" i="1"/>
  <c r="J2190" i="1"/>
  <c r="J2189" i="1"/>
  <c r="J2188" i="1"/>
  <c r="J2187" i="1"/>
  <c r="J2186" i="1"/>
  <c r="J2185" i="1"/>
  <c r="J2184" i="1"/>
  <c r="J2183" i="1"/>
  <c r="J2182" i="1"/>
  <c r="J2181" i="1"/>
  <c r="J2180" i="1"/>
  <c r="J2179" i="1"/>
  <c r="J2178" i="1"/>
  <c r="J2177" i="1"/>
  <c r="J2176" i="1"/>
  <c r="J2175" i="1"/>
  <c r="J2174" i="1"/>
  <c r="J2173" i="1"/>
  <c r="J2172" i="1"/>
  <c r="J2171" i="1"/>
  <c r="J2170" i="1"/>
  <c r="J2169" i="1"/>
  <c r="J2168" i="1"/>
  <c r="J2167" i="1"/>
  <c r="J2166" i="1"/>
  <c r="J2165" i="1"/>
  <c r="J2164" i="1"/>
  <c r="J2163" i="1"/>
  <c r="J2162" i="1"/>
  <c r="J2161" i="1"/>
  <c r="J2160" i="1"/>
  <c r="J2159" i="1"/>
  <c r="J2158" i="1"/>
  <c r="J2157" i="1"/>
  <c r="J2156" i="1"/>
  <c r="J2155" i="1"/>
  <c r="J2154" i="1"/>
  <c r="J2153" i="1"/>
  <c r="J2152" i="1"/>
  <c r="J2151" i="1"/>
  <c r="J2150" i="1"/>
  <c r="J2149" i="1"/>
  <c r="J2148" i="1"/>
  <c r="J2147" i="1"/>
  <c r="J2146" i="1"/>
  <c r="J2145" i="1"/>
  <c r="J2144" i="1"/>
  <c r="J2143" i="1"/>
  <c r="J2142" i="1"/>
  <c r="J2141" i="1"/>
  <c r="J2140" i="1"/>
  <c r="J2139" i="1"/>
  <c r="J2138" i="1"/>
  <c r="J2137" i="1"/>
  <c r="J2136" i="1"/>
  <c r="J2135" i="1"/>
  <c r="J2134" i="1"/>
  <c r="J2133" i="1"/>
  <c r="J2132" i="1"/>
  <c r="J2131" i="1"/>
  <c r="J2130" i="1"/>
  <c r="J2129" i="1"/>
  <c r="J2128" i="1"/>
  <c r="J2127" i="1"/>
  <c r="J2126" i="1"/>
  <c r="J2125" i="1"/>
  <c r="J2124" i="1"/>
  <c r="J2123" i="1"/>
  <c r="J2122" i="1"/>
  <c r="J2121" i="1"/>
  <c r="J2120" i="1"/>
  <c r="J2119" i="1"/>
  <c r="J2118" i="1"/>
  <c r="J2117" i="1"/>
  <c r="J2116" i="1"/>
  <c r="J2115" i="1"/>
  <c r="J2114" i="1"/>
  <c r="J2113" i="1"/>
  <c r="J2112" i="1"/>
  <c r="J2111" i="1"/>
  <c r="J2110" i="1"/>
  <c r="J2109" i="1"/>
  <c r="J2108" i="1"/>
  <c r="J2107" i="1"/>
  <c r="J2106" i="1"/>
  <c r="J2105" i="1"/>
  <c r="J2104" i="1"/>
  <c r="J2103" i="1"/>
  <c r="J2102" i="1"/>
  <c r="J2101" i="1"/>
  <c r="J2100" i="1"/>
  <c r="J2099" i="1"/>
  <c r="J2098" i="1"/>
  <c r="J2097" i="1"/>
  <c r="J2096" i="1"/>
  <c r="J2095" i="1"/>
  <c r="J2094" i="1"/>
  <c r="J2093" i="1"/>
  <c r="J2092" i="1"/>
  <c r="J2091" i="1"/>
  <c r="J2090" i="1"/>
  <c r="J2089" i="1"/>
  <c r="J2088" i="1"/>
  <c r="J2087" i="1"/>
  <c r="J2086" i="1"/>
  <c r="J2085" i="1"/>
  <c r="J2084" i="1"/>
  <c r="J2083" i="1"/>
  <c r="J2082" i="1"/>
  <c r="J2081" i="1"/>
  <c r="J2080" i="1"/>
  <c r="J2079" i="1"/>
  <c r="J2078" i="1"/>
  <c r="J2077" i="1"/>
  <c r="J2076" i="1"/>
  <c r="J2075" i="1"/>
  <c r="J2074" i="1"/>
  <c r="J2073" i="1"/>
  <c r="J2072" i="1"/>
  <c r="J2071" i="1"/>
  <c r="J2070" i="1"/>
  <c r="J2069" i="1"/>
  <c r="J2068" i="1"/>
  <c r="J2067" i="1"/>
  <c r="J2066" i="1"/>
  <c r="J2065" i="1"/>
  <c r="J2064" i="1"/>
  <c r="J2063" i="1"/>
  <c r="J2062" i="1"/>
  <c r="J2061" i="1"/>
  <c r="J2060" i="1"/>
  <c r="J2059" i="1"/>
  <c r="J2058" i="1"/>
  <c r="J2057" i="1"/>
  <c r="J2056" i="1"/>
  <c r="J2055" i="1"/>
  <c r="J2054" i="1"/>
  <c r="J2053" i="1"/>
  <c r="J2052" i="1"/>
  <c r="J2051" i="1"/>
  <c r="J2050" i="1"/>
  <c r="J2049" i="1"/>
  <c r="J2048" i="1"/>
  <c r="J2047" i="1"/>
  <c r="J2046" i="1"/>
  <c r="J2045" i="1"/>
  <c r="J2044" i="1"/>
  <c r="J2043" i="1"/>
  <c r="J2042" i="1"/>
  <c r="J2041" i="1"/>
  <c r="J2040" i="1"/>
  <c r="J2039" i="1"/>
  <c r="J2038" i="1"/>
  <c r="J2037" i="1"/>
  <c r="J2036" i="1"/>
  <c r="J2035" i="1"/>
  <c r="J2034" i="1"/>
  <c r="J2033" i="1"/>
  <c r="J2032" i="1"/>
  <c r="J2031" i="1"/>
  <c r="J2030" i="1"/>
  <c r="J2029" i="1"/>
  <c r="J2028" i="1"/>
  <c r="J2027" i="1"/>
  <c r="J2026" i="1"/>
  <c r="J2025" i="1"/>
  <c r="J2024" i="1"/>
  <c r="J2023" i="1"/>
  <c r="J2022" i="1"/>
  <c r="J2021" i="1"/>
  <c r="J2020" i="1"/>
  <c r="J2019" i="1"/>
  <c r="J2018" i="1"/>
  <c r="J2017" i="1"/>
  <c r="J2016" i="1"/>
  <c r="J2015" i="1"/>
  <c r="J2014" i="1"/>
  <c r="J2013" i="1"/>
  <c r="J2012" i="1"/>
  <c r="J2011" i="1"/>
  <c r="J2010" i="1"/>
  <c r="J2009" i="1"/>
  <c r="J2008" i="1"/>
  <c r="J2007" i="1"/>
  <c r="J2006" i="1"/>
  <c r="J2005" i="1"/>
  <c r="J2004" i="1"/>
  <c r="J2003" i="1"/>
  <c r="J2002" i="1"/>
  <c r="J2001" i="1"/>
  <c r="J2000" i="1"/>
  <c r="J1999" i="1"/>
  <c r="J1998" i="1"/>
  <c r="J1997" i="1"/>
  <c r="J1996" i="1"/>
  <c r="J1995" i="1"/>
  <c r="J1994" i="1"/>
  <c r="J1993" i="1"/>
  <c r="J1992" i="1"/>
  <c r="J1991" i="1"/>
  <c r="J1990" i="1"/>
  <c r="J1989" i="1"/>
  <c r="J1988" i="1"/>
  <c r="J1987" i="1"/>
  <c r="J1986" i="1"/>
  <c r="J1985" i="1"/>
  <c r="J1984" i="1"/>
  <c r="J1983" i="1"/>
  <c r="J1982" i="1"/>
  <c r="J1981" i="1"/>
  <c r="J1980" i="1"/>
  <c r="J1979" i="1"/>
  <c r="J1978" i="1"/>
  <c r="J1977" i="1"/>
  <c r="J1976" i="1"/>
  <c r="J1975" i="1"/>
  <c r="J1974" i="1"/>
  <c r="J1973" i="1"/>
  <c r="J1972" i="1"/>
  <c r="J1971" i="1"/>
  <c r="J1970" i="1"/>
  <c r="J1969" i="1"/>
  <c r="J1968" i="1"/>
  <c r="J1967" i="1"/>
  <c r="J1966" i="1"/>
  <c r="J1965" i="1"/>
  <c r="J1964" i="1"/>
  <c r="J1963" i="1"/>
  <c r="J1962" i="1"/>
  <c r="J1961" i="1"/>
  <c r="J1960" i="1"/>
  <c r="J1959" i="1"/>
  <c r="J1958" i="1"/>
  <c r="J1957" i="1"/>
  <c r="J1956" i="1"/>
  <c r="J1955" i="1"/>
  <c r="J1954" i="1"/>
  <c r="J1953" i="1"/>
  <c r="J1952" i="1"/>
  <c r="J1951" i="1"/>
  <c r="J1950" i="1"/>
  <c r="J1949" i="1"/>
  <c r="J1948" i="1"/>
  <c r="J1947" i="1"/>
  <c r="J1946" i="1"/>
  <c r="J1945" i="1"/>
  <c r="J1944" i="1"/>
  <c r="J1943" i="1"/>
  <c r="J1942" i="1"/>
  <c r="J1941" i="1"/>
  <c r="J1940" i="1"/>
  <c r="J1939" i="1"/>
  <c r="J1938" i="1"/>
  <c r="J1937" i="1"/>
  <c r="J1936" i="1"/>
  <c r="J1935" i="1"/>
  <c r="J1934" i="1"/>
  <c r="J1933" i="1"/>
  <c r="J1932" i="1"/>
  <c r="J1931" i="1"/>
  <c r="J1930" i="1"/>
  <c r="J1929" i="1"/>
  <c r="J1928" i="1"/>
  <c r="J1927" i="1"/>
  <c r="J1926" i="1"/>
  <c r="J1925" i="1"/>
  <c r="J1924" i="1"/>
  <c r="J1923" i="1"/>
  <c r="J1922" i="1"/>
  <c r="J1921" i="1"/>
  <c r="J1920" i="1"/>
  <c r="J1919" i="1"/>
  <c r="J1918" i="1"/>
  <c r="J1917" i="1"/>
  <c r="J1916" i="1"/>
  <c r="J1915" i="1"/>
  <c r="J1914" i="1"/>
  <c r="J1913" i="1"/>
  <c r="J1912" i="1"/>
  <c r="J1911" i="1"/>
  <c r="J1910" i="1"/>
  <c r="J1909" i="1"/>
  <c r="J1908" i="1"/>
  <c r="J1907" i="1"/>
  <c r="J1906" i="1"/>
  <c r="J1905" i="1"/>
  <c r="J1904" i="1"/>
  <c r="J1903" i="1"/>
  <c r="J1902" i="1"/>
  <c r="J1901" i="1"/>
  <c r="J1900" i="1"/>
  <c r="J1899" i="1"/>
  <c r="J1898" i="1"/>
  <c r="J1897" i="1"/>
  <c r="J1896" i="1"/>
  <c r="J1895" i="1"/>
  <c r="J1894" i="1"/>
  <c r="J1893" i="1"/>
  <c r="J1892" i="1"/>
  <c r="J1891" i="1"/>
  <c r="J1890" i="1"/>
  <c r="J1889" i="1"/>
  <c r="J1888" i="1"/>
  <c r="J1887" i="1"/>
  <c r="J1886" i="1"/>
  <c r="J1885" i="1"/>
  <c r="J1884" i="1"/>
  <c r="J1883" i="1"/>
  <c r="J1882" i="1"/>
  <c r="J1881" i="1"/>
  <c r="J1880" i="1"/>
  <c r="J1879" i="1"/>
  <c r="J1878" i="1"/>
  <c r="J1877" i="1"/>
  <c r="J1876" i="1"/>
  <c r="J1875" i="1"/>
  <c r="J1874" i="1"/>
  <c r="J1873" i="1"/>
  <c r="J1872" i="1"/>
  <c r="J1871" i="1"/>
  <c r="J1870" i="1"/>
  <c r="J1869" i="1"/>
  <c r="J1868" i="1"/>
  <c r="J1867" i="1"/>
  <c r="J1866" i="1"/>
  <c r="J1865" i="1"/>
  <c r="J1864" i="1"/>
  <c r="J1863" i="1"/>
  <c r="J1862" i="1"/>
  <c r="J1861" i="1"/>
  <c r="J1860" i="1"/>
  <c r="J1859" i="1"/>
  <c r="J1858" i="1"/>
  <c r="J1857" i="1"/>
  <c r="J1856" i="1"/>
  <c r="J1855" i="1"/>
  <c r="J1854" i="1"/>
  <c r="J1853" i="1"/>
  <c r="J1852" i="1"/>
  <c r="J1851" i="1"/>
  <c r="J1850" i="1"/>
  <c r="J1849" i="1"/>
  <c r="J1848" i="1"/>
  <c r="J1847" i="1"/>
  <c r="J1846" i="1"/>
  <c r="J1845" i="1"/>
  <c r="J1844" i="1"/>
  <c r="J1843" i="1"/>
  <c r="J1842" i="1"/>
  <c r="J1841" i="1"/>
  <c r="J1840" i="1"/>
  <c r="J1839" i="1"/>
  <c r="J1838" i="1"/>
  <c r="J1837" i="1"/>
  <c r="J1836" i="1"/>
  <c r="J1835" i="1"/>
  <c r="J1834" i="1"/>
  <c r="J1833" i="1"/>
  <c r="J1832" i="1"/>
  <c r="J1831" i="1"/>
  <c r="J1830" i="1"/>
  <c r="J1829" i="1"/>
  <c r="J1828" i="1"/>
  <c r="J1827" i="1"/>
  <c r="J1826" i="1"/>
  <c r="J1825" i="1"/>
  <c r="J1824" i="1"/>
  <c r="J1823" i="1"/>
  <c r="J1822" i="1"/>
  <c r="J1821" i="1"/>
  <c r="J1820" i="1"/>
  <c r="J1819" i="1"/>
  <c r="J1818" i="1"/>
  <c r="J1817" i="1"/>
  <c r="J1816" i="1"/>
  <c r="J1815" i="1"/>
  <c r="J1814" i="1"/>
  <c r="J1813" i="1"/>
  <c r="J1812" i="1"/>
  <c r="J1811" i="1"/>
  <c r="J1810" i="1"/>
  <c r="J1809" i="1"/>
  <c r="J1808" i="1"/>
  <c r="J1807" i="1"/>
  <c r="J1806" i="1"/>
  <c r="J1805" i="1"/>
  <c r="J1804" i="1"/>
  <c r="J1803" i="1"/>
  <c r="J1802" i="1"/>
  <c r="J1801" i="1"/>
  <c r="J1800" i="1"/>
  <c r="J1799" i="1"/>
  <c r="J1798" i="1"/>
  <c r="J1797" i="1"/>
  <c r="J1796" i="1"/>
  <c r="J1795" i="1"/>
  <c r="J1794" i="1"/>
  <c r="J1793" i="1"/>
  <c r="J1792" i="1"/>
  <c r="J1791" i="1"/>
  <c r="J1790" i="1"/>
  <c r="J1789" i="1"/>
  <c r="J1788" i="1"/>
  <c r="J1787" i="1"/>
  <c r="J1786" i="1"/>
  <c r="J1785" i="1"/>
  <c r="J1784" i="1"/>
  <c r="J1783" i="1"/>
  <c r="J1782" i="1"/>
  <c r="J1781" i="1"/>
  <c r="J1780" i="1"/>
  <c r="J1779" i="1"/>
  <c r="J1778" i="1"/>
  <c r="J1777" i="1"/>
  <c r="J1776" i="1"/>
  <c r="J1775" i="1"/>
  <c r="J1774" i="1"/>
  <c r="J1773" i="1"/>
  <c r="J1772" i="1"/>
  <c r="J1771" i="1"/>
  <c r="J1770" i="1"/>
  <c r="J1769" i="1"/>
  <c r="J1768" i="1"/>
  <c r="J1767" i="1"/>
  <c r="J1766" i="1"/>
  <c r="J1765" i="1"/>
  <c r="J1764" i="1"/>
  <c r="J1763" i="1"/>
  <c r="J1762" i="1"/>
  <c r="J1761" i="1"/>
  <c r="J1760" i="1"/>
  <c r="J1759" i="1"/>
  <c r="J1758" i="1"/>
  <c r="J1757" i="1"/>
  <c r="J1756" i="1"/>
  <c r="J1755" i="1"/>
  <c r="J1754" i="1"/>
  <c r="J1753" i="1"/>
  <c r="J1752" i="1"/>
  <c r="J1751" i="1"/>
  <c r="J1750" i="1"/>
  <c r="J1749" i="1"/>
  <c r="J1748" i="1"/>
  <c r="J1747" i="1"/>
  <c r="J1746" i="1"/>
  <c r="J1745" i="1"/>
  <c r="J1744" i="1"/>
  <c r="J1743" i="1"/>
  <c r="J1742" i="1"/>
  <c r="J1741" i="1"/>
  <c r="J1740" i="1"/>
  <c r="J1739" i="1"/>
  <c r="J1738" i="1"/>
  <c r="J1737" i="1"/>
  <c r="J1736" i="1"/>
  <c r="J1735" i="1"/>
  <c r="J1734" i="1"/>
  <c r="J1733" i="1"/>
  <c r="J1732" i="1"/>
  <c r="J1731" i="1"/>
  <c r="J1730" i="1"/>
  <c r="J1729" i="1"/>
  <c r="J1728" i="1"/>
  <c r="J1727" i="1"/>
  <c r="J1726" i="1"/>
  <c r="J1725" i="1"/>
  <c r="J1724" i="1"/>
  <c r="J1723" i="1"/>
  <c r="J1722" i="1"/>
  <c r="J1721" i="1"/>
  <c r="J1720" i="1"/>
  <c r="J1719" i="1"/>
  <c r="J1718" i="1"/>
  <c r="J1717" i="1"/>
  <c r="J1716" i="1"/>
  <c r="J1715" i="1"/>
  <c r="J1714" i="1"/>
  <c r="J1713" i="1"/>
  <c r="J1712" i="1"/>
  <c r="J1711" i="1"/>
  <c r="J1710" i="1"/>
  <c r="J1709" i="1"/>
  <c r="J1708" i="1"/>
  <c r="J1707" i="1"/>
  <c r="J1706" i="1"/>
  <c r="J1705" i="1"/>
  <c r="J1704" i="1"/>
  <c r="J1703" i="1"/>
  <c r="J1702" i="1"/>
  <c r="J1701" i="1"/>
  <c r="J1700" i="1"/>
  <c r="J1699" i="1"/>
  <c r="J1698" i="1"/>
  <c r="J1697" i="1"/>
  <c r="J1696" i="1"/>
  <c r="J1695" i="1"/>
  <c r="J1694" i="1"/>
  <c r="J1693" i="1"/>
  <c r="J1692" i="1"/>
  <c r="J1691" i="1"/>
  <c r="J1690" i="1"/>
  <c r="J1689" i="1"/>
  <c r="J1688" i="1"/>
  <c r="J1687" i="1"/>
  <c r="J1686" i="1"/>
  <c r="J1685" i="1"/>
  <c r="J1684" i="1"/>
  <c r="J1683" i="1"/>
  <c r="J1682" i="1"/>
  <c r="J1681" i="1"/>
  <c r="J1680" i="1"/>
  <c r="J1679" i="1"/>
  <c r="J1678" i="1"/>
  <c r="J1677" i="1"/>
  <c r="J1676" i="1"/>
  <c r="J1675" i="1"/>
  <c r="J1674" i="1"/>
  <c r="J1673" i="1"/>
  <c r="J1672" i="1"/>
  <c r="J1671" i="1"/>
  <c r="J1670" i="1"/>
  <c r="J1669" i="1"/>
  <c r="J1668" i="1"/>
  <c r="J1667" i="1"/>
  <c r="J1666" i="1"/>
  <c r="J1665" i="1"/>
  <c r="J1664" i="1"/>
  <c r="J1663" i="1"/>
  <c r="J1662" i="1"/>
  <c r="J1661" i="1"/>
  <c r="J1660" i="1"/>
  <c r="J1659" i="1"/>
  <c r="J1658" i="1"/>
  <c r="J1657" i="1"/>
  <c r="J1656" i="1"/>
  <c r="J1655" i="1"/>
  <c r="J1654" i="1"/>
  <c r="J1653" i="1"/>
  <c r="J1652" i="1"/>
  <c r="J1651" i="1"/>
  <c r="J1650" i="1"/>
  <c r="J1649" i="1"/>
  <c r="J1648" i="1"/>
  <c r="J1647" i="1"/>
  <c r="J1646" i="1"/>
  <c r="J1645" i="1"/>
  <c r="J1644" i="1"/>
  <c r="J1643" i="1"/>
  <c r="J1642" i="1"/>
  <c r="J1641" i="1"/>
  <c r="J1640" i="1"/>
  <c r="J1639" i="1"/>
  <c r="J1638" i="1"/>
  <c r="J1637" i="1"/>
  <c r="J1636" i="1"/>
  <c r="J1635" i="1"/>
  <c r="J1634" i="1"/>
  <c r="J1633" i="1"/>
  <c r="J1632" i="1"/>
  <c r="J1631" i="1"/>
  <c r="J1630" i="1"/>
  <c r="J1629" i="1"/>
  <c r="J1628" i="1"/>
  <c r="J1627" i="1"/>
  <c r="J1626" i="1"/>
  <c r="J1625" i="1"/>
  <c r="J1624" i="1"/>
  <c r="J1623" i="1"/>
  <c r="J1622" i="1"/>
  <c r="J1621" i="1"/>
  <c r="J1620" i="1"/>
  <c r="J1619" i="1"/>
  <c r="J1618" i="1"/>
  <c r="J1617" i="1"/>
  <c r="J1616" i="1"/>
  <c r="J1615" i="1"/>
  <c r="J1614" i="1"/>
  <c r="J1613" i="1"/>
  <c r="J1612" i="1"/>
  <c r="J1611" i="1"/>
  <c r="J1610" i="1"/>
  <c r="J1609" i="1"/>
  <c r="J1608" i="1"/>
  <c r="J1607" i="1"/>
  <c r="J1606" i="1"/>
  <c r="J1605" i="1"/>
  <c r="J1604" i="1"/>
  <c r="J1603" i="1"/>
  <c r="J1602" i="1"/>
  <c r="J1601" i="1"/>
  <c r="J1600" i="1"/>
  <c r="J1599" i="1"/>
  <c r="J1598" i="1"/>
  <c r="J1597" i="1"/>
  <c r="J1596" i="1"/>
  <c r="J1595" i="1"/>
  <c r="J1594" i="1"/>
  <c r="J1593" i="1"/>
  <c r="J1592" i="1"/>
  <c r="J1591" i="1"/>
  <c r="J1590" i="1"/>
  <c r="J1589" i="1"/>
  <c r="J1588" i="1"/>
  <c r="J1587" i="1"/>
  <c r="J1586" i="1"/>
  <c r="J1585" i="1"/>
  <c r="J1584" i="1"/>
  <c r="J1583" i="1"/>
  <c r="J1582" i="1"/>
  <c r="J1581" i="1"/>
  <c r="J1580" i="1"/>
  <c r="J1579" i="1"/>
  <c r="J1578" i="1"/>
  <c r="J1577" i="1"/>
  <c r="J1576" i="1"/>
  <c r="J1575" i="1"/>
  <c r="J1574" i="1"/>
  <c r="J1573" i="1"/>
  <c r="J1572" i="1"/>
  <c r="J1571" i="1"/>
  <c r="J1570" i="1"/>
  <c r="J1569" i="1"/>
  <c r="J1568" i="1"/>
  <c r="J1567" i="1"/>
  <c r="J1566" i="1"/>
  <c r="J1565" i="1"/>
  <c r="J1564" i="1"/>
  <c r="J1563" i="1"/>
  <c r="J1562" i="1"/>
  <c r="J1561" i="1"/>
  <c r="J1560" i="1"/>
  <c r="J1559" i="1"/>
  <c r="J1558" i="1"/>
  <c r="J1557" i="1"/>
  <c r="J1556" i="1"/>
  <c r="J1555" i="1"/>
  <c r="J1554" i="1"/>
  <c r="J1553" i="1"/>
  <c r="J1552" i="1"/>
  <c r="J1551" i="1"/>
  <c r="J1550" i="1"/>
  <c r="J1549" i="1"/>
  <c r="J1548" i="1"/>
  <c r="J1547" i="1"/>
  <c r="J1546" i="1"/>
  <c r="J1545" i="1"/>
  <c r="J1544" i="1"/>
  <c r="J1543" i="1"/>
  <c r="J1542" i="1"/>
  <c r="J1541" i="1"/>
  <c r="J1540" i="1"/>
  <c r="J1539" i="1"/>
  <c r="J1538" i="1"/>
  <c r="J1537" i="1"/>
  <c r="J1536" i="1"/>
  <c r="J1535" i="1"/>
  <c r="J1534" i="1"/>
  <c r="J1533" i="1"/>
  <c r="J1532" i="1"/>
  <c r="J1531" i="1"/>
  <c r="J1530" i="1"/>
  <c r="J1529" i="1"/>
  <c r="J1528" i="1"/>
  <c r="J1527" i="1"/>
  <c r="J1526" i="1"/>
  <c r="J1525" i="1"/>
  <c r="J1524" i="1"/>
  <c r="J1523" i="1"/>
  <c r="J1522" i="1"/>
  <c r="J1521" i="1"/>
  <c r="J1520" i="1"/>
  <c r="J1519" i="1"/>
  <c r="J1518" i="1"/>
  <c r="J1517" i="1"/>
  <c r="J1516" i="1"/>
  <c r="J1515" i="1"/>
  <c r="J1514" i="1"/>
  <c r="J1513" i="1"/>
  <c r="J1512" i="1"/>
  <c r="J1511" i="1"/>
  <c r="J1510" i="1"/>
  <c r="J1509" i="1"/>
  <c r="J1508" i="1"/>
  <c r="J1507" i="1"/>
  <c r="J1506" i="1"/>
  <c r="J1505" i="1"/>
  <c r="J1504" i="1"/>
  <c r="J1503" i="1"/>
  <c r="J1502" i="1"/>
  <c r="J1501" i="1"/>
  <c r="J1500" i="1"/>
  <c r="J1499" i="1"/>
  <c r="J1498" i="1"/>
  <c r="J1497" i="1"/>
  <c r="J1496" i="1"/>
  <c r="J1495" i="1"/>
  <c r="J1494" i="1"/>
  <c r="J1493" i="1"/>
  <c r="J1492" i="1"/>
  <c r="J1491" i="1"/>
  <c r="J1490" i="1"/>
  <c r="J1489" i="1"/>
  <c r="J1488" i="1"/>
  <c r="J1487" i="1"/>
  <c r="J1486" i="1"/>
  <c r="J1485" i="1"/>
  <c r="J1484" i="1"/>
  <c r="J1483" i="1"/>
  <c r="J1482" i="1"/>
  <c r="J1481" i="1"/>
  <c r="J1480" i="1"/>
  <c r="J1479" i="1"/>
  <c r="J1478" i="1"/>
  <c r="J1477" i="1"/>
  <c r="J1476" i="1"/>
  <c r="J1475" i="1"/>
  <c r="J1474" i="1"/>
  <c r="J1473" i="1"/>
  <c r="J1472" i="1"/>
  <c r="J1471" i="1"/>
  <c r="J1470" i="1"/>
  <c r="J1469" i="1"/>
  <c r="J1468" i="1"/>
  <c r="J1467" i="1"/>
  <c r="J1466" i="1"/>
  <c r="J1465" i="1"/>
  <c r="J1464" i="1"/>
  <c r="J1463" i="1"/>
  <c r="J1462" i="1"/>
  <c r="J1461" i="1"/>
  <c r="J1460" i="1"/>
  <c r="J1459" i="1"/>
  <c r="J1458" i="1"/>
  <c r="J1457" i="1"/>
  <c r="J1456" i="1"/>
  <c r="J1455" i="1"/>
  <c r="J1454" i="1"/>
  <c r="J1453" i="1"/>
  <c r="J1452" i="1"/>
  <c r="J1451" i="1"/>
  <c r="J1450" i="1"/>
  <c r="J1449" i="1"/>
  <c r="J1448" i="1"/>
  <c r="J1447" i="1"/>
  <c r="J1446" i="1"/>
  <c r="J1445" i="1"/>
  <c r="J1444" i="1"/>
  <c r="J1443" i="1"/>
  <c r="J1442" i="1"/>
  <c r="J1441" i="1"/>
  <c r="J1440" i="1"/>
  <c r="J1439" i="1"/>
  <c r="J1438" i="1"/>
  <c r="J1437" i="1"/>
  <c r="J1436" i="1"/>
  <c r="J1435" i="1"/>
  <c r="J1434" i="1"/>
  <c r="J1433" i="1"/>
  <c r="J1432" i="1"/>
  <c r="J1431" i="1"/>
  <c r="J1430" i="1"/>
  <c r="J1429" i="1"/>
  <c r="J1428" i="1"/>
  <c r="J1427" i="1"/>
  <c r="J1426" i="1"/>
  <c r="J1425" i="1"/>
  <c r="J1424" i="1"/>
  <c r="J1423" i="1"/>
  <c r="J1422" i="1"/>
  <c r="J1421" i="1"/>
  <c r="J1420" i="1"/>
  <c r="J1419" i="1"/>
  <c r="J1418" i="1"/>
  <c r="J1417" i="1"/>
  <c r="J1416" i="1"/>
  <c r="J1415" i="1"/>
  <c r="J1414" i="1"/>
  <c r="J1413" i="1"/>
  <c r="J1412" i="1"/>
  <c r="J1411" i="1"/>
  <c r="J1410" i="1"/>
  <c r="J1409" i="1"/>
  <c r="J1408" i="1"/>
  <c r="J1407" i="1"/>
  <c r="J1406" i="1"/>
  <c r="J1405" i="1"/>
  <c r="J1404" i="1"/>
  <c r="J1403" i="1"/>
  <c r="J1402" i="1"/>
  <c r="J1401" i="1"/>
  <c r="J1400" i="1"/>
  <c r="J1399" i="1"/>
  <c r="J1398" i="1"/>
  <c r="J1397" i="1"/>
  <c r="J1396" i="1"/>
  <c r="J1395" i="1"/>
  <c r="J1394" i="1"/>
  <c r="J1393" i="1"/>
  <c r="J1392" i="1"/>
  <c r="J1391" i="1"/>
  <c r="J1390" i="1"/>
  <c r="J1389" i="1"/>
  <c r="J1388" i="1"/>
  <c r="J1387" i="1"/>
  <c r="J1386" i="1"/>
  <c r="J1385" i="1"/>
  <c r="J1384" i="1"/>
  <c r="J1383" i="1"/>
  <c r="J1382" i="1"/>
  <c r="J1381" i="1"/>
  <c r="J1380" i="1"/>
  <c r="J1379" i="1"/>
  <c r="J1378" i="1"/>
  <c r="J1377" i="1"/>
  <c r="J1376" i="1"/>
  <c r="J1375" i="1"/>
  <c r="J1374" i="1"/>
  <c r="J1373" i="1"/>
  <c r="J1372" i="1"/>
  <c r="J1371" i="1"/>
  <c r="J1370" i="1"/>
  <c r="J1369" i="1"/>
  <c r="J1368" i="1"/>
  <c r="J1367" i="1"/>
  <c r="J1366" i="1"/>
  <c r="J1365" i="1"/>
  <c r="J1364" i="1"/>
  <c r="J1363" i="1"/>
  <c r="J1362" i="1"/>
  <c r="J1361" i="1"/>
  <c r="J1360" i="1"/>
  <c r="J1359" i="1"/>
  <c r="J1358" i="1"/>
  <c r="J1357" i="1"/>
  <c r="J1356" i="1"/>
  <c r="J1355" i="1"/>
  <c r="J1354" i="1"/>
  <c r="J1353" i="1"/>
  <c r="J1352" i="1"/>
  <c r="J1351" i="1"/>
  <c r="J1350" i="1"/>
  <c r="J1349" i="1"/>
  <c r="J1348" i="1"/>
  <c r="J1347" i="1"/>
  <c r="J1346" i="1"/>
  <c r="J1345" i="1"/>
  <c r="J1344" i="1"/>
  <c r="J1343" i="1"/>
  <c r="J1342" i="1"/>
  <c r="J1341" i="1"/>
  <c r="J1340" i="1"/>
  <c r="J1339" i="1"/>
  <c r="J1338" i="1"/>
  <c r="J1337" i="1"/>
  <c r="J1336" i="1"/>
  <c r="J1335" i="1"/>
  <c r="J1334" i="1"/>
  <c r="J1333" i="1"/>
  <c r="J1332" i="1"/>
  <c r="J1331" i="1"/>
  <c r="J1330" i="1"/>
  <c r="J1329" i="1"/>
  <c r="J1328" i="1"/>
  <c r="J1327" i="1"/>
  <c r="J1326" i="1"/>
  <c r="J1325" i="1"/>
  <c r="J1324" i="1"/>
  <c r="J1323" i="1"/>
  <c r="J1322" i="1"/>
  <c r="J1321" i="1"/>
  <c r="J1320" i="1"/>
  <c r="J1319" i="1"/>
  <c r="J1318" i="1"/>
  <c r="J1317" i="1"/>
  <c r="J1316" i="1"/>
  <c r="J1315" i="1"/>
  <c r="J1314" i="1"/>
  <c r="J1313" i="1"/>
  <c r="J1312" i="1"/>
  <c r="J1311" i="1"/>
  <c r="J1310" i="1"/>
  <c r="J1309" i="1"/>
  <c r="J1308" i="1"/>
  <c r="J1307" i="1"/>
  <c r="J1306" i="1"/>
  <c r="J1305" i="1"/>
  <c r="J1304" i="1"/>
  <c r="J1303" i="1"/>
  <c r="J1302" i="1"/>
  <c r="J1301" i="1"/>
  <c r="J1300" i="1"/>
  <c r="J1299" i="1"/>
  <c r="J1298" i="1"/>
  <c r="J1297" i="1"/>
  <c r="J1296" i="1"/>
  <c r="J1295" i="1"/>
  <c r="J1294" i="1"/>
  <c r="J1293" i="1"/>
  <c r="J1292" i="1"/>
  <c r="J1291" i="1"/>
  <c r="J1290" i="1"/>
  <c r="J1289" i="1"/>
  <c r="J1288" i="1"/>
  <c r="J1287" i="1"/>
  <c r="J1286" i="1"/>
  <c r="J1285" i="1"/>
  <c r="J1284" i="1"/>
  <c r="J1283" i="1"/>
  <c r="J1282" i="1"/>
  <c r="J1281" i="1"/>
  <c r="J1280" i="1"/>
  <c r="J1279" i="1"/>
  <c r="J1278" i="1"/>
  <c r="J1277" i="1"/>
  <c r="J1276" i="1"/>
  <c r="J1275" i="1"/>
  <c r="J1274" i="1"/>
  <c r="J1273" i="1"/>
  <c r="J1272" i="1"/>
  <c r="J1271" i="1"/>
  <c r="J1270" i="1"/>
  <c r="J1269" i="1"/>
  <c r="J1268" i="1"/>
  <c r="J1267" i="1"/>
  <c r="J1266" i="1"/>
  <c r="J1265" i="1"/>
  <c r="J1264" i="1"/>
  <c r="J1263" i="1"/>
  <c r="J1262" i="1"/>
  <c r="J1261" i="1"/>
  <c r="J1260" i="1"/>
  <c r="J1259" i="1"/>
  <c r="J1258" i="1"/>
  <c r="J1257" i="1"/>
  <c r="J1256" i="1"/>
  <c r="J1255" i="1"/>
  <c r="J1254" i="1"/>
  <c r="J1253" i="1"/>
  <c r="J1252" i="1"/>
  <c r="J1251" i="1"/>
  <c r="J1250" i="1"/>
  <c r="J1249" i="1"/>
  <c r="J1248" i="1"/>
  <c r="J1247" i="1"/>
  <c r="J1246" i="1"/>
  <c r="J1245" i="1"/>
  <c r="J1244" i="1"/>
  <c r="J1243" i="1"/>
  <c r="J1242" i="1"/>
  <c r="J1241" i="1"/>
  <c r="J1240" i="1"/>
  <c r="J1239" i="1"/>
  <c r="J1238" i="1"/>
  <c r="J1237" i="1"/>
  <c r="J1236" i="1"/>
  <c r="J1235" i="1"/>
  <c r="J1234" i="1"/>
  <c r="J1233" i="1"/>
  <c r="J1232" i="1"/>
  <c r="J1231" i="1"/>
  <c r="J1230" i="1"/>
  <c r="J1229" i="1"/>
  <c r="J1228" i="1"/>
  <c r="J1227" i="1"/>
  <c r="J1226" i="1"/>
  <c r="J1225" i="1"/>
  <c r="J1224" i="1"/>
  <c r="J1223" i="1"/>
  <c r="J1222" i="1"/>
  <c r="J1221" i="1"/>
  <c r="J1220" i="1"/>
  <c r="J1219" i="1"/>
  <c r="J1218" i="1"/>
  <c r="J1217" i="1"/>
  <c r="J1216" i="1"/>
  <c r="J1215" i="1"/>
  <c r="J1214" i="1"/>
  <c r="J1213" i="1"/>
  <c r="J1212" i="1"/>
  <c r="J1211" i="1"/>
  <c r="J1210" i="1"/>
  <c r="J1209" i="1"/>
  <c r="J1208" i="1"/>
  <c r="J1207" i="1"/>
  <c r="J1206" i="1"/>
  <c r="J1205" i="1"/>
  <c r="J1204" i="1"/>
  <c r="J1203" i="1"/>
  <c r="J1202" i="1"/>
  <c r="J1201" i="1"/>
  <c r="J1200" i="1"/>
  <c r="J1199" i="1"/>
  <c r="J1198" i="1"/>
  <c r="J1197" i="1"/>
  <c r="J1196" i="1"/>
  <c r="J1195" i="1"/>
  <c r="J1194" i="1"/>
  <c r="J1193" i="1"/>
  <c r="J1192" i="1"/>
  <c r="J1191" i="1"/>
  <c r="J1190" i="1"/>
  <c r="J1189" i="1"/>
  <c r="J1188" i="1"/>
  <c r="J1187" i="1"/>
  <c r="J1186" i="1"/>
  <c r="J1185" i="1"/>
  <c r="J1184" i="1"/>
  <c r="J1183" i="1"/>
  <c r="J1182" i="1"/>
  <c r="J1181" i="1"/>
  <c r="J1180" i="1"/>
  <c r="J1179" i="1"/>
  <c r="J1178" i="1"/>
  <c r="J1177" i="1"/>
  <c r="J1176" i="1"/>
  <c r="J1175" i="1"/>
  <c r="J1174" i="1"/>
  <c r="J1173" i="1"/>
  <c r="J1172" i="1"/>
  <c r="J1171" i="1"/>
  <c r="J1170" i="1"/>
  <c r="J1169" i="1"/>
  <c r="J1168" i="1"/>
  <c r="J1167" i="1"/>
  <c r="J1166" i="1"/>
  <c r="J1165" i="1"/>
  <c r="J1164" i="1"/>
  <c r="J1163" i="1"/>
  <c r="J1162" i="1"/>
  <c r="J1161" i="1"/>
  <c r="J1160" i="1"/>
  <c r="J1159" i="1"/>
  <c r="J1158" i="1"/>
  <c r="J1157" i="1"/>
  <c r="J1156" i="1"/>
  <c r="J1155" i="1"/>
  <c r="J1154" i="1"/>
  <c r="J1153" i="1"/>
  <c r="J1152" i="1"/>
  <c r="J1151" i="1"/>
  <c r="J1150" i="1"/>
  <c r="J1149" i="1"/>
  <c r="J1148" i="1"/>
  <c r="J1147" i="1"/>
  <c r="J1146" i="1"/>
  <c r="J1145" i="1"/>
  <c r="J1144" i="1"/>
  <c r="J1143" i="1"/>
  <c r="J1142" i="1"/>
  <c r="J1141" i="1"/>
  <c r="J1140" i="1"/>
  <c r="J1139" i="1"/>
  <c r="J1138" i="1"/>
  <c r="J1137" i="1"/>
  <c r="J1136" i="1"/>
  <c r="J1135" i="1"/>
  <c r="J1134" i="1"/>
  <c r="J1133" i="1"/>
  <c r="J1132" i="1"/>
  <c r="J1131" i="1"/>
  <c r="J1130" i="1"/>
  <c r="J1129" i="1"/>
  <c r="J1128" i="1"/>
  <c r="J1127" i="1"/>
  <c r="J1126" i="1"/>
  <c r="J1125" i="1"/>
  <c r="J1124" i="1"/>
  <c r="J1123" i="1"/>
  <c r="J1122" i="1"/>
  <c r="J1121" i="1"/>
  <c r="J1120" i="1"/>
  <c r="J1119" i="1"/>
  <c r="J1118" i="1"/>
  <c r="J1117" i="1"/>
  <c r="J1116" i="1"/>
  <c r="J1115" i="1"/>
  <c r="J1114" i="1"/>
  <c r="J1113" i="1"/>
  <c r="J1112" i="1"/>
  <c r="J1111" i="1"/>
  <c r="J1110" i="1"/>
  <c r="J1109" i="1"/>
  <c r="J1108" i="1"/>
  <c r="J1107" i="1"/>
  <c r="J1106" i="1"/>
  <c r="J1105" i="1"/>
  <c r="J1104" i="1"/>
  <c r="J1103" i="1"/>
  <c r="J1102" i="1"/>
  <c r="J1101" i="1"/>
  <c r="J1100" i="1"/>
  <c r="J1099" i="1"/>
  <c r="J1098" i="1"/>
  <c r="J1097" i="1"/>
  <c r="J1096" i="1"/>
  <c r="J1095" i="1"/>
  <c r="J1094" i="1"/>
  <c r="J1093" i="1"/>
  <c r="J1092" i="1"/>
  <c r="J1091" i="1"/>
  <c r="J1090" i="1"/>
  <c r="J1089" i="1"/>
  <c r="J1088" i="1"/>
  <c r="J1087" i="1"/>
  <c r="J1086" i="1"/>
  <c r="J1085" i="1"/>
  <c r="J1084" i="1"/>
  <c r="J1083" i="1"/>
  <c r="J1082" i="1"/>
  <c r="J1081" i="1"/>
  <c r="J1080" i="1"/>
  <c r="J1079" i="1"/>
  <c r="J1078" i="1"/>
  <c r="J1077" i="1"/>
  <c r="J1076" i="1"/>
  <c r="J1075" i="1"/>
  <c r="J1074" i="1"/>
  <c r="J1073" i="1"/>
  <c r="J1072" i="1"/>
  <c r="J1071" i="1"/>
  <c r="J1070" i="1"/>
  <c r="J1069" i="1"/>
  <c r="J1068" i="1"/>
  <c r="J1067" i="1"/>
  <c r="J1066" i="1"/>
  <c r="J1065" i="1"/>
  <c r="J1064" i="1"/>
  <c r="J1063" i="1"/>
  <c r="J1062" i="1"/>
  <c r="J1061" i="1"/>
  <c r="J1060" i="1"/>
  <c r="J1059" i="1"/>
  <c r="J1058" i="1"/>
  <c r="J1057" i="1"/>
  <c r="J1056" i="1"/>
  <c r="J1055" i="1"/>
  <c r="J1054" i="1"/>
  <c r="J1053" i="1"/>
  <c r="J1052" i="1"/>
  <c r="J1051" i="1"/>
  <c r="J1050" i="1"/>
  <c r="J1049" i="1"/>
  <c r="J1048" i="1"/>
  <c r="J1047" i="1"/>
  <c r="J1046" i="1"/>
  <c r="J1045" i="1"/>
  <c r="J1044" i="1"/>
  <c r="J1043" i="1"/>
  <c r="J1042" i="1"/>
  <c r="J1041" i="1"/>
  <c r="J1040" i="1"/>
  <c r="J1039" i="1"/>
  <c r="J1038" i="1"/>
  <c r="J1037" i="1"/>
  <c r="J1036" i="1"/>
  <c r="J1035" i="1"/>
  <c r="J1034" i="1"/>
  <c r="J1033" i="1"/>
  <c r="J1032" i="1"/>
  <c r="J1031" i="1"/>
  <c r="J1030" i="1"/>
  <c r="J1029" i="1"/>
  <c r="J1028" i="1"/>
  <c r="J1027" i="1"/>
  <c r="J1026" i="1"/>
  <c r="J1025" i="1"/>
  <c r="J1024" i="1"/>
  <c r="J1023" i="1"/>
  <c r="J1022" i="1"/>
  <c r="J1021" i="1"/>
  <c r="J1020" i="1"/>
  <c r="J1019" i="1"/>
  <c r="J1018" i="1"/>
  <c r="J1017" i="1"/>
  <c r="J1016" i="1"/>
  <c r="J1015" i="1"/>
  <c r="J1014" i="1"/>
  <c r="J1013" i="1"/>
  <c r="J1012" i="1"/>
  <c r="J1011" i="1"/>
  <c r="J1010" i="1"/>
  <c r="J1009" i="1"/>
  <c r="J1008" i="1"/>
  <c r="J1007" i="1"/>
  <c r="J1006" i="1"/>
  <c r="J1005" i="1"/>
  <c r="J1004" i="1"/>
  <c r="J1003" i="1"/>
  <c r="J1002" i="1"/>
  <c r="J1001" i="1"/>
  <c r="J1000" i="1"/>
  <c r="J999" i="1"/>
  <c r="J998" i="1"/>
  <c r="J997" i="1"/>
  <c r="J996" i="1"/>
  <c r="J995" i="1"/>
  <c r="J994" i="1"/>
  <c r="J993" i="1"/>
  <c r="J992" i="1"/>
  <c r="J991" i="1"/>
  <c r="J990" i="1"/>
  <c r="J989" i="1"/>
  <c r="J988" i="1"/>
  <c r="J987" i="1"/>
  <c r="J986" i="1"/>
  <c r="J985" i="1"/>
  <c r="J984" i="1"/>
  <c r="J983" i="1"/>
  <c r="J982" i="1"/>
  <c r="J981" i="1"/>
  <c r="J980" i="1"/>
  <c r="J979" i="1"/>
  <c r="J978" i="1"/>
  <c r="J977" i="1"/>
  <c r="J976" i="1"/>
  <c r="J975" i="1"/>
  <c r="J974" i="1"/>
  <c r="J973" i="1"/>
  <c r="J972" i="1"/>
  <c r="J971" i="1"/>
  <c r="J970" i="1"/>
  <c r="J969" i="1"/>
  <c r="J968" i="1"/>
  <c r="J967" i="1"/>
  <c r="J966" i="1"/>
  <c r="J965" i="1"/>
  <c r="J964" i="1"/>
  <c r="J963" i="1"/>
  <c r="J962" i="1"/>
  <c r="J961" i="1"/>
  <c r="J960" i="1"/>
  <c r="J959" i="1"/>
  <c r="J958" i="1"/>
  <c r="J957" i="1"/>
  <c r="J956" i="1"/>
  <c r="J955" i="1"/>
  <c r="J954" i="1"/>
  <c r="J953" i="1"/>
  <c r="J952" i="1"/>
  <c r="J951" i="1"/>
  <c r="J950" i="1"/>
  <c r="J949" i="1"/>
  <c r="J948" i="1"/>
  <c r="J947" i="1"/>
  <c r="J946" i="1"/>
  <c r="J945" i="1"/>
  <c r="J944" i="1"/>
  <c r="J943" i="1"/>
  <c r="J942" i="1"/>
  <c r="J941" i="1"/>
  <c r="J940" i="1"/>
  <c r="J939" i="1"/>
  <c r="J938" i="1"/>
  <c r="J937" i="1"/>
  <c r="J936" i="1"/>
  <c r="J935" i="1"/>
  <c r="J934" i="1"/>
  <c r="J933" i="1"/>
  <c r="J932" i="1"/>
  <c r="J931" i="1"/>
  <c r="J930" i="1"/>
  <c r="J929" i="1"/>
  <c r="J928" i="1"/>
  <c r="J927" i="1"/>
  <c r="J926" i="1"/>
  <c r="J925" i="1"/>
  <c r="J924" i="1"/>
  <c r="J923" i="1"/>
  <c r="J922" i="1"/>
  <c r="J921" i="1"/>
  <c r="J920" i="1"/>
  <c r="J919" i="1"/>
  <c r="J918" i="1"/>
  <c r="J917" i="1"/>
  <c r="J916" i="1"/>
  <c r="J915" i="1"/>
  <c r="J914" i="1"/>
  <c r="J913" i="1"/>
  <c r="J912" i="1"/>
  <c r="J911" i="1"/>
  <c r="J910" i="1"/>
  <c r="J909" i="1"/>
  <c r="J908" i="1"/>
  <c r="J907" i="1"/>
  <c r="J906" i="1"/>
  <c r="J905" i="1"/>
  <c r="J904" i="1"/>
  <c r="J903" i="1"/>
  <c r="J902" i="1"/>
  <c r="J901" i="1"/>
  <c r="J900" i="1"/>
  <c r="J899" i="1"/>
  <c r="J898" i="1"/>
  <c r="J897" i="1"/>
  <c r="J896" i="1"/>
  <c r="J895" i="1"/>
  <c r="J894" i="1"/>
  <c r="J893" i="1"/>
  <c r="J892" i="1"/>
  <c r="J891" i="1"/>
  <c r="J890" i="1"/>
  <c r="J889" i="1"/>
  <c r="J888" i="1"/>
  <c r="J887" i="1"/>
  <c r="J886" i="1"/>
  <c r="J885" i="1"/>
  <c r="J884" i="1"/>
  <c r="J883" i="1"/>
  <c r="J882" i="1"/>
  <c r="J881" i="1"/>
  <c r="J880" i="1"/>
  <c r="J879" i="1"/>
  <c r="J878" i="1"/>
  <c r="J877" i="1"/>
  <c r="J876" i="1"/>
  <c r="J875" i="1"/>
  <c r="J874" i="1"/>
  <c r="J873" i="1"/>
  <c r="J872" i="1"/>
  <c r="J871" i="1"/>
  <c r="J870" i="1"/>
  <c r="J869" i="1"/>
  <c r="J868" i="1"/>
  <c r="J867" i="1"/>
  <c r="J866" i="1"/>
  <c r="J865" i="1"/>
  <c r="J864" i="1"/>
  <c r="J863" i="1"/>
  <c r="J862" i="1"/>
  <c r="J861" i="1"/>
  <c r="J860" i="1"/>
  <c r="J859" i="1"/>
  <c r="J858" i="1"/>
  <c r="J857" i="1"/>
  <c r="J856" i="1"/>
  <c r="J855" i="1"/>
  <c r="J854" i="1"/>
  <c r="J853" i="1"/>
  <c r="J852" i="1"/>
  <c r="J851" i="1"/>
  <c r="J850" i="1"/>
  <c r="J849" i="1"/>
  <c r="J848" i="1"/>
  <c r="J847" i="1"/>
  <c r="J846" i="1"/>
  <c r="J845" i="1"/>
  <c r="J844" i="1"/>
  <c r="J843" i="1"/>
  <c r="J842" i="1"/>
  <c r="J841" i="1"/>
  <c r="J840" i="1"/>
  <c r="J839" i="1"/>
  <c r="J838" i="1"/>
  <c r="J837" i="1"/>
  <c r="J836" i="1"/>
  <c r="J835" i="1"/>
  <c r="J834" i="1"/>
  <c r="J833" i="1"/>
  <c r="J832" i="1"/>
  <c r="J831" i="1"/>
  <c r="J830" i="1"/>
  <c r="J829" i="1"/>
  <c r="J828" i="1"/>
  <c r="J827" i="1"/>
  <c r="J826" i="1"/>
  <c r="J825" i="1"/>
  <c r="J824" i="1"/>
  <c r="J823" i="1"/>
  <c r="J822" i="1"/>
  <c r="J821" i="1"/>
  <c r="J820" i="1"/>
  <c r="J819" i="1"/>
  <c r="J818" i="1"/>
  <c r="J817" i="1"/>
  <c r="J816" i="1"/>
  <c r="J815" i="1"/>
  <c r="J814" i="1"/>
  <c r="J813" i="1"/>
  <c r="J812" i="1"/>
  <c r="J811" i="1"/>
  <c r="J810" i="1"/>
  <c r="J809" i="1"/>
  <c r="J808" i="1"/>
  <c r="J807" i="1"/>
  <c r="J806" i="1"/>
  <c r="J805" i="1"/>
  <c r="J804" i="1"/>
  <c r="J803" i="1"/>
  <c r="J802" i="1"/>
  <c r="J801" i="1"/>
  <c r="J800" i="1"/>
  <c r="J799" i="1"/>
  <c r="J798" i="1"/>
  <c r="J797" i="1"/>
  <c r="J796" i="1"/>
  <c r="J795" i="1"/>
  <c r="J794" i="1"/>
  <c r="J793" i="1"/>
  <c r="J792" i="1"/>
  <c r="J791" i="1"/>
  <c r="J790" i="1"/>
  <c r="J789" i="1"/>
  <c r="J788" i="1"/>
  <c r="J787" i="1"/>
  <c r="J786" i="1"/>
  <c r="J785" i="1"/>
  <c r="J784" i="1"/>
  <c r="J783" i="1"/>
  <c r="J782" i="1"/>
  <c r="J781" i="1"/>
  <c r="J780" i="1"/>
  <c r="J779" i="1"/>
  <c r="J778" i="1"/>
  <c r="J777" i="1"/>
  <c r="J776" i="1"/>
  <c r="J775" i="1"/>
  <c r="J774" i="1"/>
  <c r="J773" i="1"/>
  <c r="J772" i="1"/>
  <c r="J771" i="1"/>
  <c r="J770" i="1"/>
  <c r="J769" i="1"/>
  <c r="J768" i="1"/>
  <c r="J767" i="1"/>
  <c r="J766" i="1"/>
  <c r="J765" i="1"/>
  <c r="J764" i="1"/>
  <c r="J763" i="1"/>
  <c r="J762" i="1"/>
  <c r="J761" i="1"/>
  <c r="J760" i="1"/>
  <c r="J759" i="1"/>
  <c r="J758" i="1"/>
  <c r="J757" i="1"/>
  <c r="J756" i="1"/>
  <c r="J755" i="1"/>
  <c r="J754" i="1"/>
  <c r="J753" i="1"/>
  <c r="J752" i="1"/>
  <c r="J751" i="1"/>
  <c r="J750" i="1"/>
  <c r="J749" i="1"/>
  <c r="J748" i="1"/>
  <c r="J747" i="1"/>
  <c r="J746" i="1"/>
  <c r="J745" i="1"/>
  <c r="J744" i="1"/>
  <c r="J743" i="1"/>
  <c r="J742" i="1"/>
  <c r="J741" i="1"/>
  <c r="J740" i="1"/>
  <c r="J739" i="1"/>
  <c r="J738" i="1"/>
  <c r="J737" i="1"/>
  <c r="J736" i="1"/>
  <c r="J735" i="1"/>
  <c r="J734" i="1"/>
  <c r="J733" i="1"/>
  <c r="J732" i="1"/>
  <c r="J731" i="1"/>
  <c r="J730" i="1"/>
  <c r="J729" i="1"/>
  <c r="J728" i="1"/>
  <c r="J727" i="1"/>
  <c r="J726" i="1"/>
  <c r="J725" i="1"/>
  <c r="J724" i="1"/>
  <c r="J723" i="1"/>
  <c r="J722" i="1"/>
  <c r="J721" i="1"/>
  <c r="J720" i="1"/>
  <c r="J719" i="1"/>
  <c r="J718" i="1"/>
  <c r="J717" i="1"/>
  <c r="J716" i="1"/>
  <c r="J715" i="1"/>
  <c r="J714" i="1"/>
  <c r="J713" i="1"/>
  <c r="J712" i="1"/>
  <c r="J711" i="1"/>
  <c r="J710" i="1"/>
  <c r="J709" i="1"/>
  <c r="J708" i="1"/>
  <c r="J707" i="1"/>
  <c r="J706" i="1"/>
  <c r="J705" i="1"/>
  <c r="J704" i="1"/>
  <c r="J703" i="1"/>
  <c r="J702" i="1"/>
  <c r="J701" i="1"/>
  <c r="J700" i="1"/>
  <c r="J699" i="1"/>
  <c r="J698" i="1"/>
  <c r="J697" i="1"/>
  <c r="J696" i="1"/>
  <c r="J695" i="1"/>
  <c r="J694" i="1"/>
  <c r="J693" i="1"/>
  <c r="J692" i="1"/>
  <c r="J691" i="1"/>
  <c r="J690" i="1"/>
  <c r="J689" i="1"/>
  <c r="J688" i="1"/>
  <c r="J687" i="1"/>
  <c r="J686" i="1"/>
  <c r="J685" i="1"/>
  <c r="J684" i="1"/>
  <c r="J683" i="1"/>
  <c r="J682" i="1"/>
  <c r="J681" i="1"/>
  <c r="J680" i="1"/>
  <c r="J679" i="1"/>
  <c r="J678" i="1"/>
  <c r="J677" i="1"/>
  <c r="J676" i="1"/>
  <c r="J675" i="1"/>
  <c r="J674" i="1"/>
  <c r="J673" i="1"/>
  <c r="J672" i="1"/>
  <c r="J671" i="1"/>
  <c r="J670" i="1"/>
  <c r="J669" i="1"/>
  <c r="J668" i="1"/>
  <c r="J667" i="1"/>
  <c r="J666" i="1"/>
  <c r="J665" i="1"/>
  <c r="J664" i="1"/>
  <c r="J663" i="1"/>
  <c r="J662" i="1"/>
  <c r="J661" i="1"/>
  <c r="J660" i="1"/>
  <c r="J659" i="1"/>
  <c r="J658" i="1"/>
  <c r="J657" i="1"/>
  <c r="J656" i="1"/>
  <c r="J655" i="1"/>
  <c r="J654" i="1"/>
  <c r="J653" i="1"/>
  <c r="J652" i="1"/>
  <c r="J651" i="1"/>
  <c r="J650" i="1"/>
  <c r="J649" i="1"/>
  <c r="J648" i="1"/>
  <c r="J647" i="1"/>
  <c r="J646" i="1"/>
  <c r="J645" i="1"/>
  <c r="J644" i="1"/>
  <c r="J643" i="1"/>
  <c r="J642" i="1"/>
  <c r="J641" i="1"/>
  <c r="J640" i="1"/>
  <c r="J639" i="1"/>
  <c r="J638" i="1"/>
  <c r="J637" i="1"/>
  <c r="J636" i="1"/>
  <c r="J635" i="1"/>
  <c r="J634" i="1"/>
  <c r="J633" i="1"/>
  <c r="J632" i="1"/>
  <c r="J631" i="1"/>
  <c r="J630" i="1"/>
  <c r="J629" i="1"/>
  <c r="J628" i="1"/>
  <c r="J627" i="1"/>
  <c r="J626" i="1"/>
  <c r="J625" i="1"/>
  <c r="J624" i="1"/>
  <c r="J623" i="1"/>
  <c r="J622" i="1"/>
  <c r="J621" i="1"/>
  <c r="J620" i="1"/>
  <c r="J619" i="1"/>
  <c r="J618" i="1"/>
  <c r="J617" i="1"/>
  <c r="J616" i="1"/>
  <c r="J615" i="1"/>
  <c r="J614" i="1"/>
  <c r="J613" i="1"/>
  <c r="J612" i="1"/>
  <c r="J611" i="1"/>
  <c r="J610" i="1"/>
  <c r="J609" i="1"/>
  <c r="J608" i="1"/>
  <c r="J607" i="1"/>
  <c r="J606" i="1"/>
  <c r="J605" i="1"/>
  <c r="J604" i="1"/>
  <c r="J603" i="1"/>
  <c r="J602" i="1"/>
  <c r="J601" i="1"/>
  <c r="J600" i="1"/>
  <c r="J599" i="1"/>
  <c r="J598" i="1"/>
  <c r="J597" i="1"/>
  <c r="J596" i="1"/>
  <c r="J595" i="1"/>
  <c r="J594" i="1"/>
  <c r="J593" i="1"/>
  <c r="J592" i="1"/>
  <c r="J591" i="1"/>
  <c r="J590" i="1"/>
  <c r="J589" i="1"/>
  <c r="J588" i="1"/>
  <c r="J587" i="1"/>
  <c r="J586" i="1"/>
  <c r="J585" i="1"/>
  <c r="J584" i="1"/>
  <c r="J583" i="1"/>
  <c r="J582" i="1"/>
  <c r="J581" i="1"/>
  <c r="J580" i="1"/>
  <c r="J579" i="1"/>
  <c r="J578" i="1"/>
  <c r="J577" i="1"/>
  <c r="J576" i="1"/>
  <c r="J575" i="1"/>
  <c r="J574" i="1"/>
  <c r="J573" i="1"/>
  <c r="J572" i="1"/>
  <c r="J571" i="1"/>
  <c r="J570" i="1"/>
  <c r="J569" i="1"/>
  <c r="J568" i="1"/>
  <c r="J567" i="1"/>
  <c r="J566" i="1"/>
  <c r="J565" i="1"/>
  <c r="J564" i="1"/>
  <c r="J563" i="1"/>
  <c r="J562" i="1"/>
  <c r="J561" i="1"/>
  <c r="J560" i="1"/>
  <c r="J559" i="1"/>
  <c r="J558" i="1"/>
  <c r="J557" i="1"/>
  <c r="J556" i="1"/>
  <c r="J555" i="1"/>
  <c r="J554" i="1"/>
  <c r="J553" i="1"/>
  <c r="J552" i="1"/>
  <c r="J551" i="1"/>
  <c r="J550" i="1"/>
  <c r="J549" i="1"/>
  <c r="J548" i="1"/>
  <c r="J547" i="1"/>
  <c r="J546" i="1"/>
  <c r="J545" i="1"/>
  <c r="J544" i="1"/>
  <c r="J543" i="1"/>
  <c r="J542" i="1"/>
  <c r="J541" i="1"/>
  <c r="J540" i="1"/>
  <c r="J539" i="1"/>
  <c r="J538" i="1"/>
  <c r="J537" i="1"/>
  <c r="J536" i="1"/>
  <c r="J535" i="1"/>
  <c r="J534" i="1"/>
  <c r="J533" i="1"/>
  <c r="J532" i="1"/>
  <c r="J531" i="1"/>
  <c r="J530" i="1"/>
  <c r="J529" i="1"/>
  <c r="J528" i="1"/>
  <c r="J527" i="1"/>
  <c r="J526" i="1"/>
  <c r="J525" i="1"/>
  <c r="J524" i="1"/>
  <c r="J523" i="1"/>
  <c r="J522" i="1"/>
  <c r="J521" i="1"/>
  <c r="J520" i="1"/>
  <c r="J519" i="1"/>
  <c r="J518" i="1"/>
  <c r="J517" i="1"/>
  <c r="J516" i="1"/>
  <c r="J515" i="1"/>
  <c r="J514" i="1"/>
  <c r="J513" i="1"/>
  <c r="J512" i="1"/>
  <c r="J511" i="1"/>
  <c r="J510" i="1"/>
  <c r="J509" i="1"/>
  <c r="J508" i="1"/>
  <c r="J507" i="1"/>
  <c r="J506" i="1"/>
  <c r="J505" i="1"/>
  <c r="J504" i="1"/>
  <c r="J503" i="1"/>
  <c r="J502" i="1"/>
  <c r="J501" i="1"/>
  <c r="J500" i="1"/>
  <c r="J499" i="1"/>
  <c r="J498" i="1"/>
  <c r="J497" i="1"/>
  <c r="J496" i="1"/>
  <c r="J495" i="1"/>
  <c r="J494" i="1"/>
  <c r="J493" i="1"/>
  <c r="J492" i="1"/>
  <c r="J491" i="1"/>
  <c r="J490" i="1"/>
  <c r="J489" i="1"/>
  <c r="J488" i="1"/>
  <c r="J487" i="1"/>
  <c r="J486" i="1"/>
  <c r="J485" i="1"/>
  <c r="J484" i="1"/>
  <c r="J483" i="1"/>
  <c r="J482" i="1"/>
  <c r="J481" i="1"/>
  <c r="J480" i="1"/>
  <c r="J479" i="1"/>
  <c r="J478" i="1"/>
  <c r="J477" i="1"/>
  <c r="J476" i="1"/>
  <c r="J475" i="1"/>
  <c r="J474" i="1"/>
  <c r="J473" i="1"/>
  <c r="J472" i="1"/>
  <c r="J471" i="1"/>
  <c r="J470" i="1"/>
  <c r="J469" i="1"/>
  <c r="J468" i="1"/>
  <c r="J467" i="1"/>
  <c r="J466" i="1"/>
  <c r="J465" i="1"/>
  <c r="J464" i="1"/>
  <c r="J463" i="1"/>
  <c r="J462" i="1"/>
  <c r="J461" i="1"/>
  <c r="J460" i="1"/>
  <c r="J459" i="1"/>
  <c r="J458" i="1"/>
  <c r="J457" i="1"/>
  <c r="J456" i="1"/>
  <c r="J455" i="1"/>
  <c r="J454" i="1"/>
  <c r="J453" i="1"/>
  <c r="J452" i="1"/>
  <c r="J451" i="1"/>
  <c r="J450" i="1"/>
  <c r="J449" i="1"/>
  <c r="J448" i="1"/>
  <c r="J447" i="1"/>
  <c r="J446" i="1"/>
  <c r="J445" i="1"/>
  <c r="J444" i="1"/>
  <c r="J443" i="1"/>
  <c r="J442" i="1"/>
  <c r="J441" i="1"/>
  <c r="J440" i="1"/>
  <c r="J439" i="1"/>
  <c r="J438" i="1"/>
  <c r="J437" i="1"/>
  <c r="J436" i="1"/>
  <c r="J435" i="1"/>
  <c r="J434" i="1"/>
  <c r="J433" i="1"/>
  <c r="J432" i="1"/>
  <c r="J431" i="1"/>
  <c r="J430" i="1"/>
  <c r="J429" i="1"/>
  <c r="J428" i="1"/>
  <c r="J427" i="1"/>
  <c r="J426" i="1"/>
  <c r="J425" i="1"/>
  <c r="J424" i="1"/>
  <c r="J423" i="1"/>
  <c r="J422" i="1"/>
  <c r="J421" i="1"/>
  <c r="J420" i="1"/>
  <c r="J419" i="1"/>
  <c r="J418" i="1"/>
  <c r="J417" i="1"/>
  <c r="J416" i="1"/>
  <c r="J415" i="1"/>
  <c r="J414" i="1"/>
  <c r="J413" i="1"/>
  <c r="J412" i="1"/>
  <c r="J411" i="1"/>
  <c r="J410" i="1"/>
  <c r="J409" i="1"/>
  <c r="J408" i="1"/>
  <c r="J407" i="1"/>
  <c r="J406" i="1"/>
  <c r="J405" i="1"/>
  <c r="J404" i="1"/>
  <c r="J403" i="1"/>
  <c r="J402" i="1"/>
  <c r="J401" i="1"/>
  <c r="J400" i="1"/>
  <c r="J399" i="1"/>
  <c r="J398" i="1"/>
  <c r="J397" i="1"/>
  <c r="J396" i="1"/>
  <c r="J395" i="1"/>
  <c r="J394" i="1"/>
  <c r="J393" i="1"/>
  <c r="J392" i="1"/>
  <c r="J391" i="1"/>
  <c r="J390" i="1"/>
  <c r="J389" i="1"/>
  <c r="J388" i="1"/>
  <c r="J387" i="1"/>
  <c r="J386" i="1"/>
  <c r="J385" i="1"/>
  <c r="J384" i="1"/>
  <c r="J383" i="1"/>
  <c r="J382" i="1"/>
  <c r="J381" i="1"/>
  <c r="J380" i="1"/>
  <c r="J379" i="1"/>
  <c r="J378" i="1"/>
  <c r="J377" i="1"/>
  <c r="J376" i="1"/>
  <c r="J375" i="1"/>
  <c r="J374" i="1"/>
  <c r="J373" i="1"/>
  <c r="J372" i="1"/>
  <c r="J371" i="1"/>
  <c r="J370" i="1"/>
  <c r="J369" i="1"/>
  <c r="J368" i="1"/>
  <c r="J367" i="1"/>
  <c r="J366" i="1"/>
  <c r="J365" i="1"/>
  <c r="J364" i="1"/>
  <c r="J363" i="1"/>
  <c r="J362" i="1"/>
  <c r="J361" i="1"/>
  <c r="J360" i="1"/>
  <c r="J359" i="1"/>
  <c r="J358" i="1"/>
  <c r="J357" i="1"/>
  <c r="J356" i="1"/>
  <c r="J355" i="1"/>
  <c r="J354" i="1"/>
  <c r="J353" i="1"/>
  <c r="J352" i="1"/>
  <c r="J351" i="1"/>
  <c r="J350" i="1"/>
  <c r="J349" i="1"/>
  <c r="J348" i="1"/>
  <c r="J347" i="1"/>
  <c r="J346" i="1"/>
  <c r="J345" i="1"/>
  <c r="J344" i="1"/>
  <c r="J343" i="1"/>
  <c r="J342" i="1"/>
  <c r="J341" i="1"/>
  <c r="J340" i="1"/>
  <c r="J339" i="1"/>
  <c r="J338" i="1"/>
  <c r="J337" i="1"/>
  <c r="J336" i="1"/>
  <c r="J335" i="1"/>
  <c r="J334" i="1"/>
  <c r="J333" i="1"/>
  <c r="J332" i="1"/>
  <c r="J331" i="1"/>
  <c r="J330" i="1"/>
  <c r="J329" i="1"/>
  <c r="J328" i="1"/>
  <c r="J327" i="1"/>
  <c r="J326" i="1"/>
  <c r="J325" i="1"/>
  <c r="J324" i="1"/>
  <c r="J323" i="1"/>
  <c r="J322" i="1"/>
  <c r="J321" i="1"/>
  <c r="J320" i="1"/>
  <c r="J319" i="1"/>
  <c r="J318" i="1"/>
  <c r="J317" i="1"/>
  <c r="J316" i="1"/>
  <c r="J315" i="1"/>
  <c r="J314" i="1"/>
  <c r="J313" i="1"/>
  <c r="J312" i="1"/>
  <c r="J311" i="1"/>
  <c r="J310" i="1"/>
  <c r="J309" i="1"/>
  <c r="J308" i="1"/>
  <c r="J307" i="1"/>
  <c r="J306" i="1"/>
  <c r="J305" i="1"/>
  <c r="J304" i="1"/>
  <c r="J303" i="1"/>
  <c r="J302" i="1"/>
  <c r="J301" i="1"/>
  <c r="J300" i="1"/>
  <c r="J299" i="1"/>
  <c r="J298" i="1"/>
  <c r="J297" i="1"/>
  <c r="J296" i="1"/>
  <c r="J295" i="1"/>
  <c r="J294" i="1"/>
  <c r="J293" i="1"/>
  <c r="J292" i="1"/>
  <c r="J291" i="1"/>
  <c r="J290" i="1"/>
  <c r="J289" i="1"/>
  <c r="J288" i="1"/>
  <c r="J287" i="1"/>
  <c r="J286" i="1"/>
  <c r="J285" i="1"/>
  <c r="J284" i="1"/>
  <c r="J283" i="1"/>
  <c r="J282" i="1"/>
  <c r="J281" i="1"/>
  <c r="J280" i="1"/>
  <c r="J279" i="1"/>
  <c r="J278" i="1"/>
  <c r="J277" i="1"/>
  <c r="J276" i="1"/>
  <c r="J275" i="1"/>
  <c r="J274" i="1"/>
  <c r="J273" i="1"/>
  <c r="J272" i="1"/>
  <c r="J271" i="1"/>
  <c r="J270" i="1"/>
  <c r="J269" i="1"/>
  <c r="J268" i="1"/>
  <c r="J267" i="1"/>
  <c r="J266" i="1"/>
  <c r="J265" i="1"/>
  <c r="J264" i="1"/>
  <c r="J263" i="1"/>
  <c r="J262" i="1"/>
  <c r="J261" i="1"/>
  <c r="J260" i="1"/>
  <c r="J259" i="1"/>
  <c r="J258" i="1"/>
  <c r="J257" i="1"/>
  <c r="J256" i="1"/>
  <c r="J255" i="1"/>
  <c r="J254" i="1"/>
  <c r="J253" i="1"/>
  <c r="J252" i="1"/>
  <c r="J251" i="1"/>
  <c r="J250" i="1"/>
  <c r="J249" i="1"/>
  <c r="J248" i="1"/>
  <c r="J247" i="1"/>
  <c r="J246" i="1"/>
  <c r="J245" i="1"/>
  <c r="J244" i="1"/>
  <c r="J243" i="1"/>
  <c r="J242" i="1"/>
  <c r="J241" i="1"/>
  <c r="J240" i="1"/>
  <c r="J239" i="1"/>
  <c r="J238" i="1"/>
  <c r="J237" i="1"/>
  <c r="J236" i="1"/>
  <c r="J235" i="1"/>
  <c r="J234" i="1"/>
  <c r="J233" i="1"/>
  <c r="J232" i="1"/>
  <c r="J231" i="1"/>
  <c r="J230" i="1"/>
  <c r="J229" i="1"/>
  <c r="J228" i="1"/>
  <c r="J227" i="1"/>
  <c r="J226" i="1"/>
  <c r="J225" i="1"/>
  <c r="J224" i="1"/>
  <c r="J223" i="1"/>
  <c r="J222" i="1"/>
  <c r="J221" i="1"/>
  <c r="J220" i="1"/>
  <c r="J219" i="1"/>
  <c r="J218" i="1"/>
  <c r="J217" i="1"/>
  <c r="J216" i="1"/>
  <c r="J215" i="1"/>
  <c r="J214" i="1"/>
  <c r="J213" i="1"/>
  <c r="J212" i="1"/>
  <c r="J211" i="1"/>
  <c r="J210" i="1"/>
  <c r="J209" i="1"/>
  <c r="J208" i="1"/>
  <c r="J207" i="1"/>
  <c r="J206" i="1"/>
  <c r="J205" i="1"/>
  <c r="J204" i="1"/>
  <c r="J203" i="1"/>
  <c r="J202" i="1"/>
  <c r="J201" i="1"/>
  <c r="J200" i="1"/>
  <c r="J199" i="1"/>
  <c r="J198" i="1"/>
  <c r="J197" i="1"/>
  <c r="J196" i="1"/>
  <c r="J195" i="1"/>
  <c r="J194" i="1"/>
  <c r="J193" i="1"/>
  <c r="J192" i="1"/>
  <c r="J191" i="1"/>
  <c r="J190" i="1"/>
  <c r="J189" i="1"/>
  <c r="J188" i="1"/>
  <c r="J187" i="1"/>
  <c r="J186" i="1"/>
  <c r="J185" i="1"/>
  <c r="J184" i="1"/>
  <c r="J183" i="1"/>
  <c r="J182" i="1"/>
  <c r="J181" i="1"/>
  <c r="J180" i="1"/>
  <c r="J179" i="1"/>
  <c r="J178" i="1"/>
  <c r="J177" i="1"/>
  <c r="J176" i="1"/>
  <c r="J175" i="1"/>
  <c r="J174" i="1"/>
  <c r="J173" i="1"/>
  <c r="J172" i="1"/>
  <c r="J171" i="1"/>
  <c r="J170" i="1"/>
  <c r="J169" i="1"/>
  <c r="J168" i="1"/>
  <c r="J167" i="1"/>
  <c r="J166" i="1"/>
  <c r="J165" i="1"/>
  <c r="J164" i="1"/>
  <c r="J163" i="1"/>
  <c r="J162" i="1"/>
  <c r="J161" i="1"/>
  <c r="J160" i="1"/>
  <c r="J159" i="1"/>
  <c r="J158" i="1"/>
  <c r="J157" i="1"/>
  <c r="J156" i="1"/>
  <c r="J155" i="1"/>
  <c r="J154" i="1"/>
  <c r="J153" i="1"/>
  <c r="J152" i="1"/>
  <c r="J151" i="1"/>
  <c r="J150" i="1"/>
  <c r="J149" i="1"/>
  <c r="J148" i="1"/>
  <c r="J147" i="1"/>
  <c r="J146" i="1"/>
  <c r="J145" i="1"/>
  <c r="J144" i="1"/>
  <c r="J143" i="1"/>
  <c r="J142" i="1"/>
  <c r="J141" i="1"/>
  <c r="J140" i="1"/>
  <c r="J139" i="1"/>
  <c r="J138" i="1"/>
  <c r="J137" i="1"/>
  <c r="J136" i="1"/>
  <c r="J135" i="1"/>
  <c r="J134" i="1"/>
  <c r="J133" i="1"/>
  <c r="J132" i="1"/>
  <c r="J131" i="1"/>
  <c r="J130" i="1"/>
  <c r="J129" i="1"/>
  <c r="J128" i="1"/>
  <c r="J127" i="1"/>
  <c r="J126" i="1"/>
  <c r="J125" i="1"/>
  <c r="J124" i="1"/>
  <c r="J123" i="1"/>
  <c r="J122" i="1"/>
  <c r="J121" i="1"/>
  <c r="J120" i="1"/>
  <c r="J119" i="1"/>
  <c r="J118" i="1"/>
  <c r="J117" i="1"/>
  <c r="J116" i="1"/>
  <c r="J115" i="1"/>
  <c r="J114" i="1"/>
  <c r="J113" i="1"/>
  <c r="J112" i="1"/>
  <c r="J111" i="1"/>
  <c r="J110" i="1"/>
  <c r="J109" i="1"/>
  <c r="J108" i="1"/>
  <c r="J107" i="1"/>
  <c r="J106" i="1"/>
  <c r="J105" i="1"/>
  <c r="J104" i="1"/>
  <c r="J103" i="1"/>
  <c r="J102" i="1"/>
  <c r="J101" i="1"/>
  <c r="J100" i="1"/>
  <c r="J99" i="1"/>
  <c r="J98" i="1"/>
  <c r="J97" i="1"/>
  <c r="J96" i="1"/>
  <c r="J95" i="1"/>
  <c r="J94" i="1"/>
  <c r="J93" i="1"/>
  <c r="J92" i="1"/>
  <c r="J91" i="1"/>
  <c r="J90" i="1"/>
  <c r="J89" i="1"/>
  <c r="J88" i="1"/>
  <c r="J87" i="1"/>
  <c r="J86" i="1"/>
  <c r="J85" i="1"/>
  <c r="J84" i="1"/>
  <c r="J83" i="1"/>
  <c r="J82" i="1"/>
  <c r="J81" i="1"/>
  <c r="J80" i="1"/>
  <c r="J79" i="1"/>
  <c r="J78" i="1"/>
  <c r="J77" i="1"/>
  <c r="J76" i="1"/>
  <c r="J75" i="1"/>
  <c r="J74" i="1"/>
  <c r="J73" i="1"/>
  <c r="J72" i="1"/>
  <c r="J71" i="1"/>
  <c r="J70" i="1"/>
  <c r="J69" i="1"/>
  <c r="J68" i="1"/>
  <c r="J67" i="1"/>
  <c r="J66" i="1"/>
  <c r="J65" i="1"/>
  <c r="J64" i="1"/>
  <c r="J63" i="1"/>
  <c r="J62" i="1"/>
  <c r="J61" i="1"/>
  <c r="J60" i="1"/>
  <c r="J59" i="1"/>
  <c r="J58" i="1"/>
  <c r="J57" i="1"/>
  <c r="J56" i="1"/>
  <c r="J55" i="1"/>
  <c r="J54" i="1"/>
  <c r="J53" i="1"/>
  <c r="J52" i="1"/>
  <c r="J51" i="1"/>
  <c r="J50" i="1"/>
  <c r="J49" i="1"/>
  <c r="J48" i="1"/>
  <c r="J47" i="1"/>
  <c r="J46" i="1"/>
  <c r="J45" i="1"/>
  <c r="J44" i="1"/>
  <c r="J43" i="1"/>
  <c r="J42" i="1"/>
  <c r="J41" i="1"/>
  <c r="J40" i="1"/>
  <c r="J39" i="1"/>
  <c r="J38" i="1"/>
  <c r="J37" i="1"/>
  <c r="J36" i="1"/>
  <c r="J35" i="1"/>
  <c r="J34" i="1"/>
  <c r="J33" i="1"/>
  <c r="J32" i="1"/>
  <c r="J31" i="1"/>
  <c r="J30" i="1"/>
  <c r="J29" i="1"/>
  <c r="J28" i="1"/>
  <c r="J27" i="1"/>
  <c r="J26" i="1"/>
  <c r="J25" i="1"/>
  <c r="J24" i="1"/>
  <c r="J23" i="1"/>
  <c r="J22" i="1"/>
  <c r="J21" i="1"/>
  <c r="J20" i="1"/>
  <c r="J19" i="1"/>
  <c r="J18" i="1"/>
  <c r="J17" i="1"/>
  <c r="J16" i="1"/>
  <c r="J15" i="1"/>
  <c r="J14" i="1"/>
  <c r="J13" i="1"/>
  <c r="J12" i="1"/>
  <c r="J11" i="1"/>
  <c r="J10" i="1"/>
  <c r="J9" i="1"/>
  <c r="J8" i="1"/>
  <c r="J7" i="1"/>
</calcChain>
</file>

<file path=xl/sharedStrings.xml><?xml version="1.0" encoding="utf-8"?>
<sst xmlns="http://schemas.openxmlformats.org/spreadsheetml/2006/main" count="66120" uniqueCount="14660">
  <si>
    <t>Índice onomástico anual · Gacetas oficiales de 1820</t>
  </si>
  <si>
    <t>Del 1 de enero al 31 de diciembre de 1820 · Gaceta de Madrid · Gaceta del Gobierno</t>
  </si>
  <si>
    <t>Aviso: índice generado a partir del OCR de facsímiles históricos. Las grafías y lecturas dudosas deben cotejarse con la página enlazada.</t>
  </si>
  <si>
    <t>7278 menciones · 288 archivos oficiales · 1479 páginas digitalizadas</t>
  </si>
  <si>
    <t>Apellidos y nombre (orden estimado)</t>
  </si>
  <si>
    <t>Nombre leído</t>
  </si>
  <si>
    <t>Motivo de aparición</t>
  </si>
  <si>
    <t>Organismo o sección</t>
  </si>
  <si>
    <t>Fecha</t>
  </si>
  <si>
    <t>Publicación y nº</t>
  </si>
  <si>
    <t>Página</t>
  </si>
  <si>
    <t>Observaciones</t>
  </si>
  <si>
    <t>Extracto original OCR</t>
  </si>
  <si>
    <t>Facsímil (página)</t>
  </si>
  <si>
    <t>Estado de lectura</t>
  </si>
  <si>
    <t>A'rgiíellée.', Agñstin</t>
  </si>
  <si>
    <t>Agñstin A'rgiíellée.'</t>
  </si>
  <si>
    <t>Mención en noticia o disposición</t>
  </si>
  <si>
    <t>Noticias y disposiciones</t>
  </si>
  <si>
    <t>Gaceta del Gobierno n.º 122</t>
  </si>
  <si>
    <t>PDF p. 4</t>
  </si>
  <si>
    <t>Nombre detectado automáticamente; cotejar si se va a citar</t>
  </si>
  <si>
    <t>…mientos particulares, sino con arreglo á lo que exigiese le. = Está rubricado de la Real mano. = En Palacio á i r d* la conveniencia púbicav - - " 11 1 . . .'i Octubre de 18205= A D. Agñstin A'rgiíellée.'7 El Sr. Ezpeleta manifestó el deseo de que se hiciera dife rencia entre los individuos de que Se trataba; pero que rio ■■■■■:■■ ANUNCIOS. i.--.' se tomaran los^ informes de los ayuntamientos como se pro^ En virtud de providencia deLSr. D. Ramón de Argos, juei…</t>
  </si>
  <si>
    <t>Lectura OCR</t>
  </si>
  <si>
    <t>A, Antonio Tor</t>
  </si>
  <si>
    <t>Antonio Tor A</t>
  </si>
  <si>
    <t>Operaciones o servicios militares</t>
  </si>
  <si>
    <t>Noticias militares</t>
  </si>
  <si>
    <t>Gaceta del Gobierno n.º 85</t>
  </si>
  <si>
    <t>358</t>
  </si>
  <si>
    <t>Lectura automática dudosa; cotejar el facsímil</t>
  </si>
  <si>
    <t>…libertad, y pidiendo se haga á su favor la declaración Se dió cuenta de un dictamen de la comí'ion de Beneque estimen las Cortes justa. fiesneia acerca de la exposición hecha por D. Antonio Tor A las de Hacienda y Guerra reunidas tres exposiciones, res y Quesada, rector de una obra pía de Jaén . y otro so una de la diputación provincial de Murcia, y otra de los bre medios de socorrer aquel establecimiento. La comisión fabricantes de salitre de Villafe…</t>
  </si>
  <si>
    <t>Revisar OCR</t>
  </si>
  <si>
    <t>A, Diego</t>
  </si>
  <si>
    <t>Diego A</t>
  </si>
  <si>
    <t>Nombramiento o servicio público</t>
  </si>
  <si>
    <t>España</t>
  </si>
  <si>
    <t>Gaceta del Gobierno n.º 80</t>
  </si>
  <si>
    <t>PDF p. 6</t>
  </si>
  <si>
    <t>…, 3 almuD. Casiano González de Castro, censor de las escuelas gra des, en el campa nuevo de Tra: lamiente. tuitas de la junta suprema de caridad, celebró en 30 de Ju Capellanía de D. Diego A¿lo v Podamartinez. lio último exámenes públicos de la de niños pobres de la Una pieza de tierra de pan traer, de 3 robos, 11 almumisma , al cargo del profesor D. Manuel García de la Madrid. des, en el campo de Rabótales. Los niños, en número de 18 pobres y 4…</t>
  </si>
  <si>
    <t>A, Extinción</t>
  </si>
  <si>
    <t>Extinción A</t>
  </si>
  <si>
    <t>Gaceta del Gobierno n.º 58</t>
  </si>
  <si>
    <t>PDF p. 2</t>
  </si>
  <si>
    <t>…presente el mérito del difunto Don Abruzo .......... la causa perseguido por la libertad. de Antonio Ramírez, 90,118- 25 citerior....|Vasto.......... oficio de del de ladrones un ministro Extinción A la de 81.294.. o rAquila...... 80.956.. la Gobernación de la Península, con dos exposiciones del ,m jSolmona...... 55&gt;4i3" Gefe político de Guipúzcoa, pidiendo el establecimiento de z? ulte')c itta ducale. 45.261.. Una partida de 50 miñones. 64,57S- A la de I…</t>
  </si>
  <si>
    <t>A, J.</t>
  </si>
  <si>
    <t>J. A</t>
  </si>
  <si>
    <t>Actividad económica o mercantil</t>
  </si>
  <si>
    <t>Gaceta de Madrid n.º 10</t>
  </si>
  <si>
    <t>…ldo de la santa iglesia me tropolitana de Zaragoza 2% Núm. 750. D. N¿, por segunda vez, 2oo. Nú mero 751. Doña A. M. M., por tercera vez, ib. Núm. 752. D. M. J. y R. 80. Núm. 753. D. J. A. un vale Real consolidado de 50 pesos que produjo 204 rs. Núm. 754. D. J. A. 80. Num. 755. Doña Antonia Sanz 20. Num. 756. Don Antonio Villar y Pinto, boticario de Salamanca, 200; Núm. 757. La vene rable universidad de priores y beneficiados de Jaén 300. Num.…</t>
  </si>
  <si>
    <t>A, Joaquín Díaz de</t>
  </si>
  <si>
    <t>Joaquín Díaz de A</t>
  </si>
  <si>
    <t>Gaceta del Gobierno n.º 26</t>
  </si>
  <si>
    <t>111</t>
  </si>
  <si>
    <t>…por D. Ventura Ca lotería general, cuyo autor pedia también una plaza de in bellos sobre vicios en la administración de rentas decimales* tendente. A la de Hacienda una memoria dé D. Joaquín Díaz de A la dé Güerra Cuatro proyectos sobre organización de Córdoba, relativa al nuevo sistema de rentas para extinguir egército permanente, establecimiento da colegios mili ares la deuda nacional. y otros puntos del servicio, presentados con una exposición Se presen…</t>
  </si>
  <si>
    <t>A, Julián de</t>
  </si>
  <si>
    <t>Julián de A</t>
  </si>
  <si>
    <t>Gaceta del Gobierno n.º 160</t>
  </si>
  <si>
    <t>…sido de un vale real de Total. 266 300 pesos, creación de Setiembre de 1809, número 30,024, que salió renovado en cabeza de Fr. Patricio de la Cruz: asimis mo á D. Pascual Calvo, D. Julián de A raso , D. Josef An Los profesores que han formado un establecimiento en tonio Rivas, D. Josef Mato y D. Miguel de Torres, te que se dan lecciones de caligrafía , aritmética, gramática, nedores que han sido de otro vale real de 600 pesos, de la ortografía espa…</t>
  </si>
  <si>
    <t>A, Ló</t>
  </si>
  <si>
    <t>Ló A</t>
  </si>
  <si>
    <t>Gaceta del Gobierno n.º 49</t>
  </si>
  <si>
    <t>PDF p. 3</t>
  </si>
  <si>
    <t>…de permisos y privilegios ex govia, manifestando los perjuicios que se siguen de agregar clusivos. estos al partido de Sepúlveda. Se hizo la segunda lectura de la proposición del Sr. Ló A la de Premios una representación de D. Manuel Gon pez ( D. Marcial) leída por primera vez en 2 1 de Julio pa zález del Campo, D. N. Polo y D. Francisco Belda, pi sado, acerca del establecimiento de jueces de hecho, fiján diendo se establezca una distinción pa…</t>
  </si>
  <si>
    <t>A, Ministro de Ha</t>
  </si>
  <si>
    <t>Ministro de Ha A</t>
  </si>
  <si>
    <t>Gaceta del Gobierno n.º 71</t>
  </si>
  <si>
    <t>…reflexiones no habia podido la comisión prescindir vuelvan á los obispos sus derechos respecto de la concesión del dictamen presentado. de gracias. Habiendo llegado al Congreso el Sr. Ministro de Ha A las reunidas que entienden en el asunto una exposi cienda , leyó la memoria anunciada para hoy sobre los me ción de la villa de Alberique, en Valencia, y otra de varios dios de consolidar el Crédito público; ¡a que se mandó pa pueblos sobre extinción de diezm…</t>
  </si>
  <si>
    <t>A, Ramos</t>
  </si>
  <si>
    <t>Ramos A</t>
  </si>
  <si>
    <t>Gaceta del Gobierno n.º 25</t>
  </si>
  <si>
    <t>…de Julio. ra vez el bilí de divorcio y degradación de la Reina, des Se dió principio leyendo el acta de la anterior. pués de leída una petición de S. M., en la que mostraba sus El Sr. Ramos A rispe pidió que al tiempo de hablarse en deseos de que se le diesen á conocer las acusaciones que con el acta de su proposición, relativa á fijar las ideas del ar tra ella se hacían, y se permitiese que sus abogados pudie tículo 297 de la Constitución, y dete…</t>
  </si>
  <si>
    <t>Gaceta del Gobierno n.º 27</t>
  </si>
  <si>
    <t>…, é intro las comisiones, quedando este aprobado, y desechada la in ducir proclamas del egército. dicación del Sr. Banqueri. El Sr. conde de Toreno tomó por fundamento estas ex El Sr. Ramos A rispe, apoyando el dictamen del señor presiones del Sr. Moreno Guerra para desechar la indica conde de Toreno para que no se atienda á asuntos par ción qué defendía , porque los crímenes, dijo, que se come ciales, contrarios muchas veces á ¡as determinaciones…</t>
  </si>
  <si>
    <t>Noticia política o diplomática</t>
  </si>
  <si>
    <t>Gaceta del Gobierno n.º 35</t>
  </si>
  <si>
    <t>146</t>
  </si>
  <si>
    <t>…exposición^ remitida por el minis Se leyó el acta de la sesión anterior, á !a que se man terio de la Gobernación de la Península, del hermano ma dó agregar un voto particular del Sr. Ramos A rispe, contra yor y junta de hospitales de esta corte, en la que haciendo rio a la resolución de rebajar el porte del Diario de Cortes presente al Rey la imposibilidad absoluta de sostener por para las suscripciones de fuera de Madrid. mas íiempo los gastos q…</t>
  </si>
  <si>
    <t>Gaceta del Gobierno n.º 115</t>
  </si>
  <si>
    <t>…. Fernando) por 66, Subrié por nos hermanos de armas de la guarnición de esta ciudad en 63, y Rovira por 65,-todos en primer escrutinio, excepto el memorable día 1de Setiembre. el Sr. Ramos A rispe, que entró en el segundo con los seño Seria imposible descrihir con palabras el júbilo y albo res Fondevila y Vallejo: y se levantó la sesión. rozo de los: habitantes de Lisboa en semejante ocasión , y Sesión ordinaria del 20 de Octubre. • solo podrán c…</t>
  </si>
  <si>
    <t>A, San</t>
  </si>
  <si>
    <t>San A</t>
  </si>
  <si>
    <t>Gaceta del Gobierno n.º 128</t>
  </si>
  <si>
    <t>…recayó en el Sr. Bo bian perdido en un incendio causado por los franceses en dega por 90 votos de tío. la guerra de la independencia. La quinta de diputado peninsular recayó en el Sr. San A la comisión de Diputaciones provinciales se pasó el cho por 62 votos de 112. expediente de división de partidos de la provincia de Cana La sexta de diputado ultramarino recayó en el Sr. Couto rias , remitido por el Sr. secretario de la Gobernación de la por 8…</t>
  </si>
  <si>
    <t>A, Sebas</t>
  </si>
  <si>
    <t>Sebas A</t>
  </si>
  <si>
    <t>Gaceta del Gobierno n.º 111</t>
  </si>
  <si>
    <t>…tado, y pidiendo que.se le oyese, y.. pone de los siguientes sugetos: el conde de Sampayo; el formase causa ante el tribunal competente. conde de Rezende; el barón de Morellos; el coronel Sebas A la especial de Hacienda se pasó una exposición del tian Drago Valente de Brito Cabreira ;-el coronel Bernardo hermanó'mayor del hospital de Caridad devCartagena, pi de Castro y Sepúlveda ; el deán de la sede de Oporto,Luis diendo se socorriesen sus muchas ate…</t>
  </si>
  <si>
    <t>A, Venino</t>
  </si>
  <si>
    <t>Venino A</t>
  </si>
  <si>
    <t>Gaceta del Gobierno n.º 77</t>
  </si>
  <si>
    <t>…ido causa de que cansase dolo: el Sr. Quintana por lo tocante A la música, y el se á las Cortes con *u discurso. ñor Cepero por lo respectivo al alboroto de las galerías; Apoyó el Sr. Venino A su preopinante, manifestando lo pues con motivo de perienecer en aquella época .1 la comi injusto que es el establecimiento de mayorazgos, y que la sión de Gobierno interior de Cortes, habia hecho ob-ervar lev que concede lo facultad de mejorar, tuvo por obje…</t>
  </si>
  <si>
    <t>Abad, Catalina</t>
  </si>
  <si>
    <t>Catalina Abad</t>
  </si>
  <si>
    <t>Gaceta del Gobierno n.º 76</t>
  </si>
  <si>
    <t>320</t>
  </si>
  <si>
    <t>…n España con el Otra de 6 fanegas á la izquierda del camino de Torre- título de patrióticas: por D. P. B. Véndese en la librería dejon de V elasco y su término. Orea. Idem idem de Doña Catalina Abad. La Constitución militar: diálogo. Véndese á siete cuartos Una tierra en la Tarayuela de Tordesillanos, de 2 fa en las librerías de Esparza y de Brun. negas, 2 celemines y 2 estadales. La institución de los mayorazgos, examinada histórica y fi Orra ídem en el…</t>
  </si>
  <si>
    <t>Abad, D Manuel</t>
  </si>
  <si>
    <t>D Manuel Abad</t>
  </si>
  <si>
    <t>Gaceta del Gobierno n.º 94</t>
  </si>
  <si>
    <t>…supuesto del ministerio de dicho ramo. De los 87 ANUNCIOS. millones á que ascendía este, rebajaba la comisión 20, se ñalados para pagar los atrasos de la tesorería : 3 millones El coronel D Manuel Abad, natural de Transmiera, en las por lo menos, ó la tercera parte que debía disminuirse de la montañas de Búrgos, hijo legítimo de D. josef Abad y García cantidad consignada para empleados cesantes, con arregto y de Doña Antonia Tijeros Gimiauo , habiendo falle…</t>
  </si>
  <si>
    <t>Abad, Manuel</t>
  </si>
  <si>
    <t>Manuel Abad</t>
  </si>
  <si>
    <t>Gaceta del Gobierno n.º 167</t>
  </si>
  <si>
    <t>…de se halla de ciencia, probidad y decidida adhesión ai Gv-ierno acestablecida escuela de Constitución al cargo del abogado tual y al sistema constitucional, que con toda uniformi D. Manuel Abad, nombrado por el ayuntamiento, cono dad debe seguirse, se admiten memoriales en la secretaría cieron desde luego las ventajas de aquella formación, y con de! mismo consejo, por lo tocante á Gracia y Justicia, currieron presurosos á alistarse bajo las banderas…</t>
  </si>
  <si>
    <t>Abad, Miguel</t>
  </si>
  <si>
    <t>Miguel Abad</t>
  </si>
  <si>
    <t>Fallecimiento, herencia o memoria</t>
  </si>
  <si>
    <t>…ibución de la Hacienda pública , procuró demos sentando cada familia un heredero, sean cinco partes iguales trar que debía disminuirse aun el presupuesto con la supre con el dicho D. Miguel Abad, segun consta del testamento sión de muchos empleados, entrando al efecto en un exa otorgado en el propio pueblo de Huancayo en 4 de Abril de men muy prolijo del modo de hacerse la recaudación de 1806 ante el escribano público y Real D. Manuel Santos Mar— las…</t>
  </si>
  <si>
    <t>Abadía, Pedio</t>
  </si>
  <si>
    <t>Pedio Abadía</t>
  </si>
  <si>
    <t>Publicación o actividad intelectual</t>
  </si>
  <si>
    <t>Gaceta del Gobierno n.º 153</t>
  </si>
  <si>
    <t>679</t>
  </si>
  <si>
    <t>…de todos los departamentos repiten unáni DOíOiros nos pros ernamos ante el Dios de nuestros padres. mes un aviso sobre los pasaportes de los viajantes que quie Avisan de Lima que D. Pedio Abadía ha logrado con ran ir á los Estados austríacos. Se requiere ¡a explicación de la ayuda devarios ingenieros introducir nuevas maniobrasy terminada del objeto y del motivo del viage; y que en los máquinas, especialmente de vapor, para el laboreo de las pasaport…</t>
  </si>
  <si>
    <t>Abarran, Josef de</t>
  </si>
  <si>
    <t>Josef de Abarran</t>
  </si>
  <si>
    <t>Gaceta del Gobierno n.º 183</t>
  </si>
  <si>
    <t>…concur Seíym ellos, e! vizconde de Chateaubriand, el cual des so v juez supernumerario a! médico de Cantara de nume de oue dej i de publicar el C’&gt; ¡servado* ha guardado silen ro D. Josef de Abarran , ai c al d.bcr.m presentarse los cio en medio de las graves circunstancias que han fijado ta profesores q -e quieran firmar la referida oposición ; en in atención de la Europa, lejos de haber estado o.io-u todo teligencia de• oue V M. lia mandado se tvorogue…</t>
  </si>
  <si>
    <t>Abascal, Telesforo</t>
  </si>
  <si>
    <t>Telesforo Abascal</t>
  </si>
  <si>
    <t>…tamen de las comisiones Se concedió también , conforme al dictamen de la co reunidas de Agricultura y Comercio, se levantó la sesión. misión respectiva, la dispensa que solicitaba D. Telesforo Abascal en los años de estudio de cirugía médica, tanto por recaer en un sugeto idóneo’, según todos los informes, ANUNCIOS. cunmo por haberla recomendado expresamente S. M. por el ministerio de la Gobernación. Mercurio de España. Agosto de 1820. Véndese á 4 rs. en S…</t>
  </si>
  <si>
    <t>Abbatemarco, Angelo</t>
  </si>
  <si>
    <t>Angelo Abbatemarco</t>
  </si>
  <si>
    <t>Gaceta del Gobierno n.º 37</t>
  </si>
  <si>
    <t>…a llenado de tanta y tal satisfacción , que no hemos D. Félix Parrilli.=Al juez del supremo tribunal civil de «querido retardar el darle un público testimonio de ella ¡Sol Ñapóles D. Angelo Abbatemarco.=Al coronel D. Fernan idados! Cuando no es el Ínteres, sino la gloria la que tiene do visconti.=AI coronel de caballería D. Juan Russo, «por objeto alguna empresa, y cuando la moderación y la napolitanosAl teniente general Fardelia. = AI principe «disciplina…</t>
  </si>
  <si>
    <t>Abela</t>
  </si>
  <si>
    <t>Gaceta del Gobierno n.º 92</t>
  </si>
  <si>
    <t>PDF p. 1</t>
  </si>
  <si>
    <t>Núm. 92. [14 cuartos.]] 38 9 GACETA DEL GOBIERNO. JUEVES 28 DE SETIEMBRE DE 1820. NOTICIAS EXTRANGERAS. Habiéndose enviado hacia Siracusa un cuerpo de tropas al mando del conde Abela, se entregó este á varios desorde SAXONIA. nes ; y queriendo los gefes y oficiales contener á los solda dos, se sublevaron estos y los maltrataron, por lo que se vteDresde 30 de Agosto. •ron en la precisión de volverse á Palermo. Esta junta tomó Reina la mayo…</t>
  </si>
  <si>
    <t>Abello, Juan Maiia</t>
  </si>
  <si>
    <t>Juan Maiia Abello</t>
  </si>
  <si>
    <t>Gaceta del Gobierno n.º 10</t>
  </si>
  <si>
    <t>…an las razones que deben El Sr. Secretario de Estado con fecha de 17 del cor tenerse presentes pora la extinción del regimiento fijo de riente me dice lo q :e sigue: Ceuta, por el teniente D. Juan Maiia Abello, subteniente »&gt;El Rey se ha servido extender á todos los súbdiros de dicho cuerpo. extrangeros el indulto concedido últimamente con motivó Parecer del teniente coronel D. Salvador Arizon, capi del restablecimiento del régimen constitucional á los anglo tán de…</t>
  </si>
  <si>
    <t>Aboin, Santos</t>
  </si>
  <si>
    <t>Santos Aboin</t>
  </si>
  <si>
    <t>Gaceta del Gobierno n.º 176</t>
  </si>
  <si>
    <t>793</t>
  </si>
  <si>
    <t>…e Ur Perabeles. zante, en S92 rs. Don Miguel Palacio; D. Gregorio Camarero, segundo Otra viña , plantado joven, en .el mismo campo , de 7 alcalde, constitucional; D. Luis Arrabal, D. Santos Aboin robos y 4 almuaes, término del mismo pueblo de Urzante, Coronel, D. Eusebio Iglesias, D- Pedro Espina y D. Josef en 3 91; rs. . . . Perez, regidores y miembros del ayuntamiento ; D. Joa Otra viña, también joven, en Calchetas y los Sábados,■ quín de Miguel, co…</t>
  </si>
  <si>
    <t>Abreu, Marcos Nuñez de</t>
  </si>
  <si>
    <t>Marcos Nuñez de Abreu</t>
  </si>
  <si>
    <t>Gaceta del Gobierno n.º 99</t>
  </si>
  <si>
    <t>414</t>
  </si>
  <si>
    <t>…caciones; y se aprobó en su totalidad. cían asi: Se concedió al Sr. Quiroga el permiso que pedia para t-° «El pago de diezmos y primicias es una de las con seguir el juicio contra D. Marcos Nuñez de Abreu , capi tribuciones necesarias al Estado para mantener la iglesia y tán retirado , por el impreso que habia publicado con el tí sus ministros y otras cargas públicas ; y todos están obli tulo de Economía prodigiosa del general (¿air ga, cali gados á satisfacer…</t>
  </si>
  <si>
    <t>Abruzo</t>
  </si>
  <si>
    <t>…. ■; Isernia.......... 85,737- 16 ¿Larino......... 72,057.. indicaciones de los Sres. Cuesta, Calderón , Vitorica y 84.986.. otro, para que se tenga presente el mérito del difunto Don Abruzo .......... la causa perseguido por la libertad. de Antonio Ramírez, 90,118- 25 citerior....|Vasto.......... oficio de del de ladrones un ministro Extinción A la de 81.294.. o rAquila...... 80.956.. la Gobernación de la Península, con dos exposiciones del ,m j…</t>
  </si>
  <si>
    <t>Acclavio</t>
  </si>
  <si>
    <t>Gaceta del Gobierno n.º 187</t>
  </si>
  <si>
    <t>S. M. el Rey de Nápoles con fecha del 7 dirigió una Justicia: al Sr. Acclavio para el dél Interior ; y para di carra al Parlamento, en la que comunicaba haberle escrito rector de la Marina al Sr. Capecelatro en propiedad: to los Soberanos de Austria, Rusia y 1 rusia , convidándole á dos los demas son interinos. un Congreso en Laib..ch…</t>
  </si>
  <si>
    <t>Ácedillo, Miguel María de</t>
  </si>
  <si>
    <t>Miguel María de Ácedillo</t>
  </si>
  <si>
    <t>Gaceta del Gobierno n.º 66</t>
  </si>
  <si>
    <t>…o S. M. ha despachado hoy con los Sres. secretarios del regular, administración de sus bienes , v. otros puntos mas Despacho de Estado y de Hacienda. análogos , y dos discursos de D. Miguel María de Ácedillo» uno sobre abusos introducidos en la disciplina eclesiástica, y' CORTES. otro contra los privilegios de la abadesa de las Huelas de Búrgos. Sesión del \t° de Setiembre. A la encargada de la organización de la Fuerza armada Leída el acta de la sesión anterior…</t>
  </si>
  <si>
    <t>Acero, Antonio León y</t>
  </si>
  <si>
    <t>Antonio León y Acero</t>
  </si>
  <si>
    <t>Gaceta de Madrid n.º 97</t>
  </si>
  <si>
    <t>710</t>
  </si>
  <si>
    <t>…a-2^0 del1 ¿otriente. Lo están también dos raciones de la metropolitana dé Sta. Fe de Bogotá,, la una-por fallecimiento de 1). Ltiís Ignacio de Torres, y la otra por promo ción dé D. Antonio León y Acero: la renta de cada una es de 1900 pesos al año. Se admiten memoriales por igual término de30 días, contados desdé 20. del corriente. Los señores directores generales de la Hacienda pública , consecuente á lo que se les ha prevenido en Real orden dé 3 del corri…</t>
  </si>
  <si>
    <t>AceSe, Felix'AlVarez</t>
  </si>
  <si>
    <t>Felix'AlVarez AceSe</t>
  </si>
  <si>
    <t>Gaceta del Gobierno n.º 121</t>
  </si>
  <si>
    <t>…erdale ó algún culares. otro de sus amigos; pero la cosa se verificará de una mane A la de Premios una exposición de Doña Teresa Alvara ó de otra. rez Acevedó, hermana del difunto D. Felix'AlVarez AceSe cree no obstante que para no negar toda especie de vedo , manifestando que este la había asistido y mantenido jusricia á la reputación de la Reina dilatarán tomar una pro durante su vida en un convento de León, y que por su videncia tan decisiva hasta que sus…</t>
  </si>
  <si>
    <t>Aceto</t>
  </si>
  <si>
    <t>Gaceta del Gobierno n.º 105</t>
  </si>
  <si>
    <t>…ablecerá el uso del papel sellado en Navarra, provincias pioles á las proposiciones que se le habían hecho; pero el vascongadas é islas Canarias en los mismos términos que abogado Sr. Aceto insistió en ello, creyendo inútil aguardar lo esté en las demas provincias. las resoluciones de este Gobierno, porque siempre serian 2. Desde la misma época deberá usarse de este papel en contrarias á los deseos de la Sicilia; y que aun cuando fue los registr…</t>
  </si>
  <si>
    <t>Aceto, Félix Alvarez</t>
  </si>
  <si>
    <t>Félix Alvarez Aceto</t>
  </si>
  <si>
    <t>Gaceta del Gobierno n.º 103</t>
  </si>
  <si>
    <t>…e se les concede tamen. por la Constitución , han decretado: Se declara benemérito dé Se pasó en seguida á votar este por partes, á cuyo efec la patria en grado heroico al difunto D. Félix Alvarez Aceto se leyó el artículo i.° que proponía la comisión, y.de vedo ,JComandante general que ha sido del egército de Galicia cía asi: en la gloriosa restauración del sistema constitucional, cuyo i.° «Que los 250 millones repartidos á los pueblos, se nómbrese pondrá p…</t>
  </si>
  <si>
    <t>Aceto, Juan</t>
  </si>
  <si>
    <t>Juan Aceto</t>
  </si>
  <si>
    <t>…de de la Novísima Recopilación, se halla dispuesto para los ca querer conceder á la Sicilia su independencia. Y caballero bildos, ayuntamientos y concejos de las ciudades, villas D. Juan Aceto hizo presente á la junta ser ya tienyr» Je pres y lugares, extendiéndose lo mismo para todos los despa tar con toda solemnidad el debido juramento á la Constitu chos de provisiones y nombramientos, certificaciones y le ción de España y á la independencia sici…</t>
  </si>
  <si>
    <t>Acevedo</t>
  </si>
  <si>
    <t>Gaceta del Gobierno n.º 57</t>
  </si>
  <si>
    <t>…r jamas el puesto que se os confie?” El plo de la gratitud nacional, los de los dignísimos generales cura les dirá: ,, sí asi lo hiciereis, Dios os lo premie, y si Porlier, Lacy y coronel Acevedo, para perpetuar memo- no, os lo demande;” y el comandante añadirá, ,, y sereis ría, grato recuerdo y eterno reconocimiento de la incom ademas responsables á las leyes.” parable Nación, por cuyos derechos sacrificaron sus vidas:” Los Sre«. Palarea y Serrailach…</t>
  </si>
  <si>
    <t>Gaceta del Gobierno n.º 84</t>
  </si>
  <si>
    <t>…e de que quedan rehabiatados ni con derecho á reclamar los eracía : «Que las Cortes declaren benemérito en grado heroico picos, condecoraciones, gracias, puesto'ó mercedes que al general Acevedo;” la cual fue aprobada. obtenían al tiempo de decidirte á tomar empleo del gobier Se leyó o-ra indicación de) Sr. Navarro ( D. Felipe), en no intruso de Jo'ef Bonaparte; pues aquello' para que se estos términos: »Oue se inscriban en el «alón de Cortes, les ha…</t>
  </si>
  <si>
    <t>…dado ayer moiivo de la guerra última, como también que es la volun acerca de ¡a que hizo el Sr. Bahamonde con respecto al tad del mismo Señor hacerles merced en cuanto se ofrezca, coronel Acevedo; y para redactarle se mandó pasar á la mandaremos que los dichos diputados, asi como los de las comisión de Premios. demas partes del reino , sean socorridos para los gastos que Sedió cuenta de un oficio del Sr. ministro de Hacienda, se les ofrezcan hacer en…</t>
  </si>
  <si>
    <t>Gaceta del Gobierno n.º 90</t>
  </si>
  <si>
    <t>…cultara verdad, donde la inocen do sobre recompensar el mérito de los que han sufrido,pol cia encontrará seguridad, y donde las pasiones no se atre la patria, otra del relativo al coronel Acevedo, otra del verán á levantar la voz ante la justicia. ganado trashumante, y otra de Los emigrados con el go bierno intruso. ■ - — . ■■■“* NOTICIAS DEL REINO. Se recibieron con agrado, y se mandaron distribuir los egemplares presentados por el Sr. Ouiroga del es…</t>
  </si>
  <si>
    <t>Acevedo, Antonio</t>
  </si>
  <si>
    <t>Antonio Acevedo</t>
  </si>
  <si>
    <t>Gaceta del Gobierno n.º 64</t>
  </si>
  <si>
    <t>4</t>
  </si>
  <si>
    <t>…rs, para socorro efectivo y pron Memoria sobre la utilidad de los cuerpos de lanceros, to de dichos hospitales: que asimismo :e paguen en letras dirig’da por el teniente retirado D. Antonio Acevedo. ¡¡ o® rs. de los mismos productos de Espolios y sobre deu- Una disertación sobre la elaboración de la pólvora, di as atrasadas por una vez, y á buena cuenta efe los atrasos rigida por D. Elias Martin Martínez de la Fuente- ¡ que se adeudan á dichos hospitale…</t>
  </si>
  <si>
    <t>Acevedo, Félix</t>
  </si>
  <si>
    <t>Félix Acevedo</t>
  </si>
  <si>
    <t>…a. No se admitió á discusión la adición del Sr. Cepero para Otra del Sr. Villanueva, »que el general Lacy y el co que se añadieran á las palabras del comandante estas'otras: ronel D. Félix Acevedo sean inmediatamente declarados be y 2.i patria os bendecirá si cumplís vuestro juramento; neméritos de la patria-en grado heroico.” si no , sereis responsables d las leyes. Oria del Sr. Navarro (D. Felipe) «que se concedan tam Se aprobaron los artículos 40 y…</t>
  </si>
  <si>
    <t>Acevedo, Félix Alvarez</t>
  </si>
  <si>
    <t>Félix Alvarez Acevedo</t>
  </si>
  <si>
    <t>Gaceta del Gobierno n.º 83</t>
  </si>
  <si>
    <t>…eda cortada, asi de oro como de plata, que Se aprobó el art. i °; y despees de haber hecho el señor se presen.are como cabal se petar,1 pieza por pieza, apar Moscoso el elogio del general D. Félix Alvarez Acevedo, rando las que salieren faltas, á las cuales, solo en el caso y que los Sres. de [a comisión expusieron las razones que de conformarse los interesados, podrá descontarse por ma los obligó á no unir su nombre al de los generales Porlier y yor el valor de ellas…</t>
  </si>
  <si>
    <t>…y un tercio al miilar, y al respecto de 66 y tes, y con una noticia circun.tanciada de las exequias del bene dos tercios los foros, enfireusis, y cualquiera otra carga per mérito coronel D. Félix Alvarez Acevedo: por el capitán Don petua por su naturaleza, ó por la constitución del contrato; Josef de Urcullu. Se vende en Madrid en la librería de Perez, y los capitales de unas y otras en créditos consolidados se y en Salamanca en Ja de Cabrerizo , á 15 rs. entregarán…</t>
  </si>
  <si>
    <t>Acevedo, Francisco Rívadeneira y</t>
  </si>
  <si>
    <t>Francisco Rívadeneira y Acevedo</t>
  </si>
  <si>
    <t>Gaceta de Madrid n.º 3</t>
  </si>
  <si>
    <t>PDF p. 11</t>
  </si>
  <si>
    <t>…ar , D Francisco Cascajares y Bardnxí, D. Josef Aivarez Reyero , D. Cárlos Casaprin y González, D. Rafael Rodríguez Solís, D. Josef Canals y Mayéis, D. Rafael Galinno y Guillelmi, D. Francisco Rívadeneira y Acevedo, D. Mariano Navarro "y Avellañ, D. Juan Basco y Sarria; Den Ramón Nuñez de Haro, D. Josef Rulz del Burgo y Basabrú, D. Benito Osma y Osma, y el soldado distinguido de la misma arma D. Benito de XJrrutia y Franco, que han concluido el curso general de estudios…</t>
  </si>
  <si>
    <t>Acevedo, Juan</t>
  </si>
  <si>
    <t>Juan Acevedo</t>
  </si>
  <si>
    <t>Gaceta de Madrid n.º 46</t>
  </si>
  <si>
    <t>PDF p. 7</t>
  </si>
  <si>
    <t>…cuando se disolvió; á saber, D. Manuel Josef Quintana, presidente, y ios vocales D. Felipe Bau*á, D. Martin Navas, Di Eugenio de Tapia, D. Pablo de la Llave, D. Vi cente Sancho-, D. Juan Acevedo, y D. Francisco Martínez de la Rosa, se*eretario; y previniendo que si algunos hubieren fallecido, sean reemplazados por los suplentes que había en la misma época, y que cuide la misma junta suprema del pronto restablecimiento de las juntas provinciales en lo…</t>
  </si>
  <si>
    <t>Gaceta del Gobierno n.º 61</t>
  </si>
  <si>
    <t>…e aumente de Filipinas, sobre aprobación de un nuevo colegio de mi el número de sus individuos, reducido á tres en la actuali sioneros en aquellas islas. dad por haberse ausentado D. Juan Acevedo. Se dió cuenta de una representación' de la diputación ÁI Gobierno una exposición de una villa de la provincia provincial de Toledo para que el Congreso haga cesar los de Burgos, manifestando los perjuicios que se la siguen de recursos á Roma por dispensas ma…</t>
  </si>
  <si>
    <t>Acevedo, Manuel María de</t>
  </si>
  <si>
    <t>Manuel María de Acevedo</t>
  </si>
  <si>
    <t>…a Dresde á D. Joaquín Campuzano; y á D. Josef María de Pando, encargado de negocios en Lisboa. El Rey ha repuesto interinamente en los destinos que obtuvieron de gefes políticos á D. Manuel María de Acevedo, que lo fue de la provincia de As turias; al teniente general D..Cayetano Valdés de la de Cádiz; á D. Angel</t>
  </si>
  <si>
    <t>Acevedo, Matías Josef Díaz</t>
  </si>
  <si>
    <t>Matías Josef Díaz Acevedo</t>
  </si>
  <si>
    <t>…a y En vano prohibió [a poltcia.de Glaskow la reunión de Marina, con voto en los objetos de su atribución; el te los habitantes en cierto punto, para hacer una exposición i niente general Matías Josef Díaz Acevedo ; adjuntos del di la Reina, pues se reunieron en otro, y en el término de 8, putado encargad® de los negocios del reino y de Hacienda, horas había ya 8© firmas; á la mañana siguiente firmaron el bachiller Josef Ferreira Borges, y el bachiller Josef de 1}© per…</t>
  </si>
  <si>
    <t>Acevedo, Pedro</t>
  </si>
  <si>
    <t>Pedro Acevedo</t>
  </si>
  <si>
    <t>Gaceta del Gobierno n.º 48</t>
  </si>
  <si>
    <t>198</t>
  </si>
  <si>
    <t>…doza. bienes que antes administraba pertenecientes á temporalida A la de Instrucción pública, un curso de Constitución des , y continuará en su manejo con arreglo á lo mandado por D. Pedro Acevedo. anteriormente; tomando cuentas á ios PP. jesuítas, juma de AI Gobierno una solicitud del barón de N. para que se su restablecimiento, ó personas que hayan corrido con su sustancie la cesa que le siguió el alcalde de corte Galínsoga, administración;1 y exigie…</t>
  </si>
  <si>
    <t>Acosta, Joaquín de</t>
  </si>
  <si>
    <t>Joaquín de Acosta</t>
  </si>
  <si>
    <t>Gaceta del Gobierno n.º 60</t>
  </si>
  <si>
    <t>…ia, la pronta y recta administración de justicia, des tiérrez ; y á la de I ¡ucienda un informe sobra plan de Ha cendió á contestar al Sr. Romero Alpuente , haciendo ver cienda de D. Joaquín de Acosta. que en el artículo que se discutía no se había tratado mas' A la de Diputaciones provinciales, una exposición de la quede recomendarla vigilancia, dando este encargo á las de Murcia , sobre que se declare et modo con que ha de autoridades, que bajo todos asp…</t>
  </si>
  <si>
    <t>Acu, Gutiérrez de</t>
  </si>
  <si>
    <t>Gutiérrez de Acu</t>
  </si>
  <si>
    <t>…uspensión do al difunto marques de Echandía de exportar frutos del de las reuniones.” país en buque extrangero con los derechos del pabellón es Se leyó la indicación siguiente del Sr. Gutiérrez de Acu pañol , en atención á los créditos que tenia contra la teso ña : «Que las Cortes declaren que la responsabilidad de los rería. La comisión decía que no reconocía en aquellos cré abusos se extienda á la que debe resultarle á la autoridad ditos mas que los de u…</t>
  </si>
  <si>
    <t>Acuña, Gutiérrez</t>
  </si>
  <si>
    <t>Gutiérrez Acuña</t>
  </si>
  <si>
    <t>Gaceta del Gobierno n.º 70</t>
  </si>
  <si>
    <t>289</t>
  </si>
  <si>
    <t>…ida. Por esto, y horrorizado deque en el Se declaró el punto suficientemente discutido, y no se dia 5 de Setiembre hubiese amanecido la primera lfsta de admitió la indicación, del Sr. Gutiérrez Acuña. Otra se leyó proscripción contra los que el i. del año habían levantado del Sr. Isturiz, en que para evitar el extravío que podria el grito de la libertad, creyó que las Cortes no podian des experimentar la Opinión pública, pedia nque para hacer el entenders…</t>
  </si>
  <si>
    <t>Gaceta del Gobierno n.º 114</t>
  </si>
  <si>
    <t>…ontra ellos por D. Josef Miguel de miento de caballería de España por su instalación, presen Romero. tada por el Sr. Golfín. La misma comí ion presentó su dictamen acerca de la El Sr. Gutiérrez Acuña presentó una exposición de Don queja dada por Valen.in Ibañez contra el ayuntamiento y Manuel de Velasco-y D. Evaristo San Miguel, pidiendo á juez d. primera instancia de Carrion, por .haberle multado, las Cortes que hiciesen que el Gobierno publicase la caus…</t>
  </si>
  <si>
    <t>Gaceta del Gobierno n.º 126</t>
  </si>
  <si>
    <t>…uel recomendase eficazmente al Gobierno para que atendiese á distintivo. Las Cortes aprobaron este dictamen. su solicitud. Las Cortes oyeron con particular agrado el oficio del El Sr. Gutiérrez Acuña manifestó que la comisión de Sr. secretario de la Gobernación de la Península , en que, Premios opinaba lo mismo que pedia el Sr. Moral, por lo con referencia al del de Marina de 30 del corriente en el Es ue se acordó pasase la solicitud al Gobierno con recom…</t>
  </si>
  <si>
    <t>Gaceta del Gobierno n.º 133</t>
  </si>
  <si>
    <t>…a á que-.se. autorizase ai Gobierno para conceder á los pra de la casa y fincas adjudicadas á dicho López.- - . i. oficiales del egército su retiro con un tercio de su sueldo á El Sr. Gutiérrez Acuña manifestó que la comisión de los 15 aqos de servicio, con la mitad á los 20 , con dos Premios no tenia inconveniente en que se hiciese lo pro tercios á los 25, y con el-total á los, 30, opinaba que de puesto por el Sr. Moral. bia adoptarse desde luego. &lt;- ■ E…</t>
  </si>
  <si>
    <t>Acuña, Gutiérrez de</t>
  </si>
  <si>
    <t>Gutiérrez de Acuña</t>
  </si>
  <si>
    <t>…pueblos por á la comisión ordinaria de Hacienda, la siguiente del señor conspiración. Oliver : »Que el territorio español en ambos hemisferios sea Se pasó después á leer otra del Sr. Gutiérrez de Acuña, un asilo inviolable para las propiedades de todas clases per que decía asi: »Que se invite al Gobierno para que si á las tenecientes á extrangeros , bajo la protección y sumisión á medidas de separación de oficiales y gefes, tenidos por pa-' las leyes que en…</t>
  </si>
  <si>
    <t>…to el Sr. To hecha por la sociedad patriótica de amantes del orden constitu reno , que la comisión fuese la de Premios ; y á petición cional. Se hallará en la librería de Paz. del Sr. Gutiérrez de Acuña se mandó reunir la ordinaria de Memoria sobre la renta del tabaco, presentalla á las Corte* Hacienda. ordinarias por el teniente coronel de caballería retirado D. Juan No se admitió la segunda parte de la indicación del se de Laviano. Se vende en la librería…</t>
  </si>
  <si>
    <t>Gaceta del Gobierno n.º 72</t>
  </si>
  <si>
    <t>…autorizado para po 430 , en el término de Montoro. ner en práctica la ley de Partida contra las asonadas. Idem idem por D. Bartolomé Muñoz Cobo en la villa También retiró otra el Sr. Gutiérrez de Acuña para que del Rio. no se permitiera ninguna reunión numerosa en la plaza de Un lagar al pago del Charco del Novillo, término de palacio, ni en ninguna otra plaza ó calle. Montoro, con 422 olivos, viña é higueras. Se aprobó la siguiente indicación del Sr. Mosco…</t>
  </si>
  <si>
    <t>Gaceta del Gobierno n.º 75</t>
  </si>
  <si>
    <t>…o querria contratar con noso sobre el parecer de la comisión , que le habia ya retirado, tros si admitiésemos un principio tan injusto é impolítico? y se reprodujo á instancia del Sr. Gutiérrez de Acuña. Por una ventaja mezquina y pasagera pondríamos en du Luego se aprobó por partes lo siguiente: «Que al da nuestra buena fe, y nuestro crédito en vez de aumen egército se cumpla lo ofrecido en la proclama de 1; de tarse menguaría. Las Cortes, reconociendo la l…</t>
  </si>
  <si>
    <t>Gaceta del Gobierno n.º 78</t>
  </si>
  <si>
    <t>…do al soldado , y pidió se le aumenta bres los. que hubiera sobre las armas. El ayuntamiento ha ran 4 &lt;5 6 reales. repartido entre todas las compañías á los llamados gitanos, á El Sr. Gutiérrez de Acuña manifestó que no podia ad quienes han recibido los demas con los brazos abiertos, aba mitirse lo propuesto por el Sr. Ramonet, porque estando tiendo asi ese muro de división entre ciudadanos y ciudada los sargentos segundos con los primeros en razón de cuatro…</t>
  </si>
  <si>
    <t>Gaceta del Gobierno n.º 97</t>
  </si>
  <si>
    <t>…s Sres. Banqueó, Zayas, Ezpelera y Golfín acerca Igualmente se aprobó la duodécima, sin embargo de ha del coste de las raciones de pan, que creía el primero ser ber manifestado el Sr. Gutiérrez de Acuña , que era muy excesivo , haciendo ver los otros Sres. que la comisión cono insuficiente la cantidad que en ella se designaba para repa cía esto mismo; pero que era asunto pendiente de contratas, rar las enormes pérdidas sufridas desde el principio de la que e…</t>
  </si>
  <si>
    <t>…or tanto para las cobranzas, precisamente cuando son mas necesarios loá aprobar el año escolástico al examen conveniente.” productos de estos ramos; se ha servido el Rey mandar El Sr. Gutiérrez de Acuña manifestó que habiendo ob que no se haga innovación alguna en la jurisdicción tempo servado la comisión de Premios en esta discusión la marcha ral y eclesiástica de la colecturía general, y qué por tódcfs que debía seguir en el expediente sobre el mismo asunt…</t>
  </si>
  <si>
    <t>Adan</t>
  </si>
  <si>
    <t>Gaceta del Gobierno n.º 151</t>
  </si>
  <si>
    <t>…En esta sesión dijo el lord Holland que convendría que varios agravios de que se quejaban los habitantes. Aó que su sé concluyese en aquel mismo dia el asunto de la causa de po el general Adan, lugar-teniente de sir Tomas Mútland, la Reina, por no ser conformes á los principios comunes ue el descontento había tomado un carácter serio en la isla dé jurisprudencia las dilaciones eternas de un dia para otro. e Zante, se dirigí;') á Corfú con un refuer…</t>
  </si>
  <si>
    <t>Adargas</t>
  </si>
  <si>
    <t>Gaceta del Gobierno n.º 32</t>
  </si>
  <si>
    <t>…n castellano; A otro que sé sustituyese otra ráenos la comisión. común, y que no fuese aplicable A todo como la presente. F.l Sr. Ramonet dijo que le parecía que se padecía una El Sr. Adargas expuso las razones que le habian movido á equivocación , poe to que, como se ha visto por repetidos preferir aquella entre otras que le habían sido presentadas. égemplos, el pabellón no asegura la carga. Que no era co- El Sr. Tapia propuso esta •. Sic itur ad…</t>
  </si>
  <si>
    <t>Adell, Francisco' Xavier</t>
  </si>
  <si>
    <t>Francisco' Xavier Adell</t>
  </si>
  <si>
    <t>Gaceta de Madrid n.º 53</t>
  </si>
  <si>
    <t>PDF p. 5</t>
  </si>
  <si>
    <t>…que se restablezca desde luego dicho [Tribunal especial en los propios térimifioS y del modo y forma que pre viene id citado decreto. Nombro interinamente para .decano del mismo á Don Francisco' Xavier Adell: para magistrados á; D. Antonio de la Cuesta y Tor re, arcediano titular de la iglesia catedral de Avila; D. Manuel Tariego, arcediano titular de la de Segovia; D. Henrique Ortega, dignidad de chantre de la iglesia colegial de Baza, y D. Alejandro-Dolare»;-y…</t>
  </si>
  <si>
    <t>Afquelíada, RampnrGiraldo de</t>
  </si>
  <si>
    <t>RampnrGiraldo de Afquelíada</t>
  </si>
  <si>
    <t>Gaceta de Madrid n.º 83</t>
  </si>
  <si>
    <t>PDF p. 9</t>
  </si>
  <si>
    <t>…la provincia de Madrid, celebra das en 7 yí8dé este mes , fueron elegidos-para formar la Junta electoral de la provincia ios ciudadanosrcuyos nombres siguen: &lt; 'p •; Por.Madrid.: D. RampnrGiraldo de Afquelíada, D. Manuei Josef Quintana, D. Bernardo de Borjas y Tarrius &gt; D. Felipe Bausa , D. Miguel Anto nio Zumaíacarregui , ;D.. Juan Palárea, D. Eugenio de Tapia , D. Josef Ma ría Calatrava.,, D. .Vicente Sancho v D^Eugenio A rrieta, D. Ramón Trujillo. Pattido de Fue…</t>
  </si>
  <si>
    <t>Ag.ayo, Juan</t>
  </si>
  <si>
    <t>Juan Ag.ayo</t>
  </si>
  <si>
    <t>Gaceta del Gobierno n.º 182</t>
  </si>
  <si>
    <t>…olivar ídem de fa capellanía de D. An humano . la .reunión de la virtud con el estudio de las tonio Espino'a , a! mbinj pago, compuesta de \-A olivos, ciencias. linde con los de, D. Juan Ag.ayo, y ca.a, que .sombran del Fueron después examinados los niños de la escuela de Estanco, en 12*090 rs. primeras letras, dirigidos por su maestro D.Santiago Espi • Otra idem de la misma capel! mía, al mbmn pago, nombra nosa ; y dieron pruebas de s .s adelantami…</t>
  </si>
  <si>
    <t>Agar, Pedro</t>
  </si>
  <si>
    <t>Pedro Agar</t>
  </si>
  <si>
    <t>Gaceta de Madrid n.º 58</t>
  </si>
  <si>
    <t>371</t>
  </si>
  <si>
    <t>…su inteligencia y cumplimiento en la parte que le toca. Dios guarde á V. ¿nucho? años. Madrid 25 de. Marzo de 1820.” ¡v . . ■ , ■.i"' . ; : En el mismo dia 25 se ha comunicado al Sr. D. Pedro Agar , capitán ge neral de Galicia, y demas autoridades á quienes compete su cumplimiento la que sigue: &lt; * : . ,, El Rey ha resuelto que el egército denominado deGalicia , que se había formado á las órdenes del teniente general conde, de , S. Román &lt;, ¿e ¿disuelv…</t>
  </si>
  <si>
    <t>Gaceta de Madrid n.º 67</t>
  </si>
  <si>
    <t>…ft; las cuales quedaron circuladas juntamente coa lá convocatoria y manifiesto el dia 8 ; el 4 se instaló' la junta preparatoria ea Extremadura.’ Con fecha dél 5 incluye el Excmo. Sr. D. Pedro Agar, Gete pQlirico. de Galicia^ testimonio de dos actas que había celebrado ya en aquén</t>
  </si>
  <si>
    <t>Gaceta del Gobierno n.º 22</t>
  </si>
  <si>
    <t>…a 3.0 Sacar á pública subasta por contrata estas obras, da nacional D. Gabriel de Ciscar, y del capitán de navio cuya construcción debe-pertenecer la primera vez al Go de la misma D. Pedro Agar, ambos consejeros de Esta bierno, y-darlas al mejor postor, bajo cánones , peages ó do, ha tenido á bien el Rey conceder al primero el ascen pontazgos.(2), que deben cesar (destruyendo hasta lacaso á teniente general, y al segundo á gefe de escuadra de la sil…</t>
  </si>
  <si>
    <t>Agnirre, Dionisio de</t>
  </si>
  <si>
    <t>Dionisio de Agnirre</t>
  </si>
  <si>
    <t>Gaceta del Gobierno n.º 130</t>
  </si>
  <si>
    <t>jurados inclinarse á favor del acotado; que habia observado, res regidores D. Dionisio de Agnirre y D. Joaquín de Mazas con.no poco disgusto, -que muchos vocales de La Cantara en para que conferencien con D. Luis de-Astigarraga y ligarte lugar de ser jueces imparciales, y de manifestarse propicios sobre el nuevo método de enseñanza mutua que trata de á la acusada, mostraban se…</t>
  </si>
  <si>
    <t>Ágñirre, Josef</t>
  </si>
  <si>
    <t>Josef Ágñirre</t>
  </si>
  <si>
    <t>Gaceta del Gobierno n.º 9</t>
  </si>
  <si>
    <t>…creto-de, 41. de Agosto de t.&amp;i 1 &gt; creando la cr Proyecto de organización y arreglo militar; su autor iden nacional de &amp;■ Fernando. El del mismo dia sobre ob el mariscal de campo D. Josef Ágñirre, remitido por su hi servar con todo rigor las leyes penales de la ordenanza. La jo D. Ignacio Aguirre.. , - : . ■ordende 16 de Eneró de' 1812, prohibiendo la concesión ’Plari dé organización militar: ríi autor el coronel Don •de gracias de cadetes á lós niños…</t>
  </si>
  <si>
    <t>Agotad</t>
  </si>
  <si>
    <t>Gaceta del Gobierno n.º 141</t>
  </si>
  <si>
    <t>8</t>
  </si>
  <si>
    <t>…propio talento: he aquí las obligacio mado Mr- Powell para calmar la zozobra de tos parientes nes del verdadero diputado nacional. y amigos de los testigos, y citaba sus cartas al coronel Agotad roda la prudencia humana, y caminad con len Brown, en que le participaba que le había enviado á Ras titud en el examen de los negocios públicos, porque la pre telli para que diese noticias circunstanciadas del buen trato cipitación es enemiga de la prudencia.…</t>
  </si>
  <si>
    <t>Aguado</t>
  </si>
  <si>
    <t>Gaceta de Madrid n.º 65</t>
  </si>
  <si>
    <t>…Martin, calle de la Cruz, y en su despacho de libros, calle ancha de Majaderitos, n/1111. 6 y 7, á iz rs. el juego, y sueltas 4 8 cuartos. Colección de estudios para guitarra por D. D. Aguado. Esta obra contiene 46 estudios de una dificultad progresiva, con la explicación del modo de tocarlos, y un pequeño tratado sobre las propiedades de este instrumento , y circunstancias que se requieren para tocarle bien. Se vende en casa de Muñoa, maestro gui…</t>
  </si>
  <si>
    <t>Agudeio, Juflart de</t>
  </si>
  <si>
    <t>Juflart de Agudeio</t>
  </si>
  <si>
    <t>Actuación administrativa o judicial</t>
  </si>
  <si>
    <t>Gaceta de Madrid n.º 17</t>
  </si>
  <si>
    <t>PDF p. 8</t>
  </si>
  <si>
    <t>i_4o En el juzgado eft 3r. D. Juflart de Agudeio ,? dét Gbws’éjo de' &amp;. Me, su alcalá idél crimen y aé provincia de la Real:audiencia de Sévilla, pór antéel escribano de sfo .numeró, P. Josef de'Mofine i.penden autos formados ccori: móxiyo del fallecimiento abintestato dé p. Juan, V¡ña , veéiño y del comerc…</t>
  </si>
  <si>
    <t>Agudo, Justo</t>
  </si>
  <si>
    <t>Justo Agudo</t>
  </si>
  <si>
    <t>Gaceta de Madrid n.º 32</t>
  </si>
  <si>
    <t>248</t>
  </si>
  <si>
    <t>…l año próximo pasado; dejando por uno de sus testamen tarios al Sr. D. Esteban Moyano, alcalde del crimen de la nysrna, k quien debe rán ocurrir en dicha ciudad, ó en esta corte á D. Justo Agudo*del Rio, agente de negocios de los'Real es.Consejos, y apoderado de los Sres. testamentarios del citado difunto Sr. Ulloa, que vive caile.de la Cruz, á la plazuela del Angel, niím. 24. &gt; Práctica de vida cristiana y egercicios de devoción, dado á luz por D. A…</t>
  </si>
  <si>
    <t>Agüero, Felipe Arco</t>
  </si>
  <si>
    <t>Felipe Arco Agüero</t>
  </si>
  <si>
    <t>Gaceta de Madrid n.º 68</t>
  </si>
  <si>
    <t>…ral Pozzo-diBorgo, poniendo en sus manos una carta de pésame de su Soberano el Empe rador de Rusia. ’ •■*■■■■ - ESPAÑA, ¡ Madrid is&gt; de Abril. Ha llegado á esta capital el célebre D. Felipe Arco Agüero, gefe del estado mayor del egército nacional de la Isla, á quien S. M. ha recibido con la mas distinguida consideración, y el pueblo-todo con eL mayor entusiasmo, prorumpiendo á su vista en las mas' expresivas aclamaciones, y habiéndole acompañado un inmenso…</t>
  </si>
  <si>
    <t>Gaceta del Gobierno n.º 158</t>
  </si>
  <si>
    <t>…e navegación de Cook, 800 millas geográficas. Si se atiende Barraineda á los mariscales de campo D. Miguel López á que el teniente Kotzebué penetró por el lado del Este en Baños y D. Felipe Arco Agüero. un estrecho hasta los 15Q Oeste de longitud de Greensxrich, Igualmente se ha servido S. M. conceder los honores y á que los naturales le aseguraron que mas adelante ha del consejo de Estado al teniente general D. Antonio Amar, bía un estrecho de 10 jornadas…</t>
  </si>
  <si>
    <t>Agüero, Felipe de Arco</t>
  </si>
  <si>
    <t>Felipe de Arco Agüero</t>
  </si>
  <si>
    <t>Edición extraordinaria</t>
  </si>
  <si>
    <t>Gaceta de Madrid n.º 55 (extraordinaria)</t>
  </si>
  <si>
    <t>…ado Don Facundo Infantes para que pueda pasar á'esa corte á presentarse á S. M. y hacer presente varias cosas de parte del coronel D. Antonio Quiroga, pues asi lo ha solicitado el coronel D. Felipe de Arco Agüero,-que ha pasado á verme en él día de hoy con este motivo. ,,Es cuanto por ahora puedo noticiar á V. E. para que sé sirva, hacerlo presente á S. M. - ,, Dios guarde á V. E. muchos nos. Cuartel general del Puerto de Santa María 21 de Marzo de 1820. srExcmo. Sr.…</t>
  </si>
  <si>
    <t>Gaceta de Madrid n.º 70</t>
  </si>
  <si>
    <t>…-* le acaba de renovar. De su Real orden lo participo á V. S. para su in teligencia y. satisfacción. Dios guarde á V". S. muchos años. Palacio 21 de Abril dé 1820. .=&amp;Amarillas. = Sr. D. Felipe de Arco Agüero.” Mercurio dé España/Marzo de 1820. Véndese á 4 rs. en el despacho de la imprenta Nacional. Se suscribe en dicho despacho » y en las provincias en todas las administraciones principales y agregadas de correos. Con la competente facultad, yá virtud de providen…</t>
  </si>
  <si>
    <t>Gaceta de Madrid n.º 74</t>
  </si>
  <si>
    <t>…itán general interino de aquella provincia D. Juan O-Donojú, yibafo de.estas á las del mariscal de campo D. Antonio Quiroga, siendo gefe del estado mayor general el de igual clase D. Felipe de Arco Agüero. Señaladas ya por Reales órdenes' las fragatas de guerra nombradas Cons titución y Viva, aquella para pasar á Tenerife, Puerto-Rico, Havana y Veracruz, y esta-para trasladarse de estación al aportadero de Cartagena deln-' días, debiendo en su viage recorrer t…</t>
  </si>
  <si>
    <t>Agüero, Josef Carlos de</t>
  </si>
  <si>
    <t>Josef Carlos de Agüero</t>
  </si>
  <si>
    <t>Gaceta de Madrid n.º 44</t>
  </si>
  <si>
    <t>…deros únicos*abintestato del expresado D.Joséf María Barry sus demas her manos y sobrino. \ ' Se solicita saber quiénes son y en donde existen los hijos, herederos ó sucesores del brigadier D. Josef Carlos de Agüero, que.fue capitán de Reales Guardias por los años de 177Í, y después pasó á América de gobernador: quien tuviere, noticia se, servirá darla'en lá cálle de las Fuentes, núqn. 6, cuarto tercero, , Quien supiere el paradero, del Hijo del señor marques: de .Áipbec…</t>
  </si>
  <si>
    <t>Aguila, Josef del</t>
  </si>
  <si>
    <t>Josef del Aguila</t>
  </si>
  <si>
    <t>…el tribunal de Contaduría mayor, oficial de la secretaría del Despacho de Hacienda: para la de Toledo, vacante por salida de D. Edmundo O-Rian á director de la Hacienda pública, á D. Josef del Aguila, oficial de la secretaría del Despa cho de Guerra: para la de León á D. Pío de Landa, oficial de la secretaría general de la Junta central, comisionado por S. M. en Lisboa, y al presente intendente de la provincia de Asturias : para la de Segovia al de León,…</t>
  </si>
  <si>
    <t>Aguila, Luis del</t>
  </si>
  <si>
    <t>Luis del Aguila</t>
  </si>
  <si>
    <t>…illar de la de Murcia; al teniente general D. Juan O-Donojú de la de Sevilla; á D. Luis Castillo Barrantes de la de Toledo; al brigadier conde de Almodovar de la de Valencia, y ai brigadier D. Luis del Aguila de la de Valladolid. El Rey, de acuerdo con la Junta provisional, ha venido en resolver que para evitar los abusos perjudiciales al bien público, en que podría degenerar la libertad política de la imprenta, decretada por las Cortes generales y ex-* traordinar…</t>
  </si>
  <si>
    <t>Aguilera, Antonio González</t>
  </si>
  <si>
    <t>Antonio González Aguilera</t>
  </si>
  <si>
    <t>Gaceta de Madrid n.º 86</t>
  </si>
  <si>
    <t>20</t>
  </si>
  <si>
    <t>…añía, en San tiago en la de Romero, en Valladolid en la de Santander, etf^Valencia en la de Ca brerizo, en Jaén en la de Carrion, en Vitoria en la de Barrio, en Granada en casa de D. Antonio González Aguilera, en Salamanca en la de D. Francisco Prieto de Torres, en Velez-Máiaga y en Alcoy en sus administraciones de correos. Los núme ros sueltos se hallarán a 3 rs. en rústica en la librería de Orea; en la de Hurtado, calle de las Carretas; en la de Brun, frente de…</t>
  </si>
  <si>
    <t>Aguilera, Antonio Josef González y</t>
  </si>
  <si>
    <t>Antonio Josef González y Aguilera</t>
  </si>
  <si>
    <t>Gaceta de Madrid n.º 42</t>
  </si>
  <si>
    <t>…de Tongas; en Murcia en casa de D. Tomas Juan Serrano; en la Carolina en la administración de correos; en Salamanca en casa de D. Francisco Prieto de Torres, y en Granada en la de Don Antonio Josef González y Aguilera, en el Zacatín. Visitas ai Santísimo Sacramento y á María Santísima para todos los dias del mes; actos de preparación y de acción de gracias para la sagrada comunión. Obra com puesta en italiano por ej limo. Sr. D. Alonso de Liguori, vertida al español por un…</t>
  </si>
  <si>
    <t>Aguilera, Gaspar</t>
  </si>
  <si>
    <t>Gaspar Aguilera</t>
  </si>
  <si>
    <t>Gaceta del Gobierno n.º 28</t>
  </si>
  <si>
    <t>…, con todo lo demas que juzgare condu Fundamentales, á saber: la de la libertad de imprenta , en cente para promover la prosperidad de dichas nuevas pobla la tropelía cometida con D. Gaspar Aguilera, cadete de ciones. Habiendo manifestado su autor que solo era un re Guardias de la Real Persona , haciéndole prender, y pri cuerdo del informe pedido sobre este importante asunto á vándole de comunicación, sin preceder censura de la junta, la Regencia del Rei…</t>
  </si>
  <si>
    <t>Gaceta del Gobierno n.º 36</t>
  </si>
  <si>
    <t>…las Cortes, por cuanto estas no del-ian ocu de varios ciudadanos reunidos en el'Ateneo español acerca parse sino en dictar leyes: que al Gobierno tocaba, hacerlas de la prisión de D. Gaspar Aguilera, y se mandó pasar á cumplir, y á aquella- solo exigir la responsabilidad de los las comisiones donde se hallan las antecedentes. secretarios del Despacho; que en el dictamen no se proponía Se aprobó una indicación del Sr. Martínez de la Rosa, ninguna medida l…</t>
  </si>
  <si>
    <t>Gaceta del Gobierno n.º 40</t>
  </si>
  <si>
    <t>166</t>
  </si>
  <si>
    <t>…glamento para aquellos que dan las Cortes excitadas por el ral , extendiéndose este privilegio hasta los militares; creían Gobierno, y en seguida se leyó la minuta. que el cadete D. Gaspar Aguilera, lo mismo que los demas El Sr. Cañedo instó para que se leyera una proposición militares, quienes por serlo no están destituidos de los de suya, que hacia dias habia presentado en la secretaría, su rechos que concede la Constitución, pudo usar de exte de poni…</t>
  </si>
  <si>
    <t>Gaceta del Gobierno n.º 112</t>
  </si>
  <si>
    <t>…nombrase del mismo modo que los se «y por el sq quiere juzgar a los'guardías’’:deI pagel núm. i.°, ñores presidente y secretarios; y por último, que se pro que dio á luz el cadete.D. Gaspar Aguilera , relativo a la pusieran de seis en seis ternas, para lograr la ventaja de que conducta observada por loé guardias de la PersBña del Rey los comprendidos en las primeras que no fuesen nombrados, arrestados en la mañana dé! To de Julio"; se ha mandado re pudie…</t>
  </si>
  <si>
    <t>Gaceta del Gobierno n.º 146</t>
  </si>
  <si>
    <t>…24,579 hombres en esta forma: de S. M. marques de! Castelar, en haber procedido á la pri Guardia Real, &lt; ®. Infantería de línea, 74©’ Ligera, 14®. sión del cadete del mismo cuerpo D. Gaspar Aguilera por Carabineros Reaies, 797. Caballería de línea, 793o* Caba las expreriones de los impresos que publicó éi mismo , y re llería ligera, 9516. Artillería, 10,34 . Zapadores, 2©. Arr. conoció por suyos , no ha infringido la Constitución ni las 2.0 Se licenciará…</t>
  </si>
  <si>
    <t>Aguirrc, Josef</t>
  </si>
  <si>
    <t>Josef Aguirrc</t>
  </si>
  <si>
    <t>…er hablarlo el Sr* Zapata , que creía poco castigo ga presenre el mérito que contrajeron los difuntos coronel el de ocho días de prisión al que abandonase la centinela; Gorri y el general D. Josef Aguirrc." á lo que contestaron los Sres. "Quiroga y Florez Estrada. Y otra del Sr. Navas para que se tenga cambien pre- Se aprobó también el 5 2 , que trata Jel castigo de! cen-</t>
  </si>
  <si>
    <t>Aguirre, Ignacio</t>
  </si>
  <si>
    <t>Ignacio Aguirre</t>
  </si>
  <si>
    <t>…or iden nacional de &amp;■ Fernando. El del mismo dia sobre ob el mariscal de campo D. Josef Ágñirre, remitido por su hi servar con todo rigor las leyes penales de la ordenanza. La jo D. Ignacio Aguirre.. , - : . ■ordende 16 de Eneró de' 1812, prohibiendo la concesión ’Plari dé organización militar: ríi autor el coronel Don •de gracias de cadetes á lós niños de tierna edad. El decre Ignacio Hacha Paíiño. ""...... cb‘" . ■ Memorias en que se discurre el modo…</t>
  </si>
  <si>
    <t>Aguirre, Pablo Arango y</t>
  </si>
  <si>
    <t>Pablo Arango y Aguirre</t>
  </si>
  <si>
    <t>…. Total........................................ 584.000,0000-11 A la comisión de Legislación se mandó pasar una ex De la comparación de estos tres sistemas resulta que posición de D. Pablo Arango y Aguirre, emigrado en nosotros cargamos el mayor peso de las contribuciones so Francia, solicitando permiso para restituirse á su casa en la bre las fincas y capitales fijos, cuando antes de la revolu Andalucía baja, ó que se le señale tribunal donde se le oiga. ción…</t>
  </si>
  <si>
    <t>Agus</t>
  </si>
  <si>
    <t>Gaceta del Gobierno n.º 24</t>
  </si>
  <si>
    <t>…o de gra des y de educación para jóvenes pensionistas, establecida con vemente injurioso, y contrario al orden y buenas costum aprobación de S. M. en Sevilla, bajo la dirección de D. Agus bres, el número 87 del periódico titulado el Conservador; tín Muñoz Alvarez, presbítero, profesor regio de humanidades se manda recoger los egemplares de dicho número, inclusos r de griego. Se hallará en la librería de Cruz y Miyar, calle del * rs. en rústica…</t>
  </si>
  <si>
    <t>Gaceta del Gobierno n.º 82</t>
  </si>
  <si>
    <t>…á S M. en el cia asi: sitio de S. Fernando y otros corresponden al Crédito pú i.° «Que para perpetuar del modo mas grato á los ha blico para pago de ja deuda; y una exposición de D. Agus bitantes de las provincias de Ultramar la memoria del feliz tín Caminero sobre tabacos. restablecí miento constitucional, y alejar para siempre de en A la de Diputaciones provinciales y ordinaria de Ha tre ellos la fatal y ruinosa desunión que los aflige y de…</t>
  </si>
  <si>
    <t>Agustín</t>
  </si>
  <si>
    <t>…- Sobre el artículo 3.0 dijo el Sr. Moreno Guerra, que las dino , Couto, Fagoaga, Camus , Ramírez Cid, Gobantes, pendones debian pagarlas los que los pidieron á nombre de JJgarte (D. Agustín), La Riva, Valle, Bahamonde, Huer los pueblos, siéndolos mas enemigos de los mismos pueblos, ta, Cepero, y López ( D. Marcial). a saber, los regidores perpetuos que hicieron regidor de Continuó la discusión el Sr. Vadillo para rectificar una todas partes á Go…</t>
  </si>
  <si>
    <t>…ornos á la Península. Se leyó el acta de la del día anterior,' á la que se mando ■ No se admitieron á discusión otras dos: ia primera de agregar un voto particular del Sr. Ugarte (D. Agustín) con los Sres. Magariáo , Picrfela y Moya, pidiendo que se haca trario á la resolución del proyecto de decreto sobré extin extensiva la medida dictada por las Corres t los puerro' del ción de jesuítas y restablecimiento del cabildo de S. Isidro; mar del Sur,…</t>
  </si>
  <si>
    <t>…que puedan formarse en contra mos Arispe, Alvarez Guerra, Villanueva, Priego, Cana- vención de este bando, el cual pasará á la aprobación del bal , Navarro (D. Fernando), ligarte (D. Agustín) é Sr. prefecto del departamento. = Hecho en la casa de ayun Isturiz. tamiento. 5= Rúan 1 i de Agosto. = Elias Lefebure.” Con este motivo se leyeron varias proposiciones relati París tíi de Agosto. vas á esto mismo. Primero la siguiente del Sr. Villanueva t S…</t>
  </si>
  <si>
    <t>Gaceta del Gobierno n.º 86</t>
  </si>
  <si>
    <t>…ciones á ia misma Lasanra, Süses , Hinojosa, Gonza'ez Ai ,-nde , Diaz Mora patria según fue*e invadida por el Portugal ó por la Francia. les, Arnedn , [izpeleta , Torrens. Ugarte (D. Agustín). TeRefutó la idea de que hubiesen deseado la libertad na mes, GovaniKs., Montenegro, Ramos Arispe, Clemente, cional deseando la Constitución de Bayona , recordando el Rey , Solana , Gutiérrez Acuña, Moreno Guerra, Rovíra, proceder del usurpador . la desmembr…</t>
  </si>
  <si>
    <t>Agüstin</t>
  </si>
  <si>
    <t>Gaceta del Gobierno n.º 87</t>
  </si>
  <si>
    <t>…os los demas, que se creerían cotí torica, Calderón, Lasanta, González Allende, D¡az de iguales derechos; por lo que terminó apoyando el artículo Morales, Arnedo, Torrens, Ugárte (D. Agüstin), Rodrí en su totalidad. guez de Ledesma, Temes, Govantes, Clemente , FondeviEl Sr. Navas aclaró algunos de sus principios que habia Ja , Navarro (D. Fernando), Michelena, Rey, Navarro atacado el Sr. presidente; y preguntando después si estaba £ D. Felipe), S…</t>
  </si>
  <si>
    <t>Gaceta del Gobierno n.º 109</t>
  </si>
  <si>
    <t>…irven les recompense imprima , publique y circuIe.= Esta rubricado de la Real macon una decente subsistencia. Declamó en seguida el orador no.=En Palacio á 4 de Octubre de 1820.=A D. Agustín contra el abuso de haber llegado á cobrar diezmos hasta Arguelles. los grandes, y de que se reclamase el derecho divino cuan Circular del ministerio de la Guerra. do se trataba de ciertas clases del clero, mientras se habia Por este ministerio se ha comunicad…</t>
  </si>
  <si>
    <t>Gaceta del Gobierno n.º 132</t>
  </si>
  <si>
    <t>…bre que se le remitiesen los expe ra, Subercases, Cepeda, Rodríguez y Torre Mario. dientes de permisos mercantiles de tres casas de la Penín Para la de Ultramar los Sres. Ligarte (D. Agustín), Pino, sula. Yandiola , O-Dalí, Moreno Guerra, Zayas, Ramos Arispe, A la de Premios se pasó una representación de Doña Cosío y-Fagoaga. Teresa Aguilar, viuda de D. N. Estrada, vecino de Gra Para la de Infracciones los Sres. González Allende. Fuignada , manif…</t>
  </si>
  <si>
    <t>Agustiri'Butler</t>
  </si>
  <si>
    <t>Gaceta del Gobierno n.º 18</t>
  </si>
  <si>
    <t>…-al desprecio.:, sin! ella..... cualquier! persona- que se considere con derecho á lá masa díjl pero basta., Señor; el día; en que comienza el .cuadro de concurso de acreedores de D. Agustiri'Butler, del-comercro de nuestras glorias es menester, correr un.velo; Sobreel.de. nues Cádiz, para que en el preciso término de 15 meses, contados tras pasadas desgracias, para no turbar con tristes .recuerdos -desde; la fecha de .esta'.publicación; comparezca ante…</t>
  </si>
  <si>
    <t>Ahneric, Antonia</t>
  </si>
  <si>
    <t>Antonia Ahneric</t>
  </si>
  <si>
    <t>…tes enteradas de los egemplares remi Asimismo se concedió permiso, como proponía la co tidos por los ministerios de la Gobernación de la Península misión segunda de Legislación, á Doña Antonia Ahneric, y de Gracia y Justicia de los decretos sobre prohibición vecina de Almería, para vender cinco tahullasy tres cuartas de introducir granos cxtrangeros, y sobre extinción de je de tierra vinculadas, haciendo el síndico las veces del inme suítas y restablecimie…</t>
  </si>
  <si>
    <t>Ai, Francisco de</t>
  </si>
  <si>
    <t>Francisco de Ai</t>
  </si>
  <si>
    <t>…definiciones de Iá geometría, y disertó sobre las propiedades del círculo y de las líneas que en él se consideran. D. Antonio Corominas sobre las proporciones de líneas y figuras. D. Francisco de Ai gemir sobre la geometría práctica. D. Josef Estra-</t>
  </si>
  <si>
    <t>AÍarcial</t>
  </si>
  <si>
    <t>…Convino el Sr. Sierra Pambley en el principio sentado Leyóse por segunda vez la proposición hecha por los por su preopinante; pero manifestó que las circunstancias Sres. I.opez ( D. AÍarcial ) y Villa, suscrita después por el actuales habian obligado á la comisión á no considerarla co Sr. Solanot, para que se suprima la contribución de un mi mo un medio de llenar el vacío de las deinas rentas, sino á llón de reales que paga para las obras del can…</t>
  </si>
  <si>
    <t>Aíartine, Josef</t>
  </si>
  <si>
    <t>Josef Aíartine</t>
  </si>
  <si>
    <t>…das. ................................. ............. 23J ANUNCIOS. Solicitudes en que no cupo absolutamente conciliación, y se mandó usasen de su derecho. 09-j Por providencia del Sr. D. Josef Aíartine* Moscoso, juez Juicios declarados por intentados, mediante 72 l letrado en primera instancia de esta M. H. villa, refrendada de la falta de presentación de los demandados............. su escribano del número D. Jacinto Gaonu y Loeches, se ha 170 Id. de menor…</t>
  </si>
  <si>
    <t>AIdSi, JóSeftotíaéíe</t>
  </si>
  <si>
    <t>JóSeftotíaéíe AIdSi</t>
  </si>
  <si>
    <t>Gaceta de Madrid n.º 40 (extraordinaria)</t>
  </si>
  <si>
    <t>…dividuó* «ópremo £e&gt; la'Guerra: xjufe puedan Sin destíiíó los 'itásmós. ftónércs ft dreislo entendido , y dispondreis lo conveóíenté á sO fwbhto cumpliniienGxs: Éstá rubricado.^:A D. JóSeftotíaéíe AIdSi”1 V -y* rta obstóla na «huso '/ ’!-;í ;'r i '■'■[• ( &lt;! 1 • ■' - &gt; n;. í;:n | -jliTi: o.n í^b 3':rjrns77oM 3¡&gt; 41: Ei Rey se fia xstórvi^ó¿ dli'rgíé %§tíi Sé^c^f *de 'Háciétídaéfdécáéí^ííguieñtéíJ ^.¡:3 \ nobuiiíziioD'aí.n^osnOq-„ Uno de. los puntos que 'medi…</t>
  </si>
  <si>
    <t>Aíinpi, Josef María</t>
  </si>
  <si>
    <t>Josef María Aíinpi</t>
  </si>
  <si>
    <t>…a resante, en que aquella corporación, verdaderamente patrió cón; el teniente coronel D. Ramón de Foja, y el capitán tica en su formación, en su destino, en stis sentimientos y en D. Josef María Aíinpi. todas sus operaciones, da razón á la representación nacional de las causas que produjeron nuestra gloriosa resurrección polí Un prólogo del método y plan deenceñanza é instruc tica en el mes de Marzo; dei estado de la monarquía en losción pública, dado á luz…</t>
  </si>
  <si>
    <t>Ainat, Rafael</t>
  </si>
  <si>
    <t>Rafael Ainat</t>
  </si>
  <si>
    <t>Gaceta del Gobierno n.º 119</t>
  </si>
  <si>
    <t>…os; pero que no debia darse tanta extensión á otras personas, y pracúcádose varias diligencias, se dictó aquellas, que pudieran ser perjudiciales. por el juez de primera instancia D. Rafael Ainat la provi Convino esencialmente el Sr. ministro de la Goberna dencia siguiente: ción en las opiniones manifestadas por los Sres. Toreno y «Se declara no haber lugar á la formación de la presente Man*nez de la Rosa , ios que en su concepto habian de causa, y qu…</t>
  </si>
  <si>
    <t>Aipuen'e, Remero</t>
  </si>
  <si>
    <t>Remero Aipuen'e</t>
  </si>
  <si>
    <t>294</t>
  </si>
  <si>
    <t>…AJOZ. de omisión al juez de primera instancia, que no formó ia Encomienda de Fuente de Cantos. sumada á quien correcpondin. Una dehesa del Pizarralejo, su cabida 4,500 fanegas, El Sr. Remero Aipuen'e opinó que de ninguna manera poco mas ó menos, de labor y pasto. se podían declarar infractores de la Constitución ni el juez Otra dehesa de la Mata, cabida 700 fanegas, poco mas de primera instancia ni el auditor, pues lo que hicieron ó menos, para labor. fue…</t>
  </si>
  <si>
    <t>Aipuen, Romero</t>
  </si>
  <si>
    <t>Romero Aipuen</t>
  </si>
  <si>
    <t>Gaceta del Gobierno n.º 107</t>
  </si>
  <si>
    <t>…ones, y añadiendo otras, tanto á favor de la .tercer director del Crédito público* • t .primeracomo para.probar que la mejor, proposición que j Se levó la indicación siguiente del Sr. Romero Aipuen— podía adoptarse era la de que se trataba. ■te: «Que i lo resuelto posteriormente sobre venta de bio- El.Sr» ministro de la Gobernación de Ultramar dijo que ■nes de regulares se añada: que pase al Gobierno.’ sin embargo de sus cortos conocimientos en la mater…</t>
  </si>
  <si>
    <t>Aivarez, Martin</t>
  </si>
  <si>
    <t>Martin Aivarez</t>
  </si>
  <si>
    <t>Gaceta de Madrid n.º 8</t>
  </si>
  <si>
    <t>65</t>
  </si>
  <si>
    <t>…ió éi Rey el pase á las milicias de CiudadReal en clase de ayudante con grado de capitán; y entonces le eligió por su edecán, con agregación á la secretaría, el inspector de ellas D. Martin Aivarez, á cuyos ruegos formó, un resúmen militar de las expediciones de los es-* pañoles; al Africa , especialmente desdeda conquista de Granada. &lt; . En Julio dé 1778 el» conde de Fernán-Nuñez, nombrado embajador dé Portugal, ;Ie pidió por i secretario' de su embaja…</t>
  </si>
  <si>
    <t>Aivíai, Aíaria Josefa</t>
  </si>
  <si>
    <t>Aíaria Josefa Aivíai</t>
  </si>
  <si>
    <t>Gaceta de Madrid n.º 11</t>
  </si>
  <si>
    <t>…sus representantes nos postramos á los pies de V. M.” El dia 7 del corriente tuvieron la honra de felicitar al Rey nuestro Señor por su augusto enláce con la Reina nuestra Señora Doña Aíaria Josefa Aivíai :\ de Saxonia, á nombre de la fidelísima ciudad y plaza de Ceuta, el Excmo. Sr. D. Ramón Pirez y Pavía, caballero gran cruz de la Real y mi i ira; orden de S- Hermenegildo, de tercera clase de; la de S. Fernando ¿ te* ntenie general de los Reates egérciros, é…</t>
  </si>
  <si>
    <t>Al, Romero</t>
  </si>
  <si>
    <t>Romero Al</t>
  </si>
  <si>
    <t>…guo y moderno : dias que adonde pase este expediente con todas las indicaciones he celebrará y bendecirá la mas remota posteridad, cuando chas por los Sres. diputados;” y otra del Sr. Romero Al observe que A ellos se debe el incremento de las artes y puente para que «el expediente sobre hospitales se pase á ciencias, el aprecio y disiincion de que gozar ,n sus dignos una combion especial con urgencia.” profesores , y los beneméritos guerreros, q^e a…</t>
  </si>
  <si>
    <t>Al-, Francisco</t>
  </si>
  <si>
    <t>Francisco Al-</t>
  </si>
  <si>
    <t>Gaceta de Madrid n.º 95</t>
  </si>
  <si>
    <t>…n el tenor de las leyes. &lt; i** ■ “ El Sr. D. Argel Fernandez de ios Ríos, ministro togado, juez de primera ins tancia en esta muy heroica villa , y por la escribanía del número de D. Francisco Al-? cazar ,-ha cumplimentado un despacho requisitorio del señor juez civil de la ciudad de Cádiz, por el Oficio dé D. Joaquín Rubio, para notificar en esta corte, de donde dice son vecinos , á D. Jósef y Doña Josefa García Alanis, como herederos de Don Pedro Gar…</t>
  </si>
  <si>
    <t>Al-, Romero</t>
  </si>
  <si>
    <t>Romero Al-</t>
  </si>
  <si>
    <t>2 * rin, que apoyó al Sr. conde de Torena •, el Sr. Romero Al- señte al diputado de las extraordinarias D. Antonio Olive puente, que opinó debía señalarte á la viuda el sueldo ínte ros , muerto después de un largo martirio. gro Je su marido; el Sr,. Vargas Ponce, que fue de parecer Se mandaron pasar todas las indicacione…</t>
  </si>
  <si>
    <t>Ala, Miguel</t>
  </si>
  <si>
    <t>Miguel Ala</t>
  </si>
  <si>
    <t>Gaceta de Madrid n.º 69</t>
  </si>
  <si>
    <t>…á los lectores en es? Vado de cot^ parar, ha ti nido á su obra ja. relación que de la misma batalla se.publicó éd ingles,. y jos partes, dados á nuestro Gobierno por ehExcmo. Sr..D. Miguel Ala va. hd hallará en ía^librejná eje Perez, calle de las Carretas, y plazuela del Angel^ en Cádiz errla de Zaragoza; éti, Sevilla en la de Berard, y en Valencia eh la de ‘ ' ~ j ' ; 1. JjrnRép^eséhfácion héqhá desdé Lándrés en 1818 a S. M. Católica el Sr. T&gt;. Fe…</t>
  </si>
  <si>
    <t>Alaiz, Romero Al Manuel</t>
  </si>
  <si>
    <t>Romero Al Manuel Alaiz</t>
  </si>
  <si>
    <t>Gaceta del Gobierno n.º 125</t>
  </si>
  <si>
    <t>…. carta de ciudadano. A la misma se pasaron dos solicitudes, dirigidas por el Sr. secretario de la Gobernación de la Península : una de Don Leido este artículo, tomó la palabra el Sr. Romero Al Manuel Alaiz para que se le permute el tercer año de ma puente , manifestando que la junta nacional del Crédito pú temáticas por uno de leyes, previo su debido examen; y blico habia fijado el total de la deuda con interes en 5540 la otra de D. Lesmes Ruiz de Hacha para qu…</t>
  </si>
  <si>
    <t>Alanis, Pedro García</t>
  </si>
  <si>
    <t>Pedro García Alanis</t>
  </si>
  <si>
    <t>…civil de la ciudad de Cádiz, por el Oficio dé D. Joaquín Rubio, para notificar en esta corte, de donde dice son vecinos , á D. Jósef y Doña Josefa García Alanis, como herederos de Don Pedro García Alanis, los traslados que les ha conferido en 9 de Setiembre de 181;* y, 29 de Febrero último, en el pleito que en aquel juzgado siguen D. Miguel JBocanegra y D. Fernando Domínguez de Castro sobre, entrega*dc 8979 rs. y 8 mrs., que</t>
  </si>
  <si>
    <t>Alaría</t>
  </si>
  <si>
    <t>Gaceta del Gobierno n.º 138</t>
  </si>
  <si>
    <t>…ienda y La Cámara de Castilla, que enten . El día * del pasado se celebraron exámenes públicos de dían en los asuntos contenciosos de tercias, diezmos de exen las 33 discípulas de Doña Alaría de los Dolores Muño*, tos y subsidios, que por disposiciones pontificias están con maestra de niñas de esta ciudad, en presencia de los seño cedidos al erario nacional de parte de diezmos y demás res Gefe político , capitán general, intendente, varios indivi…</t>
  </si>
  <si>
    <t>Albárruiz, Santiago</t>
  </si>
  <si>
    <t>Santiago Albárruiz</t>
  </si>
  <si>
    <t>…Josef Antonio de Pinol y de CÍimeñt, dé unos 20 años, de, edad., poco mas ó menos, que se ausentó dé la cmdádr’de Torfosa hará tres .meses, sé servirá ,áyisar en la dicha ciudad á D. Santiago Albárruiz, maybrdomo de dicho señor. Modo práctico de hacer una confesión general, asi para,la mas fácil expedición de los confesores, como de los penitentes én examinarse yen hacerla, compuesto., por el P. Pedro de Calatayud, misionero de la compañía de Jesús: añadido…</t>
  </si>
  <si>
    <t>Albas, Juan Sánchez Barbas</t>
  </si>
  <si>
    <t>Juan Sánchez Barbas Albas</t>
  </si>
  <si>
    <t>…erra de pan traer, estos deberán dar las certilicaciones juradas á los síndicos con una fuente manantial. de las fincas de que se componen las respectivas vinculacio Capellanía de D. Juan Sánchez Barbas Albas. nes, con distinción de cada una, y que los síndicos nin Una pieza de 6 robos, 6 almudes en el Tablar alto de gún interes ni derecho lleven por esto. Tudela. Se dejó para mas adelante el tomar en consideración otra Otra de 3 robos en dicho campo. del Sr. Pala…</t>
  </si>
  <si>
    <t>Alberto</t>
  </si>
  <si>
    <t>Gaceta del Gobierno n.º 172</t>
  </si>
  <si>
    <t>774</t>
  </si>
  <si>
    <t>…difundirán mas fácil de 1807, números 43,290 y 61,401, y especialmente á losy rápidamente las luces en nuestra hermosa patria; y por comprendidos en sus últimos endorsos, que son D. Alberto,consiguiente seremos mas felices y mas estimados de las Guardia, de Barcelona, D.Eudaldo Guixer, Francisco Fladevega grandes naciones de la Europa, que nos miran con aficioné y Sebastian Artiga, para que concurran á exponer y alegar de Ínteres.” su derecho en…</t>
  </si>
  <si>
    <t>Alberto, Felipe S.</t>
  </si>
  <si>
    <t>Felipe S. Alberto</t>
  </si>
  <si>
    <t>…de villa , en la citada ciudad , en i 3.3.4, rs-..- , , - . pendientes; D. Josef Pavar, teniente coronel retirado, dis Otra pieza en el tablar de en-medio , de 3 robos , ju perso; D. Felipe S. Alberto, capitán idem; D. Manuel risdicción de la misma ciudad , en 960 rs. Cortés, oficial de la secretaría del Desnacho dé Hacienda; Otra pieza.cn el mismo campo, de 2 robos y ia al D. Manuel Marco, contador principal ae Rentas de aquella mudes, jurisdicción di la…</t>
  </si>
  <si>
    <t>Albiñana, Mateo Martí y</t>
  </si>
  <si>
    <t>Mateo Martí y Albiñana</t>
  </si>
  <si>
    <t>…ngreso; por lo que, despees de haber sentado por la comisión- de Legislación, á consecuencia de declarado que no había lugar á votar sobre el artículo, se las dudas propuestas por D. Mateo Martí y Albiñana, ayu mandaron patar á la comisión las indicaciones siguientes. dante mayor del batallón ligero ¿e Hostalrich , sobre el Luía del Sr. Martinez de la Rosa: «que la comisión modo de tomar parte en las elecciones civiles los militares, prefije las circunstancias…</t>
  </si>
  <si>
    <t>Albóniga, Santiago Manuel de</t>
  </si>
  <si>
    <t>Santiago Manuel de Albóniga</t>
  </si>
  <si>
    <t>Gaceta del Gobierno n.º 3</t>
  </si>
  <si>
    <t>14</t>
  </si>
  <si>
    <t>…Odessa. El Sr. Pharmacides ocupa trado de primera instancia en ella, darla en 28 del pasado, y un lugar distinguido entre los literatos griegos. Lqs estu- refrendada del escribano D. Santiago Manuel de Albóniga , se dian'tes de la Grecia han recibido sus Elementos de la len ha señalado el jueves 13 del corriente, á las ocho de la maña na , en la posada de S. S., para celebrar junta de acreedores Agua griega con el mayor anhelo y gratitud , y todos los los bienes de…</t>
  </si>
  <si>
    <t>Alcalá, Joref de</t>
  </si>
  <si>
    <t>Joref de Alcalá</t>
  </si>
  <si>
    <t>Gaceta del Gobierno n.º 46</t>
  </si>
  <si>
    <t>…nó tendría inconveniente en exponer si fuese necesario, dientes. por las qué había la comisión puesto las milicias á las órde nes de la autoridad civil local. Ei capitán de navio D. Joref de Alcalá, comisionado - Apoyó el Sr. Martínez de la Rosa lo expuesto por el por S. M. para conducir en el l-ergantin Diligente, correo Sr. Vitorica, haciendo patente lo recesarlo que es siempre de la armada, á Tenerife, Puerto-Rico y la Havana lo» en las operaciones m…</t>
  </si>
  <si>
    <t>Alcántara, Pedro</t>
  </si>
  <si>
    <t>Pedro Alcántara</t>
  </si>
  <si>
    <t>Gaceta del Gobierno n.º 147</t>
  </si>
  <si>
    <t>…Don obervacion constante y de una razón ilustrada ; pero lo que Román Lorenzo Calvo. particularmente le recomienda es aquella exactitud, y aquel Doña Francisca Fernandez, viuda de D. Pedro Alcántara espíritu de sana crítica tan recomendable en un escritor. Fernandez, natural que fue de Valencia, y vecina de esta corte, En los 24 capítulos que el autor ha dedicado á la his murió en ella en 19 de Setiembre último bajo una disposición, toria antigua de la N…</t>
  </si>
  <si>
    <t>Alcaraz, Vicente</t>
  </si>
  <si>
    <t>Vicente Alcaraz</t>
  </si>
  <si>
    <t>…brevedad el informe que se le ha confiado.” C011 proponía se manifestase haber sido grates á las Cortes los este motivo los Sres. Lagrava, Ceperó, López ( D. Marcial) servicies de D. Vicente Alcaraz , y que se remitiese su ex y Cortés hicieron presente lo mucho que se habían aumen posición al Gobierno para que le colocase con preferencia • tado tos excesos, hasta el punto de no respetarle ya las po en el desrino que conceptuase mas oportuno. blaciones gr…</t>
  </si>
  <si>
    <t>Alcázar, Francisco</t>
  </si>
  <si>
    <t>Francisco Alcázar</t>
  </si>
  <si>
    <t>Gaceta de Madrid n.º 16</t>
  </si>
  <si>
    <t>…ha ocurrido ante el Sr. D. Angel Fernandez de los Ríos, del Consejo de S. M., teniente primero de corregidor de esta muy heroica villa, por la. escribanía del nu mero de cargo de D. Francisco Alcázar, reclamando entre otros siete vales Reales que existían encabezados á su favor en la procuración general de dicha orden , y fueron ocupados por el gobierno intruso el áño de 1809, cuyas creaciones, valor y núme ros, con expresión de sus últimos tenedores, es…</t>
  </si>
  <si>
    <t>Gaceta de Madrid n.º 80</t>
  </si>
  <si>
    <t>PDF p. 12</t>
  </si>
  <si>
    <t>…, y la bao presentado. para^u aprobacioñ. ante d S¡r. D. Aagel Fernandez de los Ríos, juez de primera instancia de esta mu]f heroica villa, por la escribanía de numeró de cargo de D. Francisco Alcázar, dónde pende él asunto, de que se ha dado traslado al defensorjle la Doña M§ggari*a Daschouts; y-en auto de fí de Abril próximo pasado se ha mandado •entre otras' cosas que se emplace, como se ejecuta, á dichos Chavert y Daschouts, para que en término de 30 d…</t>
  </si>
  <si>
    <t>Gaceta de Madrid n.º 93</t>
  </si>
  <si>
    <t>…directores, han ocurrido ante el Sr.Don Angel Fernandez de los Ríos, ministro togado, juez de primera instancia de esta muy hircSica villa, por la escribanía. numeraria á cargo de D. Francisco Alcázar/ acogiéndose bajo la protección judicial, y solicitando que sus acreedores se reúnan en junta para hacerles presente su estado, sus disposiciones y medios de satisfacerles, y proceder con su acuerdo á lo que se estime rnas conveniente, suspendiéndose en tre t…</t>
  </si>
  <si>
    <t>Alcocer, Fernando</t>
  </si>
  <si>
    <t>Fernando Alcocer</t>
  </si>
  <si>
    <t>…i Se leyeron tres proposiciones de otro señor diputado: bertad : á la de Guerra un plan de organización dd eg ;rcito, 1.* para que se recomiende al Rey la necesidad de que nin por D. Fernando Alcocer, sargento mayor de la columna gún empleo se provea en persona que no disfrute sueldo ae granaderos provinciales de Andalucía. mientras existan cesantes: 2.a que para la provisión de ein- A las comí-iones Eclesiástica y de Legislación reunidas leos se prefiera…</t>
  </si>
  <si>
    <t>AlctmtrrrrBruno, Pedro</t>
  </si>
  <si>
    <t>Pedro AlctmtrrrrBruno</t>
  </si>
  <si>
    <t>Gaceta del Gobierno n.º 53</t>
  </si>
  <si>
    <t>218</t>
  </si>
  <si>
    <t>…ardides: la buena causa estará galete , pidiendo permiso para permutar varías lineas de un siempre asegurada. La ilustración de los hombres beneméri mayorazgo, y la exposición de D. Pedro AlctmtrrrrBruno, tos, que la pública estimación y la voluntad del Príncipe han vecino de Guayaquil , contra D. Joaquín de Mendiburu, colocado á mi lado, iluminará continuamente mi conducta. gobernador de aquella plaza. No ignoráis que muchos de estos ilustres varones han est…</t>
  </si>
  <si>
    <t>Alds, Josef María de</t>
  </si>
  <si>
    <t>Josef María de Alds</t>
  </si>
  <si>
    <t>Gaceta de Madrid n.º 36</t>
  </si>
  <si>
    <t>2&amp;2 ,, A fin de que puedan despacharse con la debida actividad los negocios de Ja secretaría de Estado y del Despacho de Marina, de que estaba encargado interinamente D. Josef María de Alds, he venido en nombrar en la misma ca lidad de interino para dicho ministerio á D. Luis de Solazar. Tendreislo en tendido, y lo comunicareis á quienes*corresponda. Palacio 9 de Marzo de 1820. = Está rubricado.” El Rey se ha servido nombrar para el empleo de ca…</t>
  </si>
  <si>
    <t>Alegre, Manuel Hernández</t>
  </si>
  <si>
    <t>Manuel Hernández Alegre</t>
  </si>
  <si>
    <t>Gaceta de Madrid n.º 12</t>
  </si>
  <si>
    <t>99</t>
  </si>
  <si>
    <t>…a se adjudicaron premios según el mérito de los aspirantes por el orden siguiente: los de primera clase á D. Dionisio Santos, D. Manuel del Cerro y D. Miguel Rojo. Los de segundad D. Manuel Hernández Alegre, D. Domingo Pleito y D. Francisco de Toro; y los de tercera á D. Julián Quirós, D. Saturnino Díaz y D- Eugenio Lázaro Carrasco. Concluyóse él acto con un breve discurso que pronunció su cura párro co el Lie. D.. Domingo de Buezo y Rojas, en que ademas de dar…</t>
  </si>
  <si>
    <t>Alejandro</t>
  </si>
  <si>
    <t>Gaceta de Madrid n.º 66</t>
  </si>
  <si>
    <t>…o, que falleció abintestato en el año pasa do de 1815, para que dentro del término de 20 dias, contados desde este anuncio,, comparezcan en su juzgado, y escribanía del número de, D. Alejandro, Gu^rrez , á deducir, $u derecho; con apercibimiento que^pasado; dicho término sin haberse pre*&lt; sentado' Ies parará ¿lj perjurio, que;haya lugar., , v, ¡ , , ^,1.., r A virtud de providencia del Sr. *D. Julián de Sojó, juez letrado de primera ins tancia en e…</t>
  </si>
  <si>
    <t>…manifestó ios perjuicios drid, pidiendo se prohíba la entrada del extranjero. que se seguirian al servicio público de que los productos de A la segunda de Legislación una duda de D. Alejandro la renta de correos entrasen en ¡a tesorería general , pues Fernandez de Bustos, vecino de Zamora, acerca de si un llegaría el caso de que se ofreciese alguna cantidad para un párroco que vive fuera de la parroquia, debe tener voto ac gasto extraordinario, co…</t>
  </si>
  <si>
    <t>Alejandro-Dolare</t>
  </si>
  <si>
    <t>…arcediano titular de la iglesia catedral de Avila; D. Manuel Tariego, arcediano titular de la de Segovia; D. Henrique Ortega, dignidad de chantre de la iglesia colegial de Baza, y D. Alejandro-Dolare»;-y para fiscal á Don Eranciscq Alfonso, de Tuero ; cuyo tribuna] especial M Tnsiáiará i«medihtav</t>
  </si>
  <si>
    <t>Alejo</t>
  </si>
  <si>
    <t>Gaceta del Gobierno n.º 175</t>
  </si>
  <si>
    <t>…que decidiesen se egecutará sin recurso. Se halla vacante una ración de la catedral de GuadilajaResolución. Que las juntas parroquiales decidán en el ra de Indias, por ascenso de D. Alejo de la Cueva á canon-' acto las dudas que ocurran, y con lo que resuelvan le con gía dé la misma; y su renta está regulada era 456) pesos. tinúen hasta su conclusión, salvos los recursos al Gefe po Se admiten memoriales por término de 15 días. lítico que tiene…</t>
  </si>
  <si>
    <t>Alfonso, Eranciscq</t>
  </si>
  <si>
    <t>Eranciscq Alfonso</t>
  </si>
  <si>
    <t>…al de Avila; D. Manuel Tariego, arcediano titular de la de Segovia; D. Henrique Ortega, dignidad de chantre de la iglesia colegial de Baza, y D. Alejandro-Dolare»;-y para fiscal á Don Eranciscq Alfonso, de Tuero ; cuyo tribuna] especial M Tnsiáiará i«medihtav</t>
  </si>
  <si>
    <t>Alfox, Rosalía Antonia</t>
  </si>
  <si>
    <t>Rosalía Antonia Alfox</t>
  </si>
  <si>
    <t>…Na Este artículo fue aprobado en los mismos términos en ción, cupo en la suerte del, primer extracto de la de este dia que se hallaba concebido, á pesar de la observación del se á Doña Rosalía Antonia Alfox , hija de D. Antonio, subte ñor Giraldo , de que seria mas conveniente hacer la clasifi niente de infantería voluntarios de la Corona, muerto en el cación por deíitos que no por penas, como se expresa en el campo del .honor. mismo , en atención á que el Sr. C…</t>
  </si>
  <si>
    <t>Allende</t>
  </si>
  <si>
    <t>Gaceta del Gobierno n.º 120</t>
  </si>
  <si>
    <t>…ño. Por último, se mandó pasar la indicación Octubre de 1820.= A D. Manuel García Herreros. del Sr. López á la comisión de Hacienda, juntamente coa la exposición presentada por el Sr. Allende. A la comisión de instrucción pública se pasaron dos ex posiciones de la diputación provincial y del ayuntamiento de Valladolid sobre enseñanza pública , presentadas por el ANUNCIOS. Sr. Ramirez Cid. Se mandó agregar al expediente de la compañía de Gua Memori…</t>
  </si>
  <si>
    <t>Allende, González</t>
  </si>
  <si>
    <t>González Allende</t>
  </si>
  <si>
    <t>Gaceta del Gobierno n.º 55</t>
  </si>
  <si>
    <t>…pueblo, rodo con una modestia , orden y compos la comisión de Agricultura; leyéndose por primera vez cua tura, que no se podia menos de exclamar: He aquí los tro proposiciones del Sr. González Allende, relativas al regocjos de un pueblo grave y cristiano. La lluvia que so mismo objeto. brevino á cosa de la una finalizó la diversión ; pero no la A la primera de Legislación una solicitud del avuntafruición interior de estos dignos españoles, que cada vez mie…</t>
  </si>
  <si>
    <t>Gaceta del Gobierno n.º 67</t>
  </si>
  <si>
    <t>…esentaba de un periódico, cuyo editor fue un re,lato pietarios vinculistas sobre que sin embargo de las proposi so del Escorial; y concluyó con lá indicación (que leyó) ciones del Sr. González Allende, ó de otra cualquiera re de que se encargara al Gobierno que exigiere inmediata clamación , se haga llevar á efecto el decreto de 8 de Junio mente el.original ó copia de dicha Constitución llamada se-, de 1813 , comprensivo de diferentes medidas para fomento…</t>
  </si>
  <si>
    <t>…ebaja del militares y eclesiásticas, de cualquiera clase y dignidad, que tercio hasta ir á espirar el término prefijado. guarden y hagan guardar, cumplir y egecutar la presente El Sr. González Allende la apoyó también, presentando ley en todas sus partes. Tendreislo entendido para su cum una exposición de algunos vecinos de la provincia de Za plimiento, y dispondréis se imprima, publique y circu mora en solicitud de que se prorogase aquel plazo hasta le. =…</t>
  </si>
  <si>
    <t>Gaceta del Gobierno n.º 124</t>
  </si>
  <si>
    <t>…comisión de Examen de cuentas y asuntos der dipu Igualmente se mandaron pasar las dos indicaciones si taciones prbvinciáles presentó su dictamen sobre la(divitiori guientes : del Sr. González Allende : «Queá los actuales in de partíaos de Navarra, conformándose con el'propuesto quilinos se les deje tiempo suficiente para buscar otras ha Ers laCortesdiputaciónaprobaronprovincial,'tambiényestáaprobadodivisiónporcorrióel 'GóbíéVho.propóruá bitacionesDe los,…</t>
  </si>
  <si>
    <t>Allue, Antonio</t>
  </si>
  <si>
    <t>Antonio Allue</t>
  </si>
  <si>
    <t>2</t>
  </si>
  <si>
    <t>…y todos sus negocios domésticos, convendria relevarlas guar El Rey ha expedido el decreto siguiente: dias de milicianos no cada 24 , sino cada 12 horas. ,, He venido en nombrar á D. Antonio Allue por mí Los artículos 53 y 54 fueron aprobados ; no obstante pro-capellan y limosnero mayor y patriarca de las Indias, que acerca de este último dijo el Sr. Martinez de la Rota en atención á sus méritos y buenas prendas. Tendreíslo en que notaba se daba muy po…</t>
  </si>
  <si>
    <t>Almanza, Josef Mariano</t>
  </si>
  <si>
    <t>Josef Mariano Almanza</t>
  </si>
  <si>
    <t>Gaceta de Madrid n.º 45 (extraordinaria)</t>
  </si>
  <si>
    <t>…D. &gt; Joaquín Blake, decano, D. Pedro/Ágar, D* Gabriel Ciscar* el reverendo en Cristo Padre Cardenal de Borbon * D. Andrés García + Don Martin Garay, D. Francisco Xavier Castaños; D. Josef Mariano Almanza, D- Pedro Cevallos , el marques de Piedrablanca, D. justo.Marta Ibar-Na^ai-* ro, D. Josef Aycinena, D. Antonio Ranz Romanillos, D. Francisco Reque-. na i D. Estéban Varea,' y de los secretarios D. Josef Luyan do y D. JuSnü Madrid Dávila. Asimismo he creído co…</t>
  </si>
  <si>
    <t>Almazan, Joaquín</t>
  </si>
  <si>
    <t>Joaquín Almazan</t>
  </si>
  <si>
    <t>Gaceta de Madrid n.º 13</t>
  </si>
  <si>
    <t>…tante; en inteligencia que espirado el referido tér mino se.dará á los autos el curso que corresponda, y les parará el perjuicio que haya lugar. ^ 0 En ej juzgado de provincia del Sr. D. Joaquín Almazan, del Consejo de S. M.# alcalde de Casa y Corte, y escribanía vacante ,del difunto D. Julián Alonso y. Esp irada, pende la testamentaría de D Joaquín de Sandoval, vecino que fue de esta cor te, y se manda llamar, cirar y empla/ar por este periódico á todos los…</t>
  </si>
  <si>
    <t>Almiar, Pablo</t>
  </si>
  <si>
    <t>Pablo Almiar</t>
  </si>
  <si>
    <t>Gaceta del Gobierno n.º 136</t>
  </si>
  <si>
    <t>…esta última un voto del Sr. Romero Alpnen- otra. En el suplemento de la gaceta del 9 , col. 1.", lín. 23, te, contrario á la resolución del expediente del mariscal de donde dice: D. Pablo Almiar: léase P&gt;. Pablo Alabern. campo D. Miguel de Haro. otra. En la misma , col. 6.*, lín. 24 , después de la paiabri -Se leyeron dos oficios dcJ Sr. secretario de la Goberna expediente , añádase: cuyo dictamen fue afretado. MADRID EN LA IMPRENTA NACIONAf</t>
  </si>
  <si>
    <t>Alonso</t>
  </si>
  <si>
    <t>…no gravasen á la Nación. Asi se aprobó. Estrada sobre la conclusión de su discurso, en qué habia Igual resolución recayó sobre otro dictamen de la mis hecho mención de lo que dice D. Alonso el Sabio en la ley ma comision'de Hacienda, en que á consecuencia de una de partida sobre libros prohibidos, que conviene que todos indicación del Sr. Martínez de la Rosa, opinaba debía su lean estos libros, porque no puede.saber de religión el que primirse l…</t>
  </si>
  <si>
    <t>…os los que las presentes vieren y entendieren, sa- Disertación histórico-crítica sobre la edición de las Partidas bqd: Que las Cortes han decretado lo siguiente.: «Las Cor del Rey D. Alonso, el Sabio que publicó la academia de la tes , usando de la facultad que se les concede por la Cons Historia en el año de 1807 : por D. Sancho de Llamas y Moli titución , ,han venido en nombrar para la tercera plaza de na , colegial del Mayor de S. Ildefonso,…</t>
  </si>
  <si>
    <t>Gaceta del Gobierno n.º 148</t>
  </si>
  <si>
    <t>…te se per ción, cupo en la suerte del primer extracto de la de e«te dia dió y ganó. En la sorpresa y ataque de las lineas y baterías á Doña .Sinforosa Fernandez, hija del patriota D. Alonso, establecidas delante de Bolou asistió de voluntario como muerto en el campo del honor. ayudante de campo del marques de las Amarillas, que man dó la acción. El general en gefe D. Antonio Ricardos , á ARTICULO DE OFICIO. quien sirvió de ayudante de campo en e…</t>
  </si>
  <si>
    <t>Alonso, Antonio</t>
  </si>
  <si>
    <t>Antonio Alonso</t>
  </si>
  <si>
    <t>…ho de Hacienda, y contador principal del egército de Aragón: para la de Salamanca á D. Esteban Megía, separado dé ella por ad hesión á las nuevas instituciones: para la de Cádiz á D. Antonio Alonso, co misario de guerra de Marina, oficial de la secretaría del Despacho de Hacien da, y tesorero de egército de aquella plaza; y para la del egército de Valen da y Murcia á D. Alvaro Flores Estrada, en recompensa de los trabajos y persecuciones que ha sufrido…</t>
  </si>
  <si>
    <t>Alonso, Jacinto Nicolás de</t>
  </si>
  <si>
    <t>Jacinto Nicolás de Alonso</t>
  </si>
  <si>
    <t>PDF p. 10</t>
  </si>
  <si>
    <t>…ia, consolidando el establecimiento del sistema constitucional. El Rey, en conformidad de lo prevenido en el Real decjeto de 19 de Abril próximo pasado, se ha dignado reintegrar á D. Jacinto Nicolás de Alonso en el empleo de secretario del tribunal especial de Guerra y Marina que obtenía el año’de 1814, quedando D. Pedro Díaz de Ribera, de cuyo zelo y buen desempeño en el tiempo que le ha servido se halla satisfechq, en clase de cesante con los honores y sueldo qu…</t>
  </si>
  <si>
    <t>Alonso, Josef</t>
  </si>
  <si>
    <t>Josef Alonso</t>
  </si>
  <si>
    <t>…. Resolución. Que en cuanto á nombramientos debe ob- El Rey, á consulta del consejo de Estado, se ha servfaervarse ¡a misma regla de Ja suerte, como se practica en el do nombrar á D. Josef Alonso para, úna plaza de magistra consejo; y por lo tocante á las demás votaciones seegecu- do de la audiencia'territorial de Castilla lá Nueva. tará lo que está prevenido por las leyes que no están de * 'Asimismo se ha servido nombrar para jueces de prime rogadas.…</t>
  </si>
  <si>
    <t>Alonso, Jóséf López</t>
  </si>
  <si>
    <t>Jóséf López Alonso</t>
  </si>
  <si>
    <t>Gaceta de Madrid n.º 75</t>
  </si>
  <si>
    <t>…intendente, D. Antonio Marte!, D. Francisco Crespo de Tejada , D. Joaquín' Manrique .y Manrique;, T?. Martin 4e rGoicoecheay el secretario D. Juan Francisco Morate; y los señdres D. Jóséf López Alonso, D. Francisco FernándezGascó y É&gt;. Simón González: Yuste, que por hallarse ausentes no concurrieron aquel dia, prestaron igual juramento el día 12 del mismo mes. ('Se continuara.) ' ' - ' . En virtud de providencia del Sr. -D. Julián de Sójo, juez letrado de…</t>
  </si>
  <si>
    <t>Alonso, Josef Pío</t>
  </si>
  <si>
    <t>Josef Pío Alonso</t>
  </si>
  <si>
    <t>…ón á la igle también .i este. sia parroquial, en la que después de haber asistido á la mi Se asegura que los condes de Liverpool y Ilarrwby han sa mayor, pronunció el cura párroco D. Josef Pío Alonso manifestado la intención de retirarse del ministerio. El no de Cea un elocuente discurso análogo al objeto de la re ble lord que está ai frente de la tesorería ha dado á enten unión ; en seguida se prestó por el capitán , oficiales y de der. se.mn dicen , que…</t>
  </si>
  <si>
    <t>Alonso, Julián</t>
  </si>
  <si>
    <t>Julián Alonso</t>
  </si>
  <si>
    <t>…les parará el perjuicio que haya lugar. ^ 0 En ej juzgado de provincia del Sr. D. Joaquín Almazan, del Consejo de S. M.# alcalde de Casa y Corte, y escribanía vacante ,del difunto D. Julián Alonso y. Esp irada, pende la testamentaría de D Joaquín de Sandoval, vecino que fue de esta cor te, y se manda llamar, cirar y empla/ar por este periódico á todos los ácreedorct y demás que se conceptúen con derecho á los bienes de este, para que por sí ú otra per…</t>
  </si>
  <si>
    <t>Alós, Josef</t>
  </si>
  <si>
    <t>Josef Alós</t>
  </si>
  <si>
    <t>…Sres. Infantes, al Sr. cardenal presidente de la Junta, y á los ■Sres. Secretarios :de Estado los Excmos. Sres. duque de S. Fernando y de Qui-&gt; roga, D. Josef García de la Torre,.D. Josef Alós y D. Antonio González Salmón. Eri seguida el Srf cardenal recibió el juramentó á los Sres. vice-presidénte de la Junta el Excmo. Sr. D. Francisco Ballesteros &gt; á los demas vo cales de ella los limos. Sres. D. Manuel Abad y Queipo, obispo electo de Valladolid de Mechoacan., D.. Manuel de…</t>
  </si>
  <si>
    <t>Alós, Josef María</t>
  </si>
  <si>
    <t>Josef María Alós</t>
  </si>
  <si>
    <t>Gaceta de Madrid n.º 50 (extraordinaria)</t>
  </si>
  <si>
    <t>329</t>
  </si>
  <si>
    <t>…lle he venido en resolver se encargue inmediatamente del despa cho de la secretaría de la Guerra hasta, la llegada del marques de las Amari llas, cesando por el estado de su salud D. Josef María Alós, cuyo mérito y servicios me han sido muy gratos. Tendreislo entendido , y dispondréis lo conveniente á su cumplimiento. Palacio 20 de Marzo de 1820.” El Rey , en consideración á los distinguidos servicios del teniente gene ral príncipe de Anglona, se ha servi…</t>
  </si>
  <si>
    <t>Alós, Josef María de</t>
  </si>
  <si>
    <t>Josef María de Alós</t>
  </si>
  <si>
    <t>Gaceta de Madrid n.º 4</t>
  </si>
  <si>
    <t>…l dia 16 del pasádo fueron admitidos, a./¿licitar á SS. MM. por su au-, gusto enlace como diputados déí muy ilustre ayuntamiento de la ciudad de Palma, en Mallorca, el Excmo. Sr. _D. Josef María de Alós, secretario inte rino de Estado y. de los despachos de Guerra y de Marina, y regidor perpe tuo de aquella ciudad , y el Sr. D. Juan Daineto , sumiller de cortina de S. M. y canónigo de aquella santa iglesia; hablando el .primero en los términos si guientes „…</t>
  </si>
  <si>
    <t>…inuéis vos en este encargo .Tendreislo entendido, y lo.com única reís á quiénes corres pon-» éa para su debido cumplimientoi Palacio ió de Marzo dé 1820. szEstá. n*-? bricado. = A D. Josef María de Alós.” • ; ' 4.0 , En atención á los méritds’y servicios de D. Antonio Porceí, mi— nístro quedue del supremo Consejo de las Indias , y a los conocimientos que tiene en los asuntos de América, he venido en nombrarle Secretario de Estado y del Despacho de la Goberna…</t>
  </si>
  <si>
    <t>Alós, Joseí María de</t>
  </si>
  <si>
    <t>Joseí María de Alós</t>
  </si>
  <si>
    <t>Gaceta de Madrid n.º 59</t>
  </si>
  <si>
    <t>…or el manuscrito. ESPAÑA. Madrid 31 de Marzo. El día 21 de Marzo tuvieron el honor de felicitar á S. M. en nombre de la sociedad de Amigos del pais de la ciudad de Ecija el Excmo. Sr. D. Joseí María de Alós, y el coronel D. Felipe de la Corté, presidente y secretario de la diputación permanente de la misma; y el primero pronunció el discurso siguiente: ,, Señor: La sociedad económica de la ciudad de Ecija, representada por íu diputación permanente, tiene el hono…</t>
  </si>
  <si>
    <t>Alp-rente, Romero</t>
  </si>
  <si>
    <t>Romero Alp-rente</t>
  </si>
  <si>
    <t>Gaceta del Gobierno n.º 47</t>
  </si>
  <si>
    <t>…imente retraso en ellos. DIRECCION rENERAL DE LOTF RI ASí No creyéndose el punto suficientemente discutido, to Noticia de los puebtos donde han cabido Jos premios mó la palabra el Sr. Romero Alp-rente. Insistió este en que mayores del sorteo celebrado en el dia de ayer. debia haber rebaja, tanto en el número de oficiales, como Números. Prem:os. Administr. tetones. en la cantidad de sus sueldos. Tara probar lo primero de cía que las mismas obligaciones habí…</t>
  </si>
  <si>
    <t>Alpes</t>
  </si>
  <si>
    <t>Gaceta del Gobierno n.º 174</t>
  </si>
  <si>
    <t>…os vulgar decreto de Cortes de 3 de Setiembre próximo, aligerando la mente Montenegro , son á un mismo tiempo un rama! de ¡os cárga que actualmente pesa sobre la caja de tesorería general Alpes y del monte Hemo. Estas dilatadas cordilleras, casi en la corte, proporcionando á los cesantes y jubilados el pa no interrumpidas , al paso que estrechan el Mediterráneo, se go mas exacto de sus consignaciones, ha resuelto. i.° Que paran de las regiones septe…</t>
  </si>
  <si>
    <t>Alpnen-, Romero</t>
  </si>
  <si>
    <t>Romero Alpnen-</t>
  </si>
  <si>
    <t>…dos nota. En la gaceta del jueves 9, col. 3.% lín. 39, París 7,sesiones ordinaria y extraordinaria de ayer, mandándose: debe ser París 372 agregar á la de esta última un voto del Sr. Romero Alpnen- otra. En el suplemento de la gaceta del 9 , col. 1.", lín. 23, te, contrario á la resolución del expediente del mariscal de donde dice: D. Pablo Almiar: léase P&gt;. Pablo Alabern. campo D. Miguel de Haro. otra. En la misma , col. 6.*, lín. 24 , después de la pa…</t>
  </si>
  <si>
    <t>AlpnenSesión, Romero</t>
  </si>
  <si>
    <t>Romero AlpnenSesión</t>
  </si>
  <si>
    <t>Gaceta del Gobierno n.º 113</t>
  </si>
  <si>
    <t>…la Gobernación de la Península y de Ultramar. gas Ponce, Sancho, Marte!, Ramos A rispe, Giraldo, Na varro (D. Fernando) y Golfín. •, CORTES. .Se Iej'ó la siguiente indicación del Sr. Romero AlpnenSesión extraordinaria de la noche del iy de Octubre, te: «Lo acordado en cuanto al consejo de Estado sobre los Se leyó el acta de la sesión extraordinaria de anoche. individuos que por sus empleos ó comisiones enrendieron en En seguida para dar principio-, á la -dis…</t>
  </si>
  <si>
    <t>Alpnente, Romero</t>
  </si>
  <si>
    <t>Romero Alpnente</t>
  </si>
  <si>
    <t>Gaceta del Gobierno n.º 21</t>
  </si>
  <si>
    <t>…lan de pacho de Gracia y Justicia. los puntos en que se deberán tiiár los mercados, sin embar go de que se'Concedan en particular á los pueblos que lo CORTES. pidan. Otras dos del Sr. Romero Alpnente, una para que se Sesión del 18 de Julio. prevenga la observancia del decreto en que mandaron las Se leyó y aprobó el acta de la sesión anterior. Corres no subsistiese ning”n convento que no pasara de 12 Se dio cuenta de un oficio del ministro de la Goberna in…</t>
  </si>
  <si>
    <t>Alpucnte, Romero</t>
  </si>
  <si>
    <t>Romero Alpucnte</t>
  </si>
  <si>
    <t>Gaceta del Gobierno n.º 30</t>
  </si>
  <si>
    <t>…adyacentes. mien íaüda A los granos almacenados, y evitar la ruina de la agri tras la fanega de trigo no exceda de 80 reales, y el quintaL cultura. de harina de 12c." Continuó el Sr. Romero Alpucnte apoyando el dicta También se aprobó el artíc do 2.0 ,.Que por precio del men de la comisión , pareciéndole arreglado el precio de 8o trigo se ha de entender el precio medio de su valor en los reales para las provincias marítimas, de que particularmente mercad…</t>
  </si>
  <si>
    <t>Alpucñte, Romero</t>
  </si>
  <si>
    <t>Romero Alpucñte</t>
  </si>
  <si>
    <t>Gaceta del Gobierno n.º 33</t>
  </si>
  <si>
    <t>…iativa.de echar man© de la •algunos, mal intencionados se íntrodúgesen- á perturbarla, "fuerza armada. • • ; ,-•'■3 han impedido que hasta ahora se recibiesen avisos oficiales, El Sr. Romero Alpucñte convino sustaocialmente con cuates se lian recibido hoy, confirmando dichas noticias, los sentimientos del" preopinante.. . que'son las-siguientes: ' • Se leyó un voto particular contrario á la resolución to I...- JE1 dia 3 dé Julio :se recibió en Nápoles la…</t>
  </si>
  <si>
    <t>…s términos siguientes: de lo que debía resultarla una satisfacción íntima., y suscribió *&gt;La comisión de Hacienda ha visto con detención el ex á lo pedido por el Sr. Palarea; y el Sr. Romero Alpucnte pediente relativo á la deuda de Holanda qué ha pasado á su conceptuó Insuficiente todo lo dicho por sus preopinantes, examen.’Cuatro cuestiones se han presentado á su delibera-, y pidió que la comí ion de Premios propusiera los corres cion , y en todas ellas…</t>
  </si>
  <si>
    <t>Alpueme, Romero</t>
  </si>
  <si>
    <t>Romero Alpueme</t>
  </si>
  <si>
    <t>Gaceta del Gobierno n.º 59</t>
  </si>
  <si>
    <t>…ron también pasar á la comisión primera de Legislación. El Sr. Martinez'de la Rosa , oponiéndose á la adición que Seaprobo el dictamen de la comisión de Guerra, laque proponía el Sr. Romero Alpueme, manifestó que ella era el observando que en la memoria presentada por el ministro medio ñu- propio piara caer en la arbitrariedad que quería evi del ramo para lijar la fuerza armada de este año no &gt;e ha tarse, pues que se dejaba á los jueces mismos la califi…</t>
  </si>
  <si>
    <t>Alpuen, Romero</t>
  </si>
  <si>
    <t>Romero Alpuen</t>
  </si>
  <si>
    <t>Gaceta del Gobierno n.º 51</t>
  </si>
  <si>
    <t>…Jo máximum que debe señalarse á cada clase; la cual fue sé f Canga Argíielles. aprobada. De Real orden lo comunico á V. S. para su inteligencia Se aprobó la siguiente adición del Sr. Romero Alpuen y exacto cumplimiento; en el concepto de que S. M. señala te al artículo primero: «Los religiosos inquisidores cesan el término de quince dias para la presentación de las exis tes quedan sin sueldo ni asignación alguna y otra que dice: tencias de que habla el…</t>
  </si>
  <si>
    <t>Alpuen-, Romero</t>
  </si>
  <si>
    <t>Romero Alpuen-</t>
  </si>
  <si>
    <t>Gaceta del Gobierno n.º 88</t>
  </si>
  <si>
    <t>…algunas observaciones el Sr. Lodespués de esta cláusula se pusiera «y los colegios.” renznna, con respecto á la primera, y con respecto á la se Se leyó la indicación siguiente de! Sr. Romero Alpuen- gunda los Sres. Cepero, Gareli y Carrasco, se aprobó el ar te: «Entre los monacales y conventos suprimidos se pon tículo como estaba. drán los trinitarios, mercenarios y demas ordenes que hu Se aprobó igualmente una adición del Sr. Giraldo, que decía: «Contin…</t>
  </si>
  <si>
    <t>Alpuenfe, Romero</t>
  </si>
  <si>
    <t>Romero Alpuenfe</t>
  </si>
  <si>
    <t>…e no es alas costumbres, á causa del lujo desmesurado que pro tamo el premio como la consideración de parte de quien 1c mueven los mayorazgo-. da. Después de lo cual se aprobó. El Sr. Romero Alpuenfe, sin pararse A hablar de la uti Con este motivo dijo el Sr. Calatrava que le parecía jus lidad de esta medida . creyó solo que debía hacer dos ob to premiar A los que habian padecido por la cau-a de la servaciones. La primera sobre los fideicomisos . con resp…</t>
  </si>
  <si>
    <t>Alpuenprender, Romero</t>
  </si>
  <si>
    <t>Romero Alpuenprender</t>
  </si>
  <si>
    <t>Gaceta del Gobierno n.º 41</t>
  </si>
  <si>
    <t>…l fomento de la agri sen una blasfemia, la pronuncian con complacencia, porque cultura. han llegado á conocer su verdadero significado , y á com Se leyó un proyecto de decreto del Sr. Romero Alpuenprender á su modo las ventajas que de su exacta observan te, dividido en 11 artículos, para que se llevase á efecto el cia deben re ultar. Los niños pronuncian también esta encan de las Cortes extraordinarias de 13 de Febrero de 1811 , y tadora palabra, y los mayorci…</t>
  </si>
  <si>
    <t>Alpuenre, Romero</t>
  </si>
  <si>
    <t>Romero Alpuenre</t>
  </si>
  <si>
    <t>Gaceta del Gobierno n.º 38</t>
  </si>
  <si>
    <t>…acantes, y al mismo tiempo que en lo suce Cortes proveyesen á que se concediera esta franquicia de sivo no se concedan pensiones sobre fondos destinados á ob derechos. Se opuso el Sr. Romero Alpuenre, reprodu jetos piadosos. Se mandó volver este expediente á la comi ciendo lo prescrito por la Constitución para que los ayun sión para que pida al Gobierno los informes necesarios. tamientos y diputaciones provinciales cuiden de los estable A la misma se mand…</t>
  </si>
  <si>
    <t>…s ordinarias y extraordinarias concedieron á los militares glamentos para regularla necesitan reforma. su fuero particular, reconociendo la absoluta necesidad de Habló tambíeti el Sr. Romero Alpuenre ert apoyó del hacer caer todo el rigor de las leves sobre tos que falten á dictamen de !a comisión , y extrañando que se quisiera po su deber, y advertía que si quedaba impune el delito de ner en duda una cosa tan ciará como la infracción por par Aguilera, pe…</t>
  </si>
  <si>
    <t>Gaceta del Gobierno n.º 43</t>
  </si>
  <si>
    <t>179</t>
  </si>
  <si>
    <t>…e la Rosa, manifestando el grande ín se prohibiera la exportación á los griegos que tienen ya fle teres que había en discutir pronto este asunto, que podría tados sus barcos; y el Sr. Romero Alpuenre que para evi ofrecer pocas objeciones, mientras que el de milicias nacio tar dilaciones era cíe dictamen que inmediatamente se con nales podría ocupar muchos dias consecutivos, suplicó al cediese el permiso general limitado al menor tiempo posible, Sr. presid…</t>
  </si>
  <si>
    <t>…á la misma. El señor discusión de este proyecto la sesión inmediata, y se proce f sturiz dijo que en su entender las mejores compañías que dió á la lectura cíe tres adiciones del Sr. Romero Alpuenre se pueden formar son las milicias nacionales. para los tres primeros de los cuatro artículos aprobados en Se leyó un recurso de Diego García de la Riva, veci la sesión anterior {véase). Pedia por la primera que al pri no de Siruela en Extremadura, quejándose…</t>
  </si>
  <si>
    <t>…añol para quejarse de El Sr. Calatrava pidió también que después de las pa cualquiera injuria que le hubiesen hecho. labras ó del Gefe político de la provincia se añadiese o de El Sr. Romero Alpuenre contestó al preopinante , dicien cualquiera de los alcaldes constitucionales; pues resi do, que había’mucha diferencia entre las injurias de la li diendo el Gefe político en la capital de la provincia , era bertad de imprenta, y las que se hacen con las armas…</t>
  </si>
  <si>
    <t>…dinários, sin que hiciese nin testa. Despees de alguna discusión se aprobó el dictamen gún Sacrificio la Nación, opinaban, tanto la comisión como con la variación propuesta por el Sr. Romero Alpuenre de sus asociados, que debian aprobarse los artículos siguientes: que el te'rtnino de 4 del corriente se ampliase hasta lin de i.° «Que los proyecros del coronel Castillo no solo este año. eran impracticables, sino que tí hubiese alguna nación que Conformándos…</t>
  </si>
  <si>
    <t>Alpuentc, Romero</t>
  </si>
  <si>
    <t>Romero Alpuentc</t>
  </si>
  <si>
    <t>…iro euro de íi milicia nacional, y se aprobó la indicación primirse los dos renglones" últimos; á^ lo. que respondió el hecha por el Sr. Goilin para que se añadieran al art. 16 es Sr. Romero Alpuentc desvaneciendo sus dudas. y haciendo tas palabras: »&gt;Y con aprobación del gefe.” Ver que seria muy laudable la-'acción deún hombre que des</t>
  </si>
  <si>
    <t>&lt;¡6o de la Rosa, creyó injusta el Sr. Romero Alpuentc [a pre «SS. MM. y AA. continúan disfrutando en este Real ferencia quedaba á los créditos con olidados , aunque fuese sitio la mas perfecta salud.” por término de solo un año, y no se admitió á discusión. Previas algunas observaciones del Sr. Cavaleri, contest…</t>
  </si>
  <si>
    <t>Alpuente</t>
  </si>
  <si>
    <t>…la necesidad de atender á trataba. Manifestó en seguida lo perjudicial que sería adop una multitud de obligaciones pendientes de la resolución tar ¡os proyectos que presentaba el Sr. Alpuente. Trató de del Congreso. probar que el empréstito entre los nacionales serla mas per El Sr. Gaseo, después de algunas reflexiones, entró á judicial que el de los extrangeros, pues no se lograría el au examinar si el préstamo del extrangero traería las utilidad…</t>
  </si>
  <si>
    <t>Gaceta del Gobierno n.º 116</t>
  </si>
  <si>
    <t>…utaciones provinciales determinen.” Y esta otra taron que no habia inconveniente en que se adoptase esta del Sr. Rovira al art. 9.a: «Que la latitud que se da :í la indicación del Sr. Alpuente, por lo que se aprobó el artícu enseñanza se extienda á la geografía y elementos de historia.” lo , modificado con las expresiones del art. 366 de la Consti No se admitió á discusión la indicación siguiente del tución j es decir: «un catecismo de la religión…</t>
  </si>
  <si>
    <t>Alpuente, Romerd</t>
  </si>
  <si>
    <t>Romerd Alpuente</t>
  </si>
  <si>
    <t>…^ saoo . á lo qué se inclinaba el segundo. ' ■ co.mercip titulada en'ella Posadillo é hijos, ,se cqnyoca í.’todos los acreedores en él para la junta, qué se há de celebrar el 5 El Sr. Romerd Alpuente manifestó que en su concepto del próximo'mes de Noviembre, á las nueve de su mañana, epno había'los inconvenientes propuestos por algunos de'sus la casa posada de S. S., en' la que se les instruirá de varios partipreopinantes; y bajo'el supuesto de seríOn cas…</t>
  </si>
  <si>
    <t>Alpuente, Romero</t>
  </si>
  <si>
    <t>Romero Alpuente</t>
  </si>
  <si>
    <t>Gaceta del Gobierno n.º 20</t>
  </si>
  <si>
    <t>…brevedad presentase listas de los sugetos que creyese mas otras acerca dé'uniformar el código penal. aptos para el objeto, conforme al reglamento. Se leyeron dos proposiciones dei Sr. Romero Alpuente, Se anunciaron los expedientes que pondrían al despa una para quefse nombrase una comisión que propusiera lo cho en la sesión próxima , y el Sr. presidente levanto la de conveniente acerca del máximum de sueldos, Incluyendo á este día. .......... los eclesiás…</t>
  </si>
  <si>
    <t>Gaceta del Gobierno n.º 23</t>
  </si>
  <si>
    <t>…ó la alteración oiga al Gobierno, al que se pase oficio para que informe desventajosa q-e habia tenido ayer el cambio. de los extremos en ella contenidos, y sobre las causas de El Sr. Romero Alpuente expresó que habia pedido se Cádiz, Zaragoza y Burgos, y las medidas que se hayan declarase la sesión permanente en el dia anterior, porque tomado contra los enemigos del orden constitucional.” habiendo reconocido las Cortes en su resolución la ur Tomó la pala…</t>
  </si>
  <si>
    <t>…ecer la comisión que no habia necesi varios señores los dos puncos que abrazaba el oficio del dad de la declaración solicitada, pues en el cito que la presidente de la junta, y el Sr. Romero Alpuente hizo la motivaba, asi como en los semejantes, no había compe indicación de que se dijese «que las Cortes le habían reci tencia entre las dos autoridades. v bido , y que se pasase á una comisión para que sobre los Se dió cuenta de otro dictamen de la misma com…</t>
  </si>
  <si>
    <t>…gas Ponce e opuro, manifestando eí grande por el Gobierno , el que estaría sin duda entre los documem ínteres que húy en decidir i la mayor brevedad. tos pasados á la comisión. El Sr. Romero Alpuente dijo que debió. devolverse á !á Se leyó una proposición de los Sres. Traver, Gareli, comisión para que e?ta, con arreglo a la Constitución . pre Navarro (D. Felipe) y otros, relativa á que, riendo el ob sentase el proyecto en su totalidad, y que concluido se…</t>
  </si>
  <si>
    <t>114</t>
  </si>
  <si>
    <t>…no que ahora la reiteraba, añadiendo seria conveniente po tendría inconveniente en hacer la variación indicada por el ner el plan sobre la mesa para que se viera si estaba reduci Sr. Romero Alpuente, advirtiendo que en algunas provin do á un informe particular. El Sr. García manifestó ser el cias no se habia desestancado; pero creía qué podria hacer autor de la indicación retirada; y por fin se acordó hacer se general la providencia. la enmienda, diciend…</t>
  </si>
  <si>
    <t>…sentados por el Sr. secretario de bía solo fijarse por aquel feliz acontecimiento: concluyó Hacienda, y los artículos relativos al Crédiro público ; nom apoyando la indicación del Sr. Romero Alpuente. brando una comi-.ion para los asuntos particulares:” ja cual Declarado el punto suficientemente discutido, pidió el fue aprobada p&gt;or las Cortes, después de haber oido á los Sr. Palarea que se votara el dictamen por partes, indican Sres. Martínez de la Rosa…</t>
  </si>
  <si>
    <t>Gaceta del Gobierno n.º 29</t>
  </si>
  <si>
    <t>121</t>
  </si>
  <si>
    <t>…, ó le señalasen la vacunados en Constantinopla ninguno ha contraído la peste: autoridad á quien correspondiese hacerlo. que se ha hecho mamar á los niños vacunados la leche de El Sr. Romero Alpuente no halló dificultad en acceder las madres apestadas sin que hayan sido contagiados: que un á esta súplica, supuesto que al dar cuenta de la exposición médico italiano, que se lia dedicado en Turquía al estudio rimera ae Castillo se creyó referente á un negoci…</t>
  </si>
  <si>
    <t>…Gobierno antes de ahora, y opinó villa. Sin embargo de haberse mandado pasar á la comisión que la providencia fuese reducida á cuatro meses , y en este especial, y haber pedido el Sr. Romero Alpuente que fuese tiempo se pidiera al Gobierno el expediente que sobre e! par con urgencia , observó el Sr. Benitez que solo debia tratar ticular obraba en su poder, remitiéndote con su dictamen, se de separar á Ostolaza de Sevilla por los perjuicios que pu acompaña…</t>
  </si>
  <si>
    <t>I 28 El Sr. Romero Alpuente apoyó el dictamen del señor decretan, que sin embargo de ella, asi los Sres. Infantes Martínez de lá Rosa ; y pasando A votar, quedó aprobado Don Francisco de Paula y Doña Alaría Luisa, como sus el artículo 4.0 respectivos descendientes legítimos, sucedan en…</t>
  </si>
  <si>
    <t>…ortes, á fin de acceder ó no á la solicitud de la do que se extendiese A ellas la secularización de los regula junta. res: 2.u otro dictamen de la comisión de Legislación sobre El Sr. Romero Alpuente, creyendo que no estaba claro h exposición del supremo tribunal de Justicia , en que pe por qué medio debía ocurrirse al objeto que se pre-entaba, dia se agregaran como auxiliares dos relatores y escribanos opinó que.si no habia términos hábiles para decir al…</t>
  </si>
  <si>
    <t>Gaceta del Gobierno n.º 39</t>
  </si>
  <si>
    <t>…as , cuya división de pautaos está apro que sobre aquellas cintro palabras últimas. bada por las Cortes , á letrados de ciencia , probidad y deci No fue admitida la indicación del Sr. Romero Alpuente dida adherion al Gobierno actual y al sistema constitucio para que se añadiese en el artículo de los alfileres de la Rei nal, que con toda uniformidad debe seguirse, se admitir .n na é Infantas «sin egemplar.” memoriales en la secretaría del mismo Consejo por…</t>
  </si>
  <si>
    <t>Gaceta del Gobierno n.º 44</t>
  </si>
  <si>
    <t>…n el caso de que ellos creyesen ser comoatibie el ser no haber lugar á votar. vicio con el cumplimiento de su obligación. Se leyó á continuación la siguiente del Sr. Vi tortea: El Sr. Romero Alpuente, como de la comisión, fue »&gt;que á las islas Baleares por su situación en cierta manera exponiendo los motivos que le habían movido ; y en cuan ultramarina, y por la peste que las aflige, se les conceda la to á los últimos refirió haber acaecido en el hospital…</t>
  </si>
  <si>
    <t>…la dificultad que hay en de diputados á Cortes, ha participado al Rey por el mi fijar lo que son casos graves. nisterio de Marina, en oficio de 12 de Junio último, que Por fin, el Sr. Romero Alpuente defendió contra los dicho buque fondeó el 4 del citado mes en el puerto de la preopinantes el arrículo que proponía la comisión , hacien Havana, donde entregó los correspondientes a la isla de do ver que la milicia nacional no es otra cosa mas que la Cuba, en…</t>
  </si>
  <si>
    <t>300</t>
  </si>
  <si>
    <t>…pública se esforzaba en re pañía de Jesús pasen al Crédito público para su venta. No conciliar los ánimos, y restablecer la tranquilidad pública. nubo lugar á votar sobre otra del Sr. Romero Alpuente, Acababa de llegar á Nápoles una diputación de Palermo á para que se presentasen á los alcaldes constitucionales, y expresar á S. M. los votos de aquellos isleños. estos remitieran á los Gefes políticas las cartas de herman Las noticias de Francia , Alemania…</t>
  </si>
  <si>
    <t>210</t>
  </si>
  <si>
    <t>…Iovene y Oliver por todos los comisarios Se leyó el acta de la anterior, á la que se mandó agregar de guerra, y por otros tnuclios individuos del egército. el voto particular del Sr. Romero Alpuente , contrario .1 la resolución de que pasase todo entero a la sanción Real el INGLATERRA. decreto relativo á jesuítas. Se concedió permiso á los Sres. diputados de Cuenca y Londres ~i de Julio. Valladolid para tratar con el Gobierno sobre asuntos de La Reina re…</t>
  </si>
  <si>
    <t>…haberla apoyado el Sr. Gareli, y mámente, y podrían quedarse sin la recompensa á que fue hablado el mismo autor: «Siendo contra los principios del sen acreedores. También habite! Sr. Romero Alpuente en derecho canónico que los eclesiásticos reman dos ó mas be el mismo sentido que los preopinantes, y pidi í que volvie neficios cuando uno solo basta para su congrua y decente ra á la comisión, para que teniendo en consideración lo que sustentación , dígase…</t>
  </si>
  <si>
    <t>Gaceta del Gobierno n.º 52</t>
  </si>
  <si>
    <t>…os tienen su nes de la comisión de Hacienda, y procediendo á la del 2.0 origen en las leyes, y no en los cánones. artículo de ia cuestión tercera á instancia de los Sres. Gaseo Ei Sr. Romero Alpuente pidió que se pasara á la comi y Sancho, se mandó suspender y pasará la comisión Con el sión la indicación del Sr. Puigblanch ; y el Sr Espiga hizo antecedente, y á la del Sr. Sierra rodos los ti restantes, ver cuál habia sido el origen de las dotaciones de io…</t>
  </si>
  <si>
    <t>Gaceta del Gobierno n.º 56</t>
  </si>
  <si>
    <t>…añonazos. Por esto , y creyendo esta interesante noticia. que en semejantes casos se debe atender mucho á la exacti tud y claridad , solicitaba que se devolviera á la comisión. El Sr. Romero Alpuente contestó á estas observaciones, ANUNCIOS. haciendo ver que no se trataba de la defensa de la religión sino políticamente ó en cuanto á religión del Estado, para la Constitución , poema en cinco cantos por este orden; que no se turbe la tranquilidad de los que…</t>
  </si>
  <si>
    <t>…ron gas Ponce, Martínez de ia llosa, Yandiola, Losada, Cas ea la batalla de Trafaigar; el Sr. Yandiola que subscribió tañedo, Sancho, Bahamonde y Romero Alpuente. á la opinión del Sr. Romero Alpuente, reservándose pedir Se leyeron por segunda vez los 10 artículos del informe que no se considerase degradado á Porlier ; el Sr. Castañe de la comisión de Legislación sobre vinculaciones y mayo do que conceptuando de rigorosa justicia la indicación del razgos;…</t>
  </si>
  <si>
    <t>…es, plena del delito, que tenga señalada en la ley pena cor y se mandó pasar á esta misma comisión de Infracciones. poral." Se aprobó el dictamen de la eotni ion de Libertad di El Sr. Romero Alpuente se puso á explicar esta adición, imprenta sobre el expediente promovido acerca de la califi y los motivos que le indugeron á proponerla , que eran solo cación que la junta provincial de Censura de Avila hizo de los de evitar la precipitación, y que se refutan…</t>
  </si>
  <si>
    <t>…resentado por D. Manuel de Chacco y Gu este dia, la pronta y recta administración de justicia, des tiérrez ; y á la de I ¡ucienda un informe sobra plan de Ha cendió á contestar al Sr. Romero Alpuente , haciendo ver cienda de D. Joaquín de Acosta. que en el artículo que se discutía no se había tratado mas' A la de Diputaciones provinciales, una exposición de la quede recomendarla vigilancia, dando este encargo á las de Murcia , sobre que se declare et modo…</t>
  </si>
  <si>
    <t>Gaceta del Gobierno n.º 62</t>
  </si>
  <si>
    <t>…ayó auto, declarando no ha Se aprobaron también el 4." sin discusión , y el ;.° des ber Jugar á la revocación del de 26 del mismo mes , en que se pués de algunas observaciones del Sr. Romero Alpuente, á había denegado la pretensión de D. Josef Onez, y que este, que contestó el Sr. Sierra. dentro del término prefijado, cumpliese con probar los hechos El 6.° también se aprobó después de una ligera discu sentado» en los papeles censurados, y confirmándole co…</t>
  </si>
  <si>
    <t>Gaceta del Gobierno n.º 63</t>
  </si>
  <si>
    <t>…Bartolomé Romero y Montero, uno de los que mira á la clase pobre y honrada. Acordó, pues vestir á 69 llamados persas. .■ 12 ancianos, 12 jóvenes solteras Ó viudas desde 16 á 40 El Sr. Romero Alpuente pidió que pasara á la comisión años, y 12 niños ó niñas desde 8 á 16. La suerte fijó los. respectiva , para que uniéndolo á los antecedentes, propusieindividuos; pero la sabia sociedad no admitió á los por rtt con urgencia lo que tuviese por conveniente; y co…</t>
  </si>
  <si>
    <t>Gaceta del Gobierno n.º 68</t>
  </si>
  <si>
    <t>…s que no cumplieren con la obligación bilidad , están asimismo obligados , en cganto la ley no Ies que se les Impone. exima, á ayudar á las autoridades para el descubrimiento', El Sr. Romero Alpuente creyó que este artículo era persecución y castigo de los delincuentes. contradictorio al 292 de la Constitución, porque no es lo En este artículo creyó el Sr. Romero Alpuente que de mismo declarar el derecho de hacer una cosa, que imponer bia suprimirse la vo…</t>
  </si>
  <si>
    <t>Gaceta del Gobierno n.º 69</t>
  </si>
  <si>
    <t>…e á nuestra ruina; y opinó por fin jo Mnstelloni, el príncipe de la Roca, Colanen, Biondi, y Aurineta, secretario. El 29 de Julio comenzó la junta que se formase ün reglamento. El Sr. Romero Alpuente, conceptuando también el sus sesiones en el monte Olívete. asunto de importancia, creyó que la gran dificultad que se FRANCIA. •presentaba consistía en las trabas qiie'. deberían ponerse, las que desearían muy estrechas los tímidos, los despotas,.los Parts 2/…</t>
  </si>
  <si>
    <t>…e sugetos desnaturalizados con el objeto de acalorar el zelo de la Mancha, cuyo gobierno político obtenía; y convino el los concurrentes, y principiar á entorpecer la autoridad pú Sr. Romero Alpuente con el autor de la indicación, que su blica , aunque solo sea la de un juez de primera instancia? muerte habia sido el resultado de sus persecuciones. Se man La generación presente debe vivir persuadida de que hasta dó pasar á la comisión de Premios. los mas…</t>
  </si>
  <si>
    <t>…r go se ha mostrado hov no menos grande que en sus expe egemplo, respetando las résoluciones del mismo Congreso. diciones anreriores, pues que no se queja de que se hayan Creyó el Sr. Romero Alpuente la proposición que se dado estas disposiciones, sino que expone como cualq iera había presentado como una cosa absolutamente pequeña en otro su opinión , sin resistir á las órdenes que se le han co comparación de los méritos del general Riego &gt; cuya suerte mu…</t>
  </si>
  <si>
    <t>…o, del Gobierno y de A la de Comercio una representación de la diputación los particulares. provincial de Córdoba sobre abolición de varios derechos. Habiendo tomado la palabra el Sr. Romero Alpuente, A la de Infracciones una queja de Doña Francisca Gó previno el Sr. presidente que ni proponía ni pedia nada el mez de Meneses contra los alcalde; de la villa de Zafra, por general Riego , y que ti_ se quisiese hacer alguna proposi la prisión de sú marido D.…</t>
  </si>
  <si>
    <t>…rá el eclipse, el disco de la luna irá interponiéndose en la indicación del Sr. Isturiz. Tampoco se admitió otra del tre nuestra vista y el sol por la parte anterior occidental, é Sr. Romero Alpuente con el fin de que se llamase á ¡os se inclinándose sensiblemente hacia la parte del mediodía del cretarios del Despacho, para que con motivo de la disolu di'co solar, nos irá ocultando la luz de este astro. A las 2 de ción del egército de ia Isla y de la exon…</t>
  </si>
  <si>
    <t>…urbe, tendrá la justicia una satisfacción amplia , pero al El Sr. ministro de la Gobernación iinpucnó la doctri Gobierno no es dable acelerarle. Insistiré en que esas voces na del Sr. Romero Alpuente, respecto de que' el púeMo pueden haber sido producidas por los que aparece, y pue se tomase la justicia , haciendo ver las desgracias que* acaede que no. Esa oscilación que ha indicado el Sr. Palarea es rearia esto A la Nación. El "Gobierno no viene á acusar…</t>
  </si>
  <si>
    <t>…nde de Tore Después de haber confirmado esto mimo el Sir- Argue ro ; pero no puedo menos de oponerme á un principio del lles se leyó una exposición del 'general Velasco, en la que Sr. Romero Alpuente , que seria absolutamente subversivo hacia mención de los servicios que ha prestado á la patria del orden.social : que el pueblo debía hacerse justicia.; Dón en los largos años que ha prole-acó la carrera -militar , y de está e£te derecho de los pueblos? ¿dón…</t>
  </si>
  <si>
    <t>Gaceta del Gobierno n.º 73</t>
  </si>
  <si>
    <t>…í cuya costa viven; y que los hombres sabios y -JO'/ Se dió principio con la lectura de cinco adiciones hechas justos de todos los estados no pueden menos de ser liberales. por el Sr. Romero Alpuente al arr. 1. ya aprohado. las Madrid 8 de Setiembre. que decpues de algunas reflexiones del Sr. Cala;rava, no f eSS. MM. y A A. siguen sin novedad en su importante ron admitidas á di cusion; como ni tampoco otras tres del salud. mismo Sr. al articulo 2.“ S. M.…</t>
  </si>
  <si>
    <t>…debe celebrarse, mediante á que por artículo, puesto que la Constitución no les privaba de elio. la reforma de regulares, de que se ocupan las Cortes, todo Impugnó el artículo el Sr. Romero Alpuente, fundado será de poca ó ninguna utilidad, pedia se mandase suspen en que no basta ser-ciudadano para concurrir á las eleccio der el referido capítulo, como se ha verificado en otras nes , sino que ademas se requiere la calidad de avecindado ocasiones de menos…</t>
  </si>
  <si>
    <t>Gaceta del Gobierno n.º 79</t>
  </si>
  <si>
    <t>…alara el máximum y se hallaba la discusión se debía tratar tan solo de cuál era mínimum de las que pudiesen subsistir. el camino que convenía seguir para que las Cortes propor- El Sr. Romero Alpuente presentó también algunas. La</t>
  </si>
  <si>
    <t>Gaceta del Gobierno n.º 81</t>
  </si>
  <si>
    <t>…mandar pasar á la comisión esta indicación, se. Y habiendo ademas satisfecho el Sr. Calatrava á algunas para que proponga medios de que se paguen á las viudas de observaciones del Sr. Romero Alpuente, se declaró el punto los poseedores actuales las viudedades que les ofrecieron sus suficientemente discutido; y aprobado este artículo, se pre maridos en los contratos matrimoniales, y queden respon sentaron algunas adiciones. sables á este pago todos los bie…</t>
  </si>
  <si>
    <t>346</t>
  </si>
  <si>
    <t>…remios , y si hubiese tiempo, el proyecto de amnistía para líeles al Rey , y guardar la Constitución política de la Mo los afrancesados; y levantó la sesión. narquía e;pañoía.” El Sr. Romero Alpuente hizo una adición, que no fue ARTICULO DE OFICIO. admitida á diicusion , para que se añadieran estas palabras al art, 3.° «y ios auxilios necesarios , tanto para llegar a los Circular del ministerio de Gracia y Justicia. puertos de su embarque como á los de su…</t>
  </si>
  <si>
    <t>…ntoya, Benitez , Mique se adoptase. chelena y Couro contrario á la de no haber admitido á dis También podemos asegurar que los movimientos de las cusión el artículo adicional-riel Sr. Romero Alpuente á. la tropas dispuestos por el Gobierno , según las instrucciones misma amnistía. dadas á los gefes, se dirigen principalmente á evitar la guer Se mandó archivar, por ser asunto ya resuelto, una ex ra civil y la anarquía ; y si las intenciones de la llamada p…</t>
  </si>
  <si>
    <t>…eria causa de continuas discordias y del Sr. Puigblanch , puraque después de las palabras «pro disgustos. piedades de los extrangeros” se añadieran estas «sea que es Otras dos del Sr. Romero Alpuente: la 1.a para que s? tos residan en España ó fuera de ella.” : añadiesen a! art. 2.0 estas palabras: «Por ahora hasta la re No hubo lugar á votar sobre otra adición del Sr. Golfín, solución definitiva de las Cortes sobre este asunto , á cuyo para que después d…</t>
  </si>
  <si>
    <t>…pues no pertenecía á las Cortes ia calificación de los ¿quienes no recayese sentencia que les impusiese pena cor hechos. poral ó infamatoria; como que en él habían previsto las El Sr. Romero Alpuente se levantó en seguida para Cortes que llegaría el presente caso. Citó ademas la amnis manifestar su parecer, que ó de ninguna manera se debia tía publicada después de la guerra de sucesión, y dijo: que permitir la entrada á los reconocidos con el nombre de si…</t>
  </si>
  <si>
    <t>…a corte y sitios Reales sin licencia ex 4.0 Si el número de licencias que se pidan fuese mayor presa del Gobierno. que el de los oficiales sobrantes de cada clase en las respec El Sr. Romero Alpuente propuso que se añadieran las tivas armas, solo disfrutarán esta gracia los primeros que la siguientes palabras: «salvo'el derecho de tercero, á quienes soliciten , hasta que su número sea igual al de los sobrantes, se recordará el art. 6.° de la Constitución,…</t>
  </si>
  <si>
    <t>…ción que se hizo en ellos por S. M., y lo mis discutirlas mas adelante; pero sin embargo fueron admitidas mo se entienda con cualquiera otro cura párroco que se ha á discusión. El Sr. Romero Alpuente creyó que en este artículo de lle en posesión á consecuencia de la misma presentaron berían suprimirse estos conventos de redentores, puesto Real, y se le haya conferido la colación." que en el dia ha cesado el objeto de su fundación; y el se El Sr. Cañaba! p…</t>
  </si>
  <si>
    <t>…. «Los descuentos de monte pío, 4 por loo é invá Con este motivo versó la discusión sobre la planta de !a lidos de los individuos comprendidos en las ocho proposi secretaría, y el Sr. Romero Alpuente dijo , que no se con ciones anteriores ascienden á 6.727,781 rs. formaba con ella, principalmente en cuanto al número de n. "Se decretan de consig-.iente para pago de sueldos individuos y establecimientos de sub-secretario y ge tés de y gastos expresados en l…</t>
  </si>
  <si>
    <t>Gaceta del Gobierno n.º 101</t>
  </si>
  <si>
    <t>434</t>
  </si>
  <si>
    <t>…los ayuntamientos eran cial) y Diaz del Moral: «que el número de los jurados no nombrados por el pueblo; y asi concluyo apoyando el baje de 100.” dictamen de la comisión. Otra del Sr. Romero Alpuente: «Los jurados sean la ter E! Sr. presidente dijo: soy del mismo parecer que los ■ cera parte de los ciudadanos hábiles.” Sre^. Martínez de la Rosa y Sr. ministro de la Gobernación; Se aprobó esta del Sr. Bernabeu: «Pido que al arr. 38 se porque la Nación en e…</t>
  </si>
  <si>
    <t>…una solicitud de los síndicos y pro Continuó después la discusión de la contribución gene curadores generales de varias villas de la provincia de Va ral , y tomando la palabra el Sr. Romero Alpuente opinó lencia , pidiendo que en atención al mal estado de aquéllos que no debia tratarse de ella hasta después de las contribu labradores se prohibiese la entrada de algarroba extrangera, ciones indirectas, que en su concepto eran preferibles: dijo pues con su…</t>
  </si>
  <si>
    <t>Gaceta del Gobierno n.º 106</t>
  </si>
  <si>
    <t>…n de Instrucción pública, dirigida á S. M. en 15' de rentas 581.6-^4,271 , el déficit debía ser de 69.626,428 rs. de Setiembre último, con el plan de los autores que deben estuEl -Sr. Romero Alpuente pidió que en atención á que diarse interinamente en las universidades, aprobado por S. M. podían ocurrir algunas dudas á los'Sres. diputados sobre las en todas sus partes. Se venden en el despacho de la imprenta partidas que ponía la comisión, se quedase el e…</t>
  </si>
  <si>
    <t>…nuó la discusión sobre el empréstito, una Cuarta parte en vales reales por todo su valor nominal: otra cuarta par e en los demas créditos liquidados sobre el‘tomando la palabra el Sr. Romero Alpuente. Estado: lo demás deberá darse ett dinero efectivo, yen Dos vienen á ser, dijo, las cuestiones que presenta esta seis plazos de un mes de término cada uno. Todo el que discusión, ó han de formar el objeto de ella. 1.a ¿Hay ne quiera suscribir-e á este emprést…</t>
  </si>
  <si>
    <t>…un 5 por 100. Asimismo impugnó también cierto plan que préstito: por lo cual no le parecia bien el primer pro dijo haber llegado á su noticia de la junta del Crédito pú yecto del Sr. Romero Alpuente, pero sí el segundo. Opinó blico, manifestando que á su parecer envolvía algunas con que mañana mismo se podía convocar á la junta del Cré tradicciones, y aun injusticias. Por último manifestó los in dito público en sesión secreta, y si por fin resultaba no c…</t>
  </si>
  <si>
    <t>Gaceta del Gobierno n.º 108</t>
  </si>
  <si>
    <t>469</t>
  </si>
  <si>
    <t>…iones si tas, y medios de hacer la emisión de cédulas, se trataba de guientes : destruir el dictamen de la comisión. Del Sr. Sánchez Salvador: «Que se autorice al Gobierno Dice el Sr. Romero Alpuente , continuó , que sin per ,á hacer las reformas que juzgue necesarias, quedando los in juicio del honor de los prestamistas, puede haber circuns dividuos empleados en la Hacienda pública ó en cualquier tancias políticas que comprometan ia seguridad de la Na ot…</t>
  </si>
  <si>
    <t>…ue debía apro A la de Infracciones se pasó una queja del ayuntamien barse la indicación que se discutía. to constitucional de Torrejon de Ardoz contra el Gefe po Opinó lo mismo el Sr. Romero Alpuente , creyendo ne lítico y diputación provincial de Madrid, á causa de que cesario lo que se pedia en la indicación, en razón de las el ayuntamiento había nombrado por su secretario á Nar dudas que muchos diputados tenian de que por sucesos im ciso López en vez d…</t>
  </si>
  <si>
    <t>Gaceta del Gobierno n.º 110</t>
  </si>
  <si>
    <t>…Una en particular, y leyendo al efecto varios fragmento* dad pública, cesarán desde luego con arreglo á las leyes que del discurso de la comisión. prohíben estas corporaciones. El Sr. Romero Alpuente opinó que debia volverse á la Habiéndose pedido que la votación fuese nomina!, se comisión el dictamen, para que con arreglo á las observa acordó asi, y en ella quedó aprobado el artículo por loo ciones que habia oído y oyera le reformara, pues en su votos co…</t>
  </si>
  <si>
    <t>…n de ser parte de este número los actuales, había propuesto con el Sr. Gaseo en el voto particular. y si la conducta y circunstancias de algunos de estos po Pareció indiferente al Sr. Romero Alpuente el declarar drían ser motivo para variar ó no parte de ellos. Difirió del que eran propietarios ó interinos; pero inclinándose á lo sentir de la comisión en el primer ounto , creyendo que de- primero convino con ei Sr. conde de Toreno en que se de bian nombra…</t>
  </si>
  <si>
    <t>…y cómo Arresto figurado de un espía; su declaración; su pre Después de alguna discusión se aprobó esta indicación mio: sucesos raros. Nueva ilustración de este hecho. Remisión del Sr. Romero Alpuente: «Cualquiera individuo del con de los procesos á la sala de alcaldes. Si estaban autorizados los sejo de Estado que hnva admitido desde el 4 de Mayo de jueces para reconvenir á los diputados por sus opiniones ó votos. Observaciones sobre el manifiesto del Sr.…</t>
  </si>
  <si>
    <t>…el Sr. conde de Toreno recordó que había sejeros de Estado, creyó el Sr. Amado que debía aprobarse propuesto y las Cortes admitido una indicación para que la la indicación ; y el Sr. Romero Alpuente, recordando las nombrase el Sr. presidente, asi como las demas. reflexiones del Sr. Navas en la sesión ordinaria de hoy, aña Pidió el expresado Sr. conde de Toreno se señalase dia dió algunas otras á favor del mismo dictamen de su preopi para nombrar'la comis…</t>
  </si>
  <si>
    <t>…as ra, que fue aprobada: «Que «i alguno de los 69 ex-diputa-; reflexiones aprobó la indicación en todas sus partes. dos quisiese ser juzgado por el tribunal de'Cortes, no se le El Sr. Romero Alpuente, recordando que el Sr. Vallé niegue este derecho.” habia demostrado que en los términos ordinarios no se po • Se mandó agregar i la acta el voto particular de los se dia decretar, sin infringir la Constitución , que no habia lu ñores Zapata y Casasecn, contra…</t>
  </si>
  <si>
    <t>…re su conducta; y la facultad de removerlos Después de alguna discusión se pasó á la comisión la habiendo justa causa ,• corresponden.á los ayuntamientos con adición siguiente del Sr. Romero Alpuente al art. t.°: á las forme á la facultad quinta que les concede la Constitución, últimas palabras se añadirá «en el supuesto de que en nin y bajo las reglas que prescriban los reglamentos. guna corporación, como convento, seminario &amp;c., se podrá 14. «Las diputa…</t>
  </si>
  <si>
    <t>Gaceta del Gobierno n.º 117</t>
  </si>
  <si>
    <t>…su parte aprobaba esta unión, blioteca pública, una escuela-de dibujo, un laboratorio quí dejando á la química sola. mico, y, gabinete de física; otro de historia matural y pro El Sr. Romero Alpuente opinó que no debian separarse ductos industriales; otro de modelos de máquinas; unjárla química y la mineralogía por ser ambas interesantes en din botánico,-y un terreno destinado para la agricultura España, y tener muchas relaciones una con otra. práctica.”…</t>
  </si>
  <si>
    <t>…al tiempo de decidirse á tomar destino ó servició La comisión, haciéndose cargo, entre otras cosas, de la del Gobierno intruso de Josef Bonaparte; pues que aquellos indicación del Sr. Romero Alpuente, relativa á que se en para que-se les habilita y declara capacidad, como ciudada tendiese qjue los magistrados que por razón de sus empleos nos españoles, son los que merecieren de ahora en adelan ó por comisión intervin’eron en las causas de Estado , por te…</t>
  </si>
  <si>
    <t>Gaceta del Gobierno n.º 118</t>
  </si>
  <si>
    <t>…uardar, cumplir y egecutar la presente Con este dictamen y el del Sr. Martinez de la Rosa se ley en todas sus partes. Tendreíslo'entendido para su cum conformó en lo sustancial el Sr. Romero Alpuente, después plimiento, y dispondréis se imprima , publique y circule.é= de lo cual se declaró no haber lugar á votar, mandando se Está rubricado de la Real mano.-= En Palacio á 4 de Oc volviese j la comisión. tubre de 1820.=A D. Manuel García Herreros. Se leyó e…</t>
  </si>
  <si>
    <t>…s Cortes velen de un mo dicaciones siguientes: do activo en la conservación de la ley fundamental. 1. a Que el secretario del Despacho de Estado, á conse Apoyó á su preopinante el Sr. Romero Alpuente, aña cuencia de lo que expuso en su memoria, leída en la sesión diendo que la única novedad esencial que se advertía en el de 11 de Julio próximo pasado, y asi como lo hizo del artículo, respecto de lo prevenido en la Constitución, era asunto de las dos Flori…</t>
  </si>
  <si>
    <t>…que según las contratas, vigentes corresponda en todaslavprovincias por el orden forzoso de ocacione esta medida.” la : presentación de Jos..documentos ea las mismas oficinas, El Sr. Romero Alpuente manifestó que debería leerse la sin-invertir el-ordcny.jrüUqo la responsabilidad de los em exposición del general Wimpfen, de que se había dado pleados. i- . 1 cuenta. Después de algunas .observaciones.; quedó suspendida Los Sres. Sánchez Salvador y Quiroga d…</t>
  </si>
  <si>
    <t>indicación del Sr. Romero Alpuente , sobre hacer extensiva trucción del expediente, reservando su resolución á las al tribunal supremo de Justicia y demas tribunales y ma Cortes. gistrados inferiores la providencia adoptada para con los Opinó el Sr. Cano Manuel que solo al Gobierno corres cons…</t>
  </si>
  <si>
    <t>…secretario déla Gobernación de la Península. ' liquidación, con lo cual se lograría saber á punto fijo la No se admitió á discusión la siguiente indicación del deuda de la Nación. Sr. Romero Alpuente en adición á la del Sr. Martínez de la El Sr. .Golfín, apoyando lo expuesto por el Sr. minis Rosa sobre magistrados: «El restablecimiento del sistema tro, manifestó que éra mas ventajoso e! que se expresase constitucional, de que se habla, se entenderá desde…</t>
  </si>
  <si>
    <t>…Igualmente se aprobó el 7.0» concebido en estos tér viese que la Nación la reconocía , y no se negaba á pa minos : garla. 7.0 «Los acreedores que no presenten sus documentos á El Sr. Romero Alpuente opinó que no debía hacerse liquidar y renovar antes de t.u de Julio de 1821, ya no mención de la deuda fluetunntc de la tesorería, por no sa podrán hacerlo, ni sus créditos ser reconocidos sin un .de berse á punto lijo su cantidad. creto especial de las Corte…</t>
  </si>
  <si>
    <t>…á V. de Real orden para su inteligencia Sr. Cavaleri, que quedó suspensa en la sesión del 30 de Oc y efectos correspondientes. Madrid 13 de Octubre de 1S20. tubre ( Z Ó.1SC ). El Sr. Romero Alpuente retiró la siguiente por ser igual En la madrugada del 26 de Octubre anterior ha dado á la del Sr. Yandiola, á las últimas palabras se añadirá lo la vela en la bahía de Cádiz el bergandn goleta Sorpresa, siguiente: «cada uno por el capital que tenia antes de l…</t>
  </si>
  <si>
    <t>Gaceta del Gobierno n.º 129</t>
  </si>
  <si>
    <t>…os, lo que solo ser El Sr. Rovíva hizo la siguiente adición para que corrie viría para entorpecer los negocios. se unida á la proposición anterior: «Que la proposición de Pidió el Sr. Romero Alpuente que volviera el artículo k los Sres. Sancho y Cepero se generalice y corresponda á los la comisión , ya porque nada' proponía esta sobre el modó militares ” ' ' de activar las enagenaciones', siendo este su lugar propio, Se aprobó el dictamen-de la comisión d…</t>
  </si>
  <si>
    <t>…Los que se supriman de otros ballería, el cual tomará desde entonces el nombre de regi regulares." miento de la Constitución; y enterado el Rey de la expo Se leyó una adición del Sr. Romero Alpuente al artícu sición hecha por el comandante accidental del regimiento lo 23, concebida en estos términos : ,»A la última palabra de Monfesa, que con recomendación de las Corres dirigie (de la parte aprobada') nacional se añadirán las siguien ron al ministerio de…</t>
  </si>
  <si>
    <t>Gaceta del Gobierno n.º 134</t>
  </si>
  <si>
    <t>…instrucción y quedó asi apro Igualmente se aprobó el dictamen de la misma comisión, bada. relativo á la soücitnd de D. Blas Quilez, manifestando la No se aprobó la que sigue d-.'I Sr. Romero Alpuente: prisión de 3S meses, y demas perjuicios que sufrió por es «Que pase al Gobierno , para que oyendo al consejo de tar comprendido en el levantamiento intentado en Valen Estado, resuelva lo conveniente.” cia en 17 ile Enero de 1 íj 1 7. Ja comisión proponía se…</t>
  </si>
  <si>
    <t>…troactivo, debía seguirse esta ma de toda procedencia exirangera, á excepción del que revista, como opinaba también el consejo de Estado. se expresará.en el artículo siguiente. El Sr. Romero Alpuente , manifestándolo enredoso del 2.® «Por ahora, y mientras se restablezca el cultivo y asunto , opinó , como lo hizo también el Sr. Giraldo, que el el comercio del algodón en nuestras provincias de Europa volver el asunto al poder judicial seria enredarlo mas y…</t>
  </si>
  <si>
    <t>Alten</t>
  </si>
  <si>
    <t>Gaceta de Madrid n.º 7</t>
  </si>
  <si>
    <t>…se aguarda á los demas en toda la semana próxima; pues la abertura de la Dieta está señalada para el martes primero después de Navidad, y antes se han de reconocer los poderes. El general Alten está encargado de este reconocí miento por la ausencia del conde de Munster, y como gran mariscal interino de la provincia. Se continua con actividad la obra del canal del Ems para abrir una co municación directa por agua con el Lippe y el Rhin, sin haberse i…</t>
  </si>
  <si>
    <t>Alultimo</t>
  </si>
  <si>
    <t>Gaceta del Gobierno n.º 19</t>
  </si>
  <si>
    <t>…s de que las mismas gracias fuesen extensivas A otros cuerpos del realizarla,. ó á una especial des Bellas artes se aprobó e~to egército y guarniciones, y aun A todos según la del Sr. Alultimo , nombrando el Nf. presidente pary.p'qniponerla A los varez Guerra. Después de haber habjaqo vario; señores .so Sres. Vargas Ronce , Cavalevi, conde de15Xlaule,:Zapata, bre si deberían ó no admitirse á discusión roda; es.tás, pro Carcli, Fernandez Queípo , Me…</t>
  </si>
  <si>
    <t>Alvara, Teresa</t>
  </si>
  <si>
    <t>Teresa Alvara</t>
  </si>
  <si>
    <t>…trata de otros parti hista pasado seis meses la hará lord Lauderdale ó algún culares. otro de sus amigos; pero la cosa se verificará de una mane A la de Premios una exposición de Doña Teresa Alvara ó de otra. rez Acevedó, hermana del difunto D. Felix'AlVarez AceSe cree no obstante que para no negar toda especie de vedo , manifestando que este la había asistido y mantenido jusricia á la reputación de la Reina dilatarán tomar una pro durante su vida en un…</t>
  </si>
  <si>
    <t>Alvares, Melchor</t>
  </si>
  <si>
    <t>Melchor Alvares</t>
  </si>
  <si>
    <t>…S. Dionisio; y en seguida el mismo pre sidente nombró los individuos que debían componer dicha diputación. ^ ESPAÑA. ■México 20 de Agosto, QÜHRETARO. Oficio del comandante general brigadier D. Melchor Alvares, ,, Excmo. Sr.: En combinación con las tropás de S. Luis de la Paz, y consecuente á saber que los rebeldes Borja y Baeza se hallaban reunidos en ia hacienda del Potrero de Jalpa, dispuse se hiciese una marcha la noche del 21 al amanecer del 22 , y como quiera…</t>
  </si>
  <si>
    <t>Gaceta de Madrid n.º 21</t>
  </si>
  <si>
    <t>…ciones matrimoniales una renta anual de r2) libras. - ESPAÑA. s Mixtee 13 de Agosto. Continuación de los partes de Nueva-Españd. t Del brigadier y contagiante general de Queretaro D. Melchor Alvares. „Exctno. Sr.: El teniente coronel D. Josef Cristóbal Villaseñor, con fe cha 4 del corriente, me dirige el oficio adjunto con otros dos partes, uno del comandante del destacamento de la Noria,,y otro del oficial graduado Don Mariano Guevara, que fue el qué ma…</t>
  </si>
  <si>
    <t>Alvarez</t>
  </si>
  <si>
    <t>…s tropas del Rey nuestro Señor, ha dispuesto que se remitan las cédulas correspondientes de indulto para los individuos presentados, y que se den las gracias en nombre de S. M. al Sr. Alvarez, al teniente coronel Vijlaseñor , al alférez Benayides , y al alférez graduado D. Mariano Guevara, por sus buenas disposiciones para la persecución de los restos de rebeldes que que daban en la Sierragorda; concediendo el grado de sargentos á los cabos Don Vi…</t>
  </si>
  <si>
    <t>Alvarez, Domingo</t>
  </si>
  <si>
    <t>Domingo Alvarez</t>
  </si>
  <si>
    <t>Gaceta de Madrid n.º 5</t>
  </si>
  <si>
    <t>D. Domingo Alvarez, para que en el preciso término cíe 8 meses acudan á formal^ zarlo con los documentos quelo comprueben; prevenidos que de no hacerlo los pagos sucesivos se verificarán sin gravamen de fianza, cancelándose las que esten dadas; pa rándoles esto y cuanto.se actu…</t>
  </si>
  <si>
    <t>Gaceta de Madrid n.º 15</t>
  </si>
  <si>
    <t>124</t>
  </si>
  <si>
    <t>…no Don Elias Izquierdo, en los autos número 306 del año próximo pasado, se manda citar y emplazar á cuantos se estimen con derecho á los bienes y masa del concurso út acreedores á D. Domingo Alvarez, para que en el preciso término de ocho , meses acu dan á formalizarlo con los documentos que les comprueben; prevenidos que su omi sión les parará todo perjuicio, pues los pagos sucesivos se verificaráh-sin el gravamen de fianza, cancelándose las que esten d…</t>
  </si>
  <si>
    <t>Alvarez, Isabel</t>
  </si>
  <si>
    <t>Isabel Alvarez</t>
  </si>
  <si>
    <t>Gaceta del Gobierno n.º 152</t>
  </si>
  <si>
    <t>676</t>
  </si>
  <si>
    <t>…ia , testamento , y otros Una cochera, place.a de la Inquisición , parroquia ídem, varios papeles muy interesantes pertenecientes á ia familia de D. Diego Sanz de Bustanninte y de Doña Isabel Alvarez de sin número, manz. 602, tasada en 6,400. Aragigo y Valdés, su muger , acudirá a la calle de los Reves, Otra idem lindante con la anterior en la misma placeta ñúm. 4, cuarto bajo, en efunde le informarán de estos docu— y manzana, rasada en 5,800. fu en tos.…</t>
  </si>
  <si>
    <t>Alvarez, JD.Melchor</t>
  </si>
  <si>
    <t>JD.Melchor Alvarez</t>
  </si>
  <si>
    <t>Gaceta de Madrid n.º 18</t>
  </si>
  <si>
    <t>…V. £. muchos años. Comandancia de S. Blas Junio 16 de 1819-. = Excmo. Sr..5= Antonio Cuartana. ==Excino; -Srr.yijre^;’cpiid^,deJ{^y®. nadito.” . ; &gt; Oficio del comandante general brigadier JD.Melchor Alvarez*- _ M Exorno. Sr.: Acompañotá. V. E. el oíícígl original .del teniente i coronel D. Josef Cristóbal Villaseñor, en que me manifiesta los ‘buenos y útjles ser-í vicios egecutados en obsequio de ia justa causa por él Dr. D. Josef Antonio Magos, y, en virtud de…</t>
  </si>
  <si>
    <t>Alvarez, Joaquín</t>
  </si>
  <si>
    <t>Joaquín Alvarez</t>
  </si>
  <si>
    <t>…D. Ignacio Montes, y su ascenso á cabos á los realistas Agustín Chavez y Vicente Salinas por la bizarría con que se portaron. También pre viene que se den las gracias al bachiller D. Joaquín Alvarez y al doctor Ma gos, recomendando á cada uno según su mérito al ilustrísimo diocesano* Idejn _9 de Setiembre. : QUERETARO. Oficio del comandante general brigadier T). Melchor Alvarez. ,, Excino. Sr.: Habiéndoseme asegurado por dos de mis confidentes que el cab…</t>
  </si>
  <si>
    <t>Alvarez, Mariano</t>
  </si>
  <si>
    <t>Mariano Alvarez</t>
  </si>
  <si>
    <t>Gaceta del Gobierno n.º 8</t>
  </si>
  <si>
    <t>…as. Los tres de 10 del mismo: el primero adicionan se escriba con letras de oro en el salón de Cortes .el nombre do el de la ley de libertad de imprenta ; el segundo que contie de D. Mariano Alvarez, gobernador de Gerona, y se erija ne el reglamento de las juntas de censura ; y el tercero esta un monumento en aquella plaza que recuerde su heroica de bleciendo reglas para con'ervar á los escritores la propiedad fensa. El de 18 del mismo sobre que los empl…</t>
  </si>
  <si>
    <t>…de un egemplar de catedráticos. la relación histórica de los sucesos de Gerona en los años de El Sr. Mattel hizo ver que la,comisión debió desenten 1808 y 1809, con un retrato de D. Mariano Alvarez y derse de esta parre reglamentaria, mucho mas ignorando sí un plano, presentado todo por el mariscal de campo Don se había hecho alguna alteración relativa á ella; y llamó la Miguel de Haro. atención del Congreso para observar con citas, que leyó, Igual re'o…</t>
  </si>
  <si>
    <t>Alvarez, Melchor</t>
  </si>
  <si>
    <t>Melchor Alvarez</t>
  </si>
  <si>
    <t>…e fugarse por aquella parte. ,,Dios guarde á V. S. muchos años. Campo en el Potrero de Jalpa Junio 22 de 1819. = Josef Cristóbal Villaseñor. 5= Sr, brigadier y comandante ge neral D. Melchor Alvarez,” t 1 JMadrid 4 de Febrero. ARTICULO DE OFICIO. El Rey nuestro Señor se'ha dignado agraciar con la cruz de Isabel la Ca.télica i D, Juan Pintó, vecino de Cartagena de Indias, en atención á sus mé ritos y servicios. A voluntad de su dueño, y en virtud de provi…</t>
  </si>
  <si>
    <t>…superioridad del Excmo. Sr. virey. ,,Dios guarde á V. S. muchos años. Destacamento del Real de Xichú Agosto 21 de 1819. = Josef Cristóbal Villaseñor.= Sr; brigadier y comandan te general D. Melchor Alvarez.” S. E. ha mandado que en nombre del Rey nuestro Señor se despache li Real cédula de indulto al doctor Magos, y á los que se presentaron con éli que se den las gracias también á nombre del Rey al bizarro teniente coronel 3L&gt;. Miguel Barragan y á toda su valie…</t>
  </si>
  <si>
    <t>…la superior aprobaoion de S. E, ,, Dios guarde á V. S. muchos años. Pueblo de Tierrablanca Agosto 1.® de 1819. = Josef Cristóbal Villaseñor. = Sr. brigadier y comandante general; D. Melchor Alvarez.” yALLADOLI’T'. „Excmo. Sr.: Son las ocho de la mañena, momento en: que me avisa el comandante de Patzcuaro teniente coronel l&gt;. Juan Oviedo desde el pueblo deSta. Clara que está organizando, que el de Ario le traslada la noticia que le da el valiente tenient…</t>
  </si>
  <si>
    <t>Gaceta de Madrid n.º 19</t>
  </si>
  <si>
    <t>…e Castillo. ■ J • • - ,, Dios guarde á V. S. muchos anos. Xichú Julio 30 de 1819 á las cua-, tro de la mañana del 31. = Josef Cristóbal Villaseñor. = Sr. brigadier y co-, mandante general D. Melchor Alvarez.” j Idem 4 de Setiembre. : *'■ Oficio del comandante general brigadier D. ¡Melchor Alvarez. „Excmo. Sr.: Acompaño á V. E. el oficio que con fecha 2 1 del cor riente me ha dirigido el teniente coronel D. Josef Cristóbal Villaseñor, inser tándome el que con la…</t>
  </si>
  <si>
    <t>Gaceta de Madrid n.º 23</t>
  </si>
  <si>
    <t>…e si lo tiene ásbien lo • elevé á la Superioridad del Excmo. Sr. virey. j, Dios güarde:á V.^Si^muchos años, junca Agosto 24 de 1819.= Julián Jubera; =: Sr. brigadier y comandante' general D. Melchor Alvarez.” ¡ . , . . , Madrid 2iSdf Febrero-, El capitán general de la provincia de: Yucatán, ireino de Nueva-Es paña, ha co'inqnicado a'í Sr. Sécrétarip interinó dé Estado íy del Despacho de Guerra ’ un estado que manifi^, ja 'el en; la ciudad de' Campe che eji.todq…</t>
  </si>
  <si>
    <t>Alvarez, Miguel</t>
  </si>
  <si>
    <t>Miguel Alvarez</t>
  </si>
  <si>
    <t>…ar y emplazar, como por el presente se Id. de matrimonios no conformes é injurias I1 cita, llama y emplaza á D. Josef Crozat, D. Segismundo Mo 23J rro, IX Juan Bautista Codevilla, D. Miguel Alvarez y Don Carlos Dcflbntanes , tenedores que han sido de un vale real de Total. 266 300 pesos, creación de Setiembre de 1809, número 30,024, que salió renovado en cabeza de Fr. Patricio de la Cruz: asimis mo á D. Pascual Calvo, D. Julián de A raso , D. Josef An Los profesores que han for…</t>
  </si>
  <si>
    <t>Alvarez, Pedro González</t>
  </si>
  <si>
    <t>Pedro González Alvarez</t>
  </si>
  <si>
    <t>…Sres. conde de Toreno y Vargas Ponce manifestaron que Se pasó á la comisión de Legislación una exposición del siendo el asunto muy importante, debía tratarse en secreto, bachiller D. Pedro González Alvarez, solicitando se le dis y pasarse las indicaciones á la comisión de Política. pense el tiempo que le falta para examinarse de su facultad. El Sr. Magariño manifestó que debían llamarse y oírse Nombraron las Cortes para vocales de la junta provin á los secretar…</t>
  </si>
  <si>
    <t>Alvarez, Pedro Pablo</t>
  </si>
  <si>
    <t>Pedro Pablo Alvarez</t>
  </si>
  <si>
    <t>Gaceta del Gobierno n.º 50</t>
  </si>
  <si>
    <t>…s y soldados blandieron las armas , jurando vencer ó diencia militar con la Constitución, y otros varios de un morir por la Constitución y por el Rey. Con razón puede periódico de D. Pedro Pablo Alvarez, teniente de caballe llamarse aquel dia la confirmación del sagrado pacto entre ría , sobre !a utilidad de ¡a Constitución. el Rey y su pueblo, pues á la augusta ceremonia se halla Se leyó por primera vez una proposición del Sr. Priego ban presentes los diput…</t>
  </si>
  <si>
    <t>Alvaro, Juan</t>
  </si>
  <si>
    <t>Juan Alvaro</t>
  </si>
  <si>
    <t>…también con el de hacer testamento marido y muger bajo un documento mismo objeto. mismo. Lo mismo se verificó con otra de la diputación provin A la de Guerra una representación de D. Juan Alvaro cial de Navarra, que presentó el Sr. Ezpeleta. de Toledo y otros dos oficiales de inválidos sobre que se Conformándose las Cortes con el dictamen de la comi derng e la prohibición de gozar viudedad las mugeres de los sión ordinaria de Hacienda, madaron pasar…</t>
  </si>
  <si>
    <t>Alvisrus, Joaquín</t>
  </si>
  <si>
    <t>Joaquín Alvisrus</t>
  </si>
  <si>
    <t>…instruido en estos métodos, se le conce Ideas sobre la formación dél proyecto de Constitución derán dos meses de término para que-páse á Cádiz á perfeccio militar, por el teniente coronel D. Joaquín Alvisrus, indi narse, abonándole el sueldo desde el dia dé su nombramiento, y proporcionándole suficientes recomendaciones.. Se remitiránviduo de la junta auxiliar de caballería. los memoriales al secretario del ayuntamiento. Bosquejo del arado marcial, sin Hombre de…</t>
  </si>
  <si>
    <t>Amado</t>
  </si>
  <si>
    <t>…l plan de Hacienda acordado en las bases Por la razón de haberse declarado propietarios á los con aprobadas; y el Sr. conde de Toreno recordó que había sejeros de Estado, creyó el Sr. Amado que debía aprobarse propuesto y las Cortes admitido una indicación para que la la indicación ; y el Sr. Romero Alpuente, recordando las nombrase el Sr. presidente, asi como las demas. reflexiones del Sr. Navas en la sesión ordinaria de hoy, aña Pidió el expre…</t>
  </si>
  <si>
    <t>Amalia, María Josefa</t>
  </si>
  <si>
    <t>María Josefa Amalia</t>
  </si>
  <si>
    <t>22</t>
  </si>
  <si>
    <t>…sin duda estimulado por el egemplo de su esclarecido Abuelo, que tomó de aquella una Esposa, que fue modelo de las virtudes domésticas, como lo 4$ también la Reina nuestra Señora Doña María Josefa Amalia: y á los comisionados del cabildo catedral de Cartagena de Murcia , que tienen la honra de dar á V V* MM. el phrabien por tan fausto acontecimiento, no les resta &lt;rtra cosa que rogar al cielo por la conservación y prosperidad de VV. MM.” ARTICULO DE OFICIO. ,…</t>
  </si>
  <si>
    <t>…de concederle no presentase ios testimonios mas ren didos de su gratitud al tiempo de cumplir su deber felicitandoá V. M. póv la acertada elección hecha en la Reina nuestra Señora Doña María Josefa Amalia , cuyas prendas la constituyen digna Esposa de un Monarca tan amado de sus vasallos. Ai distinguirnos con esta, comisión el ayuntamiento de vuestra ciudad de Zaragoza nos encarga testifiquemos áL. R. P,. de V. M. que no cesarán los heroicos habitantes de la c…</t>
  </si>
  <si>
    <t>…ho 'préseñld' ate;R fiY^ioesírd Señor lá’Viva %atísf&amp;ecidn *''del a^^untamrefitaíáe la ciudad de Vígo err Galiciá, por su'augusta y ápi’ecfábl'e Union con la Réiíja nuestra Señora Doña María Josefa Amalia ; manifestando ademas su júbilo y gratitud porque,se hubiere dignado aprobar1^ aquel pueblo, qüe antes era villa, el título dé ciudád Eñíerado'SíM!’dééstós léales Seritimierdos y cono'cida adhéjóia á su augusta Persona, oyo con su acostumbrada afabilidad tan…</t>
  </si>
  <si>
    <t>Amalia, Marta Josefa</t>
  </si>
  <si>
    <t>Marta Josefa Amalia</t>
  </si>
  <si>
    <t>Gaceta de Madrid n.º 2</t>
  </si>
  <si>
    <t>…de Cambil nos comisionan para presentarnos con profunda humildad ante el trono de V. M. á tributar le el mas respetuoso parabién por su augusto enlace con la Reina nuestra Se ñora Doña Marta Josefa Amalia »f Saxonia, cuyas elevadas y distin guidas prendas y virtudes la han hecho digna de que V.M. la haya escogrdd entre todas las Princesas de Europa para su Esposa. El ayuntamiento, Señor, uniendo sus votos con los de los ministros del Altísimo, dirigirá fervoro…</t>
  </si>
  <si>
    <t>Gaceta de Madrid n.º 20</t>
  </si>
  <si>
    <t>164</t>
  </si>
  <si>
    <t>…opia justicia; en el supuesto que se ha de proveer, á los 20 dias siguientes al de es ta publicación. - . ,, Nueva, estampa de figura cuadrilonga del retrato de la Reina de España Doña Marta Josefa Amalia de medio cuerpo, grabad^ 4. puntos por Ganiborino: pue de ir en una catta regular sin doblarse. Se hallará en las librerías de Escribano 7 de Gómez, calle de las Carretas, á 3 rs., y en Valencia en la librería de Bó. T ' .'V l|1.1 'i '■■■;" y . • ■■■■'a*1 - ¡…</t>
  </si>
  <si>
    <t>Amalta, Matíia Josefa</t>
  </si>
  <si>
    <t>Matíia Josefa Amalta</t>
  </si>
  <si>
    <t>Gaceta de Madrid n.º 1</t>
  </si>
  <si>
    <t>…ero mas digna de elogio por su amor y fidelidad constante á vuestra Real Persona, tributa á V. M. .el mas respetuoso parabién por vuestro feliz enlace con la Reina nues tra Señora Doña Matíia Josefa Amalta deSaxonia, cuyas eminentes vir-, tudes, unidas á las excelsas de V. M., son el ornamento mas augusto de 1». nación española, el apoyo mas firme de la religión, y el manantial mas fecun- , do de la prosperidad de la monarquía. ,, Asi, Señor, lo esperan Saniúca…</t>
  </si>
  <si>
    <t>Amar, Antonio</t>
  </si>
  <si>
    <t>Antonio Amar</t>
  </si>
  <si>
    <t>…15Q Oeste de longitud de Greensxrich, Igualmente se ha servido S. M. conceder los honores y á que los naturales le aseguraron que mas adelante ha del consejo de Estado al teniente general D. Antonio Amar, bía un estrecho de 10 jornadas á remo, que conducía á un mar muy vasto, parecerá probable que este estrecho va capitán general interino de Aragón. ya á parar al mar, adonde penetró el capitán Parry. Que VARIEDADES. daría pues demostrada la existencia del pa&lt;…</t>
  </si>
  <si>
    <t>Amat, Felipe de</t>
  </si>
  <si>
    <t>Felipe de Amat</t>
  </si>
  <si>
    <t>…anals, condecorado con la cruz del sitio de Gerona, de los logaritmos. D. Antonio Curulla, de las ecuaciones de primero y segundo grado. En el se gundo dia presidió la academia el Sr. D. Felipe de Amat como decano de ella, y se dio principio al acto por las disertaciones de los alumnos en el or den que sigue: El mismo D. Antonio Curulla explicó las definiciones de Iá geometría, y disertó sobre las propiedades del círculo y de las líneas que en él se conside…</t>
  </si>
  <si>
    <t>Ámat, Félix</t>
  </si>
  <si>
    <t>Félix Ámat</t>
  </si>
  <si>
    <t>Gaceta de Madrid n.º 62</t>
  </si>
  <si>
    <t>400</t>
  </si>
  <si>
    <t>…su angusta Reina. Doña María Isabel de BraganZa , que ofreció á Dios la Excelentísima ciudad de Barcelona en los dias 2f y 22 de Enero del corriente año, predicó el limo. Sr. Dr. D. Félix Ámat, dignidad de sacristán inayor. de la misma santa.iglesia; con una sucinta re lación de las honras fúnebres que se hicieron en dichos días. Se hallará en 1a líbrería (de;Calleja , éjalleide las Carretas.» y en Barcelona etr la.de Roe* , á 3 rs. £N LA IMPRENTA…</t>
  </si>
  <si>
    <t>Amat, Félix Jorres</t>
  </si>
  <si>
    <t>Félix Jorres Amat</t>
  </si>
  <si>
    <t>…vino-que se formaran ay uní am ien tos" cousti tuciona les en todos los pueblos de la provincia. ? 1 , %í;í; t Señores: Gefe superior político, presidente.zs.Barón de Castellet. =-Don Félix Jorres Amat. = D. Benito de Píándolit. == D. Antonio Támaro. = DoiI Juan Botlie.=:D. Manuel Lassala. = D. Mariano Esteve. =D. Antonio Buch, secretario. Se levantó la sesión. - \ Sevilla de Afqrzp,^..i)f%,El general en gefe del egército reunido d los individuos que fe for…</t>
  </si>
  <si>
    <t>Amat, Félix Torres</t>
  </si>
  <si>
    <t>Félix Torres Amat</t>
  </si>
  <si>
    <t>Gaceta de Madrid n.º 63</t>
  </si>
  <si>
    <t>…ella ,' y quedó nombrado para este car go el Si*. D. Gines Quintana, abogado de esta audiencia territorial^ Señores: Gefe superior político, presidente. = El barón de Castelíet.=r Don Félix Torres Amat. = D. Benito de PlandoIit.=D. Antbnío’Támaró. sr Don Juan de Batlle. ==D.^ Manuel LassaJa=D. Maríapo Estévé. =z Antonio Buch, secretario. . . ? Madrid 7 de Abril\ ARTICULÓ DE OF ICIO. Él P-ey,ha expedido los depr^tps siguientes:-k ■ ^ « ,, Cuando tuve á bien…</t>
  </si>
  <si>
    <t>Amatriain, Santiago</t>
  </si>
  <si>
    <t>Santiago Amatriain</t>
  </si>
  <si>
    <t>…nos , y que no pueden ni deben tener voz activa ni pasiva Monianches A D. Anselmo León y Barradas: para el da en tas elecciones, son los que están en mora, y que recon Plasencia á D. Santiago Amatriain para el de Navalmoral venidos para pagar las deudas, no han pagado al tiempo de i D. Francisco González Miranda: para el de Trujillo á hacerse las elecciones. D.'Ventura Carballar: para el de Valencia de Alcántara i 4. a Si tiene voz activa y pasiva un menor…</t>
  </si>
  <si>
    <t>Amaya, Jacinto</t>
  </si>
  <si>
    <t>Jacinto Amaya</t>
  </si>
  <si>
    <t>Gaceta de Madrid n.º 14</t>
  </si>
  <si>
    <t>…eyi, al.capitan D. Atáteo Llo^ rens, qué se ha portado coó/el teayor valor ; -aii teniente! Miguel 1 Gómez , que fue de los primeros'; que rompiéronle!. fuego’„eo&lt; Ja placaa ; af .teniente Jacinto Amaya, quien asi en la pérdida; como ,en Ja&gt;recupeTacion,;:de esta plaza ha dado pruebas de su intrepidez,, valor y a mor] al servicio; al subteniente sus penso D. Josef Muría do'jAroiasC,» que sédba portado enluna y éft chira acción con. la mayor ^bjzarría; al Lca…</t>
  </si>
  <si>
    <t>Ambrosio</t>
  </si>
  <si>
    <t>…les, de fanega y medía y 2 5 es la conspiración. El número de los presos era ya de 46; pero tadales. ocho habían sido puestos en libertad. La comisión de los Capellanía fundada de D. Ambrosio de los Herreros Pares se reunía diariamente, y llevaba tomadas muchas de en Getafe. claraciones. Por decreto del Rey se habia disuelto la guar Una en los barrios de Buenavista, de fanega y media. dia nacional de Brest, por no haberse portado bien en las Otra…</t>
  </si>
  <si>
    <t>…desde la publicación de este aviso. Voces de un mudito, ó reflexiones políticas y joco-serias de un ciudadano, que habiendo perdido el liso de la palabra en Capellanía fundada por D. Ambrosio de los Herreros 1814, herido de un aire pestífero calentón, vuelve á- recupe en Getafe. rarle con la resurrección de la onstitucion : núm. 3. ’ Se ha Una tierra en el Camuerzo, erial, en dezmería de llará con el 1. y 2. en las librerías de Brun , Sauz, Ortega…</t>
  </si>
  <si>
    <t>…de Serracapriola habia enviado ya viembre. su juramento de fidelidad á la Constitución del reino; y lo El Revisor político. Núm. 9. Contiene el extracto de la mismo había hecho el caballero Ambrosio, enviado de Ña confesión, acusación fiscal y defensa de D. Domingo Antonio póles en Dinamarca. Se comunicó al Parlamento que S. M. "Velasco, autor del papel incendiario y sedicioso titulado: » Cen el Rey de los Paises-Bajos habia contestado á la carta au tine…</t>
  </si>
  <si>
    <t>Ambrossi</t>
  </si>
  <si>
    <t>Gaceta del Gobierno n.º 163</t>
  </si>
  <si>
    <t>…as carras de .Viena que hoy se nao recibido solo anuncian paz, y dicen que las diferencias Stockolmo gi de Octubre.r cort Nápoles están arregladas de'manera que puede esperarse El caballero Ambrossi, enviado extraordinario y minis un acomodo definitivo. No se sabe á cual de estas dos noticias tro plenipotenciario del Rey de Nápoles en Copenhague, debe darse crédito; pero asi la una como la otra no pueden lia traído también credenciales para nuestra corte…</t>
  </si>
  <si>
    <t>Ametller, Blas</t>
  </si>
  <si>
    <t>Blas Ametller</t>
  </si>
  <si>
    <t>…4 desde su parque en Madrid á la iglesia de S. Isi dro el Real los restos de los’dos heroicos capitanes del mismo cuerpo Daoiz y Velarde. Dos estampas de marca mayor, grabadas por D. Blas Ametller y D. Rafael 'Este ve , y dedicadas al Rey nuestro Señor por dicho Real cuerpo. Véndense en él despacho de la Real calcografía déla imprenta Real á 120 rs. vn. cada juegoJ El Vergonzoso en palacio. Comedia del maestro Tirso de Molina, reimpresa con forme á Ja edición orig…</t>
  </si>
  <si>
    <t>Gaceta de Madrid n.º 73</t>
  </si>
  <si>
    <t>…rque en&lt; Madrid á la iglesia colegiata de S. Isidro-Ios restos de los dos heróicas capitanes, del mismo cuerpo Daoiz y Velarde. Dos estampas de marca mayor apaisadas, grabadas por D. Blas Ametller y D. Rafael Esteve, y dedicadas al Ruy por el-referido cuerpo. Véndense en el des pacho ¿©estampas de la .calcografía de la imprenta Nacional i (20 rs. cada juego. Colección ^electa de música instrumental para guitarra, solo, de los mejores auto res naclpnales y extrangeros, de…</t>
  </si>
  <si>
    <t>Amizonense</t>
  </si>
  <si>
    <t>Gaceta del Gobierno n.º 155</t>
  </si>
  <si>
    <t>…cta En 180 3 , cuando volvió por tercera vez á Kamschats- religiosa y política del limo. Sr. D. Fr. Miguel de Santander, fca la expedición rusa á las órdenes de Krusenstern, contó obispo Amizonense: en la librería de Paz.rcEpístola de Cornelia Pntapof, patrón de un barco ruso, haber visto á orillas del Bororquia, escrita desde la capilla del Sto. Oficio de Sevilla , pu Océano glacial un mammouth , que acababa de ser desenter esta en verso por D. R. D. y…</t>
  </si>
  <si>
    <t>Amo, Castor del</t>
  </si>
  <si>
    <t>Castor del Amo</t>
  </si>
  <si>
    <t>Gaceta del Gobierno n.º 140</t>
  </si>
  <si>
    <t>…irige. Los hombres se reputan libres tiago Martin, D. Tadeo Sánchez de Escanden, D. Juan de «cuando solo los gobierna la ley. La sumisión los hace feliDios Trillo, D. Pedro López, D. Castor del Amo, el se «ces , porque en ella cifran su tranquilidad. Las pasiones, los ñor general Pnlafox, Doña María de Loreto García de Roa, «injustos caprichos, los ambiciosos y exceóvos deseos que D. Antonio Ruiz de Flores, D. Gerónimo Gambo», Doña «tos príncipes mezcla…</t>
  </si>
  <si>
    <t>Amo, Josef Maroto</t>
  </si>
  <si>
    <t>Josef Maroto Amo</t>
  </si>
  <si>
    <t>Gaceta del Gobierno n.º 157</t>
  </si>
  <si>
    <t>…eficios limpies. nistración y conocimiento. 18. El producto de las fincas de obras pias y bienes se cularizados , y el de los mostrencos mientras no se vendan. Por providencia del Sr. D. Josef Maroto Amo. juez pri 19. Los productos de la Albufera. mero interino de primera instancia de la ciudad de VaÜa20. Los productos de las fincas segregadas como no dolid v su partido, y en virtud de la calificación hecha por necesarias para recreo de S. M. la junta de Cens…</t>
  </si>
  <si>
    <t>Amor, D Bartolomé</t>
  </si>
  <si>
    <t>D Bartolomé Amor</t>
  </si>
  <si>
    <t>…ito; en Barcelona en la de Sierra; dei regimiento de Lusitania; el coronel D. Francisco Pablo en Zaragoza en la de Yagiie; en Sevilla en la de la viuda da de la Peña ; el teniente coronel D Bartolomé Amor; ídem Vázquez, y en Granada en la de Martínez Aguilar. D. Josef Rubio; los gefes y oficiales del regimiento déla Manifiesto de la junta provisional á las Cortes: papel inte Reina, segundo de ligeros; el brigadier D. Nicolás Cha resante, en que aquella corpora…</t>
  </si>
  <si>
    <t>Amórre, Juan de</t>
  </si>
  <si>
    <t>Juan de Amórre</t>
  </si>
  <si>
    <t>Gaceta del Gobierno n.º 184</t>
  </si>
  <si>
    <t>812</t>
  </si>
  <si>
    <t>…ndada deí escri bano cartulario de loe ju/¿'dos de aquella en la misma Don. VARIEDADES. Joaquiu Sánchez, á p:&lt;á.manto de 13. Manuilde Pando, síndi co del concurso de los b ene. de D. Juan de Amórre, te cita, Continua el artículo sobre ¡os indios de la Pensilvania« llama y emplaza á todos ios acreedores é iníete aduv en el para Es doloroso leer tas quejas que aquellos pueblos dieron la junta que se ha de celebrar en ¡a c-i»:t p &gt;sa.:a de S. S. el &gt; 1 , y…</t>
  </si>
  <si>
    <t>Amus, Eugenio</t>
  </si>
  <si>
    <t>Eugenio Amus</t>
  </si>
  <si>
    <t>Gaceta del Gobierno n.º 180</t>
  </si>
  <si>
    <t>…haya fallecido arbitrio), han mirado á ia Puerta mas bien como rival que dicha María , se desea saber igualmente el pueblo é iglesia don de haya*sido enterrada-, comunicándoselo á D. Eugenio Amus como soberana, y han desobedecido sus órdenes con des co, vecino de la ciudad de Logroño , en la Rioja, provincia d* precio y altivez. El diván suele valerse mas bien de la per Castilla la Vieja. - fidia que de la fuerza para reprimir la insolencia de estos C…</t>
  </si>
  <si>
    <t>An</t>
  </si>
  <si>
    <t>Gaceta de Madrid n.º 6</t>
  </si>
  <si>
    <t>…las tropas destinadas ai ataque, sirviendo su actividad y conocimientos militares de ponerlas pronto á cubier to. Lo son igualmente el gefe de Estado mayor de la segunda división D. An tonio Vázquez, y el de la columna de Arana D. Vicente Gorosavel, y mi ayudante interino D. Narciso San Just, quienes comunicaban mis órdenes en el rigor del fuego con la mayor serenidad: se han distinguido también en está jornada los tenientes de la Reina D.…</t>
  </si>
  <si>
    <t>Gaceta de Madrid n.º 71 (extraordinaria)</t>
  </si>
  <si>
    <t>…* de la misma Constitución. Lo ten dréis entendido, y comunicareis á quien corresponda para sucumpUtnientousr ■Está;rubricado de: la Real mano. =Palacio 2 j de Abril de 1820. == A D. An tonio .PorceL” 2.? ; ^Queriendo .dar i mis. amados súbditos la prueba mas completa y decisiva de mis ardiéntes^deseos de plantificar en todas sus parces el sistema constitucional, y de promover cuanto pueda ser conducente para la gloria y {felicidad-dé la Nac…</t>
  </si>
  <si>
    <t>…Pambley, contador principal de rentas de la provincia de León, intendente en comisión de la misma, comisionado regio de las islas Canarias, é intendente en propiedad de Segovia; á D. An tonio Elola , contador interino del egército de Cataluña, intendente interino de MallorcaKpropietario de Murcia , efectivo de egército, y director en co misión de la aduana de Cádiz: para la intendencia del egército y provincia de Andalucía á D. Manuel de Vel…</t>
  </si>
  <si>
    <t>Gaceta del Gobierno n.º 14</t>
  </si>
  <si>
    <t>…no Guerra. de Darmstadt para volverse ;á sus casas. INSTRUCCION PUBLICA. Los Sres.Muñoz Torrero, Vargas Ponce, Tapia, Na INGLATERRA. vas, Martínez déla Rosa, García Page, Navarro (D. An drés) , Cortés, Marrell. JL6ndres--&lt;iSde Junio. DE EXAMEN DE CUENTAS Y ASUNTOS DE DIPUTACIONES El Congreso de los Estados-Unidos díó fin á sus sesio PROVINCIALES. nes el 15 de este mes , expidiendo úna acta dirigida á impo Los Sres. Guártero, Marín Tauste, Ló…</t>
  </si>
  <si>
    <t>…rió la Apéndice al dictamen sobre el tribunal de la Inquisición, duda de si , habiéndose verificado el reemplazo en tiempo que en las Cortes generales y extraordinarias dió el Dr. D. An que no existían diputaciones provinciales, debería proce tonio Josef Ruiz de Padrón, diputado por Canarias, el 18 de Enero de 1813, en que se prueba hasta la evidencia la inutiderse á la resolución de las reclamaciones hechas por el mé lidad del tribunal, sus…</t>
  </si>
  <si>
    <t>Gaceta del Gobierno n.º 54</t>
  </si>
  <si>
    <t>…buenos cristia A la de Hacienda dos egeinpslares de un plan de con nos .3’ hombres iibres. Su doctrina , tan atractiva y tierna tribuciones , publicado por ei comisario de Guerra D. An como persuasiva , nos instruyó y convenció completamen tonio Rosell. te. Honor .1 csie digno religioso, amante de nuestro Go A la de Comercio una exposición de D. Pedro Díaz de bierno y de nuestras Ay'es , que proclama , hace respetar, y la Teña , teniente de…</t>
  </si>
  <si>
    <t>…urdeos i.° de Agosto. sobre la solicitud del Burgo de Osma para hacer pn camino. Hoy. llevaban á arcabucear á un soldado llamado Rou- A la especial de Premios una representador de D. An llor; pero el pueblo en conmoción lo arrancó de las ma tonio Suarez de Tejada, vocal de la junta de Censura de la nos de los gendarmes que le conducían. Por mas diligencias Coruña, haciendo presentes sus méritos en servicio de la que las autoridades hicieron…</t>
  </si>
  <si>
    <t>…toridad , lejos de María Antonia Niño, D. Vicente Fraile, D. Francisco de «extenderla, la debilitan. Se hacen menos poderosos cuando Mata, D. Rafael de Pinos, D. Amorfo de Castro, D. An «quieren &lt;er superiores á las leves , y pierden su poderío drés Montalvo , el Sr. duque del Parque, D- Francisco Xa «perdiendo el amor de ‘lis súbditos.” vier de Aguilar, D. Juan Sánchez, D. Ramón de Pando y Apenas igualaron Demóstenes y Bossuet la elocuencia…</t>
  </si>
  <si>
    <t>…e dio fin con un discurso latino, en que el proíesor Pedio Abad, en 29,440 rs. propuso como el germen de la felicidad posible en lo Una posesión de olivar ídem de fa capellanía de D. An humano . la .reunión de la virtud con el estudio de las tonio Espino'a , a! mbinj pago, compuesta de \-A olivos, ciencias. linde con los de, D. Juan Ag.ayo, y ca.a, que .sombran del Fueron después examinados los niños de la escuela de Estanco, en 12*090 rs. p…</t>
  </si>
  <si>
    <t>An, Josef</t>
  </si>
  <si>
    <t>Josef An</t>
  </si>
  <si>
    <t>…de Total. 266 300 pesos, creación de Setiembre de 1809, número 30,024, que salió renovado en cabeza de Fr. Patricio de la Cruz: asimis mo á D. Pascual Calvo, D. Julián de A raso , D. Josef An Los profesores que han formado un establecimiento en tonio Rivas, D. Josef Mato y D. Miguel de Torres, te que se dan lecciones de caligrafía , aritmética, gramática, nedores que han sido de otro vale real de 600 pesos, de la ortografía española y lengua latina en…</t>
  </si>
  <si>
    <t>An, Juan</t>
  </si>
  <si>
    <t>Juan An</t>
  </si>
  <si>
    <t>…ulado la Ley, mero. ^Conversaciones entre Cándido y Prudencio sobre el es -núm. 25 , del martes 27 de Junio último, se ha mandado tado actual de España, publicadas por su redactor D. Juan An se recojan inmediatamente todos los egemplares, con arre tonio Llórente. Se venden en la librería de Paz, frente í la» glo al artículo 18 del decreto de 10 de Noviembre de 1810 gradas de S- Felipe. y. al 28 del de 2 de Junio de 1813 ; y que las personas en Qu…</t>
  </si>
  <si>
    <t>An, Luis</t>
  </si>
  <si>
    <t>Luis An</t>
  </si>
  <si>
    <t>…discusión del empréstito y de la contri órdenes, y la última con apremio militar. bución general, y concluyó conceptuando debia reunirse la A la misma se mandó pasar otra queja de D. Luis An comisión que se nombrase á la de Hacienda. tonio Serrano contra el alcalde de Murcia, por haberle exi Apoyó ia indicación el Sr. Sierra Pambley, no solo gido una multa en un juicio de concilacion. porque al déficit que debia cubrirse con el empréstito era Se…</t>
  </si>
  <si>
    <t>An, Pedro</t>
  </si>
  <si>
    <t>Pedro An</t>
  </si>
  <si>
    <t>…sta duda, y no tenga per Igualmente se ha servido nomb.rar en !a provincia dé la didos ó suspensos los derechos de ciudadano, disfruta de Mancha : para el partido de Ciudad-Real á D. Pedro An voz activa en todas las elecciones; pero de ningún modo tonio Moraleja : para él dé Almagro .i D. Josef París y Ro de la pasiva, si no concurren ademas en su persona las par mero : para el de Almodovar del Campo A D Fernando ticulares circunstancias y requisi…</t>
  </si>
  <si>
    <t>Ana</t>
  </si>
  <si>
    <t>…cio de aquellas regiones, y vitalicio de 25803 rs. vn. de capital número 80 de la tercera con la descripción de las medallas antiguas que se kan en imposición por la vida de dicha Doña Ana y D. Félix Mañerí contrado entre las ruinas de ¡as ciudades griegas. prevenidos de que pasado el referido término, les parará el per La época siguiente ofrece la historia de la Táurída, tras juicio que haya lugar. ■; - . formada en provincia tutea, y gobernada por Kanes, nom P…</t>
  </si>
  <si>
    <t>Anacleto-deFaD</t>
  </si>
  <si>
    <t>…de la expresada provincia de D. Manuel de Villafañe. = D. Juan Andrés de Segovia. = C ;diz a! gobernador de la misma plaza el teniente general D. Manuel de Santurio García Sala. = D. Anacleto-deFaD. C ayetano Valdás ; y 'debiendo quedar ambos mandos en goaga y Dutari. = Madrid 1 7 de Agosto de 1820. el ser y csrado en que se hallaban cuando en el año de 1314 AGRICULTURA. se reunió la capitanía general de la provincia de Cádiz á la Mr. Salles, químico fr…</t>
  </si>
  <si>
    <t>Anaya, Julián de</t>
  </si>
  <si>
    <t>Julián de Anaya</t>
  </si>
  <si>
    <t>224</t>
  </si>
  <si>
    <t>…al la renta, con lo demas que restase á completar 695 fanegas espíritu de la citada Rea! orden de 11 de Mayo, que el co de trigo y 80 de cebada anuales, por compensación de rone] D. Julián de Anaya, secretario de esta, en la instruc varios derechos que salieron inciertos en la encomienda del ción de los expedientes, en las acordadas y consultas que se título de dicha villa, que se cedió á D. Bernardino Carrillo dirijan á su Real Persona, siga el método…</t>
  </si>
  <si>
    <t>Anchuelo, Manuel</t>
  </si>
  <si>
    <t>Manuel Anchuelo</t>
  </si>
  <si>
    <t>…aldemortilo, D. Juan Orduña y Angel. ■ „ - Dé Chinchón» pD.^ban Bautista Garrasco. j De Navalcarnero.^ 'D’. Ignacio Olarte. De Alcalá. D: Casimiro Verdá. ‘ De Almonacid de Zorita, D. Manuel Anchuelo.</t>
  </si>
  <si>
    <t>Anckland</t>
  </si>
  <si>
    <t>…Cámara de los poco efecto. Se dignan dejar libres á las naciones que pagan, Comunes. y respetan por temor á las que tienen buques d"e guerra en En la Cámara de los Pares presentó lord Anckland una el Mediterráneo; pero como las rentas de aquel país no bas petición de S. M. la Reina del tenor, siguiente: tan para los gastos del Gobierno, procura este aumentar «Carolina, Reina, á los lores espirituales y temporales sus tesoros, y enriquecer á sus pri…</t>
  </si>
  <si>
    <t>Andrcu, Miguel López</t>
  </si>
  <si>
    <t>Miguel López Andrcu</t>
  </si>
  <si>
    <t>Gaceta del Gobierno n.º 11</t>
  </si>
  <si>
    <t>…r, llamando cerca de su trono á la Junta que atención á los méritos, circunstancias y extraordinarios pa os habla, para que le auxiliase en la vasta empre-a de esta decimientos de D. Miguel López Andrcu, fiscal de la refe blecer el sistema constitucional; para que le indicase en la rida audiencia en el año de 1809, y actualmente de'la de marcha de las providencias gubernativas su armonía con la Guadalajara, ha venido S. M. en concederle los honores de opinió…</t>
  </si>
  <si>
    <t>Andrea, María</t>
  </si>
  <si>
    <t>María Andrea</t>
  </si>
  <si>
    <t>…es términos una escala general de todos los oficiales so . Se mandó.unir al expediente de vinculaciones una expo brantes de cada arma, comprensiva de los que permanezcan sición de Doña María Andrea y Doña María de la Sole en los cuerpos, y de los que usen de licencia indefinida, dad Alcántara Romero sobre que se asignen las pensiones para reemplazar por ella las nuevas vacantes que ocurran; por correspondientes á las viudas y hermanas, especialmente manera que los q…</t>
  </si>
  <si>
    <t>Andrés</t>
  </si>
  <si>
    <t>Gaceta de Madrid n.º 87</t>
  </si>
  <si>
    <t>…militares ó patriotas que hubiesen muerto en defensa de la justa causa de la nación , ha cabido en suerte del primer extracto de la de este dia á Doña María Mur, hija del patriota D. Andrés, muerto en el cam po del honor. ARTICULO O B OFICIO. Circular del ministerio de Hacienda. ,,Ha llegado á noticia del Rey que algunos pueblos por equivoca-</t>
  </si>
  <si>
    <t>86</t>
  </si>
  <si>
    <t>…s. Isturiz, yeron de ¡a sucesión A la corona de las Españas A los Seño Díaz Morales, Díaz del Moral, Moreno Guerra, Navarro res Infantes D. Francisco de Paula y Doña María Lui:q, (D. Andrés), Navarro (D Felipe), Lorenzana, Navas, Ro gran Duquesa de Lúea, y A la descendencia de ambos, de mero Alpuente y Florez Estrada. rogan la referida exclusión, y decretan: que sin embargo dé El Sr. López (D. Marcial) observó que solo se hacia ella, los Señores…</t>
  </si>
  <si>
    <t>…nterior se mandaron agregar año , hasta que obtengan beneficio ó destino que les produz á ella los votos particulares de los Sres. Navarro (D. Felipe), ca igual cantidad. Navarro (D. Andrés), García (D. Juan Justo), Dolares, 6. Los que no estuvieren ordenados in sacris queda Ga-co, Sil ves, Marina, Castrillo, Vargas Ponce, García, rán en la clase de legos seculares, sujetos á las justicias or Alvarez Sotomayor y Desprat, contrarios á la aprobaci…</t>
  </si>
  <si>
    <t>…s, no se han ron agregar ló&gt; votos particulares de los Sres. Gutiérrez de detenido en venir á declarar á sus goteóla trama que estaba Acuña, Serrallach, Solana, Palarea y Navarro (D. Andrés), a para estallar. El Gobierno no podia ya dlíerirlo mas. contrarios a la resolución tontada, sobre la exposición del os que habían tomado parte en este criminal complot han teniente coronel D. Miguel Rollo , pidiendo la responsabili sido arrestados por la ge…</t>
  </si>
  <si>
    <t>…des después de vinculados que quedan referidas; y de Celis, Ruiz del Prado, Romero, Cepeda, Palarea, Fapidió que volviese á la comisión el artículo para que le re goaga , Navarro (D. Andrés). Montoya, Clemencin, Mar fórmate con arreglo á lo propuesto. tel , Espiga, Martínez de la Ro«a , Ramos García . García El Sr. Calatrava demostró que algunas observaciones he (D. Antonio). García (D. J an Jus o), Cabaleri. Ezpeleta, cha' en sus discur os por…</t>
  </si>
  <si>
    <t>…l, Bernabett, Coraminas, Gísen los mayores conflictos, deberían ser tenidos por verdade bert, Navas, Arriera, La Madrid, Becerra, Bahamonde, ros culpables. Alonso Lope 2, Navarra (D. Andrés), Palarea , García PaQue no hollaba mas que algunos grados de diferencia ge, García (1&gt;. Juan Ju*to), Carrasco, Quintana, Valle, entre los militares y los que no lo eran, á pe*nr de que se Navarro {]&gt;, Felipe), Medrano, Calatrava, Golfín, Lallahabía dicho que…</t>
  </si>
  <si>
    <t>…s con la mayor escrupulosidad. ta, Azaola, Romero, Alonso y López, Ruiz de Prado, Recordó por último que si no se suprimían los monges, Rojas Clemente, Cavalcri, Fagoaga, Navarro (D. Andrés), tendrían las Cortes que cerrarse, como faltas de todo recur Palarea, Montoya, Martínez de la Rosa, Martel, García so; y que si no se hacia una supresión absoluta, sino que se Page, García ( D. Juan Justo), Ezpeleta , Cepeda, Isturiz, dejaban algunas pocos ,…</t>
  </si>
  <si>
    <t>…, Manesprendidos entre los puertos habilitados del Perú ios llama cau , López ( D. Marcial) , Sandino , Echeverría , Navarro dos Guaimas, Paita y Pascamayo, conocido también con ( D. Andrés) y Huerta. el nombre de Guayanco.” Para la de Marina los Sres. Rovira, Ciscar, Oliver, Las Cortes recibieron con aprecio una memoria sobre Benitez, Losada, Romero, Alonso, Vargas Ponce y Coinstrucción pública de D. Francisco de Paula González de rominas. Cánd…</t>
  </si>
  <si>
    <t>Gaceta del Gobierno n.º 162</t>
  </si>
  <si>
    <t>…ron con Bolivar, también se hallan en dicho pueblo. El deberán hacerlo constar en la secretaría del citado Banco corneta ha confesado á una moza de aquí que Santander del cargo de D. Andrés de la Cuesta, exhibiendo las mis había sido completamente derrotado por López el Coria- mas acciones» ó entregando testimonio suficiente que acre no. De cualquier modo necesito ahora tener mas vigilancia dite su pertenencia y ios números que comprendan, y si…</t>
  </si>
  <si>
    <t>Andrés, Francisco de Sales</t>
  </si>
  <si>
    <t>Francisco de Sales Andrés</t>
  </si>
  <si>
    <t>Gaceta de Madrid n.º 100</t>
  </si>
  <si>
    <t>general de Espolios y Vacantes, he venido en jubilarle, dejándole la conside ración de tal colector; y para reemplazarle nombro á D. Francisco de Sales Andrés, canónigo de la santa iglesia de Plasencia, y decano del tribunal del Excusado. Tendreislo entendido , y dispondréis lo necesario á su cumplimien to. =£stá rubricado. = Palacio j de Junio de i82o.=;A D. Jqsef Canga Ar*güelles.” Circular del ministerio de Haci…</t>
  </si>
  <si>
    <t>Anfossi</t>
  </si>
  <si>
    <t>…o v ministro de Marina . habiéndole dado ¡a* oportu sacándose de ellos las armas y municiones. El teniente Rotta nas instrucciones y facultades necesarias para el gobierno de y el capitán Anfossi opusieron la mayor resistencia, á fin de aquella isla, conciliar los ánimos, y re rablecer el orden ; co que los presos no se escapasen. La misma suerte tuvo el tuerte mo también para formar en rodas partes una guardia na del palacio Real. Los que se lamentab…</t>
  </si>
  <si>
    <t>Angel</t>
  </si>
  <si>
    <t>Gaceta de Madrid n.º 22</t>
  </si>
  <si>
    <t>…adre, es clarecido y hábil militar, recto y sabio magistrado, su memoria por títulos tan justos será indeleble entre los apreciadores del mérito y la virtud. • Par providencia del Sr. D. Angel. Fernandez de los Ríos, del Conseja de S. M., teniente primero de corregidor de esta muy heroica vilfci, refrendada del escribano del número D. Tomas María Manrique, se cita, llama y emplaza á todos los parien tes de Matías y Rufino Urrutia , hermanos difunto…</t>
  </si>
  <si>
    <t>…e en los destinos que obtuvieron de gefes políticos á D. Manuel María de Acevedo, que lo fue de la provincia de As turias; al teniente general D..Cayetano Valdés de la de Cádiz; á D. Angel</t>
  </si>
  <si>
    <t>Gaceta del Gobierno n.º 150</t>
  </si>
  <si>
    <t>…de seis meses ducen pertrechos, víveres, vestuarios y medicinas, y com de esfuerzos increíbles, sin mas auxilio que el de algunos ponen su convoy, al mando del capitán de fragata D. Angel labradores árabes, y desde entonces se ha valido Mr. ¿&gt;alt de Laborde, con destino á Costa-fírme, y quedaron todos los Mr. Belzoni en todas sus investigaciones. expresados buques á las dos de Lat tarde del mismo día Fuera «Merece ser citado un rasgo de la per…</t>
  </si>
  <si>
    <t>Angel, Juan Orduña y</t>
  </si>
  <si>
    <t>Juan Orduña y Angel</t>
  </si>
  <si>
    <t>…Fuencarral. D. Isidro López, presbítero. Idem de Getafei D. Crisáuto Josef García Maroto, oura párroco de Idem de Valdemoro, D. Francisco. Herrero y Blanco. Idem de Valdemortilo, D. Juan Orduña y Angel. ■ „ - Dé Chinchón» pD.^ban Bautista Garrasco. j De Navalcarnero.^ 'D’. Ignacio Olarte. De Alcalá. D: Casimiro Verdá. ‘ De Almonacid de Zorita, D. Manuel Anchuelo.</t>
  </si>
  <si>
    <t>Angulo, Carlos</t>
  </si>
  <si>
    <t>Carlos Angulo</t>
  </si>
  <si>
    <t>…a Hacienda nacional y Crédito público; y que los deudo de la Serena á D. Antonio Machado y Montano: para el res, que han de estar suspensos ae los derechos de ciudada de Lleréna á D. Carlos Angulo ‘y Urdaivas: para el de nos , y que no pueden ni deben tener voz activa ni pasiva Monianches A D. Anselmo León y Barradas: para el da en tas elecciones, son los que están en mora, y que recon Plasencia á D. Santiago Amatriain para el de Navalmoral venidos par…</t>
  </si>
  <si>
    <t>Angulo, Ventura de Bustos y</t>
  </si>
  <si>
    <t>Ventura de Bustos y Angulo</t>
  </si>
  <si>
    <t>632</t>
  </si>
  <si>
    <t>632 ello* Se vende i tres rs. en la librería de Paz, frente á las covachuelas, y deVilIa* reaJ¿: call e dé las Carretas. Baños, dé rio, caseros y de mar: por D. Ventura de Bustos y Angulo, cirujano y_jJeqtista;que fue, enestfc, Corte. En este pequeño tratado se indican las muchas es pecies de baños usados en la medicina, y las singulares virtudes de los mas comunes, jun^con Já|0i:eglas y precauciones generales que deben observarse en el baño n…</t>
  </si>
  <si>
    <t>Anromio</t>
  </si>
  <si>
    <t>…iese alguna nación que Conformándose las .Cortes con el dictamen de la comi por via de ensayo los adoptase , se acarrearía índcfectible- sión secunda de Legislación, concedieron á D. Anromio men te la ruina de su comercio c industria. Valcarcel, marques de Medina, la dispensa de edad que</t>
  </si>
  <si>
    <t>Anseln</t>
  </si>
  <si>
    <t>…to de Cartagena. tario al joven D. Leonardo Idiaquez , ndrural de Vitoria. A la comisión de Hdcienda se pasó una exposición de Se mandó agregar al acta el voto.del Sr. Freiré, con D. Anseln\o Rivas, ex-conse¡ero de Estado, sobre la duda trario á lo resuelto sobre aranceles. ocurrida en la tesorería general acerca de si ha de disfrutar Asimismo se mandó agregar el de los Sres. Gollin y la pensión que le concedió S. Al., ó - el sueldo de cesante.…</t>
  </si>
  <si>
    <t>Antbnío’Támaró</t>
  </si>
  <si>
    <t>…D. Gines Quintana, abogado de esta audiencia territorial^ Señores: Gefe superior político, presidente. = El barón de Castelíet.=r Don Félix Torres Amat. = D. Benito de PlandoIit.=D. Antbnío’Támaró. sr Don Juan de Batlle. ==D.^ Manuel LassaJa=D. Maríapo Estévé. =z Antonio Buch, secretario. . . ? Madrid 7 de Abril\ ARTICULÓ DE OF ICIO. Él P-ey,ha expedido los depr^tps siguientes:-k ■ ^ « ,, Cuando tuve á bien nombrar £ecretario¿ in-terjno.de Estado ydel…</t>
  </si>
  <si>
    <t>Antillon, Isidoro</t>
  </si>
  <si>
    <t>Isidoro Antillon</t>
  </si>
  <si>
    <t>…je este juramento es para toda cía e de personas, tan cial) para que se tenga en consideración á la viuda del dipu to ilustradas como ignorantes; pero por fin se declaró sufi tado D. Isidoro Antillon , y se honre la memoria de este, cientemente discutido, después de haber hablado los señores muerto á fuerza de las persecuciones que sufrió. Palarea , Florez Estrada y Sánchez Salvador , y se aprobó Otras tres de los Sres. Quiroga, Arriera y Gutiérrez de com…</t>
  </si>
  <si>
    <t>…ón , concurran a el por por conducto del ministerio .de la Gobernación, de los res Íierentorios, a escribanía de D. Pedro Josef de Ibabe, por sí o por medio de tos del distinguido diputado D. Isidoro Antillon para tras procurador; apercibidos que pasado sin haberlo hecho, les pa ladarlos á la capilla de Sta. Eulalia. rará el perjuicio que haya lugar. El Sr. presidente levantó la sesión pública para quedar Se halla vacante la plaza de médico de la villa de Yepes, c…</t>
  </si>
  <si>
    <t>Anto</t>
  </si>
  <si>
    <t>…s Izquierdo y Payan , que lo es honorario de Cámara de S. Al. , se manda citar y emplazar á cualesquiera pcrspnas que sejsoneidejen con derecho al concurso y masa de acreedores de D. Anto nio Vallarlno, para que'en el precisó término de 18 meses se.presenten á formíjii-.zarlo con los documentsd qiie lo ^comprueben .prevenidas que de no cumplir se ege-: cutarán los repartos y pagos sin la fianza ¡de'acreedór de mejor derecho, y las que es tuvie…</t>
  </si>
  <si>
    <t>…, y cuando la Ingla A la de Poderes una exposición de D. Antonio Manuel terra percibe sobre estos las tres cuartas partes. Estos resul Pombo, elector de Ultramar, manifestando que D. Anto tados demuestran la diferencia de los sistemas : no me ex nio Nariño, diputado, no puede egercer este encargo por tenderé á examinar cual sea el mejor; pero he debido lla estar proce-ado criminalmente, de lo que ha resultado su fu mar vuestra atención sobre e…</t>
  </si>
  <si>
    <t>Gaceta del Gobierno n.º 95</t>
  </si>
  <si>
    <t>…Gobierno, aprobada Se mandó pasar á la misma comisión de Agricultura, re por las Cortes, podrán exceder de este término , él cual unida con la de Salud pública, una exposición de D. Anto nunca se extenderá á mas de 15 años para los primeros, 10 nio Fernandez, cirujano, en que presentando una Real cé para los segundos y 7 para los terceros. dula de 20 de Abril de 1817, por la que se le concedí '' pri t;. «Todo inventor tiene derecho á mejorar…</t>
  </si>
  <si>
    <t>Gaceta del Gobierno n.º 100</t>
  </si>
  <si>
    <t>…e la contri persecuciones que había sufrido, y pedia la tuviese el Con bución general ni excedía á las fuerzas de la Nación , ni au greso en consideración , como también á su hijo D. Anto mentaba los gravámenes que anteriormente sufrían los pue nio , alférez del regimiento de Extremadura. blos, siendo solo ominoso el modo de exigirla. Calculó El Sr. Quiroga manifestó que por la intimidad que ha el orador con proporción á los datos expuestos qu…</t>
  </si>
  <si>
    <t>Anto, Domingo</t>
  </si>
  <si>
    <t>Domingo Anto</t>
  </si>
  <si>
    <t>…bó otra del Sr. Bahamonde, dirigida á que se se las recarg e un impuesto correspondiente. exprece perpetuamente en la guia miii-ar como vivo y be A la de Premios una expo icion de D. Domingo Anto nemérito e! nombre de Acevedo en su mismo grado. nio de !a Vega, abogado de O.diz, sobre que se sírvan ;as Se ley j ei art. 2. (véase el suplemento de ¿7 g ¡ceta del Cortes darle el lugar que le corresponde; y otra del maris donun¿.j íy de este mes). Después…</t>
  </si>
  <si>
    <t>Anto, Francisco</t>
  </si>
  <si>
    <t>Francisco Anto</t>
  </si>
  <si>
    <t>Gaceta de Madrid n.º 72</t>
  </si>
  <si>
    <t>…. Manuel Oliveros, soldado del regimiento de Toledo. A la una de la tarde del dia 10 de Febrero último falleció en esta cofte á los 85 años, 11 meses y 7.0 dias de su edad el Emo. Sr. D. Francisco Anto nio Cebrian y Valda, cardenal presbítero de la santa romana Iglesia, pa triarca de las Indias, pro-capellan y limosnero mayor de S. M., vicario ge neral de los egércitos de mar y tierra, arcediano titular de la santa iglesia primada de Toledo, gran canciller…</t>
  </si>
  <si>
    <t>Anto, María</t>
  </si>
  <si>
    <t>María Anto</t>
  </si>
  <si>
    <t>…ente á cierta uniforme, y hubie&gt;e besamanos y salvas de artillería el día vinculación. 24 de este mes, aniversario de la instalación délas Cortes A la de Premios una exposición de Doña María Anto extraordinarias. nia Garavilla, natural de Oquendo, en la provincia de Ala Se mandaron pasar á las comisiones respectivas tres re va , haciendo presentes sus méritos y servicios patrióticos; presentaciones de la ciudad de Mérida, la una quejándose y otra del…</t>
  </si>
  <si>
    <t>Anto, Miguel</t>
  </si>
  <si>
    <t>Miguel Anto</t>
  </si>
  <si>
    <t>…a provincia ios ciudadanosrcuyos nombres siguen: &lt; 'p •; Por.Madrid.: D. RampnrGiraldo de Afquelíada, D. Manuei Josef Quintana, D. Bernardo de Borjas y Tarrius &gt; D. Felipe Bausa , D. Miguel Anto nio Zumaíacarregui , ;D.. Juan Palárea, D. Eugenio de Tapia , D. Josef Ma ría Calatrava.,, D. .Vicente Sancho v D^Eugenio A rrieta, D. Ramón Trujillo. Pattido de Fuencarral. D. Isidro López, presbítero. Idem de Getafei D. Crisáuto Josef García Maroto, oura pá…</t>
  </si>
  <si>
    <t>Anto, Pedro</t>
  </si>
  <si>
    <t>Pedro Anto</t>
  </si>
  <si>
    <t>…e separadamente cada parte dél presupuesto de Guerra, ción de D- Antonio Macho. para lo cual le presentaban dividido en 17 proposiciones. Se A la de Infracciones una exposición de D. Pedro Anto acordó asi; y en seguida fueron leídas las siguientes: nio Yañez, vecino de Infantes, en ¡a Mancha, sobre íaS i.a «Se fija ia tuerza deí egército permanente para el competencias suscitadas entre el exponente y el juez de pri presente año en 54,129 hombres, or…</t>
  </si>
  <si>
    <t>Anto-</t>
  </si>
  <si>
    <t>.271, . . r indicó el teniente de rentas de aquel resguardo D. Anto-, co Xavier de Negrete, cuyo trabajo ha sido arreglado por nio Ximenez , y prestádole todos los auxilios que hubiese el mariscal de campo D. Pedro Bailin, y pasado copia li pedido para el efecto, pues que en ello no se contraviene á teral á la junta consultiva…</t>
  </si>
  <si>
    <t>Antón, Valentín Calvo</t>
  </si>
  <si>
    <t>Valentín Calvo Antón</t>
  </si>
  <si>
    <t>Gaceta del Gobierno n.º 171</t>
  </si>
  <si>
    <t>…ral Coletta es uno de los primeros ofi Miguel Gonzalo, se ha mandado citar y emplazar, como por ciales napolitanos, que se ha distinguido siempre por sus mu el presente se hace, á D. Valentín Calvo Antón , itltin-.o tenechos conocimientos, franqueza y honradez. Ha escrito esta dor de dos vales de 150 pesos, creaeion de l.J de Setiembre de breve historia con la mayor ingenuidad, y sin mas objeto 1808, señalados con los números 182,793 y 201,926, para que el am…</t>
  </si>
  <si>
    <t>Antoñaria, Bernardo Díaz de</t>
  </si>
  <si>
    <t>Bernardo Díaz de Antoñaria</t>
  </si>
  <si>
    <t>Gaceta de Madrid n.º 78</t>
  </si>
  <si>
    <t>…que á los que hq comparezcan les parará el perjuicio que haya lugar en justicia. Por el juzgado de primera instancia del Sr. D. Manuel Fernandez Gamboa, y escribanía del numero de D. Bernardo Díaz de Antoñaria, se cita, llama y emplaza a la Sra. marquesa de Salinas para qu'e en el término preciso y perentorio de 20 dias, contados des&lt;d« 5 del cordente', acuda á usar del derecho que la asista sobre la per tenencia de varios efectos que se hallan en la casa del difun…</t>
  </si>
  <si>
    <t>Antoneli, Pedro de</t>
  </si>
  <si>
    <t>Pedro de Antoneli</t>
  </si>
  <si>
    <t>Gaceta de Madrid n.º 26</t>
  </si>
  <si>
    <t>208</t>
  </si>
  <si>
    <t>…s, había dado á luz dos gemelos después de 9 años que ño había tenido hijos. ESPAÑA. Míxuo % de Octubre, Continuación de los partes de Nueva-E spaña. Oficio del teniente coronel y comandante D. Pedro de Antoneli. ,,Exento. Sr.: A consecuencia de las.superiores órdenes de V. E. se com binaron las tropas de Maravatio, S. Joan del Rio y Temascalcingo para per seguir la gavilla dé rebeldes que asesinaron fuera de ésta' demarcación al te niente coronel Palafox; y habiéndo…</t>
  </si>
  <si>
    <t>…y ruego á vmd. que tenga presente su despacho. __ - , . s . 0 , Dios guarde á vmd. muchos años. Hacienda ce la lorre Agosto 28 de iBiq = Rafael Velazquez. =Sr. teniente coronel y comandante D. Pedro de Antoneli.” ' ‘ ' . ■ Lérida 1$ de Febrero* Continúan con actividad las obras de la carretera real que se construye desde esta ciudad á la de Tarragona'. , r * *5 *’ ‘ Badajoz jS de Febrero*^ M - -i Vuelven á continuarse Tas- obras de construcción y reparación en la ca…</t>
  </si>
  <si>
    <t>Antonio</t>
  </si>
  <si>
    <t>…pecial en los propios térimifioS y del modo y forma que pre viene id citado decreto. Nombro interinamente para .decano del mismo á Don Francisco' Xavier Adell: para magistrados á; D. Antonio de la Cuesta y Tor re, arcediano titular de la iglesia catedral de Avila; D. Manuel Tariego, arcediano titular de la de Segovia; D. Henrique Ortega, dignidad de chantre de la iglesia colegial de Baza, y D. Alejandro-Dolare»;-y para fiscal á Don Eranciscq Alfo…</t>
  </si>
  <si>
    <t>…ínez Moscosovjuez de primera ir.star.cia de esta muy heioica villa, refrendada de D. Feliciano.del Corral, su escribano de número, ,se cita., llama y emplaza 4 D. Melchor de Urra, D. Antonio (^onsez Villaboa, Don Joaquiq;txaniza de Vitoria, D. Josef Antonio Arriba, D. Diego Gastambide, Don Termin Antonio Arriaga, D. Antonio Lázaro y Pozo, D. Pablo González, Don Francisco Xavier Guerra Balboa, D Juan de la Torre, D. Mariano Mamar, Don Juan Pió Jaé…</t>
  </si>
  <si>
    <t>…os que hayan servido. Lo tendréis en tendido , y comunicareis á quien cdrr’espohda para su pronto y efectivo cum plimiento. s= Está rubricado. == Palacio rc&gt; de Abril de 1820. = A D. Antonio rorcel.” . ; ¡/-r;*:. : Por el ministerio de Guerra se ha comunicado á Jos inspectores, y direc tores generales de las armasTá Reábordefisdgáiente ti i ■ ' / AÍSr. Secretario de Hacienda digo contesta fecha lo qúe. sigue : i . ,, Deseoso el Rey de que ia fuer…</t>
  </si>
  <si>
    <t>…a ídem , ídem á los Inválidos hábiles de ;&gt;ani£icar de Earrámeda. Cristóbal Lafuente, sargento i.° del regimiento infantería del Príncipe. Anto nio Martínez, ídem, del del Infante D. Antonio. Francisco Vega, sargen to i.° retirado, disperso de dragones de la Reina Balbino Martin, ídem, ídem, de Carabineros Reales. Francisco Iglesias, ídem., ídem, de caballería del Rey. Vicente Ordaz, idem, ídem, del regimiento de Cangas de Tineo. Josef Rubio, sol…</t>
  </si>
  <si>
    <t>Gaceta de Madrid n.º 82</t>
  </si>
  <si>
    <t>…l de ingenieros, * D. Joaquín de la Cflt? » coronel graduado, y teniente coronel del mismo» y D. Fulgencio Salas, teniente coronel, y capitán del re^tóiento infantería del Infante D. Antonio; dirigiendo el primero á S. M, las, s^uientei^palabras : , „Señor; El acto espontáneo"y memorable con que Y hf. ha satisfecho los justos-deseos del pueblo español, jurando el Código sagrado* en el Ijuos están cifradas las esperanzas de todos los buenos, y lá…</t>
  </si>
  <si>
    <t>Gaceta de Madrid n.º 96</t>
  </si>
  <si>
    <t>709</t>
  </si>
  <si>
    <t>…s militares ó patriotas que hubiesen muerto en defensa de la justa causa de la nación, ha cabido en suerte del primer extracto de la de este dia á Doña María Bárbara Bota, hija de D. Antonio, oficial que fue dé provisiones, muerto en el campo del honor. ARTICULO DE O F I CI O. El Rey se ha servido expedir los decretos siguientes 1,, Uno de los mas poderosos auxilios de que. necesitan la agricultura, industria y las artes para su fomento y prosper…</t>
  </si>
  <si>
    <t>Gaceta del Gobierno n.º 6</t>
  </si>
  <si>
    <t>…solo puede vencer la perseve en la forma acostumbrada el nuevo enviado extraordinario rancia, patrimonio común de los hombres de talento y de ministro plenipotenciario de S. M. F. Sr. D. Antonio de una verdadera filantropía. Idaña. - Mr. Bebian se expresa del modo siguiente acerca del sis tema de educación inventado por el abate L’Epée: «Descu Con el plausible motivo de la instalación de las Cortes, brió en el lenguage informe de sus discípulos, tan…</t>
  </si>
  <si>
    <t>…y por consiguiente Sr. Torre Marín, y otra del Sr. Ledesma , y dos indicacio creia no haber lugar á la aprobación del articulo. nes , una del Sr. Banqueri, y otra del Sr. García (D. Antonio). Otro señor diputado recordó la necesidad de que se Preguntó el Sr. Cepero si se concedía al Sr. diputado adopte esta medida para no dejar abandonadas á muchas Sandino permiso para tratar con el Gobierno. Deseando sa gentes, que acudiendo á los hospitales, y…</t>
  </si>
  <si>
    <t>178</t>
  </si>
  <si>
    <t>…de nada se olvida: Se leyó el acta de la sesión anterior, á la que se mandó apenas man i fiesta su interior á sus mas íntimos amigos, y agregar un voto particular del Sr. García (D. Antonio), oculta en su corazón el resentimiento que antes evaporaba contrario á la resolución tomada ayer por ei Congreso de por una expresión picante ó divertida. Sufre sin alegría el no admitir á discusión la indicación de los Sres. Desprat, peso que le cargan: en…</t>
  </si>
  <si>
    <t>…go.” pleadas las armas en un hombre de esta naturaleza, y que Por último no se admitió á discusión otra del Sr. Gar mal servirían en sus manos para la conservación de la tran cía (D. Antonio), que decía asi: » ¿que deberá hacerse con quilidad. los pueblos que no puedan pagar sus contribuciones en el Los propietarios, dijo el Sr. García (D. Antonio), son rérmíno prefijado? ¿y en este calo no gozarán del beneficio los mas interesados en el orden ;…</t>
  </si>
  <si>
    <t>…ovechamiento , previo examen , y la de asis del dia 9 de Julio próximo; y opinó que debia formar con tencia. preferencia al egérdto permanente; pero el Sr. conde dé El Sr. García (D. Antonio) hizo una adición, que re Toreno, para conservar la igualdad debida , fue de parecer formó el Sr. Ledesma en estos términos: «Que se extienda que alternasen el egército y la .milicia , recordando que esta jo resuelto respecto de la universidad de Zaragoza á l…</t>
  </si>
  <si>
    <t>…s de individuos del egército premios militares.” También se mandó pasar á la comi ó armada que los soliciten ; y habiendo resuelto S. M., da sión de Agricultura la del Sr. García (D. Antonio) por ser conformidad con el Consejo de Estado, que la citada dis idéntica. posición de 22 de Abril se haga extensiva y egecute en to Se aprobaron artículo por artículo los seis que la comi das las provincias ultramarinas, lo aviso á V. de Real sión de Instruc…</t>
  </si>
  <si>
    <t>…licado sobre el objeto, origen v trabajos de adiciones del Sr. Sotomayor sobre dotación de curas , y aquel establecimiento; y pidiendo determinase si había de otra del Sr. García (D. Antonio) para que se tenga presente continuar en sus privilegios, cor otros particulares. que en la villa de Osuna no hay mas que una parroquia fue Se dio cuenta de una representación de D. Evaristo Pe- ra del pueblo y en lo aito de una colina. tez de líaro , juez le…</t>
  </si>
  <si>
    <t>…--í v,n t ,-On -S-"1 lal~ .U*&lt;Tr»&gt;r*i*j£,w“ f —-j odiosa de que el egército ha debido mirarse como un castigo. secretaria de HACIENDA.—-Vacantes. Después que habló el Sr. García ( D. Antonio) sobre la Se hallan vacantes las administraciones principales de lo Variedad que debiera haber en las penas, con respecto á la terías en Málaga y Oviedo. -La dirección general de la Renta diferencia entre vagos, mal entretenidos Scc., y que el se admite memor…</t>
  </si>
  <si>
    <t>…lde Se leyó-el acta de Ja se ion anterior, á la que se man de dicho pueblo. . : daron agregar los votos particulares de los Sres. Navarro A la comisión de Marina una exposición de D. Antonio ( D. Felipe ), Despraf, Ochoa , Alonso y López , y San Mi Navarro sobre la.'bnena Calidad de--las'maderas de varios guel , contrario Á&gt;Ia resolución del artículo 2.° del dictamen bosques déf Pirineo de Cataluña para Ja .construcción -ndval; de la comisión, re…</t>
  </si>
  <si>
    <t>…pues al abate de Pradt, escritas en francés por un natural de la Amé no habiendo surtido los efectos con ninguno de los gefes* rica del ,Suc, y traducidas al castellano por el Dr D. Antonio oficiales y tropa de la plaza de Lérida , exije la justicia, de Frutos Tejero. Se hallará en Madrid en la librería de Calleja) y también sé vende en Cádiz, en Alcalá y en Segovia.la razón y lá equidad , que tampoco pueda ni deba ofender nota. En la gaceta de…</t>
  </si>
  <si>
    <t>…rés). Montoya, Clemencin, Mar fórmate con arreglo á lo propuesto. tel , Espiga, Martínez de la Ro«a , Ramos García . García El Sr. Calatrava demostró que algunas observaciones he (D. Antonio). García (D. J an Jus o), Cabaleri. Ezpeleta, cha' en sus discur os por los Sres. Alvarez Guerra y Martel, Michelena, Isturiz, S. Miguel, Quiroga. Desprat, Corra las que tenia por los argumentos mas poderosos q :e se ha zar, La-anta, Rojas Clemente, Janer, Mo…</t>
  </si>
  <si>
    <t>…de amigos del pais del servicio de mar. de León, presentada por el Sr. Sierra Pambley. A la misma se mandaron pasar varias indicaciones y A la de Legislación una representación de D. Antonio adiciones. Una del Sr. S. Miguel al art. i.°, en que pedia se Cardóniga , residente en lá villa de Bañeza, sobre arreglo declarase que en todo el curso de los rios hasta su desagüe de subalternos de los tribunales; y un proyecto de Don en el mar pueden pescar…</t>
  </si>
  <si>
    <t>…sobre rebaja de mientos patrióticos del regimiento de caballería de Monteaquellos. sa, residente en Zaragoza, en las dos exposiciones, dirigi A la misma los medios propuestos por D. Antonio das una á las Cortes y otra al Rey, con motivo de los suChabran , regidor de Cartagena , para c .brir el déficit que cecos de esta corte en los dias 6 y 7 de este mes, y presen resulte al resoro público de la abolición de diezmos. tadas por el Sr. Palarea, co…</t>
  </si>
  <si>
    <t>…e resistir á sus roga , Ugarte:i(D. Gabriel), Cleméncin , Martínez de ta Rosa, fuerzas, resultaría que todos los deberes del ciudadano, res Ramos Garch», Marte!', Espiga . García (D. Antonio), Alpecto de su patria, estañan reducidos á un simple cálculo varez de Sotomuiyor, Lecumberri, Fraile, Dolaren . Ramí numérico; y en caso de atacarla un usurpador tendria que rez Cid, Canalerí, Maulé, Montoy t, &gt;. Miguel, Corrazar, entrar en el cálculo de las…</t>
  </si>
  <si>
    <t>Gaceta del Gobierno n.º 89</t>
  </si>
  <si>
    <t>379sistema sobre el gobierno de esta formado por D. Antonio ñor presidente al Sr. Alonso y López. Salas, alcalde constitucional de la plaza de Ceuta, presen Se leyó y mandó agregar al acta ún voto particular fir tado por el Sr. Odali. mado por los Sres. Clemente, Michelena, Moya, Pierola, Igualmente se mandaron pasar'…</t>
  </si>
  <si>
    <t>…mismos términos en ción, cupo en la suerte del, primer extracto de la de este dia que se hallaba concebido, á pesar de la observación del se á Doña Rosalía Antonia Alfox , hija de D. Antonio, subte ñor Giraldo , de que seria mas conveniente hacer la clasifi niente de infantería voluntarios de la Corona, muerto en el cación por deíitos que no por penas, como se expresa en el campo del .honor. mismo , en atención á que el Sr. Calatrava demostró la…</t>
  </si>
  <si>
    <t>Gaceta del Gobierno n.º 93</t>
  </si>
  <si>
    <t>…la y expedientes presentados á las Cortes, y remiudos per los languidez. respectivos ministerios. «El ministro termina su circular recordando á los pre Se concedió al Sr. García ( D. Antonio), diputado por</t>
  </si>
  <si>
    <t>…i el art. 7.0: «En el caso de que un autor ó directamente á las Cortes, se leyó la siguiente indicación editor publique un libelo infamatorio, no se eximirá de la del Sr. García ( D. Antonio): «Que las Cortes se sirvan pena que mas adelante se establece en esta ley, aun cuando mandar pase esta indicación á la comisión que corresponda, ofrezca probar la imputación injuriosa, quedando ademas ai para que fijando la significación de las palabras sirv…</t>
  </si>
  <si>
    <t>…educido á cerca de 61 millones. Abad , avecindado en el mismo pueblo de Huancayo , y á los El Sr. Ochoa, manifestando que no se presentaban en hijos de sus hermanos D. Francisco , D. Antonio , D. Josef y el dictamen rodos los pormenores de los gastos de recauda t). Nazario Abad, residentes en la Península, para que repre ción y distribución de la Hacienda pública , procuró demos sentando cada familia un heredero, sean cinco partes iguales trar qu…</t>
  </si>
  <si>
    <t>…ula, con que Temitia Se pas í á la comisión de Premios un oficio de! capitán 200 egemplares de la circular expedida por el ministerio de general de Navarra, en que manifestaba que D. Antonio su cargo, manifestando lo gratos que habían sido á S. M. Careza había sido uno de los que le liabian ayudado en el los servicios hechos por la junta consultiva de Madrid , y las restablecimiento de la Constitución, y pedia se le atendie gubernativas de otras…</t>
  </si>
  <si>
    <t>Gaceta del Gobierno n.º 131</t>
  </si>
  <si>
    <t>…ide la exposición de la servicios , y pidiendo se le conceda el grado de ayudante. vida de Irun para construir un puente sobre el Vidasoa Se accedió á una solicitud del licenciado D. Antonio te omitiese la cláusula nde acuerdo con el- Gobierno francés'’ Sanchez Toro, vecino de la ciudad de Vera, .para que el (véase la gaceta anterior ); porque podía inducir á creer Sr. diputado D. Demetrio O-Dali certifique en una in que se reconocía la pretensió…</t>
  </si>
  <si>
    <t>…a D. Juan Antonio Fer Asimismo se aprobó el dictamen de la comisión de Bi nandez Castejon, y el alcalde, escribano, índico y alguaci’es blioteca acerca de la proposición hecha por D. Antonio de la misma villa, por el allanamiento hecho e.i su croa en bus Bailo de permutar una colección de obras españolas de los ca de un hermano del exponeme. La comisión ■ --inaba que siglos xv y xvi por una de Diarios de Cortes y otras no siendo este caso de aque…</t>
  </si>
  <si>
    <t>Antonio, Domingo</t>
  </si>
  <si>
    <t>Domingo Antonio</t>
  </si>
  <si>
    <t>…onstitución del reino; y lo El Revisor político. Núm. 9. Contiene el extracto de la mismo había hecho el caballero Ambrosio, enviado de Ña confesión, acusación fiscal y defensa de D. Domingo Antonio póles en Dinamarca. Se comunicó al Parlamento que S. M. "Velasco, autor del papel incendiario y sedicioso titulado: » Cen el Rey de los Paises-Bajos habia contestado á la carta au tinela contra republicanos, y avisos importantes al Rey y á la Nación con otros…</t>
  </si>
  <si>
    <t>Antonio, Josef</t>
  </si>
  <si>
    <t>Josef Antonio</t>
  </si>
  <si>
    <t>…. Sancho para «que en hl Se dió cuenta de una exposición , en que presentaba la stiprerion de las casas religiosas de que trata el primer artí junta suprema de Caridad una obra de D. Josef Antonio culo se incluyan todos los canónigos y clérigos regulares Piquer, médico de Familia, sobre sanidad, y pedia se le profesos, y las de los freiles de Sancti Spiritas." permitiere dedicarla á las Cortes; á lo'que se accedió. El Sr. Dolaren hizo una indicación pa…</t>
  </si>
  <si>
    <t>Gaceta del Gobierno n.º 91</t>
  </si>
  <si>
    <t>…s y de las ordinarias, rino; se le presentaron las autoridades, y fue nombrado verificados en Mayo de 1814. La calidad de los presos , el cré para gobernador de Lisboa el teniente general Josef Antonio dito de rectitud é ilustración que gozaban, y el feliz resultado de la Rosa. F.I n se reunieron en gran parada todas las tro de sus faenas con respecto á la independencia de la patria, ha pas Je la capital, y el castillo, las fortalezas y las embarca blaban t…</t>
  </si>
  <si>
    <t>Antonio, Juan</t>
  </si>
  <si>
    <t>Juan Antonio</t>
  </si>
  <si>
    <t>140</t>
  </si>
  <si>
    <t>…rio dijl A consecuencia de la soberana declaración de 7 de Julio ayuntamiento. 1 corriente, estando ya instalada la Junta provisional de Go Historia crítica de la Inquisición, por D. Juan Antonio bierno, ha resuelto S. M. jurar la Constitución el-13 del Llórente: testa obra constará de seis tomos en cuarto: su precio presente á las 11 de la mañana. 30 rs. cada tomo en rústica, y un real mas en las .provincias-: él La Junta provisional avisada de antem…</t>
  </si>
  <si>
    <t>Antonio, Miguel</t>
  </si>
  <si>
    <t>Miguel Antonio</t>
  </si>
  <si>
    <t>…nvá saber , D. Josef Navia Bo4 ¿años;, regente j D. V icen je María Caveto,, P» francisco Cándido de Baz* Don Ramón Same, D. Ramón Macía Líeopar.t, D..Francisco Mateo ^Marchamalo, D. Miguel Antonio 2üumalacarregui y X). Juan,Remeto. Alpuente, $in perjui cio de atenderse después cuaj,;Correspond^, los .honores que cada uno tiene y debe.conservar; y para las pjazasque resu 1 tan .vacantes á O- Manuel* Estrada,, £&gt;. J.oséf Costa: y Galí, y D,« Ramón :Gi ra…</t>
  </si>
  <si>
    <t>Antonio, Pedro</t>
  </si>
  <si>
    <t>Pedro Antonio</t>
  </si>
  <si>
    <t>1</t>
  </si>
  <si>
    <t>…en siendo avregladas. ■ Discurso sobre el votó^fe Santiago, Ó sea demostración de la falsedad del privi legio en que se funda, é injusticiá^fie su exacción; y carta críticá al Dr. D. Pedro Antonio .Sánchez, canónigo de Santiago, sobre-el mismo asunto, por el Lie. Don Francisco Rodrigue?;de Ledesma, 'abogado del colegio, de esta corte. Se hallará en la¿ librerías de Rodríguez, calle de las Carretas; de Sancha, calle de la Concepción G,erónima£ y dp Cast…</t>
  </si>
  <si>
    <t>AntonioCobian</t>
  </si>
  <si>
    <t>712</t>
  </si>
  <si>
    <t>…lá, y en Murcia én la librería de Serrano. Manual de curas, ó breve compendio del ministerio parroquial: obra útilísima á los párrocos y sus tenientes, en cuyo obsequio la compuso D. AntonioCobian, cura propio de S. Celio, en la ciudad de Granada: en éste pequeño volumen ha podido reunir el autor todas las mas precisas obligaciones en que están constituidos los pár rocos, sin necesidad del dispendioso gasto de libros , y del penoso trabajo de regis tra…</t>
  </si>
  <si>
    <t>Antoniocqn, Juan</t>
  </si>
  <si>
    <t>Juan Antoniocqn</t>
  </si>
  <si>
    <t>…y Estrada, notablemente á la perfección de ella, atenderá la academia se cita , llama y emplaza por tercero , último y preciso término de 1 5 dias, contados desda este anuncio, á D. Juan Antoniocqn la ímpre.ioa y publicación de sus escritos. Cuevas, presbítero, y capellán de la que se fundó en el referido convento, y á D. Juan Miguel de Robles, también capellán • Salían recibido periódicos de Nápoles, cuyas noticias de la fundada en la-parroquia de S. S…</t>
  </si>
  <si>
    <t>AntonioSalmon</t>
  </si>
  <si>
    <t>Gaceta de Madrid n.º 52 (extraordinaria)</t>
  </si>
  <si>
    <t>…cienda y del de la Gobernación de Ultramar, que interinamente desempeña , he venido en nombrar Secretario de Estado y del Despacho de Hacienda á D. Josef Canga Arguelles, debiendo D. AntonioSalmon seguir en el des pacho de los dos ministerios referidos hasta la llegada á esta ca pital de D. Antonio Pórcet y del citado D. Josef Canga Ar guelles. Tendreisío entendido , y dispondréis lo conveniente á su cumplimiento. = Está rubricado. = A D. Juan Javat.”…</t>
  </si>
  <si>
    <t>ANUNCIOS</t>
  </si>
  <si>
    <t>…rno conforme enteramente con los principios sentados en la dis y diario de esta corte. cusión ; y se acordó se leyese en su turno. Se aprobó en seguida la siguiente indicación del señor ANUNCIOS. Martínez de la Rosa: «Que declaren ahora las Cortes que Los suscriptores al Espíritu de las leyes por Mr. de Montes- los 10 consejeros restantes se nombrarán en la próxima le quieu , ilustrado con notas, y traducido al castellano por Don gislatura de estas'…</t>
  </si>
  <si>
    <t>Aparici, Angel</t>
  </si>
  <si>
    <t>Angel Aparici</t>
  </si>
  <si>
    <t>…I. los derechos de extracción el celibato de los rnonges no eq f l csansa pri ncipnl de Is de lanas. despoblación , y que aun suponi ¡Molth ¡ts-íl, mida se adelanta Se mandó dar á D. Angel Aparici, natural de Roma, da , debiendo permanecer despuésc dlñbc:!; rgite na eran per certificación de la resolución de las Cortes de 29 de No judiciales á la agricultura sus pDfqphiíj.L-ss ptzcs se adver viembre de 18x3 , en que se le concedió carta de ciudadano. t…</t>
  </si>
  <si>
    <t>Áparici, Francisco</t>
  </si>
  <si>
    <t>Francisco Áparici</t>
  </si>
  <si>
    <t>…n. Todo lo cual comunicamos á Proyecto sobre la dirección general de vestuario y mon V. E. para que sirviéndose ponerlo en noticia de S. M., ten tura, remitido desde Valencia, por D. Francisco Áparici. ga á bien disponerlo asi; en el concepto de que con esta fe Contestación á los problemas publicados en 23 de Ma cha lo participamos al ministerio de la Gobernación de la yo , por el coronel del i.° de voluntarios de Aragón D. Jo Península para su respectivo…</t>
  </si>
  <si>
    <t>Aparici, Francisco de Paula</t>
  </si>
  <si>
    <t>Francisco de Paula Aparici</t>
  </si>
  <si>
    <t>…navegación de nuestros barcos mercantes; Se dió cuenta del informe de la comisión de Legislación pero sin marina mercante nunca tendremos marina de guer acerca de la solicitud de D. Francisco de Paula Aparici ra. Verdad es que la Nación no está en el caso de tener para obtener carta de ciudadano español ; y le-fue conce úna marina como la que ha tenido en otros tiempos; mas dida , conformándose las Cortes con- el dictamen de la co no considero de tanta dificultad…</t>
  </si>
  <si>
    <t>Aparicio, Francisco de Paula</t>
  </si>
  <si>
    <t>Francisco de Paula Aparicio</t>
  </si>
  <si>
    <t>…__ exactas indagaciones se ha encontrado en ¡os lugares situa A la misma se mandó pasar otra exposición hecha ¿ dos al rededor de Constantinopla la vacuna en los pezones nombre de D. Francisco de Paula Aparicio, solicitando que de las vacas y en las manos de los que las ordeñan, y que las Cortes mandasen darle carta de ciudadano. resulta de fieles relaciones de aquellas gentes que jamas ha Se aprobó el dictamen de la comisión de Hacienda so habido en tales parages n…</t>
  </si>
  <si>
    <t>Apellar, Agustín</t>
  </si>
  <si>
    <t>Agustín Apellar</t>
  </si>
  <si>
    <t>…sión q te sufre im hijo suyp. - v tes de la literatura lo que esta exige en honor de la Nación. Al Gobierno una exposición del ayuntamiento de la vi El Sr. alcalde constitucional D. Agustín Apellar, movido lla de Miranda del Castañar, provincia de Salamanca, sobre del mayor zelo por el bien público , habiendo sabido que Jos perjuicios que resultan de 110 declararla cabeza de parti cierto sugeto de Madrid, que desea extender los progresos, do ; otra de l…</t>
  </si>
  <si>
    <t>Apenas, Ramón de Pando y</t>
  </si>
  <si>
    <t>Ramón de Pando y Apenas</t>
  </si>
  <si>
    <t>…&lt;er superiores á las leves , y pierden su poderío drés Montalvo , el Sr. duque del Parque, D- Francisco Xa «perdiendo el amor de ‘lis súbditos.” vier de Aguilar, D. Juan Sánchez, D. Ramón de Pando y Apenas igualaron Demóstenes y Bossuet la elocuencia y de Otnmendi, D. Manuel de Robrero, D. Josef de Tejada energía del pasage siguiente de Masillon. y Ruiz, D. Matías Olivencia , D. Josef Melero, D. Fran «Los príncipes y los grandes no son sino los -hombres cisco d…</t>
  </si>
  <si>
    <t>Apodaca, Juan Ruiz de</t>
  </si>
  <si>
    <t>Juan Ruiz de Apodaca</t>
  </si>
  <si>
    <t>…ULO DE OFICIO. , El Rey nuestro Señor se ha servido expedir el Real decreto siguiente: ,, Habiéndome enterado por los papeles públicos que me remite por tü mano mi virey dé México D. Juan Ruiz de Apodaca, conde del Venadito, de que me has dado cuenta, que por la misericordia divina está muy cerca el término dé la pacificación general de aquellos dominios que la Providencia ha confiado á mi cuidado, pues corno egecutor de mis Reales órdenes ha ido atrayendo á…</t>
  </si>
  <si>
    <t>Apodacá, Juan Ruiz de</t>
  </si>
  <si>
    <t>Juan Ruiz de Apodacá</t>
  </si>
  <si>
    <t>…s que. me ofrezco á su disposición. Guanajuato 27de/Julio dé 1819.= Éxcmo. Sr.:=DeV. E. su mas reconocido y respetuoso servidor y súbdito Q. B S. M.= Juan Arago .=£ Ex celentísimo Sr. D. Juan Ruiz de Apodacá, conde dei Venadito, virey , go bernador y capitán general de la Nueva^-España;” ' 2.a ,,Excmo.; Sr.: Poseído del mas dulce gozo! al veíme amparad,^ del pa~ Jérnal -y .amoroso gobierno ¡de V • permítame ;sú.altá, justificación que</t>
  </si>
  <si>
    <t>Ar</t>
  </si>
  <si>
    <t>…papel que se da á la prenda ha ‘ido escrito ocu-r nacer.' ................... pando tiempo y cuidado , ha sido corregido, y aun des Luego el Sr. Perez de Castro dijo, apoyando al Sr. Ar pués de impreso se ha vuelto á- leer nuevamente, con lo guelles, que el Gobierno estaba en la firme persuasión de que se da lugar á la reflexión ; .y todavía ‘U‘ efectos son. mas que podría impedir que se trastornase el orden público ; ya lentos que los de la…</t>
  </si>
  <si>
    <t>Ar, Agustín</t>
  </si>
  <si>
    <t>Agustín Ar</t>
  </si>
  <si>
    <t>…mbre del mismo . decla da para su cumplimiento. = Rubricado de la Real manó. — rando que los eclesiásticos seculares tienen voto en las elec En Palacio á i.° de Julio de 182c. = A D. Agustín Ar ciones de los ayuntamientos; pero no pueden obtener en ellos guelles.' ‘ ningún oficio, La orden .de 4 de Octubre de! murrio so Circular del ministerio de Hacienda. bre que á los diputados ausentes por enfermedad se les pa guen sus diera'. La de 7 del mismo p…</t>
  </si>
  <si>
    <t>Ar, Josef Canga</t>
  </si>
  <si>
    <t>Josef Canga Ar</t>
  </si>
  <si>
    <t>…da á D. Josef Canga Arguelles, debiendo D. AntonioSalmon seguir en el des pacho de los dos ministerios referidos hasta la llegada á esta ca pital de D. Antonio Pórcet y del citado D. Josef Canga Ar guelles. Tendreisío entendido , y dispondréis lo conveniente á su cumplimiento. = Está rubricado. = A D. Juan Javat.” Nota. Se ha expedido por extraordinario de ayer al señor Canga Arguelles el aecreto que le concierne.. E1‘ Rett se ha servido nombrar Inspect…</t>
  </si>
  <si>
    <t>Gaceta de Madrid n.º 99</t>
  </si>
  <si>
    <t>…luces y actividad en asuntos interesantes al servicio público. Tendreislo entendido, y dispondréis lo necesario á su cumplimien to. =Fstá rubricado.=Palacio 19 de Mayo de i82o.=A D. Josef Canga Ar guelles.” El Sr Secretario del Despacho de Gracia y Justicia ha comunicado al de Estado lo siguiente: • Con esta fecha se circula á los regentes de lás audiencias de ía Península la Real orden que sigue: ,,Con fecha 16 de Octubre dé 1812 se expidió por la Reg…</t>
  </si>
  <si>
    <t>Ar, Jqsef Canga</t>
  </si>
  <si>
    <t>Jqsef Canga Ar</t>
  </si>
  <si>
    <t>…a iglesia de Plasencia, y decano del tribunal del Excusado. Tendreislo entendido , y dispondréis lo necesario á su cumplimien to. =£stá rubricado. = Palacio j de Junio de i82o.=;A D. Jqsef Canga Ar*güelles.” Circular del ministerio de Hacienda, ,,Por la dirección general de Hacienda pública se ha hecho presente al JRey ,de resultas de lo que le ha expuesto el intendente de Cataluña, que por las justicias, ayuntamientos, juntas corregimentales y populare…</t>
  </si>
  <si>
    <t>Ar, Manuel</t>
  </si>
  <si>
    <t>Manuel Ar</t>
  </si>
  <si>
    <t>El subteniente de, infantería de-Gelaya D. Manuel Ar citar, llamar y emplazar, como se cita, llama y. emplaza, á los royo participaba que el cabecilla Josef Mará Bastero, que acreedores y demas que se consideren con derecho á ios bienes habia robado los ganados de Cliatnacuero, habia sido sor quedados pnr falle…</t>
  </si>
  <si>
    <t>Ara, Eugenio</t>
  </si>
  <si>
    <t>Eugenio Ara</t>
  </si>
  <si>
    <t>…os que han superado los oficiales y tropa de esta división que tengo el horic»r-de mandar. Merece particular elogio el Te niente coronel comandante general de ¿a columna del Llano D. Eugenio Ara</t>
  </si>
  <si>
    <t>Aracil, Antonio Guijarro y</t>
  </si>
  <si>
    <t>Antonio Guijarro y Aracil</t>
  </si>
  <si>
    <t>…La persona en quien se remate ha de presentar fiador En consideración á las circunstancias y distinguidos ser de bienes libres competentes, conocidos y estantes en esta vicios de D. Antonio Guijarro y Aracil, se ha servido capital, firmando obligación escriturada por su Cuenta, me S. M. condecorarle con los honores de su secretario, según diante lo cual se le entregará el original para que proceda á decreto de 17 de Julio últ imo. su impresión y venta; del que ha…</t>
  </si>
  <si>
    <t>Arago.ya, Juan</t>
  </si>
  <si>
    <t>Juan Arago.ya</t>
  </si>
  <si>
    <t>…na de las secciones que operan aun en la expresada provincia contra los rebeldes, es perando de su fidelidad y buenos sentimientos cumplirá con sus deberes; pues por lo que hace á D. Juan Arago.ya tiene igual distinción. Madrid 14 de Febrero. En la noche del 7 del corriente el brigadier de los Reales egércitos Don Pedro Mendez de Vigo y D. Antonio Alvarez Baragaña tuvieron el honor de felicitar al Rey nuestro Señor como regidores perpetuos del ilustre…</t>
  </si>
  <si>
    <t>Araguas, Simón</t>
  </si>
  <si>
    <t>Simón Araguas</t>
  </si>
  <si>
    <t>Gaceta del Gobierno n.º 65</t>
  </si>
  <si>
    <t>268</t>
  </si>
  <si>
    <t>…a vacante la administración tesorería de Cruzada del batallón ligero i.° de Voluntarios de Aragón D. Cosme de ia diócesis de Calahorra, cuyo premio de maravedí en Martínez Ubago y D. Simón Araguas, en unión con los ofi sumario está regulado en 17,600 rs. anuales; y su fianza ciales del mismo cuerpo. es de 2Óo0 reales. Disertación sobre los mismos problemas, por el ciuda dano D. Francisco Nebot desde Valencia. No habiéndose presentado á hacer la prueba…</t>
  </si>
  <si>
    <t>Arakrschejew</t>
  </si>
  <si>
    <t>…erador y Rey, su fecha del 22 de Setiembre último, se hará en toda la extensión PRUSIA. de la monarquía rusa una leva á razón de cuatro hombres por cada 500. Parece que el general conde Arakrschejew ha Berlín 2/ de Octubre. sido llamado aquí con solo el objeto de que diese su opinión Llamaaqui la atención del público cierro suceso ocurri sobre la referida ordenanza, debiendo volverse mañana á do el 17: varias personas, y entre ellas un ciudadano cininS.…</t>
  </si>
  <si>
    <t>Aramcomercio, Juan Angel de</t>
  </si>
  <si>
    <t>Juan Angel de Aramcomercio</t>
  </si>
  <si>
    <t>…de las provincias que la com ma, se cita, llama y emplaza, por término de 30 días, conta ponen ; fundación de Qdessa, su estado actual, su dos desde el en que salga este aviso , á D. Juan Angel de Aramcomercio 6-r. buru, D. Pedro Martin de lriarte y D. Faustino Sta. María y No hay en todo e¡ globo punto mas interesante para un Velasco, últimos tenedores el primero de dos vales reale*-de observador que los países bañados por las aguas del mar Ne 300 pesos cada uno,…</t>
  </si>
  <si>
    <t>Arana</t>
  </si>
  <si>
    <t>…neral llorando y tratándole de insolencias, dicie'ndole que les fea engañado. Las compañías de cazadores de Ja Reina , Vaíencey y la tercera de jBarbast.ro , al mando del teniente coronel Arana, las destiné á perseguir los cortos restos, que no llegan á 2co hombres, mientras yo con la división descansaba á orillas del rio de Sta. Fe, y recorría los montes: el digr.o y bizarro Arana los persiguió con tanto tesón, que les quitó 30 reses que llevaban d…</t>
  </si>
  <si>
    <t>Arana, Eugenio</t>
  </si>
  <si>
    <t>Eugenio Arana</t>
  </si>
  <si>
    <t>49</t>
  </si>
  <si>
    <t>…do algunos en la cabeza del puente defen didos con la Banqueta. De esta operación, como de aspillar las casas, se en cargó el teniente coronel, comandante de la columna del Llano, D. Eugenio Arana, quien colocó 4 los soldados en disposición de ofender sin ser ofendidos; en tanto yo situaba la división en la plaza, y cubría todas las avenidas. El fuego se mantenía con mucho calor, no obstante que nuestros soldados lo hacían cuando se -presentaba objeto…</t>
  </si>
  <si>
    <t>…ner en la alta consideración de V. E. para los premios que tenga á bien dispensarles. Es digno del mayor elogio el teniente coronel comandante de la columna del Llano de Barcelona D. Eugenio Arana, quien, incansable en las fatigas en medio de un horroroso fuego, colocó las tropas destinadas ai ataque, sirviendo su actividad y conocimientos militares de ponerlas pronto á cubier to. Lo son igualmente el gefe de Estado mayor de la segunda división D. An t…</t>
  </si>
  <si>
    <t>Arana, Gregorio de</t>
  </si>
  <si>
    <t>Gregorio de Arana</t>
  </si>
  <si>
    <t>…de Nueva-JEspaña. Oficio del coronel y comandante general D. Francisco de Orrantía. ,,Excmo. Sr.: Dirijo á V. E. el diario dé las operaciones de la sección del mando del teniente coronel D. Gregorio de Arana desde el 22 hasta el 30 del último Agosto, por el que se impondrá V. E. de la brillante acción que tuvo el alférez de Frontera D. Alejo Castilla con 30 dragones del mismo cuerpo contra ía gavilla de Ortiz en número de 150 hombres; y lo recomiendo, á V- E. á d…</t>
  </si>
  <si>
    <t>Aranda, Rodrigo</t>
  </si>
  <si>
    <t>Rodrigo Aranda</t>
  </si>
  <si>
    <t>z8) Rubíanes, gefe político superior de esta provincia, y los Sres. D:PedroSainz de Baranda y D. Rodrigo Aranda, alcalaes constitucionales dé Madrid. S. M. recibid en esta ocasión las demostraciones de gratitud y respeto de todos Jos concurrentes, correspondiéndoles con las afables contestaciones, propias de su natural bondad. Los Sres. Secretarios del Despacho recibie…</t>
  </si>
  <si>
    <t>Arango, Anastasio de</t>
  </si>
  <si>
    <t>Anastasio de Arango</t>
  </si>
  <si>
    <t>Gaceta del Gobierno n.º 1</t>
  </si>
  <si>
    <t>…res directores cambios. Madrid y Junio jo de 1830. sub-inspectores á los coroneles D. Francisco Mendizabal y Paris......... .................................................. 15 9 D. Anastasio de Arango, y á coronel al teniente D. Josef Londres...................................................... 35? 36 Navarro. Amsterdam................................................. 99 Hamburgo................................................... 91 Cádiz.................…</t>
  </si>
  <si>
    <t>Aranijo, Josef</t>
  </si>
  <si>
    <t>Josef Aranijo</t>
  </si>
  <si>
    <t>…ortés, D. Juan Pons, D. Manuel cantes , y muchos barcos pequeños de cabotage. Forner, D. Francisco Coima , D. Ignacio Torres GolobarMarruecos se halla actualmente sin marina. des, D. Josef Aranijo, D. Josef Antonio Carerach y Don Los periódicos alemanes dicen que Ali-Bajá ha recibido Alejo Baulenas. en su egército á algunos oficiales extrangeros; y que habien El objeto de esta reunión y de la formación de la junta do hecho un alistamiento extraordinari…</t>
  </si>
  <si>
    <t>Ararte, AngeL</t>
  </si>
  <si>
    <t>AngeL Ararte</t>
  </si>
  <si>
    <t>408</t>
  </si>
  <si>
    <t>…l. pagar estos atrasos, consultando al mismo tiempo la mayor nota. En la gaceta del 23 de Setiembre, col. 4.% lín. 34, utilidad de la Nación. Madrid 11 de Setiembre de 1820.= dice D. AngeL Ararte!, léase París si._En la del 16, col. 4 El conde de Toreno, presidente. = Juan Manuel Subríé, lín. 10, dice D. Bartolomé García, léase D. Bernalí García. MADRID EN LA IMPRENTA NACIONAL.</t>
  </si>
  <si>
    <t>Arascót, Narciso</t>
  </si>
  <si>
    <t>Narciso Arascót</t>
  </si>
  <si>
    <t>Gaceta de Madrid n.º 9</t>
  </si>
  <si>
    <t>…, al teniente coronel D. Josef Rafael Caraveo, sargento mayor que era del fijo dé Campeche i la sargentía mayor del Real fuerte de S, Cárlos de Petóte, en Nueva-España, al capítan D. Narciso Arascót, ayudante de la segunda brigada dé milicias de aquel reino; y la auditoría de guerra del egércfto expedicionario dé Costa-firme á D. Josef Toscano y Medina, audi tor dé marina de la provincia de Algecíras. Una persona, cuyo carácter se ignora, escribe desde C…</t>
  </si>
  <si>
    <t>Araujo</t>
  </si>
  <si>
    <t>…dad de ésta villa, propuso á su ayuntamiento constitucional dar un ensayo del método de enseñanza mutua que habia adoptado al posesionarse de ella con el texto de la gramática del Sr. Araujo; y esta zelosa corporación señaló el 50 de Mayo, fausto y memorable dia para cuantos aman verdaderamente á su pa tria. Reunidas con el ayuntamiento las demás autoridades y personas de dis tinción con un pueblo numeroso, celebraron en la parroquia la fiesta ci…</t>
  </si>
  <si>
    <t>Arbizu, Manuel Josef de</t>
  </si>
  <si>
    <t>Manuel Josef de Arbizu</t>
  </si>
  <si>
    <t>…diadores de los títulos de propiedad y demas que resulte; estando señalado pan el remate el dia i.° de Marzo próximo, á las 12,'en la audiencia del mismo señor. Por el juzgado del Sr. D. Manuel Josef de Arbizu , del Consejo de S. M.,‘al calde-de la Real Casa y Corte, se están subastando un solar con lo en éi fabricado, situado en la calle ,de la Libertad de esta corte, entre los núms. 5 y 8 de la manza na 306 , de 8436 pies de sitio, tasado en 112^480 rs. ; y tres…</t>
  </si>
  <si>
    <t>Archibald</t>
  </si>
  <si>
    <t>Gaceta de Madrid n.º 84</t>
  </si>
  <si>
    <t>…lvéÜres. Sir rEdbuar3f Knatelióñll leyó una expusteionsobreda representación que Ha dé hacerse al Rey, y fue aprobada unáninhémetüte^ J Antes dé que se pasara á la votación, habló lord Archibald1 HamiltOri dé los Últimos alborotos &lt;fe Escocia, ló cual dio motivó á que el canciller del Ec&amp;tq'üfér hiciera1 váéiás reflexiones importantes sobre las ventajas que resultarhrti ote 1 láf £ih?g¥ac?on vólüntaria, que én su concepto es el medio íhejór dfe remed…</t>
  </si>
  <si>
    <t>Ardevol, Jaime</t>
  </si>
  <si>
    <t>Jaime Ardevol</t>
  </si>
  <si>
    <t>…smo ramo, y lo presenta tas se pueden reunir datos positivos para la formación de una. ba á las Cortes para su aprobación; se leyó este con la dis-' buena estadística general: por D. Jaime Ardevol. Véndese á 6 tribucion que de nuevo proponía la comisión, opinando reales en las librerías de Rodriguez y Collado. que debía señalarse la cantidad de 173.191,281 rs. vn. para Decreto de S. M. de 13 de Setiembre, comprensivo del el presupuesto de dicho ministe…</t>
  </si>
  <si>
    <t>Areizaga, Juan Carlos de</t>
  </si>
  <si>
    <t>Juan Carlos de Areizaga</t>
  </si>
  <si>
    <t>Gaceta de Madrid n.º 56</t>
  </si>
  <si>
    <t>….” ■ 1 ■'&gt; ■ ■ - . - í - ' • ' - o..-- i. . • ■■ S. M. se Ka servido conferir íá capitán/^: genera? d¡el egército y provincia de Guipúzcoa j vacante por fallecimiento del teniente general D. Juan Carlos de Areizaga, al teniente generál D. Gabriel de Mendizabal. Habiendo tenido por convsmenté el Rey suprimir la' sr^delegacion y ad ministración' dé ¡a imprenta nacional -, Sé ha servido nombrar director de-di cho establecimiento á D« Eugenio Tapiay éü áténcioh á su- iiísti…</t>
  </si>
  <si>
    <t>Arellano, Joaquina- Ramírez de</t>
  </si>
  <si>
    <t>Joaquina- Ramírez de Arellano</t>
  </si>
  <si>
    <t>Gaceta del Gobierno n.º 13</t>
  </si>
  <si>
    <t>56</t>
  </si>
  <si>
    <t>…e ios gefes v facultativos de asistencia que acrediten la muerte de enfermedad epidémica, como expresa la citada R cal orden de i.'J de Noviembre de 1800, y la nominad»' ANUNCIOS. Doña Joaquina- Ramírez de Arellano la certificación de ha ber sufrido Sandoval los descuentos hechos á favor del pre Pan y toros: oración que en defensa del estado floreciente citado monte, que es e! único que la falta.”- de la España dijo por los años de 179® en 1* plaza de los to Lo que tras…</t>
  </si>
  <si>
    <t>Arévalo</t>
  </si>
  <si>
    <t>…s mayores intereses de la sociedad. Si el otro sugeto. Ya se ha puesto en egecucion tan laudable pro matrimonio del Rey se disolviese de un modo contrario á yecto; y el presbítero Sr. Arévalo dió principio á la expli las leyes del pais, y tuviese hijos de segundas nupcias, se cación de la Constitución con un discurso, manifestando en perjudicaría á los derechos de las otras ramas de la familia general sus utilidades, y combatiendo el muy trascende…</t>
  </si>
  <si>
    <t>Arezo</t>
  </si>
  <si>
    <t>…sientos comunes en gran número. Se ha penitenciario mayor: para la de Albano al cardenal Galeffi: hecho a! Gobierno una prolija exposición de cuanto se juzga para la de Sabinas al cardenal Arezo : para la de Tarrago conducente para mejorar tan útil establecimiento , y no se na al limo. Sr. Crees, obispo de Menorca: para la de B01- duda que atenderá esta justa solicitud. En el ínterin el direc go-San-Sepolcro á D. Manuel Tacruasi, canónigo de Flo tor,…</t>
  </si>
  <si>
    <t>Argiielleí, Josef Canga</t>
  </si>
  <si>
    <t>Josef Canga Argiielleí</t>
  </si>
  <si>
    <t>…ando á lo mismo á los ayuntamientos; y habien circule.=Rubricado de la Real mano =En Sacedon á 1 2 de do manifestado el Sr. Navas que todos sus artículos habian Agosto de 1820.” A D. Josef Canga Argiielleí.^De Real sido aprobados en la época citada, se acordó que buscara orden lo comunico á V V. SS. para su inteligencia y exac la secretaría el decreto de que hacia mérito; y se levantó to cumplimiento. Madrid 13 de Agosto de 1820. la sesión. ARTICULO DE OFICIO.…</t>
  </si>
  <si>
    <t>Argiielles, Josef Canga</t>
  </si>
  <si>
    <t>Josef Canga Argiielles</t>
  </si>
  <si>
    <t>…n que se halla la Nación de acudir á satisfa le. 3= Rubricado de la Real mano. = Palacio 15 de Setiembre cerla en metálico, desechaba en su informe la partida de 20 de 1 820. == A D. Josef Canga Argiielles. millones, y proponía á las Cortes que cuando se organiza se el Crédito público, podría tratarse de los medios de El colegio Nacional de cirugía-médica de S. Carlos ce conciliar los intereses de los acreedores con la seguridad y lebra la anual abertura de sus…</t>
  </si>
  <si>
    <t>Argos, Rámon</t>
  </si>
  <si>
    <t>Rámon Argos</t>
  </si>
  <si>
    <t>…inos no contribuyan sino en razón de las producciones-y efec de primera instancia de está corre D. Julián Diaz de Yela, tos que tengan que trasportar, corrigiendo err él ó amplifi D. Rámon Argos y D. Juan García Arias los honores de cando las ideas que no hago mas que anunciar en. este es ministros de. la audiencia territorial. - crito; cuyo objeto es el de excitar á que otros hablen sobre tan urgente materia, sugiriendo los mediosrque jua guen mas á propósito para que el…</t>
  </si>
  <si>
    <t>Argos, Ramón de</t>
  </si>
  <si>
    <t>Ramón de Argos</t>
  </si>
  <si>
    <t>…fe rencia entre los individuos de que Se trataba; pero que rio ■■■■■:■■ ANUNCIOS. i.--.' se tomaran los^ informes de los ayuntamientos como se pro^ En virtud de providencia deLSr. D. Ramón de Argos, juei ponía en el artículo 3.®, r :: p : ■ i-J togado de primera instancia en esta corte,- refrendada del-esá ' tos Sres. ^Malrtel y Fraile propendieron 4 medidas ge encapo de .provincia D. Pedro Jpsef de Ibabe, que despacha nerosas , pidiendo el primero que…</t>
  </si>
  <si>
    <t>…0 pueblos diferentes , unos que viniendo del contados desde la publicación de este anuncio, comparezcan á Mediodía procuraban constantemente hacer prevalecer sus deducirle ante el Sr. D. Ramón de Argos, juez de primera ins artes y su industria sobre la barbatie de las naciones ambu tancia en esta villa, por la escribanía de sir.número que egerce lantes , mientras que otros, salidos suce-ivamente de las al D. Juan P^aya; en inteligencia que pisado dicho térm…</t>
  </si>
  <si>
    <t>Gaceta del Gobierno n.º 185</t>
  </si>
  <si>
    <t>….... Cádiz. y cumplimiento en la pjarte que le corresponda. Madrid 15 8580. 100c............... Idem. de Diciembre de 18 20. Noticia de los dias que S. M. ha señalado para que se -D. Ramón de Argos , ministro honorario de la audien celebren las extracciones de lotería primitiva nacio cia territorial, y juez de pirimera instancia en esta M. H; nal en el año de 1821. , villa de Madrid. Por el piresenre cito , llamo y emplazo p&gt;or i.a en 15 de Enero. Dista…</t>
  </si>
  <si>
    <t>Argoz, Ramón de</t>
  </si>
  <si>
    <t>Ramón de Argoz</t>
  </si>
  <si>
    <t>…s antiguos ex-jesuitas españoles que vinieron de vador núm. ióo , del silbado 2 del corriente. En su con Italia en virtud de las Reales ordenes comunicadas al efecto, secuencia el Sr. D. Ramón de Argoz, ministro togado ho y que disfrutaban la pensión que se les señaló en el año de norario , y juez de primera instancia, por providencia dp 1767, se restituirán á los pueblos que elijan de la Penínsu 6 del corriente , refrendada por D. Claudio Sanz , escribano…</t>
  </si>
  <si>
    <t>Arguelle-</t>
  </si>
  <si>
    <t>…que la 12 4ÓS.......... 4000............... C.tdiz. desempeñó perfectamenre el Sr. Alvarez Guerra; y aun el 26492.............. 2000........... Madrid. mismo secretario actual el Sr. Arguelle-, en la época en que 3 7 í d**».»..»* 1000............. Idem. mas ha habido que hacer, ha dado una prueba de su labo 22939.............. IOOO............ Cor uña. riosidad y talentos. Dijo ademas que el misino numero de hombres, aumenando el de horas de trabaj…</t>
  </si>
  <si>
    <t>Arguelles</t>
  </si>
  <si>
    <t>…ciéndose el plan de 1807 se su se habian tomado acerca de la junta llamada apostólica. primirían algunas universidades, sufriendo una suene igual Acerca de esto último contestó el Sr. Arguelles que el el seminario conciliar de S. Fulgencio de Murcia, de lo que nombre solo de la junta la condenaba, y que se habia re resultaría un mal á la instrucción publica; y que aun cuan querido mas de una vez á quien correspondía, por lo que do en los seminarios,…</t>
  </si>
  <si>
    <t>Le replicó el Sr. Arguelles, haciendo ver qüe no estaba - No hubo lugar á votar sobre Una indicación del Sr. Víen su inano remediar ios mulé anteriores, y que una de las torica , pidiendo se declarase a que órdenes debería c-tar la mayores cargas de tu empleo es el tener continuamente q…</t>
  </si>
  <si>
    <t>…ostener este sistema, fueron solamente con Se volvió á leer la indicación del Sr. Moreno Guerra; y el objeto de observar; oyeron esas voces, se echaron sobre tomando la palabra el Sr. Arguelles, dijo: ,,Los secretarios del los facciosos que las dieron, y los obligaron á decir: viva Despacho habian resuelto venir á presentar al Congreso una el Rey constitucional: he aqui el origen de la agitación. idea aproximada, no absolutamente exacta de lo ocurri…</t>
  </si>
  <si>
    <t>…hace que se han oído voces sediciosas en la plazuela .los que le componen, dijo, están siempre prontos á obe de palacio. decer las órdenes del Gobierno. No puedo menos de mani El Sr. Arguelles contestó que ya el Gobierno habia di festar á la faz de la Nación que el egército de la Isla no tie cho por su boca, que si tales voces se habian esparcido , no ne la vanidad de creer que él solo na libertado á la patria: habian llegado á su noticia, á pesar…</t>
  </si>
  <si>
    <t>Arguelles, Agustín</t>
  </si>
  <si>
    <t>Agustín Arguelles</t>
  </si>
  <si>
    <t>Gaceta de Madrid n.º 94</t>
  </si>
  <si>
    <t>689</t>
  </si>
  <si>
    <t>…ucir á dar claridad á tan importante materia. Tendreisto entendido, y. cuidareis muy particularmente de su cumplimiento. = Está nirhricado. = En Palacio á 14.de Junio de 1820. = A D. Agustín Arguelles.” : 2*0 „ Para preparar y acelerar en cuanto esté en mis facultades lá egecueion del art. 11, del cap. 1.° de la Constitución política del reino acerca de íá. división del territorio español, he tenido á bien disponer que se nombre una comisión que, ateniéndo…</t>
  </si>
  <si>
    <t>…s autorizados por las leyes y- ©buso. Tendreislo entendido, y dis pondréis, lo necesario:para sñ.;Cump!imiento.=sRubricado de la Real mano. = En Palacio á 14 de.Junio de 1820. = A D. Agustín Arguelles.” Circular del ministerio de la Gobernación de la Península. ,, Entre los graves negocios que ocupan incesantemente al Rf.v para dar el competente; impulso á los diversos ramos que constituyen el gobierno econó mico-político de los pueblos, uno de los primero…</t>
  </si>
  <si>
    <t>719</t>
  </si>
  <si>
    <t>…ivi duos que han de componer esta comisión cuantos auxilios necesiten para désempeñaría con el mayor acierto. = Rubricado de la. Real mano. = En Palaci® á 14 de Junio de 1820. = Á D. Agustín Arguelles/* los,yarips ramos de la administración publica que reclaman (Entre imperiosamente las .mejoras;.que el progreso de las luces ha proporcionado í ptrosupa^e£ cultq^ ,de Europa., y que Ips . trastornos, pasados han hecho tan necesarias en España, mi paternal co…</t>
  </si>
  <si>
    <t>Arguélles, Agustín</t>
  </si>
  <si>
    <t>Agustín Arguélles</t>
  </si>
  <si>
    <t>…debe dispensarle un Gobierno justo y benéfico. Tendreislo entendido para su mas . pronto y exacto cumplimiento,ssz Rubricado de la Real mano.s^En Palacio á 14 de Junio de 1820. A D. Agustín Arguélles,’* N Circular del ministerio de Guerra. ) Al Sr. Secretario dél Despacho de Hacienda digo con esta fecha lo siguiente: Exento. Sr.: Noticioso $. M¿ de los excesos y desórdenes cometidos en algunos pueblos por los soldados cumplidos licenciadosy que estos pued…</t>
  </si>
  <si>
    <t>Gaceta del Gobierno n.º 4</t>
  </si>
  <si>
    <t>…n dido, y dispondréis st¿ pontual cumplimientos Rubricado de las Cortes obró espontáneamente y conforme á sus prin de la Real mano.= En Palacio á 1.” de Julio de 1820.= cipios.” A D. Agustín Arguelles.” NOTICIAS DEL REINO. Con motivo del fallecimiento de S. A. R. Ia Princesa Madrid 3 de Julio. viuda de Orange, madre de S. M. el Rey de los Países« ARTICULO DE OFICIO. Bajos, acaecido en el palacio de. Loo el dia 9 del pa&lt;ado, SS. MM. y AA. siguen sin novedad…</t>
  </si>
  <si>
    <t>…el memorial, dirigido franco de y circule—Está rubricado de la Real mano. = En Palacio porte al primer alcalde constitucional, se expresarán ios méri á 6 de Setiembre de 1820. = A D. Agustín Arguelles.” tos, calidad del título, patria, residencia, edad, estado &amp;c., dando razón de las personas y justicias que puedan abonar su El comandante del apostadero de Puerto-Cabello en conducta; y en igualdad de circunstancias será preferido el que posea las matemátic…</t>
  </si>
  <si>
    <t>…ra los nombres individualmente ó por clases, y se Está rubricado de la Real mano. = En Palacio á 14 de Octu unieron á la sociedad personalmente ó por masas? (Se con bre de 1820.=A D. Agustín Arguelles. tinuara.) Circular del ministerio de la Guerra. Idem 14. Por este ministerio se ha comunicado á los capitanes En la sesión del Gobierno del dia 13 , y en consecuen generales, inspectores y directores de les armas 1® siguiente: cia de haber pedido su dimisión…</t>
  </si>
  <si>
    <t>….erRusolo había cesaJo la peste en Mogador y Marruecos, sino briendo de la Real mano.= EnS. Lorenzo á 12 de Noviem tambicn por la parte de Mediodía hasta Tarudante. bre de i82g.=A D. Agustín Arguelles. Cádiz 2j de Noviembre. Circular del ministerio de Hacienda. Tenemos noticias de Costañrme hasta 6 de Setiem bre , y de Caracas y Puerta-Cabello hasta 3 de Octubre. «Habiendo acudido al Rey D. Roque Estevez , apodera Por la gaceta de Garaeas se sabia haber ju…</t>
  </si>
  <si>
    <t>Gaceta del Gobierno n.º 159</t>
  </si>
  <si>
    <t>713</t>
  </si>
  <si>
    <t>…nuar la acción. En aquel instante, sin tirar mas cañonazos, tendido , y dispondréis lo conveniente á su cumplimientos abord &gt; la flechera al místico: saltó A este el capitán de A D. Agustín Arguelles.” aquella Francisco Gutiérrez ; tiró un pistoletazo A Carnero, -- 2."’ «Habiendo sido nombrado consejero de Estado Don ■y en seguida le hirió con el sable en el lado izquierdo de ■ Miguel Gayoso de Mendoza, Gefe político superior de la la cara; pero este enfu…</t>
  </si>
  <si>
    <t>…ue y circule.—en adelante los resultados mas felices. Rubricado de la Real mano-fn S. Lorenzo á 8 de No Cuatro clases de leer, siete de escribir, seis de aritmé viembre de i8eo.=A D. Agustín Arguelles. tica, una de lengua castellana, otra del idioma francés . otra de ingles , otra de alctnan , otra para ios ciegos, á los cua Por la junta de Censura de la provincia de Granada se les se les enseñará á leer, escribir, contar y solfear;-expli ha calificado de…</t>
  </si>
  <si>
    <t>Arguelles, Canga</t>
  </si>
  <si>
    <t>Canga Arguelles</t>
  </si>
  <si>
    <t>…f Canga Ar guelles. Tendreisío entendido , y dispondréis lo conveniente á su cumplimiento. = Está rubricado. = A D. Juan Javat.” Nota. Se ha expedido por extraordinario de ayer al señor Canga Arguelles el aecreto que le concierne.. E1‘ Rett se ha servido nombrar Inspector general interinode Infantería al Teniente general D.. Josef Santocildespor re nuncia que ha hecho el de igual clase D. Ramón Pirez;, desem peñando dicho encargo mientras se presenta aquel…</t>
  </si>
  <si>
    <t>…nuestras relaciones exteriores. ra al egército una especie de gratificación por el zelo y Dijo el Sr. Martínez de la Rosa que de cualquier modo trabajo de estos día-, á lo que el Sr. Canga Arguelles que fuera , no podía menos de ser sumamente importante la replicó, que ya se habían dado las órdenes, y que hoy re-: discusión proporcionada por el Sr.'Moreno Guerra, que ha elbirian un plus, sobre su haber. bia dado la ocasión de oponer datos á sospechas, ra…</t>
  </si>
  <si>
    <t>…ctamen de la comisión de El Sr. Moscoso, individuo de la comisión de Hacien Hacienda acerca de la solicitud de la viuda de D. Felipe da , manifestó que habiéndosele mandado oír al coronel Canga Arguelles, opinando que se la declarase comprendi Jiiíin dei Cñstüíoy Rodríguez, sutor de los dos pnpe— da en e! decreto de 1 3 de Setiembre 1813, Ies titulados Manifiesto de las ideas de un militar espa Se levó el dictamen de la comisión segunda de Legisla ñol para de…</t>
  </si>
  <si>
    <t>Arguelles, Jósef Caagji</t>
  </si>
  <si>
    <t>Jósef Caagji Arguelles</t>
  </si>
  <si>
    <t>T5° Está rubricado* s=En Palacio i i.° de Mayo de tEio.-arA-D. Jósef Caagji Arguelles.” 2.0 „ Solícito -siempre «ni paternal corazón en procurar todos los medios que se dirijan al bien general del Estado, y puedan influir -en el aumento de su población, notablemente disminuida , en especial desde la última guerra desoladora ; y«nhélandbtambién…</t>
  </si>
  <si>
    <t>Arguelles, Josef Canga</t>
  </si>
  <si>
    <t>Josef Canga Arguelles</t>
  </si>
  <si>
    <t>…que le releve del ministerio de Hacienda y del de la Gobernación de Ultramar, que interinamente desempeña , he venido en nombrar Secretario de Estado y del Despacho de Hacienda á D. Josef Canga Arguelles, debiendo D. AntonioSalmon seguir en el des pacho de los dos ministerios referidos hasta la llegada á esta ca pital de D. Antonio Pórcet y del citado D. Josef Canga Ar guelles. Tendreisío entendido , y dispondréis lo conveniente á su cumplimiento. = Está rubr…</t>
  </si>
  <si>
    <t>…ubiesen puesto vuestros antecesores siempre'firma entera. Tendreislo entendido, y lo: comu-* nicareis á quieaei corresponden Está r ubricado-=:En Palada á 14 de Abril d* 1820. = A D. Josef Canga Arguelles/ 3/ ,,Los decretos que las Cortes generales y extraordinarias, y. también las ordinarias , dirigieron á todos los ministerios para el buen gobierno y adelan tamiento de las provincias de Ultramar quedan restablecidos yen su pleno vi gor, á fin de que sus habi…</t>
  </si>
  <si>
    <t>Gaceta de Madrid n.º 76</t>
  </si>
  <si>
    <t>…todas sus partes él referido de creto de !has Cortes. Tendreislo entendido, y dispondréis lo necesario á su cum plimiento. = Está rubricado.;sr Palacio 26 de Abril de i 8 2p. =s A D. Josef Canga Arguelles/* 1 " V : - n ' . í j ’■ ' Circulares. : . , •. del ministerios•&gt;;*.. de, ÍTacietida*y ■ ' &gt; . 1 • .t - m « -J * El7Rey ha visto las contestaciones de 5 6 de los 59 M: RR. arzobispos y RR. obispos de la Península é islas adyacentes á la elrcúíar de 27 de Dici…</t>
  </si>
  <si>
    <t>…cia, serán cumplidas religiosamente aun en el caso de declaración de guerra.” Teadreislo entendido , y dispondréis lo ne cesario á su cumplimiento. Palacio 12 de Mayo de 1820. = A D. Josef Canga Arguelles.” Circulares del ministerio de Hacienda. i.a Al decano del tribunal supremo de Justicia digo con esta fecha lo si8Uiepor la bula de S. S. dé 31 dé Octubre de 1816 se reservó á la Cámara de Castilla el conocimieríto en tercera instancia de los negocios contenc…</t>
  </si>
  <si>
    <t>Gaceta de Madrid n.º 89</t>
  </si>
  <si>
    <t>…os económicos, y la eje cución de ¡lo declarado por aquellos. Tendrdslo entendido , y'dispondréis lo necesario á su cumplimiento. Palacio 12 de Mayo de 1820. = lista rubricado.= A D. Josef Canga Arguelles.” 2 ° ,, Considerando que la pena de azotes,, impuesta por las leyes á algu nos delitos, ha sido mirada por los sabios criminalistas como poco conforme á la decencia pública, y capaz por sí sola de arrancar del corazón del hom bre los principios de pundonor q…</t>
  </si>
  <si>
    <t>…debian revocar las leyes vigentes sobre v3gos no parecía jus do de la Real mano. = En palacio á 18 de Agosto de 1820.=: to que se agravasen todavía. Que sobre solas sospechas no A D. Josef Canga Arguelles. deben recaer castigos , y el vago no es un criminal, sino que se recela que podrá serlo. Por el ministerio de Hacienda se ha comunicado á la El Sr. Dolarea apoyó al Sr. Silves, en que era necesario Dirección general la orden siguiente : señalar un termino ma…</t>
  </si>
  <si>
    <t>…o queden extinguidos los derechos de puertas, y los Rubricado de la Real mano. = En Palacio á 25 de Seáempueblos donde se exigen satisfagan con proporción á su ri bre de 1820. = A D. Josef Canga Arguelles.” queza la cantidad de 27 millones, repartidos y exigidos al casco de los mismos pueblos , según la comprensión del ter ritorio que les está demarcado.” Se aprobó este artículo. ANUNCIOS. Se mandó pasar á la comisión una indicación del señor Se halla vacante…</t>
  </si>
  <si>
    <t>Gaceta del Gobierno n.º 144</t>
  </si>
  <si>
    <t>644</t>
  </si>
  <si>
    <t>…á ella en !o suce ivo, al formar las dobles carpetas con que la Real mano.= En S. Lorenzo á 30 de Octubre de 1821.=: está prevenido se presenten los créditos en las contadurías A D. Josef Canga Arguelles. de este establecimiento en las provincias del reino é islas Lo comunico á V. S para su inteligencia y cumpü- adyacentes, ó en las comisiones principales del mismo, mieruo; en el concepto de que tanto por su parte, como donde aquellas oficinas no están establ…</t>
  </si>
  <si>
    <t>…tares , Almarza y Pinillos, distan cule. = Rubricado de la Real mano. = En S. Lorenzo á 9 tes el primero media legua, y los dos una, y varias apelaciones. de Noviembre de 1820.= A D. Josef Canga Arguelles. Los pretendientes dirigirán los memoriales al ayuntamiento constitucional hasta el día r 5 de Diciembre. VARIEDADES. Se halla vacante la plaza de médico de la villa de Mazarambroz, provincia de Toledo: su dotación /Q rs. y casa en que vivir , pagados por la…</t>
  </si>
  <si>
    <t>704</t>
  </si>
  <si>
    <t>…os: 4.0 Los capitales de la renta, que se cule. = Senalado.de la Real^mano. = En S. Lorenzo á 19 de conocen con el nombre de regalía de aposento sobre las ca Noviembre de 18 20.=A D. Josef Canga Arguelles. sas de Madrid, se podrán redimir con créditos consolida dos: 5.0 Igualmente se podrán redimir con créditos conso núm. i.° lidados las rentas que se conocen con el nombre de pobla Deuda pública de España que gana réditos. ción de Granada y cánones, que pagan…</t>
  </si>
  <si>
    <t>…del ayuntamiento, á la iglesia parroquial, en cule. = Señalado de la Real mano. = En Palacio á 27 de No la que de-pues de la mi-a mayor y de un enérgico discur viembre de 182o.— A D. Josef Canga Arguelles. so d i Sr. D. Juan de Solórzano, párroco de la misma, se Circular del ministerio de la Gobernación de la Pe hi- o el iurnmer.to con toda la solemnidad posible ; y conclui nínsula. do , salió con la misma formación de compañías y escua «Conocida la necesidad…</t>
  </si>
  <si>
    <t>Gaceta del Gobierno n.º 177</t>
  </si>
  <si>
    <t>…se imprima, publique y circule.= Está rubri mino de Bujalcayado y la Olmeda, en 17,370. cado de la Real mano. = Dado en Pa'acio á 13 de Diciem En 29 de Diciembre. bre de 1820. = A D. Josef Canga Arguelles.” Veinte y cuatro medias, un celemín de tierra, en la torre de Valdealmendros , en 3680 rs. Circular del ministerio de la Gobernación de la Pe Doscientas veinte y dos medias, tres celemines de tierra nínsula. en término de la Riva, en 21,935 rs. - r «Habiendo…</t>
  </si>
  <si>
    <t>Arguelles, Tosef Canga</t>
  </si>
  <si>
    <t>Tosef Canga Arguelles</t>
  </si>
  <si>
    <t>…apovo délas facultades de Itt auto cule. == Está rubricado de la Real mano. = En Palacio á 4 ridad civil, entre otros el de" que ya en tiempo deCários m, de Setiembre de 1820.=: A D. Tosef Canga Arguelles. MADRID EN LA IMPRENTA NACIONAL.</t>
  </si>
  <si>
    <t>Arguelles.'', Agustín</t>
  </si>
  <si>
    <t>Agustín Arguelles.''</t>
  </si>
  <si>
    <t>…-francés, que iban embarcados en la flechera. Los enemigos, ■ tendido , y dispondréis lo conveniente á su cumplimientos viendo muertos e-tos gefes, se acobardaron de tal modo, • A D. Agustín Arguelles.'' que sufrieron igual suerte en sus dos terceras parres , y la . El Rey se ha servido nombrar capitán general de Cas- acción fue inmediatamente decidida, quedando.en nuestro lilla [a Nueva al teniente general D. Ratnon de Viilaiba, poder la flechera, y muerto d…</t>
  </si>
  <si>
    <t>Arguelles.’’, Josef Canga</t>
  </si>
  <si>
    <t>Josef Canga Arguelles.’’</t>
  </si>
  <si>
    <t>…acuerdo cotí el Congreso. Naciotíal resuelva lo conveniente. Tendreislo entendido, y .ló comunicareis á quienLcór— responda. = Está rubricadq. := Palacio 21 de Abril de 1820. == A D. Josef Canga Arguelles.’’ . .. i 1 3.a ,,Una vez abolido el tribunal de la inquisición por mi decreto de ,9 de Marzo último, he resuelto, de acuerdo con la Junta provisional, que ctsen, según decretaron las Cortes en 2 2; de Marzo de 1813, los derechos qué con el título de Inquisición…</t>
  </si>
  <si>
    <t>Arguello, Agustín</t>
  </si>
  <si>
    <t>Agustín Arguello</t>
  </si>
  <si>
    <t>…se erigiese en dicha ciudad de ciertos derechos sobre los referidos.granos. sede episcopal. El Sr. Solanoty individuo de la comisión de Agricultu A la de Infracciones una queja de D. Agustín Arguello, ra, en voto separado opinaba que nó debia accederse á la vecino de Granada, en Gcatemala, contra el capitán O. Jo- solicitud, pues solo el cargamento.de los 53 buques á que sef Bustamante y Guerra sobre sus procedimientos en el ex se referia esta , sin conta…</t>
  </si>
  <si>
    <t>Argumosa, Remigio de</t>
  </si>
  <si>
    <t>Remigio de Argumosa</t>
  </si>
  <si>
    <t>…rio ros correspondientes partes que diariamente ha de con fiscaltinuarle de la causa el V. \ de Cádiz■ - &gt; ■ sóbre- el estado de' ella. - . L»t'U - ii t.. 1 *,1* »0* Por salida de D. Remigio de Argumosa y del baron de Castiel ^oficiales de'la secretarla’"de Estado, á otros destinos, ha venido el Rey en nombrar para una de las vacantes á D~ Antonio María Alcalá Galiáno, en atención á sus distinguidos méritos; y resuelto quede la otra suprimida.</t>
  </si>
  <si>
    <t>Ari</t>
  </si>
  <si>
    <t>Gaceta de Madrid n.º 29</t>
  </si>
  <si>
    <t>…sistema mas conforme á la prosperidad de mis pueblos. Tendreisloentendido, y dispondréis su puntual cumplimiento.=rRu bricado de la Real mano. = Palacio 24 de Noviembre de 1819.=A D. Ari^ 'tomó González Salmón.’* ' ! i ‘ Con motivo del fallecimiento de S.: M. Jorge 111, Rey del Reino-Unídó de la Gran Bretaña é Irlanda , Ha resuelto el Rey nuestro Señor que la corté vísta dé luto i 1 días rigoroso y 10 de alivio, á contar desde el de hoy. • T/…</t>
  </si>
  <si>
    <t>Ari'pe, Ramos</t>
  </si>
  <si>
    <t>Ramos Ari'pe</t>
  </si>
  <si>
    <t>…tarios- de Cortes, do los arteros, comunicando el Gobierno las órdenes conA fin de que en el dia no se cargue tampoco.' •vchlen.es para ello. , - &gt; :.¡ Se leyó una proposición déj Sr. Ramos Ari'pe hecha á , '■ El Sr. Cas: ritió en el supuesto de que para hacer el Con las Cortes anteriores para que se designe el tiempo que pue-; greso observar las leyes, debia empezar por observarlas; y dan estar incomunicados los presos, la cual se inundo pasar atendie…</t>
  </si>
  <si>
    <t>Ari-pe, Ramos</t>
  </si>
  <si>
    <t>Ramos Ari-pe</t>
  </si>
  <si>
    <t>214</t>
  </si>
  <si>
    <t>…misiones de Ultramar, y hospi Bárona, en que le acusaba de infractor de la Cons iiucion. cio del Puerto de Sta. María. A la primera de Legislación una exposición de las villas El Sr. Ramos Ari-pe, deseando mayor extensión en el de Sta. Eufemia de Mo: gas y la de Suso, en la diócesis de presupuesto, pidió al ministro de Ultramar, para proceder Tuy, quejándose del dominio opresor del monasterio de con acierto, algunas explicaciones acerca de la planta d…</t>
  </si>
  <si>
    <t>Arias, Agustin de</t>
  </si>
  <si>
    <t>Agustin de Arias</t>
  </si>
  <si>
    <t>…en cretario de Hacienda, relativo á que habiendo las Cortes virtud del examen de las representaciunes de los facultativos señalado sobre los fondos públicos el premio de una casa D. Agustin de Arias v: D. Francisco Cos, vecinos de Bar en-Málaga y tincas que produjesen 82» rs. de renta anual celona, y del colegio de cirugía-médica de S. Carlos de esta en favor de D. Pablo López, conocido por el Cojo de corte. La comisión , en vista de estas representacion…</t>
  </si>
  <si>
    <t>Arias, Antonio Sandalio de</t>
  </si>
  <si>
    <t>Antonio Sandalio de Arias</t>
  </si>
  <si>
    <t>…a de protección dei Museo de Ciencias ha tomado ya todas las disposicio nes necesarias para dar principio á la indicada obra. El profesor de agricultura del Real Museo de Ciencias D. Antonio Sandalio de Arias dará principio á sus lecciones en el Real Jardín botánico de esta corte el dia 8 del presente mes de Enero á las cuatro en punto de la tarde, y las continuará los martes, jueves y sábados de cada semana. Se advierte que no se darán certificaciones de haber ga…</t>
  </si>
  <si>
    <t>Arias, D' Juan García</t>
  </si>
  <si>
    <t>D' Juan García Arias</t>
  </si>
  <si>
    <t>Gaceta del Gobierno n.º 17</t>
  </si>
  <si>
    <t>…de 1500 rs. anua V. para su inteligencia y gobierno.” les, con obligación de asistir á los pobres sin estipendio. Se ad miten memoriales por el mismo término. Por providencia del Sr. D' Juan García Arias, juez d- Los suscriptores al Curso de política constitucional de Mr. primera instancia, que de Real orden conoce de la causa Benjamín Constant, con observaciones sobre España, que no hu formada con motivo de la publicación del peri 'dico titula biesen acudido…</t>
  </si>
  <si>
    <t>Arias, Jtian García</t>
  </si>
  <si>
    <t>Jtian García Arias</t>
  </si>
  <si>
    <t>…publicidad tan negra imputación, re— ANUNCIOS. Íarandoecha á fasde virtudeseste modo,civilesen cuantoy militaresles eradelposible,Sr. conde.la ofensa En virtud de providencia del Sr. D. Jtian García Arias, Asi lo ofrecieron con la indemnización de costas en el juez togado de primera instancia de esta muy heroica villa, s¿ acto de conciliación, en que no se conformó el ofendido; hace saber por medio de este periódico á-todos los que se con-r y arí lo repitieron…</t>
  </si>
  <si>
    <t>Arias, Juan García</t>
  </si>
  <si>
    <t>Juan García Arias</t>
  </si>
  <si>
    <t>…vacante la escuela de primeras letras en la villa de res Navas y Palarea, á petición del juez de primera instan Algete, distante cinco leguas de esta corte. Su dotación es dé cia D. Juan García Arias , permiso para acercarse á dar al 12 rs. diarios, pagados mensualmente por el ayuntamiento, casa gunos informes en la causa seguida cbntra ios que prendie y de 8 i 9 rs. también diarios, que produce la cuota señalada ron en el café de Lorendni. á los niños qu…</t>
  </si>
  <si>
    <t>…entos mas importantes y útiles al bien público que existen en aquellas capitales, ha presenta ANUNCIOS. do al Gobierno para su aprobación , y va á publicar muy Por providencia del Sr. D. Juan García Arias, juC2 togado pronto el reglamento de una compañía nacional de seguros de primera instancia en esta muy heroica villa, se ha mandado mutuos contra incendios, fundada sobre iguales bases que citar, llamar y emplazar por este periódico y término de 20 la primera…</t>
  </si>
  <si>
    <t>Arias, Juan Garcia</t>
  </si>
  <si>
    <t>Juan Garcia Arias</t>
  </si>
  <si>
    <t>…s temporalidades si fuese la sentencia que dice asi: o. eclesiástico. Las cantidades señaladas serán dobles en Ul «En la villa de Madrid á'27 de-Agosto' de 1820: el señor tramar.” D. Juan Garcia Arias, juez letrado de primera in'tahcía' en Después de haberse opuesto á él los Sres. Canabal, Za esta corte, habiendo Visto esta causa, éoru aristénciñ del pata y La Santa, creyendo que se coartaba la libertad de abogado defensor de D.Juan Bauíisra dé Campos, réo…</t>
  </si>
  <si>
    <t>…virtud de acuerdo del Consejo de Estado comercio. no se admitirán memoriales pasado el término prefijado. 4.0 «Serán también habilitados para el comercio nacio Por providencia del Sr. D. Juan García Arias, ministro nal y extrangero de entrada y salida los puertos en Pasa honorario de la audiencia territorial de Castilla la Nueva, ses, Deva, Bermeo, Castrourdiales, Vilíaviciosa, Riva- y juez de primera instancia en esta corte, y previa califica desella, Carril,…</t>
  </si>
  <si>
    <t>…l colegio mayor de Chlo se ha trasformado ya en una procederá á la cancelación solicitada. especie de universidad europea. El joven Ambrosio Argentis, En virtud de providencia del Sr. D. Juan García Arias, que apenas raya en los 17 años de su edad, alumno di: este co juez togado de primera instancia de esta M. H. villa, se cita, legio, acaba de publicar un discurso sobre la navegación, en llama y emplaza, por término de 30 di;\s primeros siguientes á el cual e…</t>
  </si>
  <si>
    <t>Arias, Pedro Díaz</t>
  </si>
  <si>
    <t>Pedro Díaz Arias</t>
  </si>
  <si>
    <t>…menes en la iglesia de nuestra Señora de Palomares, adon—' de concurrieron los cabildos eclesiástico y secular y un numeroso concurso de ambos sexos. Presidieron el acto los Sres. D. Pedro Díaz Arias, cura párro co, y D. Diego Lorenzo Lerena, alcalde constitucional de esta villa; y ha biendo dado los alumnos las-mayores pruebas de sus rápidos adelantamientos, se^concluyó tan plausible actó.á las seis de la tarde con la adjudicación de premios: 12 de ellos…</t>
  </si>
  <si>
    <t>Aris, Ramos</t>
  </si>
  <si>
    <t>Ramos Aris</t>
  </si>
  <si>
    <t>Gaceta del Gobierno n.º 127</t>
  </si>
  <si>
    <t>…á los acreedores ultramarinos , po cuyas variaciones se aprobó esta declaración. día disminuir las esperanzas de los europeos, por lo que si Se aprobó también esta indicación del Sr. Ramos Aris se convenian sus autores podría sustituirse otra , que habia él pe: «En el paréntesis después de las palabras que no sean pensado extender al fin del proyecto , consultando antes con hospitales en ejercicio de enfermería, se añadirá, 6 de los Sres. americanos…</t>
  </si>
  <si>
    <t>Arismendi, Roque</t>
  </si>
  <si>
    <t>Roque Arismendi</t>
  </si>
  <si>
    <t>…sión conveniente que, sirviendo te del dictamen : la comisión es de parecer que á las viu de garantía todas las rentas del Estado, se destinase una en das de estos tres oficiales (D. Roque Arismendi, D. Feli particular, cuyos productos no tengan otra inversión que pe Charneco y D. Juan Domingo Tirado, muertos en el el pago de estos intereses: otras Naciones mas acreditadas campo de batalla ) se Ies debe asignar íntegro el haber que la E&gt;paña suelen hacer…</t>
  </si>
  <si>
    <t>Arispc, Ramos</t>
  </si>
  <si>
    <t>Ramos Arispc</t>
  </si>
  <si>
    <t>…dique al torre»te desenfrenado de La comisión de Ultramar, enterada de las indicaciones obras impías y obscenas que se han introducido en España de los Sres. Cepero y Palarea, del Sr. Ramos Arispc, y en estos últimos tiempos, y que tan perjudiciales son á'la del artículo adicional del Sr. Fondeviía , relativo todo á la juventud. amnistía de disidentes de América, que se le habían pasa El Sr. Freí re apoyó al Sr. Calatrava, suponiendo no ser do en 18 de…</t>
  </si>
  <si>
    <t>Arispe</t>
  </si>
  <si>
    <t>…cuti versión y sedición producirán, acción popular, y cualquier do ; y habiéndose declarado que lo estaba , á petición del español tendrá derecho para denunciar á la autoridad com Sr. Arispe se votó el artículo por partes,y quedó aprobado petente los impresos que juzgue subversivos ó sediciosos.” en su totalidad. Pasado á la votación, quedó aprobado. El Sr. Priego presentó una indicación concebida en estos Art. 33. «En todos los cosos, excepto lo…</t>
  </si>
  <si>
    <t>…y ha mente á pluralidad de votos por el ayuntamiento constitu biéndose declarado el punto suficientemente discutido, el cional de las capitales de provincia dentro de los 15 dias Sr. Arispe propuso que después de las palabras elegidos primeros de su instalación, cesando en este mismo dia los anualmente á pluralidad se añadiese la de absoluta j cuya jueces del año anterior, los cuales podrán ser reelegidos.” indicación se aprobó, é igualmente el…</t>
  </si>
  <si>
    <t>…o, por lo que acudía á las Cortes solicitan sejo de Ordenes , y en vista de que aparecían en él desvane do esta gracia cidos todos los cargos de la acusación, opinaba que debia El Sr. Arispe tomó la palabra , y manifestó que era muy mandarse á la ¡unta nacional del Crédito público repusie justo lo que pedia el Sr. Cevallos ; v que aunque no había se al referido Coronado en dicho empleo de contador de sido extensiva .1 las provincias de América la…</t>
  </si>
  <si>
    <t>…ó dificultades que ofrezca la pun sultase criminal; en segada quedó aprobado, habiéndolo tual observancia de esta ley. 2.a Dar cuenta á las Corres hecho por partes á petición del Sr. Arispe. de las quejas que presente cualquier autor ó editor en ¡os Se aprobó también el 65 , que decía: casos prevenidos en el artículo 5.0 3.a Presentar á las Art. 65. «Si el impreso hubiese sido declarado criminal, Cortes al principio de cada legislatura una expos…</t>
  </si>
  <si>
    <t>…as ritu se oponían á la Constitución, pues proponia que se adop provincias.” tase un catecismo religioso y otro político, mientras que la Asimismo se pasó la adición siguiente del Sr. Arispe al Constitución prevenia que fue-e un catecismo religioso que art. 11: comprenda una breve exposición de las obligaciones civiles. Que se añada á este artículo lo siguiente , «ó donde y por Los óres. Muñoz Torrero y Martinez de la Rosa manifes quien las diput…</t>
  </si>
  <si>
    <t>…y Ultra El Sr. Sancho, bajo el concepto de que las bases del Cré mar reunidas sobre las proposiciones hechas por el misino dito público debian ser dos, buena fe, v medios para cum Sr. Arispe y el Sr. Michelena para el es abiecimiemo de plir lo prometido , creyó que con el primer arbitrio del ar diputación provincia! en las ciudades de Va.Ldoiid de Me- tículo que se discutía se faltaba á lo primero, pues se obli choacan, y Arispe en Naeva-España,…</t>
  </si>
  <si>
    <t>…reputase por servicio mili ELSr. Golfín, individuo de la comisión, manifestó qne tar 'a entrada que hizo en Pontevedra ai freiré de los pai por su parre adoptaba la indica-ion del Sr. Arispe, susti sanos de Morrazo el &gt; i de Febrero último. .Después de al tuyéndola al dictamen de la comisión. guna dreusion sé mandó pasar á la comisión de Guerra. El Sr. Cepero apoyó ¡-¿lamente !a indicación de! se El Sr. sderetario de Marina remitió u-.a consulta…</t>
  </si>
  <si>
    <t>Arispe, Ramos</t>
  </si>
  <si>
    <t>Ramos Arispe</t>
  </si>
  <si>
    <t>…por tener Se leyó asimismo por primera vez otra del Sr. Muñoz que pasar á Almonacid de Zorita para recobrar su salud. Torrero , reducida á que habiendo felizmente cesado las ra El Sr. Ramos Arispe hizo la indicación de que pasaran zone; políticas que motivaron el decreto de las Cortes de 18 á la comisión de Poderes los de los Sres. Lacasa, Carabade Marzo de 1812 , en que se excluyó de la sucesión á la ña, Miehelena v Bodega, para que viéndolos los suje…</t>
  </si>
  <si>
    <t>…drid, para lo cual presentaría cuatro propo nio en que se acreditaba que la causa- formada contra Iqs siciones. . Sres.-'Galiano y Martínez, diputados por Gua dala jara , sobre El Sr. Ramos Arispe, sin embargo del mérito conocido infracción de Constitución , se habia sustanciado á tu favor. de los vocales de la Junta, se opuso á la indicación dél Se leyó una proposición del. Sr. Magariño, pidiendo se Sr. Martínez de la Rosa, fundado en que la calificac…</t>
  </si>
  <si>
    <t>…ras proposiciones del señor damente se leía en el Diario de Cortes, se aprobó eí dicta Moscoso, no admi idas, manifiesto mi voto en contrario;” men de la comisión.' " ' y otro del Sr. Ramos Arispe, que decia: «habiendo sido mi Se dió -000013 de una consulta atrasada del tribunal su voto contrario á la resolución que ayer tomaron las Cortes premo de Justicia, acerca de si deberían sobreseer los jue respecto de la primera propo icion riel Sr. Moscoso en…</t>
  </si>
  <si>
    <t>…a cantidad. La comisión opinaba que podia apro pués hubieran de tomarse, y á que lo mas urgente era ase barse, por estar arreglado y conforme. gurar fondos. Habiendo preguntado el Sr. Ramos Arispe si se habia El Sr. Istuóz , fundándose en que la Nación se habia tenido presente la memoria del secretario de Ultramar para puesto en posesión de un derecho que nadie pudo quitarle, dar el dictamen . contestó el Sr. Cepero que asi se decia en y que seria un e…</t>
  </si>
  <si>
    <t>…de decreto proyecto leyó firmado por el Sr. Ca- Íirar’urínconfianzapublicó elenautorel medicamento.una relación Ende suunadescubrimiento.carta impresa eri Iatrava, que reclamó el Sr. Ramos Arispe al principio de En la sociedad de ciencias naturales del cantón de Vaud, esta sesión ; y se mandó hacer mención de el en el acra. en la Suiza, leyó poco tiempo hace su individuo Mr. Per— Se leyó una proposición del Sr. Loizaga, para que se ret, doctor en medi…</t>
  </si>
  <si>
    <t>…no en las dos adicione^ de los Sres. Romero Alpuente y greso á cumplir con su cargo, habían pasado al lazareto, Vadillo. donde permanecían desde el 11 de este mes haciendo cua El Sr. Ramos Arispe pidió que para evitar equivocacio rentena. nes se mandase también devolver el tabaco para presentar Quedaron también enteradas de otro, con que remitía le en los almacenes, y todos los efectos embargados. el secretario del Despacho de la Guerra 300 egemplares…</t>
  </si>
  <si>
    <t>…de los nueve que componen el número triple de dipu tratan del modo de formar y seguir las caucas de contra tados. bando en cuanto se hallen en oposición con dichos artículos:’' El Sr. Ramos Arispe, individuo de la comisión de tres 2.a «siendo excesivo el precio del tabaco, pido que se fije este diputados que previene la Constitución para examinar los en el mínimum posible, para que cesando el ínteres del poderes de los cinco que componen la de este nom…</t>
  </si>
  <si>
    <t>…de todos los privilegios particulares exis con el dictamen de la comisión: se pasó á votar este por tentes el día 9 de Marzo de iSao, y de los privilegios ex artes, á petición del.Sr. Ramos Arispe, quedando apro clusivos concedidos á personas y corporaciones existentes el ada la primera por el método común , y la segunda en mismo dia 9 , y esto para que informadas las Cortes de lo votación nominal, á petición del Sr. Bahamonde, por ioo que hubiese en e…</t>
  </si>
  <si>
    <t>…trucción á los jueces del Diario de Cortes se diera un extracto para la gaceta. El acerca de este y otros artículos, medida que había ya. indi-i Sr. Virorica apoyó esto mimo, y el Sr. Ramos Arispe, cado la junta de Aragón, ó bien una policía de seguridad para evitar que se perdiese el tiempo mas en este asunto , in puramente, ó la distribución de fuerza armada, ó algún dicó que la comisión del Diario instruyera á las Cortes muy otro por fin de los que…</t>
  </si>
  <si>
    <t>…icos y alcaldes constitucionales, cosa res un estado mensual de lo que se adelante en la venta de impropia de un Congreso, y por lo tanto a su parecer las fincas. inútil. Otra del Sr. Ramos Arispe, para que también se que E! Sr. Castrillo tomó la defensa, é hizo ver los motivos men los vales amortizados desde el año de 18 rj hasta hoy, que habia tenido la comisión para dictar aquellas medidas. transcurrido el término que fije la junta del Crédito pú lJ…</t>
  </si>
  <si>
    <t>…l augusto Congreso derechos que debían cobrarse en la secretaría del consejo de nacional. Este suceso inmortal, tan suspirado, de los buenos Estado, reclamado anteriormente por el Sr. Ramos Arispe. como la serenidad después de una horrible tormenta, ha A la ordinaria de Hacienda otro relativo á extinción de elevado á la generosa Nación española al mas alto grado de juntas protectoras de montes pios del Ministerio y de Ofi gloria, y confundido la malici…</t>
  </si>
  <si>
    <t>…ra del Sr. Lasanta para que se pidiera á los Se leyó el acta de la anterior, á la que se mando agre M. RR. arzobispos, RR. obispos y demas prelados secu gar el voto particular del Sr. Ramos Arispe, Contrario-a lo lares y regulares una noticia de los establecimientos piado determinado por las Cortes, respecto del modo de extender sos, número de sus individuos, sus rentas y bienes, calidad el decreto relativo al plan de instrucción pública. y valor de es…</t>
  </si>
  <si>
    <t>…dió en la sesión del 4 con otros fines. del corriente, y cuya discusión estaba señalada para hoy. Satisfizo el Sr. ministro de la Gobernación de Ultramar La comisión proponía: al Sr. Ramos Arispe, exponiendo que no habia querido 1. ' Siendo justo que los hospitales General y de la Pa proveer todas las plazas de la secretaría conforme á la plan sión no padezcan menoscabo por los derechos que adeudan ta dada por las Cortes, porque 110 hay aun suficiente…</t>
  </si>
  <si>
    <t>…pañol. •vacante esta plaza, patá-la que se admiten memoriales por No se admitid otra del Sr. Camus pidiendo q e la adi .término de 30 días. Palacio 18 de Agosto de 1820. ción dei Sr. Ramos Arispe sobre misiones , se extienda solo á la América , y no á Filipinas, donde no hay tales cole Lista segunda comprensiva de las fincas consignadas gios de Propaganda fiide. á la extinción de la deuda nacional por decreto de La comition del Diario de Cortes presen…</t>
  </si>
  <si>
    <t>…S. Fernando, en que pedia se le concediera el uso del color sarias, no siendo empleados en otra sus individuos : otra verde en las escarapelas y banderas; comunidad de pastos del Sr. Ramos Arispe, dirigida á que la comisión de Orga con los pueblos inmediatos; que habiéndose hecho acreedora nización del egcrcho se dedicara exclusivamente á su traba por muchas razones, se la igualara en los derechos de co jo , convocando de fuera á los sugetos cuyas luc…</t>
  </si>
  <si>
    <t>…año de 1813 á la Regencia del reino, cuando pidió que er* tendido en el asunto, se mandó pasar la siguiente adición uso de las facu! ades que les concedía la Constitución sus del Sr. Ramos Arispe (después de algunas observaciones del pendieran las formalidades prescritas por la misma para la Sr. Sancho sobre la dificultad de cumplir lo que se pedia, administración de justicia en el 3rt. 287; respuesta muy con contestadas por los Sres. Zayas, Romero Al…</t>
  </si>
  <si>
    <t>…en aquella ocasión y asi lo acordaron las honra de presentarse .1 S..M., el cual je ha recibido con Cortes. aquella bondad propia de su carac.er. A su tránsito por las Reclamó el Sr. Ramos Arispe un artículo adicional á calles recibi &gt; de todo el pueblo los mayore? a pía jsos , err este reglamento, hecho por varios Sres. americanos ; con cu prueba del reconocimiento y estimación que inspiran sus yo motivo, después de algunas ccntestucionc: entre aquel…</t>
  </si>
  <si>
    <t>…Después de re cierto carácter reprensible &amp;c.,” decreta: comendar el zelo de su autor, se leyó el proyecto, que á art. i.° «Se prohíbe todo corrillo y toda reunión en petición del Sr. Ramos Arispe, y con la mira de que separages públicos bajo pretexto de serenada ó cualquiera otro. despachara con brevedad , por ser asunto de tanta importan art. 2.0 «Se encarga á los empleados de policía que ha cia, se mandó pasar uno y otro á una comisión especial,cien…</t>
  </si>
  <si>
    <t>…adanos á hacer una cosa para la que últimas de él, y quedó reformado después de haberse manda tienen un derecho. Ademas, que si le tienen todos á que se do añadir á instancias del Sr. Ramos Arispe la adición del respete su libertad , del mismo modo deben todos concurrir Sr. Cuesta «cuando sean interpelados por ellas” en los tér á privar de la suya á cualquiera que comete un crimen. Di minos siguientes: jo también que era necesario ir acostumbrando .1 t…</t>
  </si>
  <si>
    <t>…de Vicuña.” pleto olvido de todo lo pasado, y con este motivo propo nia un proyecto de ley comprensivo de seis artículos. £1 F" bergantín de guerra nombrado Voluntario, correo de Sr. Ramos Arispe pidió que se señalara un término breve la armada nacional, que salió de Cádiz para Ultramar en 8 para la discusión , pues que esta resolución debia ser el iris de Setiembre del año próximo pasado, ha entrado de re de paz que contribuyese del modo mas directo…</t>
  </si>
  <si>
    <t>…mismo al Sr. Martínez de la Rosa; para la de cedilfa. Ultramar al Sr. Fagoaga en lugar del Sr. Couto; para la Quedaron las Cortes ¡enteradas de los egemplares remi Eclesiástica al Sr. Ramos Arispe en lugar del mismo ; para tidos por el ministerio de la Gobernación de la Real orden la de Bellas artes á los Sres. Priego y Cepero; para la de ara que los prelados eclesiásticos-se arreglen en la prohiBiblioteca á los Sres. Giraldo, Desprat y Liñan, y para l…</t>
  </si>
  <si>
    <t>…la. que se establezca para la entrada: en la 2.a se notará el va Se leyó la indicación del Sr. Puigblanch á petición del lor de la unidad de cada artículo contribuyente: en la 3.* Sr. Ramos Arispe, quien manifestó la habia aprobado en el el tanto por too que debe contribuir; y en la 4.a la canti concepto de no tener tanta extensión como acababa de co dad fija del derecho que haya de pagar el género por la uni nocer ; y por último se acordó suspender la…</t>
  </si>
  <si>
    <t>…ue al retirarse marcharon cantando himnos patrióticos. dos que fallaron en un pleito que citaba. Por la tarde hubo novillos: y en la del día 21 sa Se leyó la siguiente adición del Sr. Ramos Arispe a! ar lieron dos comparsas ricamente vestidas, la una de á pie y tículo 3." de amnistía discutido ayer: »y continuándoles Ja otra de á caballo, representando esta las provincias , cu el Gobierno hasta que se les proporcione embarque, las yo nombre llevaba cad…</t>
  </si>
  <si>
    <t>372</t>
  </si>
  <si>
    <t>…tamen de las comisiones S. M. ha despachado hoy con el Sr. secretario del Des de Guerra y' Ultramar, las que en vista de la indicación del pacho de la Gobernación de la Península. Sr. Ramos Arispe para que se señalara la cuota de los em pleos que debieran beneficiarse en la milicia rural erigida en CORTES. la isla de Cuba, proponían que para los de alférez ó subte niente se lijara en 800 ducados , para los de teniente en i9, Sesión ordinaria del 23 de…</t>
  </si>
  <si>
    <t>578</t>
  </si>
  <si>
    <t>…era bien sabida del Gobierno toda la doctrina ver ciones del Sr. Canabal, se aprobó este artículo con una adi-; tida por el Sr. preopinante; pero que no podría este desco cion del Sr. Ramos Arispe, concebida en estos términos; nocer la capitulación vergonzosa que hay que hacer mu «La que comenzará á disfrutar desde el día en que acredite’ chas veces con las preocupaciones de los hombres , y lo di ante el mismo Gefe político haber pedido su secularizaci…</t>
  </si>
  <si>
    <t>…n, dijo que se oponía comprobaba con cinco expedientes que remitía al mismo absolutamente á que parase al Gobierno. tiempo. Eí Sr. Navas apoyo la indicación, diciendo que nunca Él Sr. Ramos Arispe dijo que cuando se dio cuenta de habían sido los regulares dueños de las pose'iones que dis la exposición que se citaba en el oficio se creyó el asumo frutaban. y que por lo tanto no podían venderlas, tanto tan urgente, que se creó una comisión especial para…</t>
  </si>
  <si>
    <t>Aríspe, Ramos</t>
  </si>
  <si>
    <t>Ramos Aríspe</t>
  </si>
  <si>
    <t>…a , reproduciendo algunas razones de las ale pedia se imprimiesen á lo menos los artículos que proponía gadas por el Sr.-Valle dijo, que no poáia dejarse de mirar *la comisión. El Sr. Ramos Aríspe añadió, que siendo corto . la cuestión bajo el riguroso aspecto de la justicia, pues los el dictamen de la comisión podía imprimirse, dejando los poderes de los Sres. diputados no les permitían separare de estados v observaciones que le acompañaban sobre la m…</t>
  </si>
  <si>
    <t>…tendencias de Ultramar de los gobier La" comisión opinaba que erando ya dictadas las providen nos y mandos militares. cias necesarias para impedir ¡os danos que los ganados pue Él Sr. Ramos Arispe presentó dos indicaciones, redu den causar en las tierras , no debió preceder juicio de con cidas la prl7nsra á que el Gobierno exponga si asi como ert ciliación, como en efecto no precedió; por lo cual no de la secretaría del Despacho de Hacienda habia un de…</t>
  </si>
  <si>
    <t>…ando se hiciese mención honorífica de Bervick sobre la po'C'ien uel vafe de la l'fioma, .1 causa en el diario v actas. de su mucho volumen y nrave coste Je su trasporte. La co ]-| Sr. Ramos Arispe pidió, que «e apresase la comisión misión era de dictamen que no debia accedería a esta expo de Ultramar á la que debía examinar la circular de 22 de sición. Setiembre , sepun habia pedido el Sr. Michelcna ; y se acor- Igual resolución se dio a! dictamen de l…</t>
  </si>
  <si>
    <t>también los libros elementales qne se destinen á ella.” Sr. Ramos Arispe dijo qne debía concederse á las diputa Se aprobó sin discusión el art. 3.°, que decía: ciones provinciales la facultad de señalar maestros á las po 3. «La enseñanza pública será gratuita." . blaciones de corto vecindario , con tanta mas razón que en Leido el…</t>
  </si>
  <si>
    <t>….......... 224.507,286. ción del Sr. Montoya; por lo que opinaba no debia apro 5.023,036. Recompensas de oficios ena- barse. genados............................... 250.000,00c. El Sr. Ramos Arispe expuso que el autor no debia li 937,500. Dote del Infante D. Pedro... 30.000,000. mitarse á los diputados de Cortes, como parecia que lo ha 2.750,311. Créditos y censos de Felipe v. 180.223,60 2. cia , diciendo que su adición era dirigida á ampliar la del 61.…</t>
  </si>
  <si>
    <t>…: «Que después de hospicios, ca de aquellos pait es para su extinción. Después de algunas con sas de expósitos y educación , se añada : «que cumplan con testaciones se conformó el Sr. Ramos Arispe, á nombre de el instituto de su fundación.” los dornas aurores de la indicación, en suspenderla para que Se mandaron pasar A la comisión las siguientes; se propusiera sobre el particular lo mas conveniente. Una del Sr. Gisbert: «Pido al Congreso se sirva man*…</t>
  </si>
  <si>
    <t>…ha decretado con arreglo á las del producto en venta de los bienes nacionales, que preci bases militares." samente se ha de pagar en créditos con'olldados, en cuan A petición del Sr. Ramos Aríspe se presentó el dicta to quepan en el impone de cada remate.” men de las comisiones de Diputaciones provinciales y Ultra El Sr. Sancho, bajo el concepto de que las bases del Cré mar reunidas sobre las proposiciones hechas por el misino dito público debian ser…</t>
  </si>
  <si>
    <t>…intendentes dirijan al Hacienda un oficio del ministro de Gracia y Justicia, en Gobierno todas las observaciones que tengan por oportunas que, á consecuencia de una indicación del Sr. Ramos Arispe, sobre las variaciones que deben hacerse en los puntos seña aprobada por las Cortes, remitia la planta de la secretaría lados oara Las aduanas y contraregistros de sus respectivas de su cargo, con separación de departamentos para la Pe provincias, á fin de qu…</t>
  </si>
  <si>
    <t>…creto de las Corres acerca de matrículas compren cierto-, y por lo tanto debía castigarse A los infractores de día á las provincias de Ultramar, donde estaban abo idas. la ley. El Sr. Ramos Arispe extrañó mucho que se dudase , co Disentido el punto suficientemente, se declaró no ha mo parecia , de que los decretos de las Cortes no fuesen ex ber lugar A votar sobre el dicamen de la comirion , y re tensivos A Ame'ricn, y manifestó que en México se habia…</t>
  </si>
  <si>
    <t>Arizon, Salvador</t>
  </si>
  <si>
    <t>Salvador Arizon</t>
  </si>
  <si>
    <t>…. Juan Maiia Abello, subteniente »&gt;El Rey se ha servido extender á todos los súbdiros de dicho cuerpo. extrangeros el indulto concedido últimamente con motivó Parecer del teniente coronel D. Salvador Arizon, capi del restablecimiento del régimen constitucional á los anglo tán de caballería de Villaviciosa, sobre el uso de la lanza americanos y franceses hechos prisioneros al servicio de los en dicha arma. insurgentes de Ultramar, ó por causa de participación ac…</t>
  </si>
  <si>
    <t>Árjona, Josef Manuel de</t>
  </si>
  <si>
    <t>Josef Manuel de Árjona</t>
  </si>
  <si>
    <t>92</t>
  </si>
  <si>
    <t>…ino no se hubiese.acudido, se accederá á la solicitud hecha por parte de la misma comunidad, y le parará el perjuicio que haya lugar en justicia. A virtud de providencia del limo. Sr. D. Josef Manuel de Árjona, del Conseja y Cámara de S. M. en el supremo de la Guerra, corregidor de esta muy heroica villa, se'ha mandado continuar la subasta por término de 15 dias * contados desde esta publicación, de una casa sita en esta corte, su calle de Cedaceros, núnv. 14, de l…</t>
  </si>
  <si>
    <t>Arndt</t>
  </si>
  <si>
    <t>…l. tiva sobre está causa; pero las órdenes del Soberano se han En Alemania ha causado una viva sensación la separa egecutado con una severidad y crueldad sin egemplo. los ción del profesor Arndt en Bonn , el cual contribuyó con promotores, los defensores, los inocentes y los culpables* sus escritos, juntamente con Mr. Goerres, á sublevar la todos han sido interrogados y á todos se les ha aplicado la Alemania contra el yugo de los extrángeros. pena. A…</t>
  </si>
  <si>
    <t>Arnedo</t>
  </si>
  <si>
    <t>…Moscoso reprodujo Se leyó también, y se mandó pasar á las comisiones de las observaciones que había hecho en el día 27, oponiéndose Guerra y Hacienda, la siguiente indicación del Sr. Arnedo: al precio señalado de 80 reales. Refutándole el Sr. Moreno »*Que la comisión ó comisiones á quienes pase la citada me Guerra defendió el dictamen de la comisión , á hizo pre moria (primer proyecto de decreto del ministro de ¡a sente que con la pérdida de tie…</t>
  </si>
  <si>
    <t>…isioneros para las armada D. Cayetano ValJés, he venido en nombrarle para provincia de Asia que existe en Valladolid &amp;c.” desempeñar el encargo de Secretario del Despacho de la El Sr. Arnedo hizo una indicación, que no fue admitida Guerra. Tendreislo entendido, y lo comunicareis á quienes á. discusión, para que el colegio de Valladolid, existente corresponda para su cumplimiento. = Está rubricado de la en la Península, quedase en todo lo directiv…</t>
  </si>
  <si>
    <t>3.a »Los de las milicias provinciales 4.167,413 rs. y 9 guntó el Sr. Arnedo sí estaba aprobada su planta; y habien maravedís. do contestado el Sr. -Yandíola que no, dijo aquel que con 9.a "Los de colegios y academias militares 936,564 rs. ceptuaba debia.preceder la aprobación. 10. «Los descuentos de monte pío, 4 por loo é invá Con es…</t>
  </si>
  <si>
    <t>…edió á esto, y se aprobó en su Habiendo hecho presente la secretaría la duda de si es tota.idad. tando publicada la nueva ley sobre vinculaciones, debería Se leyó la-siguiente del Sr. Arnedo: «Que no solamen pa&gt;ar al Gobierno los expedientes que existían solicitando te pierdan los 69 ev-diputados los empleos, pensione', dig permiso para vender lincas vinculadas , se acordó asi. nidades y demas gracias que obtuvieron desde el año 14 Continuó de'pv…</t>
  </si>
  <si>
    <t>ArneJo</t>
  </si>
  <si>
    <t>…er, ministro de la Gobernación A la comisión de Hacienda se pasó una exposición de de Ultramar, Bahamonde y Ramos Arispe, de la cual varios comerciantes de cera, presentada por el Sr. ArneJo, resultó que no debia tratarse sino de uno solo de los privi -relativa á que se moderen los derechos impuestos á este legios de la compañía, A saber, del de que hablaba el arti -género. culó', y era mas ruinoso que todos los demas anulados por , A la misma se…</t>
  </si>
  <si>
    <t>Arr</t>
  </si>
  <si>
    <t>Gaceta del Gobierno n.º 96</t>
  </si>
  <si>
    <t>…o de estos requisitos se cas Se leyó la minuta de decreto sobre regulares; y se hizo tigará como la omisión absoluta de el!o-c. presente por la secretaria que se habia oficiado al secretario Arr. 29. «Los impresores de obras ó escritos en que fal ae Gracia y Justicia , á fin de que señalara S. M. dia y hora ten los requisitos expresados en el artículo anterior serán para recibir una diputación que llevase el referido decrcro á castigados con ;o ducad…</t>
  </si>
  <si>
    <t>Gaceta del Gobierno n.º 142</t>
  </si>
  <si>
    <t>…íses que se H habian los primeros generales encargados del mando de las tropas reunido , lian celebrado el'siguiente convenio: de nuestro egército en Italia con el general en gefe barón Arr. i.” «Las tropas se situarán fuera de la ciudad en de Frimont, esperando las órdenes ulteriores que deben re los cuarteles que S. E. el lugar-teniente general renga á bien cibir. Son falsas las voces de que nuestro egército ha tenido designar, y se le entrega…</t>
  </si>
  <si>
    <t>Arr, Felipe</t>
  </si>
  <si>
    <t>Felipe Arr</t>
  </si>
  <si>
    <t>700</t>
  </si>
  <si>
    <t>…ara la común inteligencia. Se halla de venta en.la librería de Pcrez, calle de las Carretas. Su pre* cío 6 rs. en rústica. Reflexiones de un español, dirigidas á S. M por mano del general D. Felipe Arr co Agüero, sobre la situación actualde los afrancesados. Se hallará en la librería dé Paz, frente.á las Covachuelas, y en Ia!de Sojo, calle dé las Carretas* Él Apagador. Núm. i * Papel en que bajo una ironía fina se atacan todos los vi cios y preocupaciones'q…</t>
  </si>
  <si>
    <t>Arrabal, Luis</t>
  </si>
  <si>
    <t>Luis Arrabal</t>
  </si>
  <si>
    <t>…mudes . término de Ur Perabeles. zante, en S92 rs. Don Miguel Palacio; D. Gregorio Camarero, segundo Otra viña , plantado joven, en .el mismo campo , de 7 alcalde, constitucional; D. Luis Arrabal, D. Santos Aboin robos y 4 almuaes, término del mismo pueblo de Urzante, Coronel, D. Eusebio Iglesias, D- Pedro Espina y D. Josef en 3 91; rs. . . . Perez, regidores y miembros del ayuntamiento ; D. Joa Otra viña, también joven, en Calchetas y los Sábados,■ q…</t>
  </si>
  <si>
    <t>Arranz, Tomas</t>
  </si>
  <si>
    <t>Tomas Arranz</t>
  </si>
  <si>
    <t>…r é ilustre ayuntamiento,, curas párrocos, y asistencia de muchas personas, se verificó un examen publi co de los niños de la escuela de esta villa bajo la dirección de su maestro Don Tomas Arranz, teniente de infantería. Los niños presentaron en priiqer lugar un número considerable de cuadernos de planas, en las cuales se admiró ge neralmente la limpieza, la claridad, igualdad y demás cualidades que deben, acompañar á la buena escritura. En seguida fu…</t>
  </si>
  <si>
    <t>Arrauté, Francisco</t>
  </si>
  <si>
    <t>Francisco Arrauté</t>
  </si>
  <si>
    <t>…do citar* iiamar; y.emplíizat á los parientes, hermanos y-demás' personas que tengan derecho á. los bienes quedados por fallecimiento de Doña Josefa de Gondovía, difunta, viuda de D. Francisco Arrauté, y natural de la villa de Monforte de Lernus, en el reino de Galicia, comparezcan dentro del término de 30 días, contados desde el 2 del presente mes de J unió, por sí ó:por medió de procu radores coi) poder bastante , á decir y exponer el. derecho.que les as…</t>
  </si>
  <si>
    <t>Arriaga, Termin Antonio</t>
  </si>
  <si>
    <t>Termin Antonio Arriaga</t>
  </si>
  <si>
    <t>…su escribano de número, ,se cita., llama y emplaza 4 D. Melchor de Urra, D. Antonio (^onsez Villaboa, Don Joaquiq;txaniza de Vitoria, D. Josef Antonio Arriba, D. Diego Gastambide, Don Termin Antonio Arriaga, D. Antonio Lázaro y Pozo, D. Pablo González, Don Francisco Xavier Guerra Balboa, D Juan de la Torre, D. Mariano Mamar, Don Juan Pió Jaén, D. Manuel Vacas y Pinilla y los señores Balmaseda ¿ hijo, últimos tenedores de 37 vales, citación de fi.° dc Enero de 18…</t>
  </si>
  <si>
    <t>Arriba, Josef Antonio</t>
  </si>
  <si>
    <t>Josef Antonio Arriba</t>
  </si>
  <si>
    <t>…villa, refrendada de D. Feliciano.del Corral, su escribano de número, ,se cita., llama y emplaza 4 D. Melchor de Urra, D. Antonio (^onsez Villaboa, Don Joaquiq;txaniza de Vitoria, D. Josef Antonio Arriba, D. Diego Gastambide, Don Termin Antonio Arriaga, D. Antonio Lázaro y Pozo, D. Pablo González, Don Francisco Xavier Guerra Balboa, D Juan de la Torre, D. Mariano Mamar, Don Juan Pió Jaén, D. Manuel Vacas y Pinilla y los señores Balmaseda ¿ hijo, últimos tened…</t>
  </si>
  <si>
    <t>Arrie-</t>
  </si>
  <si>
    <t>2; 9 Nn admitió A discusión tifia indicación del Sr. Arrie- a los malhechores. Este último proyecto di &gt; lugar á una da . dirigida á que mientras en los días de labor se ■vean tan discusión sobre si deberiasimprimirse por separado ó en el tos ociosos por no tener quien les dé que trabajar, no se diario de Corres. trat…</t>
  </si>
  <si>
    <t>Arríela</t>
  </si>
  <si>
    <t>…recedente salió pora pa de los hospitales. lacio la diputación de que se ha hecho mérito, en la que 4.0 Que mande el Gobierno al ayuntamiento de Madrid reemplazó el Sr. Cabrero al Sr. Arríela, que no estaba vesti dé á la mayor brevedad una exacta relación de todas las do de ceremonia. .fundaciones y memorias que hay en esta muy heroica villa, Se leyó el dictamen de la comisión especial encargada de así de las que eran de patronato del Consejo Real…</t>
  </si>
  <si>
    <t>Arriera</t>
  </si>
  <si>
    <t>…, se la igualara en los derechos de co jo , convocando de fuera á los sugetos cuyas luces fuesen ne mercio á la ciudad de Cidiz , y que se aprobara su cond te cesarias; y otra del Sr. Arriera pidiendo que rodas las comi ta: se mandó pasar á la comirion especial nombrada para siones que se hallasen muy recargadas se dividieren en dos examinar ios asuntos de [a- diputaciones provinciales, y que con cinco individuos cada una, y que se reuniesen para…</t>
  </si>
  <si>
    <t>…0, t2r y Jos canónigos de S. Isidro." 123 de la Constitución, relativos á las. formalidades coa Se aprobaron las dos que siguen: que se deben abrir y cerrar las sesiones. Uii3 del Sr. Arriera: «Pido á las Cortes que autoricen Verificado esto, dijo el Sr. ministro de la Gobernactoi» al Gobierno para que por ahora, é ínterin se verifica el arre de la Península: «El Congreso ha oído el oficio, en que se glo general de todas las iglesias de España en…</t>
  </si>
  <si>
    <t>Arrieta</t>
  </si>
  <si>
    <t>…se aprobó el cias y á las fronteras, se deben tomar iguales disposiciones artículo. para sostener los que haya abiertos de;de las capitales de En la discusión del tercero opinó el Sr. Arrieta que se Jos partidos hasta la de su provincia respectiva; y para ha explicara la Constitución con el derecho natural; y ha cer los que falten de esta última clase permitirles á las mis biendo mostrado el Sr. López ( D. Marcial) la diferencia mas diputaciones q…</t>
  </si>
  <si>
    <t>…sobre este punto lo que tuvieren por Ei Sr. Gareli, conviniendo en la necesidad de una refor mas conveniente.” ma , solicitó con el objeto de no chocar con la opinión, y Pidió el Sr. Arrieta que se restableciera igualmente la de que se creyera que se trataba de una extinción total, que cátedra de derecho natural, que fue extinguida por D. Ma se añadiera en el proyecto la palabra yor ahora• Después nuel Godoy, y el Sr. Martel dijo que la comisión…</t>
  </si>
  <si>
    <t>Arrieta, Josef Ignacio de</t>
  </si>
  <si>
    <t>Josef Ignacio de Arrieta</t>
  </si>
  <si>
    <t>204</t>
  </si>
  <si>
    <t>…tian Nevares vincia de Búrgos. de Santoyo y sus incidencias, y especialmente de los formados Se leyó el dictamen de la comisión de Legislación pre en el año de 1/85 á instancia de D. Josef Ignacio de Arrieta, sentado á las Cortes en la sesión del 11 de este mes sobre siendo poseedor actual del mayorazgo titulado de Santoyo, fun la proposición del Sr. Lasanta, relativa á la formación de dado por otro D. Sebastian Cordero Nevares de Santoyo, se códigos. La comisión…</t>
  </si>
  <si>
    <t>Arroyo, Benito</t>
  </si>
  <si>
    <t>Benito Arroyo</t>
  </si>
  <si>
    <t>…0 ídem. En' la Coruñs* . 38668 1000 idem En Madrid. &gt; &gt; : ARTICULO DE OFICIO. El Reí , habiendo conferido por resolución de 29 de Mayó de i8if Iqt honores de comisario ordenador á D. Benito Arroyo, administrador de Ren tas que fue del partido de Baza, los que se le impidieron por habérsele sus citado una causa en el juzgado de Rentas, de la cual ha sido absuelto y de clarado inocente; se ha servido, conceder á esté interesado tos referidos nono^ res pa…</t>
  </si>
  <si>
    <t>Arroyo, Josef Gutiérrez</t>
  </si>
  <si>
    <t>Josef Gutiérrez Arroyo</t>
  </si>
  <si>
    <t>…ESTADO. traordinaria de esta noche, pasándose en seguida, si que dase tiempo, al proyecto de ley de sociedades patrióticas; Puerto-Pico. y levantó la de este día. Por promoción de D. Josef Gutiérrez Arroyo á la dig nidad de arcediano de la santa iglesia catedral de PuertoEl cónsnl de S. M. en Gibraltar D. Juan González de Rico ha quedado vacante la de chantre de la misma, cuya Rivas ha puesto á disposición del Gefe político de la pro renta anual está regulada e…</t>
  </si>
  <si>
    <t>Arroyo, Josef Martínez</t>
  </si>
  <si>
    <t>Josef Martínez Arroyo</t>
  </si>
  <si>
    <t>…rseles tomado decla se equivoque su opinión, suponiéndolos desafectos á un siste ración , opinaba que había lugar á la formación de causa al ma que aman. juez de primera instancia D. Josef Martínez Arroyo y al Madrid f&gt; de Setiembre. audiror de guerra D. Juati Bautista Genoves. SS. MM. y AA. siguen sin novedad en su importante Se opuso al dictamen el Sr. Vitorica, en el concepto de salud. que en la época en que sucedieron las prisiones citadas de S. M. ha desp…</t>
  </si>
  <si>
    <t>Arroyo, Mateo</t>
  </si>
  <si>
    <t>Mateo Arroyo</t>
  </si>
  <si>
    <t>Gaceta de Madrid n.º 64</t>
  </si>
  <si>
    <t>416</t>
  </si>
  <si>
    <t>…ovincia D. Pedro Jo sef de Ibabe, que despacha la vacante que sirvió" uhimáuiente D. Julián Alonso y Estrada, se cita, llama y emplaza á todos los acreedores á la testamentaría de Don Mateo Arroyo, vecino y del comercio que fue de esta corte, para que en el preciso térrüinó de 15 días, contados desde esta publicación, comparezcan á legitimar sus créditos y personas en el juzgado de dicho señor y citada escribanía vacante, donde se halla radicada. . : 7…</t>
  </si>
  <si>
    <t>Arroyo, N.</t>
  </si>
  <si>
    <t>N. Arroyo</t>
  </si>
  <si>
    <t>…as matrículas de mar. ley sobre vinculaciones. Se mandó pasar á la comisión donde existen los antece Quedaron las Cortes enteradas, y se mandaron repartir dentes una exposición de D. N. Arroyo, juez de primera los egemplarcs remitidos por los ministerios de Hacienda y instancia de la ciudad de Valencia , satisfaciendo á los car Gobernación de la Península de los decretos de las Cortes os que se le hacen con respecto á las causas de los que se sobre…</t>
  </si>
  <si>
    <t>Arroyos, Juan</t>
  </si>
  <si>
    <t>Juan Arroyos</t>
  </si>
  <si>
    <t>…ciones fueron des la deserción de las tropas del mando de Fuerte-Real, y empeñadas por lo's sordo-mudos D. Ezequiel Escovedo, vfó que no le quedaban en Sans-Souci mas que sus guar D. Juan Arroyos, D. Josef Masip, D. Pedro García Cer dias de corps, sin serle posible ya reunir otro egército ni vino, D. Antonio Melgares, D. Ramón. Calvo y D. Jo huir, se tiró un pistoletazo al corazón. ’ sef Martínez. • Asi acabó su vida el hombre mas cruel, y que no tien…</t>
  </si>
  <si>
    <t>Artas, D Juan García</t>
  </si>
  <si>
    <t>D Juan García Artas</t>
  </si>
  <si>
    <t>…que todas las personas, sin excepción alguna, ANUNCIOS.' . pueden tener parte activa en la restauración de España, en la felicidad general y en la suya propia. Por providencia del Sr. D Juan García Artas, juez togado Carta sexta de! compadre, del holgazán á su amigo el escri de primera instancia de esta muy heroica villa, se ha mandado bano Raspilla. Se hallará á 2 rs, en la librería de Castillo. MADRID EN LA IMPRENTA NACIONAL.</t>
  </si>
  <si>
    <t>Artes, Pedro Bellas</t>
  </si>
  <si>
    <t>Pedro Bellas Artes</t>
  </si>
  <si>
    <t>…secretaria y salas de las A las de Agricultura y ordinaria de Hacienda unas re Cortes.” Otra del Sr. Azaola: «Pido que ia comisión de flexiones para fomento del ramo de lanas, por D. Pedro Bellas Artes proponga el templo mas á propósito de esta Josef de Fcbcníque. capital , en que por decreto de ias Cor.es han de irse reco A la de Infracciones cuatro quejas, urla de Doña Pas giendo los re-id os mortales ¿e |os q.,e h3n perecido ó.- ur» cuala OI ina contra e…</t>
  </si>
  <si>
    <t>Artigas, Sebastian</t>
  </si>
  <si>
    <t>Sebastian Artigas</t>
  </si>
  <si>
    <t>…un medio que supone una profunda sagacidad política. 53&gt;52°- 53 &gt;5 '-7 &gt; 53-S-P y 53-5-17= D. Mariano Siguen del Entre estos ferocísimos pueblos no pueden nunca los hom 60,679; y D. Sebastian Artigas del 61,895. Y en providencia bres pedir la paz: nunca enrierran por su propia voluntad de dicho señor juez de 1.’ del corriente se confiere traslado ;í las armas que usan; sus disensiones solo podrían terminar los referidos últimos tenedores de los vales de i…</t>
  </si>
  <si>
    <t>Artola, Bernabé de</t>
  </si>
  <si>
    <t>Bernabé de Artola</t>
  </si>
  <si>
    <t>Gaceta del Gobierno n.º 42</t>
  </si>
  <si>
    <t>…luciones el general Riego, que las man tación provincial de Navarra sobre haber sido detenido en da, forma los cuerpos en batalla, y con un entusiasmo inex las puertas de Pamplona D. Bernabé de Artola. plicable victorean á la España libre, d ¿as Cortes y al A propuesta del Sr. Subrié se acordó nombrar una co Ruy constitucional. Forman en seguida en columna, y se misión especial para que examine é informe to que resulte retiran á sus cuarteles con aquella -…</t>
  </si>
  <si>
    <t>Asensio, Josef</t>
  </si>
  <si>
    <t>Josef Asensio</t>
  </si>
  <si>
    <t>…a. Se hallarán en esta corte en la librería de la Viuda de Barco López, y en Granada en lá dé Martinez de Aguilár. Colección de muestras de letra bastarda, escritas y grabadas por D. Josef Asensio, grabador de cámara de S. M. La primera muestra enseña la distancia que deben tener las letras entre sí, ya sean palos rectos, rectos con curvas, ó curvas con cur vas; los trazos de la pluma; el corte de esta; postura del brazo y mano, y con tiene tm semicírc…</t>
  </si>
  <si>
    <t>…rá en las librerías de Hurtado, calle de las Carretas, y en la de Her moso, calle de la Gorguera, núm. 22: su precio 8 rs. Nueva colección de letra bastarda, escrita y grabada por D. Josef Asensio* grabador cíe cámara del Rey, á las que sirven de texto algunos capítulos de la Cons titución española. Por este medio, al mismo tiempo que los jóvenes se enseñan á es cribir, aprenderán los principales fundamentos que les han de servir de regla para as pirar…</t>
  </si>
  <si>
    <t>Asi, Anacleto Ba-</t>
  </si>
  <si>
    <t>Anacleto Ba- Asi</t>
  </si>
  <si>
    <t>…quel país á su paso para el mas citación se proveer lo que corresponda en justicia, y les parará el perjuicio que haya Jugar. Occidente. Ignorándose la hibitacion en esta corte de D. Anacleto Ba- Asi es que mientras que Phanagoria , Cherson , Panti- ligñam , espitan retirado que se dice ser , y debiendo enterarle capea, Theodosia , Th.phros, Oloia y Ophiusa eran los del contenido de una provisión , expedida por los Sres. de la emporios del comercio de la…</t>
  </si>
  <si>
    <t>Asimismo, Juan Antonio Fer</t>
  </si>
  <si>
    <t>Juan Antonio Fer Asimismo</t>
  </si>
  <si>
    <t>…de la blico deberá continuar pagándolas como hasta aquí. Se votó queja dada por Remigio Benito, vecino de Navalcarnero, y aprobó este dictamen. contra el juez de primera instancia D. Juan Antonio Fer Asimismo se aprobó el dictamen de la comisión de Bi nandez Castejon, y el alcalde, escribano, índico y alguaci’es blioteca acerca de la proposición hecha por D. Antonio de la misma villa, por el allanamiento hecho e.i su croa en bus Bailo de permutar una colección de…</t>
  </si>
  <si>
    <t>Asín, Francisco</t>
  </si>
  <si>
    <t>Francisco Asín</t>
  </si>
  <si>
    <t>…la riqueza del Estado. Y diré A la especial de Libertad de imprenta una consulta atra que toda^ esta grande obra podría acaso reducirse á los de sada del juez de primera instancia D. Francisco Asín , so cretos- siguientes: bre puntos relativos al objeto de la comisión. _ • i.° Designada por el Gobierno la anchura que deben te A la de Guerra un plan para preparar las rebajas que ner todos los caminos de España (pues creo. excesiva la de deben preceder á…</t>
  </si>
  <si>
    <t>Asís, María Francisca de</t>
  </si>
  <si>
    <t>María Francisca de Asís</t>
  </si>
  <si>
    <t>…asros*deda cámara, vestidos y alfileres de S M. la comisión ha seguido-el mismo egemplo que la Constitución Reina se asignan 640© rs. vn.: á S. A. la Serma. Señora señala. Infanta Doña María Francisca de Asís fío© con-el mismo Se declaró el punto suficientemente discutido; pero el objeto; y á la Serma. Señora Infanta Doña Lui-a Carlota Sr. Isturiz dijo que antes-de votar debía advertir que el ar 6oo© rs. id. t¡.° Y para lo: dos Sermos. Sres. Infantes ticulo de que…</t>
  </si>
  <si>
    <t>…es peque ño ; y parece increíble cómo en tan poco tiempo se han re Ayer, en celebridad de los dias de la Senna. Sra In unido á este partido lo mejor de iá© hombres de línea, fanta Doña María Francisca de Asís, se vistió la corte de ademas de algunos cuerpos de Extremadura que se han de gala sin uniforme; habiendo sido numeroso el concurso de clarado.” toda clase de personas, que con tan plausible motivo asis En otra carta de Leíria con fecha del 24 se dice:.«Po ti…</t>
  </si>
  <si>
    <t>Aspiroz, Migual Francisco</t>
  </si>
  <si>
    <t>Migual Francisco Aspiroz</t>
  </si>
  <si>
    <t>Gaceta del Gobierno n.º 139</t>
  </si>
  <si>
    <t>…ThiAlba, mím. 23 , manz. 143 , donde antes estuvieron situa baud, D. Francisco Xavier Duran, D. Felipe Fernandez JBobadas la' oficinas del establecimiento. dfila, D. Diego Moreno, D. Migual Francisco Aspiroz, Don Otra idem en la calle de Jacometrezo, núm. 2, manza Miguel Antonio de la Torre, D. Luis González y D llenrina 3; ; ; cuyas fincas son las únicas de que hasta el día ha que Abeglie, últimos tenedores, el primero de tres vales rea les de 300 pesos, creació…</t>
  </si>
  <si>
    <t>Assius, Juan Antonio</t>
  </si>
  <si>
    <t>Juan Antonio Assius</t>
  </si>
  <si>
    <t>…Conformándose el Rey con el parecer del fribunal es pecial de Guerra y Marina en la causa formada y senten ANUNCIOS. ciada por el consejo de Generales de Castilla la Nueva con tra D. Juan Antonio Assius, comandante de tropas ligeras, Representación que en defensa de los diputados de las Cor en averiguación de la separación que hizo del egército de tes extraordinarias y ordinarias, presos en Mayo de 1814, di aquella provincia en el año 1810 y causas que lo mo…</t>
  </si>
  <si>
    <t>Astorga, FchCiudad-Rodrigo y</t>
  </si>
  <si>
    <t>FchCiudad-Rodrigo y Astorga</t>
  </si>
  <si>
    <t>…, 3* satisfaga iZa y-vigor los siguientés: a "sus respectivos subalternos. . . »,El decreto dé 41 de’Junio dé*t-8ti sobre premios de Proyecto- dividido en cinco cuerpos :'sü autor D. FchCiudad-Rodrigo y Astorga. El de 28 de Octubré dél mis pe Varona. ' .. mo año sobre plan de las pensiones que-deben" concederse á Apuntaciones sobre recluta , modo de reemplazar el las viudas y familias de los que perecen éri defensa de la páy .egército, hacer.el sorteo, y contabilida…</t>
  </si>
  <si>
    <t>Astrearena, Pedro de</t>
  </si>
  <si>
    <t>Pedro de Astrearena</t>
  </si>
  <si>
    <t>Gaceta de Madrid n.º 79</t>
  </si>
  <si>
    <t>…frendada del escriba no DÍ Santiago Manuel de Alboniga, se ha señalado el domingo 28 del actual á las ocho de la mañana para, celebrar junta general de acreedores á los bienes del Sr. Don Pedro de Astrearena, marques que fue de Muriilo, en la contaduría del patronato de Iturralde, sita en el convento de Carmelitas descalzos dé esta corte: lo que se ha ce saber á los interesados para que, concurran por sí ó por medio de persbna con po der bastante á dicho acto; pr…</t>
  </si>
  <si>
    <t>Astros</t>
  </si>
  <si>
    <t>…a solicitud. En el ínterin el direc go-San-Sepolcro á D. Manuel Tacruasi, canónigo de Flo tor, el administrador, el zelosísimo médico y demas em rencia: para la de Bayona al limo. Sr. Astros, obispo de pleados en ei baño no omitirán diligencia para el alivio, buen Saint-Flour: para la de Saint-Flour á Mr. Salomón , obis trato y asistencia de los enfermos. po in partibns de Orthosia : para la de Dijon al limo. Sr. Dubois, vicario general de Me'.z;…</t>
  </si>
  <si>
    <t>Athaide</t>
  </si>
  <si>
    <t>…obis trato y asistencia de los enfermos. po in partibns de Orthosia : para la de Dijon al limo. Sr. Dubois, vicario general de Me'.z; y para la de Elvás al Madrid 9 deJulio. limo. Sr. Athaide. DIRECCION GENERAL DE LOTERIAS. INGLATERRA. Noticia de los pueblos donde han cabido los premios mayores del sorteo de grandes premios, celebrado en el dia Londres zi de Junio. de ayer. En la Cámara de los Comunes anunció ayer Mr. Wil- 1\ limeros. Premios. Adm…</t>
  </si>
  <si>
    <t>Audinot</t>
  </si>
  <si>
    <t>…ndado butear la Cons penas designadas contra los autores 6 ed*vres de obras sub titución secreta y demas documentos, como también la versivas en sus grados respectivos.” causa del general Audinot, remitía aquella y todos los in Pareció mal á algunos Sres. diputados el que se pusiese formes que podra- dar en ambos asuntos; la que pasó á la en la cárcel á los autores ó editores, pues según el artículo comisión de Premios. 297 de la Constitución, estas n…</t>
  </si>
  <si>
    <t>Auxiliar</t>
  </si>
  <si>
    <t>…regados en los cuer- mencionada heroica villa; para cuyo repartimiento se ha pcs de todas armas, exceptuando la artillería é ingenieros, formado una junta, compuesta del limo. Sr. obispo Auxiliar; á propuesta del inspector respectivo se distribuyan por las Sres. D. Francisco Valdés y D, Tomas Estrada, individuos provincias, y existan en sus capitales ó puntos de aquella del Real cuerpo de Guardias de la Persona del Rey ; del donde mas les convenga, dá…</t>
  </si>
  <si>
    <t>Avcciáeldia, Vicente</t>
  </si>
  <si>
    <t>Vicente Avcciáeldia</t>
  </si>
  <si>
    <t>…M , teniente primero de corregidor de esta muy heroica villa, refrendada de D. Donato Nuñez, su escribano del número, ha señalado-para la celebración de un^ junta de acreedores de D. Vicente Avcciáeldia 15 del corriente, á las nueve de su mañana, en su posada. Lo que se hace saber para su concurrencia á los que se tengan como tales, para que lo hagati por st ó por medio de personas competentemente auto rizadas; con prevención que no lo haciendo les parará el…</t>
  </si>
  <si>
    <t>Avecía, Vicente</t>
  </si>
  <si>
    <t>Vicente Avecía</t>
  </si>
  <si>
    <t>…e ha señalado el domingo 16 del corriente, en la posada de $. S., y hora de las nueve de su mañana, para una junta general de acreedores á los bienes quedados por fallecimiento de D. Vicente Avecía* A instancia de la Sra. marquesa viuda de Ncgron, y en virtud de providencia del Sr. D. Josef Martínez Moscoso, juez letrado de primera instancia en esta muy he roica villa, se cita y llama á todos los acreedores é interesados en la testamentaría del Sr. D. L…</t>
  </si>
  <si>
    <t>Avellanera, Fernando</t>
  </si>
  <si>
    <t>Fernando Avellanera</t>
  </si>
  <si>
    <t>Gaceta del Gobierno n.º 74</t>
  </si>
  <si>
    <t>3li , rpíente por Nueva-España, quien pone a continuación sn hr- Murcia. na para que sea reconocida. De acuerdo de las Cortes lo Capellanía fundada por D. Fernando Avellanera. comunicamos á V. E* para que dando cuenta a S. M. , ten Doce tahullas y 10 brazas de tierra riego moreral, sitas ga á bien disponer se publique en la gaceta del Gobierno. en el pago de Aijada de aquella huerta. De Real orden lo traslado á V. E. para su intel…</t>
  </si>
  <si>
    <t>Avila, Antonio</t>
  </si>
  <si>
    <t>Antonio Avila</t>
  </si>
  <si>
    <t>…los aspi do en los hielos de la desembocadura del rio Lena, en Sibe- rantes á la citada plaza dirigirán los memoriales francos de por ria , que en resumen dice lo siguiente: te á D. Antonio Avila, procurador síndico de dicha villa de La palabra mammouth es de origen tártaro, y se deri Mazarambroz. va de mama . la tierra. Los habitantes de la Sibéria creen España triunfante del ocio , del lujo y de ciertas preocupa que el enorme bruto, cuyos huesos se…</t>
  </si>
  <si>
    <t>Ayala, Francisco Delgado y</t>
  </si>
  <si>
    <t>Francisco Delgado y Ayala</t>
  </si>
  <si>
    <t>…sco González Miranda: para el de Trujillo á hacerse las elecciones. D.'Ventura Carballar: para el de Valencia de Alcántara i 4. a Si tiene voz activa y pasiva un menor de 2 , años D. Francisco Delgado y Ayala: para el de Villaniieva de. y mayor ¿e 21, que es subteniente de milicias, con casa la Serena á D. Roque Naranjo : para el de Jerez de I s Ca-_. abierta y hacienda. balleros á D. Juan Gonzakz Miranda ;Zy’para el de Zafra á' Resolución. Que todo español, sea ó…</t>
  </si>
  <si>
    <t>Ayala, Isidoro</t>
  </si>
  <si>
    <t>Isidoro Ayala</t>
  </si>
  <si>
    <t>…ader mas se le dan 40 fanegas de trigo. Se proveerá.el dia 24 del corriente. Memoria descriptiva de un nuevo trillo que en el año 1818 presentó á la socie dad económica Matritense D. Isidoro Ayala, precedida de una breve noticia de los trillos mas útiles inventados hasta el dia.; escrita por D. B. M. T., y mandada im primir por la misma sociedad. El autor presentó tambiefi un modelo de su máquina, sometiéndolo al examen de la misma corporación; y habie…</t>
  </si>
  <si>
    <t>Ayala, Juan Buenavida</t>
  </si>
  <si>
    <t>Juan Buenavida Ayala</t>
  </si>
  <si>
    <t>712 anuncio, se presenten con documentos legítimos á enterarse de ciertos asuntos inte resantes en la habitación de D. Juan Buenavida Ayala, que vive en Ja subida de San Martin, casa de la Sra. marquesa de VÍIlena, heredero fideicomisario de Doña Isa bel de Torres; en la inteligencia que pasado dicho término sin haber comparecido, les parará el perjuicio que haya lugar. Se halla vacante la piara…</t>
  </si>
  <si>
    <t>Ayala, Pedro Manuel de</t>
  </si>
  <si>
    <t>Pedro Manuel de Ayala</t>
  </si>
  <si>
    <t>…za á todas y cualesquiera personas El segundo decía: que se contemplen con derecho á los bienes quedados por falle 2.0 «Se añadirá á dicha prohibición con especialidad cimiento de D. Pedro Manuel de Ayala , canónigo que fue de la la gallera, ei bizcocho de toda clase, el arroz, las pastas, santa iglesia catedral de la ciudad de Oviedo, en el concepto las legumbres, las algarrobas, las pasas, las castañas, los hi de herederos ó acreedores, para que dentro del t…</t>
  </si>
  <si>
    <t>Ayalde, Tomas de</t>
  </si>
  <si>
    <t>Tomas de Ayalde</t>
  </si>
  <si>
    <t>454</t>
  </si>
  <si>
    <t>…es de guerra quedan para siempre anejas i. sus comandantes. ; En 13 del mismo mes se ha servido el Rey conferir el mando del aposta dero de marina de la Havana al gefe de escuadra D. Tomas de Ayalde, en relevo del general de igual clase-D»- Agustín» fFiguéroa, que lo desempeña, y ha cumplido el tiempo señalado en él reglamentó para ei egercieio de las coman* daneias de los de Ultramar. Por disposición del Excmo. Sr.'Géfe político dé esta provincia «e ha…</t>
  </si>
  <si>
    <t>Aycinena, Jose-f de</t>
  </si>
  <si>
    <t>Jose-f de Aycinena</t>
  </si>
  <si>
    <t>…r el voto solemne de las tres cuartas partes, poco mas ó menos , de los vocales de la segunda Cámara* _ ESPAÑA. Madrid 21 de Junio. El dia 18 del corriente tuvo el honor el Excmo. Sr. D. Jose-f de Aycinena de felicitar á S. M. por su dichoso enlace con la augusta Reina y Señora Doña María Josefa Amalia de Saxonia, á nombre del Excmo. ayunta miento de Goatemala; y dijo: . Señor : La ciudad de Goatemala, esclarecida por su religión y piedad notoria distinguida po…</t>
  </si>
  <si>
    <t>Aycinena, Josef</t>
  </si>
  <si>
    <t>Josef Aycinena</t>
  </si>
  <si>
    <t>…rbon * D. Andrés García + Don Martin Garay, D. Francisco Xavier Castaños; D. Josef Mariano Almanza, D- Pedro Cevallos , el marques de Piedrablanca, D. justo.Marta Ibar-Na^ai-* ro, D. Josef Aycinena, D. Antonio Ranz Romanillos, D. Francisco Reque-. na i D. Estéban Varea,' y de los secretarios D. Josef Luyan do y D. JuSnü Madrid Dávila. Asimismo he creído conveniente declarar que ios individuos, que han compuesto el Consejo de Estado hasta et di a 9 del p…</t>
  </si>
  <si>
    <t>Ayer</t>
  </si>
  <si>
    <t>406</t>
  </si>
  <si>
    <t>…orjado en la capital de Francia cnanto se ha dicho en con que participaba que se tendrian presentes á sn tiempo tas trario. — medidas para evitar el contrabando, propuestas por el señor Ayer se celebró en la secretaría de negocios extrangeros Co^o,minas, y quedaron las Cortes enteradas. una junta de ministros/'qUe'duró desdé las dos de la tardé La junta suprema de Censura propuso' á las Cortes loí hasta las cinco ; y á poco de haberse concluido s…</t>
  </si>
  <si>
    <t>Azada, González</t>
  </si>
  <si>
    <t>González Azada</t>
  </si>
  <si>
    <t>…s de la: soldados retirados, y otra al tesoro nacional para alivio del contestación de las Cortes al discurso leído por S. M. en la pueblo. apertura de sus sedones. Otras tres del Sr. González Azada: 1.a que se prohíba A las comisiones de Hacienda y Guerra reunidas se toda amortización eclesiástica: 2.a que las fundaciones de mandó pasar un oficio del ministro de Hacienda , en el que capellanías y toda especie de cargas piadosas, que contribu proponía va…</t>
  </si>
  <si>
    <t>Azagra, Felipa de</t>
  </si>
  <si>
    <t>Felipa de Azagra</t>
  </si>
  <si>
    <t>…bintestatos, su techa 28 de-Enero de 1819. 1 Con fecha de 31 de Diciembre del año anterior de 1818 se anunció en la gace ta lo siguiente-, si alguna persona supiese el paradero de Doña Felipa de Azagra, nar tural del lugar de Artazcoz, en Navarra, se servirá avisarlo en la imprenta Real,--» fin de que.dicha señora y no otra persona se presente en Pamplona á percibir canti dad de reales que su hermano le remite de América. La interesada, residente en-1» actu…</t>
  </si>
  <si>
    <t>Azaola</t>
  </si>
  <si>
    <t>182</t>
  </si>
  <si>
    <t>…la otra tercera parte ; y lo mismo se en lugar del mismo, al Sr. Huerta; para la de Hacienda, en tenderá con los que tengan pagadas en 10 de Enero las dos lugar del Sr. Codes, al Sr. Azaola, y para la Diplomática, terceras partes del tercio qte vencerá en fin de Diciembre en lugar del Sr. Diaz del Moral, al Sr. Clemencia. de este año.” Se mandaron archivar los egemplares remitidos por el El Sr. Ochoa graduó de injusto y poco decoroso al Go minis…</t>
  </si>
  <si>
    <t>…s de per cación en las escuela' de primeras lenas. secución, para colocarlos en la secretaria y salas de las A las de Agricultura y ordinaria de Hacienda unas re Cortes.” Otra del Sr. Azaola: «Pido que ia comisión de flexiones para fomento del ramo de lanas, por D. Pedro Bellas Artes proponga el templo mas á propósito de esta Josef de Fcbcníque. capital , en que por decreto de ias Cor.es han de irse reco A la de Infracciones cuatro quejas, urla d…</t>
  </si>
  <si>
    <t>…ia propuesto en su dis admití ) á discusión, y decia: «Si acaso las religiosas secu curso. larizadas no eligiesen reembolsar sus dotes, en cuyo caso se Se leyó otra indicación del Sr. Azaola, relativa al mis les entregarán.” mo objeto que la anterior, y á mejorar la ciase de hospita Pasó ála comisión un artículo adicional que proponía el les, de que estaba encargada la orden de S. Juan de Dios, Sr. Vitorica, para que si eL Congreso conceptuase co…</t>
  </si>
  <si>
    <t>…rior de la Penínsu sión, dirigida á la abolición del descuento de inválidos. la , como lo acreditaban las reclamaciones de varios Gefes Leida la undécima proposición , preguntó el Sr. Azaola políticos: después de lo cual se aprobó e^ta proposición. si se incluían los sueldos de los generales que estaban en el Habiéndose pasado á la segunda, el Sr. Sancho explicó Consejo de Estado ; y habiendo contestado el Sr. Sancho por menor los sueldos y gasto…</t>
  </si>
  <si>
    <t>…,. Opinó el Sr. Romero que no debian subsistir los están- ‘ ■ Se aprobaron el 1.’ y 2.a; se suspendió eí á petición eos bajo un Gobierno paternal; que debería subrogarse al es del Sr. Azaola hasta que las comisiones de Hacienda y Guer tanco del tabaco un impuesto, como apetecían algunos, y ra presentasen sus trabajos sobre la materia; y no se votó que en caso de no cubrir este la cantidad que la comisión et 4." por no requerirlo su contenido. 1 r…</t>
  </si>
  <si>
    <t>…terminio de malhe su carrera literaria. chores al Sr. Govanres. Ademas nombró para completar la A la primera de Legislación se pasó un oficio del señor comisión de Beneficencia al Sr. Azaola. secretarlo de Gracia y Justicia sobre la duda ocurrida acer Se leyó en seguida el dictamen de la comisión de Ha ca de si seria compatible con el artículo 130 de la Consti cienda sobre el presupuesto del ministerio del mismo ramo, tución la concesión de la cr…</t>
  </si>
  <si>
    <t>…e hablar quedaran sujetos á las mismas calificaciones y pe por haber sido abierto el concurso por el limo. Sr. obispo nas que la' libertad de imprenta. de aquella ciudad. Otra del Sr. Azaola sobre que se organizaran como sec A la comisión primera de Legislación, donde están los ciones políticas de las sociedades económicas de las capitales antecedentes, se pasó una exposición de la duquesa viuda de provincia las reuniones patrióticas. de Hijar, p…</t>
  </si>
  <si>
    <t>…ontra 44. biendo declarado el contramaestre que la Reina estaba sen No se admitieron á discusión otras tres indicaciones del tada en un cañón con Bcrgami, y que se sostenían mutua Sr. Azaola, en que proponía que la comisión de Política mente , habia dicho el capitán que iba sentada en las rodillas presentase un manifiesto al pueblo español dirigido á los de aquel, cerca del palo mayor.. mismos fines que el que proponía el Sr. Villanueva. Luego qu…</t>
  </si>
  <si>
    <t>Azaota</t>
  </si>
  <si>
    <t>…lidad ‘del género que en ¡a actualidad parte en tan plausible fiesta. En la alegría que reinaba en se toma. todos^ y en las señales exteriores con que la demostraban, Las apoyó el Sr. Azaota, y se mandaron pasar con la se echaba bien de ver que se celebraba el triunfo de la liber exposición de Fuertes á las comisiones ordinarias de Ha tad, asegurada por la firme adhesión de nuestro magnánimo cienda y de Guerra. Monarca , por la santidad de su jur…</t>
  </si>
  <si>
    <t>Azara</t>
  </si>
  <si>
    <t>…consultivo, leyó el reglamento El Sr. secretario de Estado, principiando por donde de este mismo en la parte que declara cuáles son sus atribu concluyó su preopinante, dijo que el Sr. Azara si dejó á su ciones, y probó que solo debía ser oído en los casos gene muerte algunos millones, seria porque los tuviese de su casa rales, que dicen relación con lo gubernativo. y por las circunstancias en que se habia hallado, siendo El Sr. Porcel, secretari…</t>
  </si>
  <si>
    <t>Azara, Félix de</t>
  </si>
  <si>
    <t>Félix de Azara</t>
  </si>
  <si>
    <t>…ro pias del editor. Apuntamientos para la historia natural de los pájaros del Paraguay y rio de la PIt* ta, y de los cuadrúpedos del mismo Paraguay y rio de la Plata, escritos por D. Félix de Azara. El autor manifiesta en esta obra al público lo mas nuevo y curioso que pre senta el Paraguay en pájaros y cuadrúpedos, no por relaciones sino por su propia ex-r periencia y conocimiento, habiendo viajado cinco años por este pais. Nuestro gabine te de Histori…</t>
  </si>
  <si>
    <t>Azedo</t>
  </si>
  <si>
    <t>Gaceta del Gobierno n.º 161</t>
  </si>
  <si>
    <t>…e los oficíale* Cala ira va , presidente, ar Antonio Díaz del Moral, diputa de su ege'rcito y de toda la guarnición. do secretario.^ Mlgttel Cortés, diputado secretario." = Pot El Sr. Azedo contestó á este oficio dando gracias al ge panto mandarnos á todos los tribunales, justicias, gefes, go neral Laeerda en nombre del Gobierno por su modestia, bernadores y demas autoridades , asi abales como militares v nobles sentimientos y acendrado patrioti…</t>
  </si>
  <si>
    <t>Azedo, Joscf Díaz</t>
  </si>
  <si>
    <t>Joscf Díaz Azedo</t>
  </si>
  <si>
    <t>…usando de ¡a facultad que se Ies concede por laConstitocion, El general Lacérela pasó en 18 de Noviembre un oficio han decretado: Se suprimen las exacciones que se hadan al Excmo. Sr. D. Joscf Díaz Azedo , renunciando él inando para redención de cautivos con el título de mandas pies v eneral de la fuerza armada, que en el día 11 del mismo s» forzosas. Aíadrid 9 de Noviembre de 1820. = Josef María abía visto precisado á admitir por voluntad de los oficíale* Ca…</t>
  </si>
  <si>
    <t>Azledo, Matías Josef Dias</t>
  </si>
  <si>
    <t>Matías Josef Dias Azledo</t>
  </si>
  <si>
    <t>…lia se embarcó S. E. el teniente general Florestano Pepe* Payo, el conde de Resende, el conde de Peñafiel, el te hermano del general en gefe; el cual va á mandar las tropas niente general Matías Josef Dias Azledo, y hermano Bradrien los dominios de la otra parte del Faro. camp; habiendo mo-trado el pueblo de tal manera su in Por decreto de S. M. de 1/ de Setiembre ha sido desti fluencia en esta aprobación y elección, que dudándose al tuido del empleo de embajador extr…</t>
  </si>
  <si>
    <t>Azpiroz, Francisco Javier'</t>
  </si>
  <si>
    <t>Francisco Javier' Azpiroz</t>
  </si>
  <si>
    <t>…; sus disensiones solo podrían terminar los referidos últimos tenedores de los vales de ia solicitud en se con el total exterminio de uno de los dos partidos, si en labiada por el D. Francisco Javier' Azpiroz , de que se decla estos países no tuvieran las mugeres la dulce prerogativa de re que le tocan y pertenecen , y que puesta nota se devuelvan alzar su voz~“pira hacer cesar la efusión de sangre. Parece al Crédito público , para que entregue al citado Azpiroz l…</t>
  </si>
  <si>
    <t>Azuela</t>
  </si>
  <si>
    <t>…s por él ministerio de Gracia y Jus Jas palabras »!a religión...... que perdiendo de su antigua ticia., uno de D. Andrés de Rivera solicitando licencia para pureza”, se convino el Sr. Azuela en suprimirlas. -</t>
  </si>
  <si>
    <t>A’Cour</t>
  </si>
  <si>
    <t>634</t>
  </si>
  <si>
    <t>…te Natale. ss Hasta que se convoque seguirán vigentes las antiguas, tanto Nazario Colaneri. ss Fernando de Lúea.” en esta capital como en el resto de la isla. Las redamacio ----El caballero A’Cour, enviado extraordinario y minis nes se dirigirán á S. A. R. , quien podrá modificar Jas le tro plenipotenciario de S. M. Británica, ha presentado hoy yes, si el bien público lo exigiere, hasta la época en que se á S. M. al lord Colchester, al almirante Sir E.…</t>
  </si>
  <si>
    <t>A’Court</t>
  </si>
  <si>
    <t>…go al público. Parece que las re las legaciones de Rusia, Prusia, Viena, Bañera y Suiza. ducciones no serán tantas como sehabia anunciado. También El dia 10 se presentó á S. M. el Sr. A’Court, enviado se trata de una nueva ley fundamental sobre la landwehr. extraordinario y ministro plenipotenciario de Inglaterra, y presentó una carta del Gabinete de S. M. B., participando AUSTRIA. la muerte de S. A. R. la duquesa de Yorck. Viena 6 de Setiembre. I…</t>
  </si>
  <si>
    <t>B, J.</t>
  </si>
  <si>
    <t>J. B</t>
  </si>
  <si>
    <t>…y para arreglar horas y precios tendrán" la Sprague, 320. D. D. Duplessír, 80. Los Sres. Gibbs Casson bondad los que quieran emplearles, de dejar sus señas en la y compañía, 320. D. J. B., 40. D. Tomas Smith y com calle de las Carretas, librería de Ortega. pañía, 320. D. N. P. Bassadone, 80. Los Sres. Muir Torry y compañía, 320. D. Isaac Hadwen, 320. D. Juan Duffield y compañía, 320. D. Jacinto Narice, 80. D. Guiller mo Gray y compañía, 640. D…</t>
  </si>
  <si>
    <t>B, Juan</t>
  </si>
  <si>
    <t>Juan B</t>
  </si>
  <si>
    <t>…A la segunda de Legislación se pasaron dos solicitudes, A la comisión donde están los antecedentes una exposi remitidas por el Sr. secretario de la Gobernación de la Penín ción de D. Juan B.enjumea sobre una queja que tiene dada sula , una de D. Francisco de Paula Robert, y otra de Don contra la villa de A rchena. Josef González Ytiste para que se les dispense un año que La comisión ordinaria de Hacienda presentó su dícrales falta para recibirse…</t>
  </si>
  <si>
    <t>B, M. de</t>
  </si>
  <si>
    <t>M. de B</t>
  </si>
  <si>
    <t>…ltramar. Antonio Zapata. Véndese en la librería de Collado. Vasconia salvada: tragedia española en cinco actos, escrita Con esta fecha me ha dirigido el Sr. secretario del Des por D. M. de B. -. impresa en 1820. Véndese á 3 rs. en las li pacho de Hacienda de la Península la Real determinación brerías de Matute y de Rodríguez. ; que sigue: El Motezuma: tragedia nueva original en cinco actos, por «Habiendo resuelto el Rey que desde hoy en adelante M…</t>
  </si>
  <si>
    <t>Ba, Diego</t>
  </si>
  <si>
    <t>Diego Ba</t>
  </si>
  <si>
    <t>…Ignacio Balanzat. Asimismo ha nombrado S. M. Inspector general interino de Caballería ál Teniente general D.. Ramón de Vil 1 alba, por re nuncia que ha hecho el Mariscal de campo D. Diego Ba 1:1 esjteros, desempeñando este encargo mientras se presenta aquel, en esta corte el Brigadier D; Santiago* Wall.. EN LA IMPRENTA NACIONAL.</t>
  </si>
  <si>
    <t>Ba-</t>
  </si>
  <si>
    <t>…ipio á esta lectura. En ella se Salamanca, encargando se observase su conducta. veía claramente que la mayoría de individuos que com En virtud de indicación, que fue aprobada, del Sr. Ba- ponen las dos comisiones eran de parecer, que el marques hamonde, se mandó pedir al Gobierno el expediente dé la de Castelar se ha hecho acreedor a la formación de causa» división provisional de partidos de Galicia. Exponían que las comisiones remitieron el e…</t>
  </si>
  <si>
    <t>Baha.rmnde</t>
  </si>
  <si>
    <t>…los militares que en la dinaria de este din el expedíame de división de par;idos de actualidad desempeñan el cargo de Gefes políticos deben la provincia de ToledoJ' i petición del Sr. Baha.rmnde. considerarse como dados de baja en el egército, ó como Se prcentó el dictamen de la comisión de Comercio existentes en él. acerca de la exposición de la casa de GorJon y Níurphí, apo La comisión opinaba q’-e los militares que tuviesen estos yada por el embaj…</t>
  </si>
  <si>
    <t>Bahamonde</t>
  </si>
  <si>
    <t>…sonas y corporaciones existentes el ada la primera por el método común , y la segunda en mismo dia 9 , y esto para que informadas las Cortes de lo votación nominal, á petición del Sr. Bahamonde, por ioo que hubiese en el particular, se pudiesen hacer proporciones. votos contra 8. El Sr. Cepero y el Sr. vice-preridente dijeron que el Go El Sr. Muñoz Torrero pidió que se haciera constar en bierno habia pasado á las Cortes las noticias que reñía so-</t>
  </si>
  <si>
    <t>…ar si estaba la cias en las principales librerías. materia suficientemente discutida, á lo que se contestó que Restauración política, económica y militar de España, pu sí; inas el Sr. Bahamonde observó que la costumbre era que blicada en 1813 , que con licencia de su autor se imprime volviese á la comisión un dictamen que habia sufrido tan- ahora. Lleva nuevas adiciones del autor; y se dará por cuader ’ tas consestacionés, para que teniendo presente…</t>
  </si>
  <si>
    <t>…tas protectoras de montes pios del Ministerio y de Ofi gloria, y confundido la malicia y la ignorancia de los ene cinas, y otros puntos del mismo ramo. migos de su prosperidad. El Sr. Bahamonde pidió que se buscara en la secretaría Jerez de la Frontera ay de Julio, y se diese cuenta de un expediente formado en virtud de El dia 16 se destinó por el ayuntamiento constitucio una proposición suya sobre libertad para navegar y pescar, nal para la solemne…</t>
  </si>
  <si>
    <t>Gaceta del Gobierno n.º 45</t>
  </si>
  <si>
    <t>…se dejó sobre la mesa, señalan la noticia de haber jurado S. M. rodeado de toda su Real do para su discusión el dia 13. y augusta Familia la Constitución de la Monarquía, empe El Sr. Bahamonde volvió á reclamar el expediente so zó el mns ordenado desorden que jamas se haya visto en la bre libertad de pe-car; y habiendo dicho el Sr. Subrié que tierra. Todos corren, todos gritan, todos se abrazan, co resultaba en la secretaría haberse pasado á la com…</t>
  </si>
  <si>
    <t>…n ya formados en varios pueblos de la na Despacho de Marina, que inclina dos , uno de D. Josef Ig ción subsistirán &amp;c.” nacio de Alcalá, remitido dc-de la Havana, y otro del co El Sr. Bahamonde notó que no se decía nada de ban mandante de la Coruña , que anunciaban no íiaher novedad deras , y debe tenerlas todo cuerpo; á lo que el señor alg ma en la isla de Cuba, donde el 29 de Junio pasado se Vargas dijo que en todo cato se deberían restablecer los…</t>
  </si>
  <si>
    <t>…eblos de Ultramar los Diarios de las ac tado, y esta era la razón por que la comisión proponía que túales Cortes. suspendieran dichas pensiones. Se leyeron varias indicaciones del Sr. Bahamonde, rela Añadió el Sr. Ochoa que todas las rentas de los ecle tivas al expediente de permisos particulares, en las que so siásticos, asi como la asignación de diezmos, en su origen licitaba se anulasen los concedidos á la compañía de Filipi tenia por objeto el p…</t>
  </si>
  <si>
    <t>…. Este ha tenido el honor del ayuntamiento de Tuy, de que se dio cuenta en la se de remitir una piedra de dicha cantera, ya grabada, para sión de 17 de este mes, presentada por el Sr. Bahamonde. que la academia de S. Fernando se digne examinarla. El in Se nombró para la comisión de Diputaciones provincia dicado Roca ha ofrecido descubrir canteras de muy supe les al Sr. Ochoa. rior calidad en Murcia, y en otros parages del mediodía Se leyó la siguien…</t>
  </si>
  <si>
    <t>…bó la pri ramento que pre-enfaba de nuevo la comisión, reducido á mera con la adición de «en grado heroico,” propuesta por términos mas breves. «Acto contin o ci comandante pre el Sr. Bahamonde, y no se admitió á discusión la segunda. guntará á sus subordinados: ; juráis á Dios defender con las Una proposición del Sr. Losada, leída por primera vez armas, que la patria ha puesto en vuestras manos, la Consen 19 de Julio, y concebida en estos términos:…</t>
  </si>
  <si>
    <t>…ta de sanidad de aquella isla y el Go El Sr. presidente nombró para la comisión encargada bierno, proponiendo la primera fuese de 300 reales, á lo del exterminio de malhechores al Sr. Bahamonde en lugar que accedieron las Cortes. del Sr. Martínez de la Rosa ; para la de Diputaciones pro A la comisión segunda de Hacienda se mandó pasar una vinciales al Sr. Valcarcel; para la ordinaria de Hacienda en consulta remitida por el ministerio del tribunal de…</t>
  </si>
  <si>
    <t>…de Doña Antonia Crespo, viuda de Antonio Ali- vinculaciones, dando principio con la lectura de la siguien ces, una de las víctimas del 2 de Mayo, en que solicitaba te adición del Sr. Bahamonde al art. 2.0: «Pero si no lo que la pensión que disfrutaba por esta razón sobre los fon fuesen , podrán los sucesores actuales disponer únicamente dos del extinguido consejo de Indias, se le satisfaciese por de la mirad de los bienes, reservando hasta su muert…</t>
  </si>
  <si>
    <t>Bahamondé</t>
  </si>
  <si>
    <t>…nacidad; y después de dos horas y inedia de fuego, censos, juros, ó de cualquiera Otra naturaleza," y á ins en que les mató sobre 14, con perdida de tres prisioneros y tancias del Sr. Bahamondé se añadió también la palabra 2 heridos, se retire) de alli por las ningunas ventajas que -«foros.” ■ 'presentaba el crecido número de hombres á que ascendía la No se admitió una adición del Sr. Díaz Morales al ar ■fuerza enemiga; se vino á Carupano, y el 20 s…</t>
  </si>
  <si>
    <t>346 . . se añadiera con tal que antes ; del Sr. Bahamonde para que El Sr. presidente señaló para la discusión de mañana a se hiciera extensivo a los pueblos de que se componen las primera hora la de los artículos propuestos por la comisión provincias, y las del Sr. Calatrava respecto de las últimas, sobre la proposi…</t>
  </si>
  <si>
    <t>A la misma comisión otra indicación del Sr. Bahamonde, do pedido el Sr. Vargas Ponce que ¡a secretaría despabilara que decia: «Que la comisión proponga el método y forma a ía mayor brevedad este decreto, pues en e! día de ayer que deba observarse en la presentación para piezas eclesiás habían puesto en la calle…</t>
  </si>
  <si>
    <t>…ación, no se aprobó por j j votos con maestros carpinteros y ebanistas de Cádiz sobre q ;e se tra -fe. prohiba la introducción de manufacturas de estos ramos, ó Se aprobó otra del Sr. Bahamonde, dirigida á que se se las recarg e un impuesto correspondiente. exprece perpetuamente en la guia miii-ar como vivo y be A la de Premios una expo icion de D. Domingo Anto nemérito e! nombre de Acevedo en su mismo grado. nio de !a Vega, abogado de O.diz, sobre…</t>
  </si>
  <si>
    <t>…tos, y sufrido Infinitas vejaciones con á que se pub inue en un decreto especial ¡o acordado ayer moiivo de la guerra última, como también que es la volun acerca de ¡a que hizo el Sr. Bahamonde con respecto al tad del mismo Señor hacerles merced en cuanto se ofrezca, coronel Acevedo; y para redactarle se mandó pasar á la mandaremos que los dichos diputados, asi como los de las comisión de Premios. demas partes del reino , sean socorridos para los ga…</t>
  </si>
  <si>
    <t>…fueron perse putado secretario. = Marcial Antonio López, diputado se guidos por sus opiniones políticas solo por no haber emigra cretario.” do ; mas por último, habiendo pedido el Sr. Bahamonde Por tanto mandamos á todos los tribunales, justicias, que &lt;e leyera el art. 243 de la Constitución, y el Sr 'Mar- gefes, gobernadores y demas autoridades, asi civiles como tinez de la Rosa elnúm. 3.0 del art. 24 de la misma, no militares y eclesiásticas , de cual…</t>
  </si>
  <si>
    <t>…ros; -y- sobre las pro Se levó et neta de la anterior, y se dió cuenta de un troducir géneros de algodón oficio del Sr. ministro de la Gobernación de la Península, posiciones' del Sr. Bahamonde presentadas en la sesión del cu que hacia presente á las Cortes una duda, del tít. 3.0,. 18 de Agosto , el que se mandó imprimir.</t>
  </si>
  <si>
    <t>…inar cuál de los dos de Opinión que había lugar á la formación de causa al refe medies seria mas ventajoso. rido auditor. Empezó manifestando ia necesidad de equilibrar los gas El Sr. Bahamonde apoyó el dictamen de la comisión, tos dél Estado con los valores de sus rentas , deduciendo de opinando que también había lugar á la formación de causa aquí naturalmente que cuanto menor déficit resultase, rapto' del escribano, pues este había salido desde la…</t>
  </si>
  <si>
    <t>…z de Silva; eí bachiller Bento Pereira de compañía de Filipinas, respondiendo á las imputaciones que Carmo; el bachiller Josef de Silva Carballo; el bachiller Jo la había hecho el Sr. Bahamonde, se señaló para la discu sef Ferreira Borges. sión del dictamen de la comisión de Hacienda sobre esta Esta junta, para el mejor arreglo de sus tareas, se dividi compañía la primera hora de la sesión de mañana. rá en dos; en la primera se tratará de todo lo re…</t>
  </si>
  <si>
    <t>…illones de is. en géneros de algodón varios comerciantes de corcho de Barcelona, pidiendo se con libertad de derechos." prohíba la introducción de corcho extrangero. Igualmente El Sr. Bahamonde lo sostuvo, manifestando lo perjudi se posó i la misma comisión la exposición de los fabrican cial que era el privilegio de que se trataba, y el origen que tes de fierre* de Navarra , pidiendo se prohibí la introduc daba á contrabandos. ción de fierro exrreng…</t>
  </si>
  <si>
    <t>…os Sres. Sancho y Navas; y pasaron las memorias y obras pias, en atención á no tener por último se declaró no haber lugar á votar por 59 votos Otra congrua cón que sustentarse. El Sr. Bahamonde apoyó contra 49. esta solicitud, pidiendo que se tomasen las medidas necesa Se mandaron agregar al acta los votos particulares délos rias para atender á todos los que se hallasen en igual caso y Sres. Arnedo y Quintana, contrarios á &gt;a resolución de la se cir…</t>
  </si>
  <si>
    <t>…de la Rioja Las Cortes oyeron con particular satisfacción el oficio para que se la declare provincia independiente. en que participaba el Sr. secretario de la Gobernación de la El Sr. Bahamonde presentó una exposición de las cua Península que SS. MM. y AA. seguían en la mas perfecta tro huérfanas de D. Laureano Palacios , muerto en Galicia salud. cuando entró el general Ney, para que se les pague la pensión A la comisión de Hacienda se pasó un ofici…</t>
  </si>
  <si>
    <t>Bahamondice</t>
  </si>
  <si>
    <t>haciendo relación de la causa qtie se siguió contra ¿1 se Se aprobó igualmente otra indicación del Sr. Bahamondice que no aparecen otros cargos que : u concurrencia á de, que decia: «Que la comisión pida la causa de Audinot, una música dada á varios diputados de las Cortes ordinarias y la examine con roda detención y escrupulosidad, infor de 1814 , de la cual se le suponí…</t>
  </si>
  <si>
    <t>Bai'nur.do</t>
  </si>
  <si>
    <t>…nal de la villa, de Torre nota. En la gaceta de ayer, col 4.’. lín. kj , dice: Arias de Miguel Sesmero, con motivo del robo de una fanega de y JD. Francisco Cus-, léase : Ya/Tez y D. Bai'nur.do bors. triso, de si por la ley de 9 de Octubre de 1812 se había or*.v En la misma, col. 7.“, donde se habla del estableci privado A los jueces subalternos de sobreseer, como lo te miento de puertos de depósúto se omitió en el art. i.° el puerto nia canonizado…</t>
  </si>
  <si>
    <t>Baile</t>
  </si>
  <si>
    <t>…la Cámara de los Pares, y tomar las medidas ne vi la, habia otro banco, en que estaba el ayuntamiento, pre cesarias para la sesión del 17 de Agosto, y detnas que se sidido por el Sr. Baile el muy digno ciudadano D. Josef ocupen en el proceso de la Reina. Quintana. Detras se elevaba un tablado para la música. To Está ya concluida una gran parte de los preparativos dos los balcones que dan á dicha plaza estaban coronados de para la coronación del…</t>
  </si>
  <si>
    <t>Bailin, Pedro</t>
  </si>
  <si>
    <t>Pedro Bailin</t>
  </si>
  <si>
    <t>…ente de rentas de aquel resguardo D. Anto-, co Xavier de Negrete, cuyo trabajo ha sido arreglado por nio Ximenez , y prestádole todos los auxilios que hubiese el mariscal de campo D. Pedro Bailin, y pasado copia li pedido para el efecto, pues que en ello no se contraviene á teral á la junta consultiva. lo prevenido en el citado artículo. Y lo traslado á V V. SS. Resolución de los problemas i.° y 62 de la junta con de orden de S. A. para su inteligenci…</t>
  </si>
  <si>
    <t>Bailo, Antonio</t>
  </si>
  <si>
    <t>Antonio Bailo</t>
  </si>
  <si>
    <t>…en 446 varas de terreno que tenía una casa casi arruina A la comisión de Biblioteca se mandó pasar una ex da, contigua á ¡a de ,1a inquisición , por servir, á causa dé posición de D. Antonio Bailo, del comercio de libros dé su mala posición, para abrigo de malhechores, y para lo esta corte, haciendo presente que poseía una colección de grar también la mas hermosa vista del pueblo por aquel la- obras raras de ediciones del siglo xv y xvi, las que estaba…</t>
  </si>
  <si>
    <t>…que se honra la historia de Suecia, como Reyes, Reinas, gene cada cual prueba por diferente rumbo. Véndese en la oficina de rales, hombres de Estado &amp;c. Este es un verdadero monu D. Antonio Bailo , calle de las Carretas , á 6 rs, en buen papel, mento nacional; y Mr. Rothlieb, al hacer la descripción precio menor al de su coste , con la ¡dea tánica de que se pro pague este útilísimo establecimiento , y al fin tengan cumplidodel edificio, escribe en alg…</t>
  </si>
  <si>
    <t>Bajá</t>
  </si>
  <si>
    <t>…ian debido salir Catorce buques de la escuadra turca han llegado á nues en el dia de hoy para la Noruega; y aquí se están haciendo tras aguas, y se espera de un instante á otro al capitán Bajá preparativos para el viage de S. M. á los baños de Toeplitz, con el resto de ella. El egército adelanta por todos lados adonde le acompañará el conde de VVittgenstein. con el objeto de atacar á Ali-Bajá, quien en medio de su Nuestra corte ha recibido aviso de…</t>
  </si>
  <si>
    <t>…ovisional preparatoria de ¡as teres en enviar fuerzas á este mar en el momento en que Cortes, tiene por objeto preparar y disponer á la mayor una escuadra turca. á las órdenes del capitán Bajá, está cru brevedad posible todo lo que se juzgue necesario para la mas zando en el mar Negro, y otra se halla al mismo tiempo en tonta convocación de las Cortes, y para la regularidad y ias aguas de ¡as islas Jónicas. uen orden de su celebración. La junta pro…</t>
  </si>
  <si>
    <t>Baja</t>
  </si>
  <si>
    <t>…es con una comisión muy importante, debe á la presencia de los muchos buques de guerra otoma y cu yo.objeto es evitar la declaración de la guerra; sí es nos, y á la vigilancia del capitán Baja. ¡roda vía posible. El comerció está paralizado hace algún tiempo. Por ALEMANIA. otro lado sigu'en bajando todavía los billetes del emprésti to de Rostschild y los demas papeles de Estado; lo que se Aúgsburgó 2 ? de Noviembre. «tribuye á los movimientos milit…</t>
  </si>
  <si>
    <t>Bal</t>
  </si>
  <si>
    <t>…o tanto de nacionales co &gt;7 He dado cuenta al Rey de la instancia en que Doña mo de extrangeros, y la artillería de la plaza hizo Los acos Joaquina Ramírez de Arellano , viuda del coronel D. Bal tumbrados saludos de ordenanza. tasar Sandoval, comandante que fue del segundo batallón del regimiento de infantería «JeValencey destinado á Ultramar, LITERATURA. y murió en 2 a de Setiembre del año próximo pasado en la ciu dad de S. Fernando de la epidemia q…</t>
  </si>
  <si>
    <t>Balanza, Justo</t>
  </si>
  <si>
    <t>Justo Balanza</t>
  </si>
  <si>
    <t>…in contravenir unos y ohrós á'la ley diidñá. Véndese á 4 rs.'en la librería de la viuda de Barco López, calle' de la Cruz, y en la portería de S. Felipe el Real. —Carta-primera de D. Justo Balanza al pobrecito holgazán, enda cual se rectifi can; y .aclaPap én estilo serio muchos de lps plintos que aqupl topa ®A sus.ijsartas joco &gt; /-f sas. Se Jía fiará en; la librería defPaz, frente á? las Covachuelas,; ? "at; n -t i Segunda cartá consolatoria al pobre…</t>
  </si>
  <si>
    <t>Gaceta del Gobierno n.º 34</t>
  </si>
  <si>
    <t>144</t>
  </si>
  <si>
    <t>…mes de Agosto al secretario del nil, invitándolos á que le comunicasen sus luces, y promo- ayuntamiento. viccun el zelo de sus subalternos para que del mismo modo Carta cuarta de D. Justo Balanza al pobrecito holgazán , efi lo hicieran, con el fin de remitir datos para proceder con el que se trata del antiguo juzgado de imprentas, de los lechuzos acierto que desean á llenar el objeto de ■ u reunión, y que y de los mayorazgos. Se. hallará con las anter…</t>
  </si>
  <si>
    <t>…un tomó Una lauda erial, de 2 robos, 8 almudes en el campo de en folio. Se hallará en la librería de Hurtado á 56 rs. en pasta. Mosquera , jurisdicción de Tudela, Caita quinta de D. Justo Balanza, en que se trata de los Una casa sita en la parroquia de S. Jorge y calle dél abusos que se cometen en los textos de los sermones, de la si Cofrete. tuación de las religiosas y de los pretendientes. Se vende en hi Una casa sita en la parroquia de la Magdalena…</t>
  </si>
  <si>
    <t>Balanzat, Ignacio</t>
  </si>
  <si>
    <t>Ignacio Balanzat</t>
  </si>
  <si>
    <t>Gaceta del Gobierno n.º 16</t>
  </si>
  <si>
    <t>67</t>
  </si>
  <si>
    <t>…tepuesto para la provincia de Extremadura.- Las Cortes que ros; y de Infantería, en los propios términos, al mariscal daron enreradas, y se mandó pasar á la comisión de Le decampo D. Ignacio Balanzat, que encargado interinamente gislación. ... 1 de la primera de estas inspecciones, desempeñaba también la . Se leyó asimismo otro del ministro de Marina, con el segunda. , que remitía -too egemplares del decreto de,i.° de este mes, . ECONOMIA.—POLITICA. que r…</t>
  </si>
  <si>
    <t>Balaren</t>
  </si>
  <si>
    <t>…nderas como punto de reunión, Se volvió á entrar en la discusión con la lectura de otra no neccritaban de ellas. indicación del Sr. Sánchez Salvador, en la que con motivo Luego el Sr. Balaren creyó que e'taba ecte artículo en de haberse determinado en la sesión pública de ayer se per Oposición con lo que se aprob 5 ayer para admitir volun mitiese á los exceptuados de la milicia nacional servir en ella tarios; á lo que respondí &gt; el Sr. Sancho, que…</t>
  </si>
  <si>
    <t>Balboa, Francisco Xavier Guerra</t>
  </si>
  <si>
    <t>Francisco Xavier Guerra Balboa</t>
  </si>
  <si>
    <t>…D. Antonio (^onsez Villaboa, Don Joaquiq;txaniza de Vitoria, D. Josef Antonio Arriba, D. Diego Gastambide, Don Termin Antonio Arriaga, D. Antonio Lázaro y Pozo, D. Pablo González, Don Francisco Xavier Guerra Balboa, D Juan de la Torre, D. Mariano Mamar, Don Juan Pió Jaén, D. Manuel Vacas y Pinilla y los señores Balmaseda ¿ hijo, últimos tenedores de 37 vales, citación de fi.° dc Enero de 1809., señalados: 9 de ñocrpesos con los números 365,061; 365,483; 366,553; 369,205…</t>
  </si>
  <si>
    <t>Ballesteros</t>
  </si>
  <si>
    <t>…deseando 40 años há; pues suponía que era llegado tadas por López en la guerra de la independencia, según el momento feliz de la supresión de mayorazgos, aprobán certificación del general Ballesteros, y con el objeto no dose, como no podia dudarlo, el artículo propuesto por la tolo de indemnizarle de los daños sufridos, sino de vindicar comisión; y siguió su discurso manifestando los inconve á la Nación, opinaba que de los Fondos públicos se diese al nien…</t>
  </si>
  <si>
    <t>Ballesteros, Francisco</t>
  </si>
  <si>
    <t>Francisco Ballesteros</t>
  </si>
  <si>
    <t>…&gt; roga, D. Josef García de la Torre,.D. Josef Alós y D. Antonio González Salmón. Eri seguida el Srf cardenal recibió el juramentó á los Sres. vice-presidénte de la Junta el Excmo. Sr. D. Francisco Ballesteros &gt; á los demas vo cales de ella los limos. Sres. D. Manuel Abad y Queipo, obispo electo de Valladolid de Mechoacan., D.. Manuel de Lardizabal y conde de Taboada,; ■del Consejo y Gámara dé S. M., D. Matea Valdemoros, D. Vicente Sancho, D. Francisco Crespo de Te…</t>
  </si>
  <si>
    <t>…(2 rs. cada es tampa de cuatro retratos y suscripción , y 16 rs.Idem sin ella; debiendo tomar pre cisamente dos estampas que'hacen una entrega. Retratos á caballo de los generales D. Francisco Ballesteros y D. Pedro Villa»» campa y el coronel D. Juan Palarea ,• el Médico, en medio pliego de marquillla. Se bailarán en el almacén de estampas de la calle Mayor, á 8 rs, iluminados y 4 eri negro. en iXimprentZnacionalT</t>
  </si>
  <si>
    <t>Ballesteros, Josef-Vázquez</t>
  </si>
  <si>
    <t>Josef-Vázquez Ballesteros</t>
  </si>
  <si>
    <t>286</t>
  </si>
  <si>
    <t>…ndicación á una comisión especial, pa percibir por sus. respectivas plazas. Hallándose comprendido ra la cual nombró el Sr. presidente A los Sres. Alvarez Guer en esta declaración D. Josef-Vázquez Ballesteros, fiscal del ra , Moscoso j Benitez, Cosío, Perez Costa, Calatrava, suprimido Consejo de Hacienda, y ministro de la audien Couto y Gareli.' cia de Charcas en el año de 1809, S. M. se ha servido man No se admitió á discusión otra indicación del Sr. Za dar que s…</t>
  </si>
  <si>
    <t>Balmaseda, Antonio Odoardo</t>
  </si>
  <si>
    <t>Antonio Odoardo Balmaseda</t>
  </si>
  <si>
    <t>…ó en aquél no de 30 días. puerto en favor de los desgraciados pueblos que han experi Santiago de Cuba. mentado la peste en aquella isla. La siguiente lista manifies Por ascenso de D. Antonio Odoardo Balmaseda á una ta el nombre de los benéficos sugetos que á ella han contri ración de aquella santa iglesia ha quedado vacante la media buido , y la cantidad que cada ur.o ha dado. ración que obtenía en ella, cuyo valor es de 500 pesos al El Excmo. Sr. D. Jorge Don, te…</t>
  </si>
  <si>
    <t>Baltasar</t>
  </si>
  <si>
    <t>…o que haya lugar. Sus autores son los siguientes: El coronel D. Nicolás Orden natural y eseíicial de las sociedades políticas. Cuando del Campo; el brigadier D. Francisco Serrano; D. Baltasar se imprimen las traducciones del derecho de gentes de Vattel y del espíritu de las leyes de Montesquieu , un amante de la fe Bautista; el coronel D. Antonio Rojas; el teniente coronel licidad nacional ha juzgado que también convenía imprimir laD. Miguel Ladró…</t>
  </si>
  <si>
    <t>BaltasarCircular</t>
  </si>
  <si>
    <t>…del Eomento general del reino; y y restituirse en el mismo á Madrid.” se ha presentado á la Nación en sus primeras y augustas Cortes, congregadas en 9 de Julio de 1820: por el Dr. D. BaltasarCircular de-Hacienda, de Ultramar. Antonio Zapata. Véndese en la librería de Collado. Vasconia salvada: tragedia española en cinco actos, escrita Con esta fecha me ha dirigido el Sr. secretario del Des por D. M. de B. -. impresa en 1820. Véndese á 3 rs. en las li pach…</t>
  </si>
  <si>
    <t>Bamberg, Frey de</t>
  </si>
  <si>
    <t>Frey de Bamberg</t>
  </si>
  <si>
    <t>…rigidos contra sugetos generalícente estimados, se publiquen y espartan sin el menor obstáculo. As’i es que &lt;yji el dia fija la atea? cion de todos rm* nuevo escrito, atribuido at profesor Frey de Bamberg contri el respetable Mr. de Wessemberg, y relativo á sus discusiones con la cort«; de Roma., El autor se -desenfrena furiosamente contra los Gobiernos protesta**? .tes, y se esfuerza por exasperar contra ellos á los subditos católÍcos-:q&amp;Qps. libelos semejant…</t>
  </si>
  <si>
    <t>Ban</t>
  </si>
  <si>
    <t>…es. Se nombró al Sr. Giraido para la comisión de Gobierno interior de las Cortes en lugar del Sr. Castañedo. NOTICIAS DE LA PENINSULA. No se admitió á discusión una indicación del Sr. Ban queri para que el Gobierno remitiese los documentos origí Cubo (partido de Benavente) 25 de Agosto. nales que hubiese tenido presentes para la liquidación de la En esta aldea , adonde no habían podido penetrar hasta deuda de Holanda. ahora los verdaderos prin…</t>
  </si>
  <si>
    <t>Ban-</t>
  </si>
  <si>
    <t>…én al de la clase Industriosa, consistiendo el bien inevitable de la industria. general en que haya la mayor armonía posible en todas El Sr. Ezpeleta se opuso A lo expuesto por el Sr. Ban- ellas. queri, porque reduciendo el asunto á expediente seria eter El Sr. Freire apoyó este parecer ampliándolo, con hacer no , y haciendo ver que la abundancia de granos era notoria, ver que aun aquellos autores de economía política , q _e sien y que habia do…</t>
  </si>
  <si>
    <t>…creía que habla confundido algo los Por último quedó aprobado el artículo 9.0 principios, y porque afortunadamente no estaban los cré No se admitió á discusión una indicación del Sr. Ban- ditos ael Estado en el caso de un parel-monéda , sino er» queri , dirigida á que entre los arbitrios del núm. 23 se el de representar un contrato celebrado entre- la Nación y comprendiesen las minas de plata de Guadalcanal y Cazada. un particular. Se mandó pa…</t>
  </si>
  <si>
    <t>…vinciales los se tínez y Desprat: «Que se extienda la prohibición al bacalao.” ñores Cantero, Ramos García, Manzanilla, Díaz del Mo No se admitió á discusión otra, en que pedia el Sr. Ban- ral , Ramos Arispe , Ochoa , Fondevila , Novoa y Cortázar. queri se encargara al Gobierno que para la próxima legisla Para la de División de territorio los Sres. Clemencin, tura manifestara á las Cortes, la cantidad de algodón ex- Alvarez Guerra, Vargas Pouce…</t>
  </si>
  <si>
    <t>Bañares, Gregorio</t>
  </si>
  <si>
    <t>Gregorio Bañares</t>
  </si>
  <si>
    <t>631</t>
  </si>
  <si>
    <t>…e. Memoria científica sobre la naturaleza, usos y virtudes extraordinarias del* balsadio sam antaño á aceite común,, del de Malats, Izquierdo y otros semejantes -.por el ciudadana D. Gregorio Bañares,. boticario de Cámara de.S. M- &amp;c. En dicha me moria se demuestrá que la virtud principal de los. referidos bálsamos, consiste én el aceite, y no en las yerbas. Que las propiedades, maravillosas del bálsamo- samanta no.’ para las heridas traen su origen desde…</t>
  </si>
  <si>
    <t>…erencia que existe entre estadística, economía-política y aritmética-política. ARTICUIO DE OFICIO. Análisis del agua mineral de los baños de la Fuensanta ó Hervideros : por el Dr. D. Gregorio Bañares, boticario de Cá El Rey ha expedido el decreto siguiente: mara de S. M. Véndese á 10 rs. en la botica deL autor,calle an Don Fernando vil por la gracia de Dios, y por la cha de S. Bernardo. Constitución de la Monarquía española, Rey de las Españas, De la revo…</t>
  </si>
  <si>
    <t>Banqücri</t>
  </si>
  <si>
    <t>…to de suspensión de pago de sabios , bien seá de dentro ó fuera del Congre o. panic lardiezmos. mente para el ramo de ciencias exactas, fisicas y naturales. 1 .Una .indicación del Sr. Banqücri para deshacer una equi El Sr. Muñoz Torrero pfopuro que se autorizase á la vocación padecida en la última sesión , que se reducia á que Cómi-ion para este efecto; lo que se aprobó. Aliando pidió qtié se imprimiesen la memoria y documentos Se dió cuenta de una…</t>
  </si>
  <si>
    <t>Banquea</t>
  </si>
  <si>
    <t>…y Canarias se entiende sin perjuicio de los achuales de En el segundo se manifestarán los medios de suplir al rechos. establecimiento de compañías de Guardias marinas, para que El Sr. Banquea presentó una indicación para que la pro puedan crearse oficiales de Marina con mayores ventajas que hibición de introducir trigos y harinas sea extensiva al maiz, en aquellas: debiendo tenerse presente en todos casos los centeno y mijo. Habiendo leído el prim…</t>
  </si>
  <si>
    <t>Banqueó</t>
  </si>
  <si>
    <t>…el déjnit que resultase en los los del ministerio, secretarías y archivo, y 6oo0 rs. para ingresos del tesoro nacional. mirones : cuota muy diminuta con respecto á la que anti El Sr. Banqueó . creyendo se extraviaba la cuestión, no guamente se des:inaba. se frata. dijo, de si han Je con in ¡ar ias rentas estancadas, El Sr. Ramos Arispe pidió se señalase dia para discutir sino de auxiliar al Gobierno con la resolución de las Cor este asunto ; lo q…</t>
  </si>
  <si>
    <t>…debía Justicia, en que decía que era perjudicial la permanencia cíe decretar un precio general para toda la Península. D. Blas Ostolaza en el monasterio de la Cartuja en que se El Sr. Banqueó, conviniendo en la necesidad de tomar hallaba, mucho mas existiendo en ella un religioso conoci una medida provisional, juzgaba que para evitar compromi do por su desafecto al sistema constitucional y sus extra sos debia saberse previamente la cantidad de har…</t>
  </si>
  <si>
    <t>…encia y exacto cumplimiento. Madrid 20 de Julio de trigo malo, y á veces averiado ; por lo que se mandó ex 18 20.” presar en el artículo «extiéndase á los presidios de Africa.” El Sr. Banqueó dijo que la comisión se habia limitado 2.a «En el mes de Diciembre de 181; se circuló por á los trigos y harinas, y que hubiera querido que sus me la primera secretaría de Estado la Real orden siguiente: didas fuesen extensivas A los demas granos, como centen…</t>
  </si>
  <si>
    <t>…as Cortes sus sesiones, y jurado S. M. la Se concedió la venia solicitada por el Sr. ministro de Constitución ante ellas, se ensanchó nuestro corazón, con Hacienda para que el Sr. diputado Banqueó informara so siderando abiertas ya las fuentes de la prosperidad nacio bre ciertos incidentes relativos al privilegio concedido al nal. No podíamos menos de hacer las demostraciones mas general Downie para introducir azúcar y cacao en la Pepuras del júbilo y…</t>
  </si>
  <si>
    <t>412</t>
  </si>
  <si>
    <t>…ible. proveerlos ep ellos; y añadiendo el segundo que habia sido El Sr. Sancho deshizo una equivocación padecida por dicha falta una de [as causas que estimularon á la comisión el Sr. Banqueó en una de las bases que había sentado para á proponer la subsistencia dé los mendicantes. deducir la diminución del presupuesto, la cual provenía de Después de otras reflexiones de los Sres. Gisbert y Cor no haberse hecho cargo del crecido número de generales…</t>
  </si>
  <si>
    <t>Banqueri</t>
  </si>
  <si>
    <t>…so la calificación del mérito de aquella: y después1 de gación, dando aviso.de los que mas se esmeren en esto. una ligera discusión sobre este punto , se aprobó la contes Otra del Sr. Banqueri, para que á la mayor brevedad re tación sencilla de que las Cortes quedaban enteradas. mita el Gobierno, con su dictamen, los trabajos hechos acer Se dió cuenta de otros dos oficios, uno del ministro de ca de la uniformidad de pesos y medidas de toda la Nació…</t>
  </si>
  <si>
    <t>…ia del clero secular Asimismo se aprobó el de la comisión de Poderes, da y regular, y del pueblo. do acerca de la exposición del Gefe político de Mallorca, Otra análoga á esta del Sr. Banqueri para que se decrete en que manifestaba la necesidad de que permaneciese en la al Rey el sobrenombre de Grande, el que se ponga en la isla su obispo, diputado electo por la provincia de Soria; moneda y demas documentos en que haya de expresarse su sobre lo cua…</t>
  </si>
  <si>
    <t>…nda, sivamente al Reí por decreto de 19 de Abril de 1814, constase asi en el acta. han acordado que á este decreto se le de toda la notoriedad Se leyó después la indicación que el Sr. Banqueri habia posible, insertándole en la gaceta del Gobierno, para que ofrecido, dirigida á que mientras no estuviesen impresas las por su conducto y el de los demas periódicos se entere de memorias con los documentos, no se tratase de la aproba su contexto toda la…</t>
  </si>
  <si>
    <t>…ar el dictamen de pumos hacían el doble servicio de traer los géneros, é intro las comisiones, quedando este aprobado, y desechada la in ducir proclamas del egército. dicación del Sr. Banqueri. El Sr. conde de Toreno tomó por fundamento estas ex El Sr. Ramos A rispe, apoyando el dictamen del señor presiones del Sr. Moreno Guerra para desechar la indica conde de Toreno para que no se atienda á asuntos par ción qué defendía , porque los crímenes, dij…</t>
  </si>
  <si>
    <t>…Sr. Vitorica, conformándose con el dictamen de las mero el dictamen de la comisión : desaprobó el medio pro comisiones, pedía una excepción en favor de la i la de Me puesto por el Sr. Banqueri para conocer la abundancia de norca, porque los barcos de dicha isla hacen el comercio granos, no existiendo mejor barómeno para graduarla que no idamente para el consumo de Menorca, sino también el precio de los mismos, pues no es seguro eí de ¡os in para ia…</t>
  </si>
  <si>
    <t>…, y del mejor servicio del Estado? no se debía tratar de él. Después de oir al Sr. Lasan'a, se 4.0 . ;Cómo deberán darse por los gefes los informes de aprobó que la indicación del Sr. Banqueri pasara á la comi los oficiales de la armada, y qué circunstancias han dé me sión para que fije un precio medio; con lo que se levantó diar para que dichos informes puedan tener fuerza 6 influjos la sesión. en los ascensos, mandos, comisiones ó encargos partic…</t>
  </si>
  <si>
    <t>…e Bellas Artes. SS. AA. continúan sin la menor novedad en su impor Se dió cuenta del dictamen de las comisiones de Agri tante salad. cultura y Comercio acerca de la indicación del Sr. Banqueri, sobre que la prohibición de introducir granos extrali CORTES. geros , acordada en la sesión del 27 de Julio, fuese exten siva al maiz , centeno y mijo. La comisión , para dar mayor Sesión del 4 de Agosto. claridad al artículo i.° de su primer dictamen ya apr…</t>
  </si>
  <si>
    <t>…cimientos piadosos y de bencíicencia, y por consiguiente Sr. Torre Marín, y otra del Sr. Ledesma , y dos indicacio creia no haber lugar á la aprobación del articulo. nes , una del Sr. Banqueri, y otra del Sr. García (D. Antonio). Otro señor diputado recordó la necesidad de que se Preguntó el Sr. Cepero si se concedía al Sr. diputado adopte esta medida para no dejar abandonadas á muchas Sandino permiso para tratar con el Gobierno. Deseando sa gentes…</t>
  </si>
  <si>
    <t>…posición se extendió en manifes talidad. tar los fundamentos que habia tenido para hacerla. Se continuó la discusión que habia quedado pendiente Se leyeron después otras siete del Sr. Banqueri, también sobre si ha lugar á la formación de causa del marques de por segunda vez, relativas á la reposición de los empleados Castelar. separados de sus destinos desde el 9 de Marzo de este año; Habló primero el Sr. Solana , diciendo que todo cuanto se que no…</t>
  </si>
  <si>
    <t>…eterminaron que gobernador de Ceuta D. Fernando Butrón, presentado por se pasaran á la Ordinaria. ñ Sr. O-Daüy relativo á hacer algunas reformas y econo Se leyó una indicación del Sr. Banqueri, que se tuvo mías en aquella plaza, y sobre si convendrá negociar los pre por proposición y primera lectura, relativa á que se nomsidios menores con ei Emperador de Marruecos. hrase una comisión especial para examinar la conducta de Al Gobierno una exposición…</t>
  </si>
  <si>
    <t>…etiembre. sociales de los beneméritos vecinos de este pueblo, tan ilus Se leyó el acta de la anterior, á la que se mandaron trado como patriota. agregar los votos particulares del Sr. Banqueri contra el re Para colmo de su dicha y tranquilidad llegaron en la conocimiento de los intereses de la deuda de Holanda, res noche del 22 en la fragata de guerra la Constitución el Gefe pectivos á los seis años del Gobierno intruso; del Sr. Zubia, superior pol…</t>
  </si>
  <si>
    <t>…el articulo las palabras de bienes raices y estables : cuatro del Sr. Perez Costa ; ysistema lo serán eternamente. Kt Sr. Virorica fue de parecer que en el estado en que cinco del Sr. Banqueri para que se señalara el máximum y se hallaba la discusión se debía tratar tan solo de cuál era mínimum de las que pudiesen subsistir. el camino que convenía seguir para que las Cortes propor- El Sr. Romero Alpuente presentó también algunas. La</t>
  </si>
  <si>
    <t>…derechos diferentes de los bienes raices, y Después de haber hecho el Sr. Freiré la observación, que que no impidan la libre circulación de estos no se haga no en seguida apoyó el Sr. Banqueri , de que se tendia un lazo vedad por ahora, y subsistan las fundaciones respectivas á los compradores de estos bienes, porque hnbriande perder con el orden de sucesión prescrito en ellas. los que comprasen , en caso de que pediese haber lugar á la Ar. 8.° Par…</t>
  </si>
  <si>
    <t>…de la comisión de Comercio, la Hacienda pública; pero que esta necesitaba tiempo. _en que habiendo examinado la exposición del ayuntamiento Empeñada después la discusión entre el Sr. Banqueri y de Vigo sobre establecimiento de un consulado en aquelia los Sres. Sierra Pambley y Yandiola, individuos de !a co ciudad, conceptuaba justa esta solicitud, proponiendo que misión, y el Sr. ministro de Hacienda, se prolongó aque -se pasara al Gobierno para q…</t>
  </si>
  <si>
    <t>Gaceta del Gobierno n.º 98</t>
  </si>
  <si>
    <t>…almhnsi: civil. cu va formación Tificando lo mismo por lo correspondiente al de Hacienda. está concedida exclurivanientfe al observatorio de Cá diz, y Se leyó otra indicación del Sr. Banqueri, que decía ah también los edificios v terrenos dependí entes ce ia marina, «Que se diga al Gobierno remita ios expedientes de las V de los que por arrendamiento ó por otros medios ia re subastas celebradas por ¡os intendentes de las expresadas pro sulten util…</t>
  </si>
  <si>
    <t>…as observaciones sobre ciertas tes , y quedó aprobado enteramente. dificultades, que disolvió el Sr. ministro de Hacienda. Se pasó en seguida á la discusión de la segunda parte El Sr. Banqueri fue de dictamen que se rebajase la ter del dictamen de la comisión , que comprendía las rentas cor» cera parte de la contribución general en vez de la miiad que que se debían satisfacer los presupuestos, y estaba dividida se proponía, fundándose para ello en…</t>
  </si>
  <si>
    <t>…el 11 de Octubre. regular, y ios o.ros en su honor, porque puede parecer que -l Leída y-aprobada el acta anterior, se mandó agregar i llevan demasiado. ella el voto particular del Sr. Banqueri, contrario á lo ¥e- j2.a Se abrirá un empréstito de 400’millones de reale* ■«idto sobre fas rentas estancadas de tabaco y sal. con un interes de ó por too anual, admitiéndose en pagó En seguida se continuó la discusión sobre el empréstito, una Cuarta parte en…</t>
  </si>
  <si>
    <t>…habian dicho, y que él no encontraba. Esperaba que pocos capitales que hay. Impugnó en seguida el voto parti en vez de fomentar la industria y agricultura la entrada de cular del Sr. Banqueri y el cálculo del Sr. Oliver, diciendo los 200 millones de rs., como se suponía, debía causar que estos señores habían calculado los intereses como si solo perjuicios de trascendencia, recordando que habrían de en fueran á abonarse en un año, de lo que resulta…</t>
  </si>
  <si>
    <t>Banquerí</t>
  </si>
  <si>
    <t>…s y contraregistros cuando sea en plata en cantidad seis primeros artículos , retirando la comisión el 7.0 de mas de i0 rs. vn. y 20 en oro.” he mandó agregar al acta un voto del. Sr. Banquerí, En cuanto á la indicación del Sr. Puigblanch para que contrario á la resolución de que el algodón en rama de la se impusiera á los abanicos extrangeros el derecho que pa India pague 9 y 1 2 por ion; y otro de los Sres. Desprat gaban anteriormente, decía la c…</t>
  </si>
  <si>
    <t>Bar, Gerónima</t>
  </si>
  <si>
    <t>Gerónima Bar</t>
  </si>
  <si>
    <t>…raspar Coronel. dado con motivo de la exposición que dirigió A las Cortes Doscientas diez medias de tierra blanca en Sienes. Ja junta provincial de Censura de Murcia. Idem idem de Doña Gerónima Bar cero. Se aprobi otro dictamen de la misma comisión, presen Treinta y tres idem , en Torrevaldealmas. tado en vista de la exposición dirigida al Congrego por la Una casa en Sigüenza. junta suprema de Censura , manifestando la necesidad de Otra idem, ídem. aume…</t>
  </si>
  <si>
    <t>Baracearte, Josef Manuel de</t>
  </si>
  <si>
    <t>Josef Manuel de Baracearte</t>
  </si>
  <si>
    <t>…ada en 5332 rs., y dan por* elhr 3360 en efectivo* Quien quisiere, hacer alguna mejora acuda ante S. S. en la hora citada , que se admitirán las que se hicieren siendo arregladas. D. Josef Manuel de Baracearte, del comercio de S. Sebastian, remitió á Urquijo, hermanos, con carta fecha 10 de Diciembre de 1819 un vale Real de á 150 pesos de la,creación,,de i*° de Enero de 1819, señalado con el núm. 114,496, con el últi-, mo endoso á dicho Balacearte; y habiéndose cxt…</t>
  </si>
  <si>
    <t>Barajas, Santiago</t>
  </si>
  <si>
    <t>Santiago Barajas</t>
  </si>
  <si>
    <t>…l mismo cuerpo contra ía gavilla de Ortiz en número de 150 hombres; y lo recomiendo, á V- E. á dicho oficial por el buen porte que tuvo, y lo mismo al sargento graduado de alférez D. Santiago Barajas. ,, EI ganado que se les ha tomado *á los rebeldes tengo prevenido á dicho gefe lo entregue á sus dueños.,, Dios &gt;.uarde á V. E muchos años. Dolores Setiembre 5 de i8i9. = Excelentísimo Sr/= Francisco de Orrantía. = Excmo. Sr. virey conde del Venadito.” Diari…</t>
  </si>
  <si>
    <t>Baraller, Sebastian</t>
  </si>
  <si>
    <t>Sebastian Baraller</t>
  </si>
  <si>
    <t>…ía, por el segundo ayudante continuará.) agregado al regimiento infantería de Sevilla D. Juan Ca LITERATURA. lón ge. Idea sobre la utilidad de tropas extrangeras, por el ca pellán D. Sebastian Baraller desde Figueras. Egipto. Un periódico literario que se publica en Lon Solución á varios problemas insertos en la gaceta del 23 dres contiene la siguiente observación sobre las indagaciones de Mayo último, por el teniente retirado D. Felipe Ber de las antigüeda…</t>
  </si>
  <si>
    <t>Baranda, Pedro Sainz de</t>
  </si>
  <si>
    <t>Pedro Sainz de Baranda</t>
  </si>
  <si>
    <t>…culares. ministerio sobreda cria de muías, yeguas y caballo?. ’ La comisión, de Instrucción pública presentó su dictan NOTICIAS DEL REINO. men acerca de la dispensa que solicitaba D. Pedro Sainz de Baranda de un año,que. le faltaba para concluir la carrera Coruña 21 de Setiembres . de la abogacía: la comisión era de sentir que se accediese á, Por el estado de los productos y gastos.-de las.rentas y. su súplica , y asi se aprobó. . a ramos que administra esta pr…</t>
  </si>
  <si>
    <t>Barañdiarán, Martin</t>
  </si>
  <si>
    <t>Martin Barañdiarán</t>
  </si>
  <si>
    <t>…on servarlo bajo lá alta protección de WE. ,:me Tendré por el hombre mas feljj^ r, Mucho han influido para mi desengaño el coronel y comandante ge neral D. Antonio de Linares y el capitán D. Martin Barañdiarán, .por— que cotí su política y sus ^nodales, con su actividad y zelo en convertir los rebeldes por vías no menos -sabias que ocultas., ó en refrenarlos ppr la fuer za1 de las armas pérsigiiiéndoíos constantemente, me han hecho ver que éljpar-tido dé la' 'justa…</t>
  </si>
  <si>
    <t>Barbaza, Ramón</t>
  </si>
  <si>
    <t>Ramón Barbaza</t>
  </si>
  <si>
    <t>…e de la ciudad de Sigíienza el iixcmo. Sr. D. Juan Sencn de Contreras, teniente ge-&gt; neral de los Reales egércitos, gran cruz de la Real y militar orden de S. Her— mgnegifdo &amp;c. y D. Ramón Barbaza, alférez de Reales guardias Españolas,, con el discurso que pronunció el primero en los términos siguientes i</t>
  </si>
  <si>
    <t>Barcena, Manuel Gonzalo</t>
  </si>
  <si>
    <t>Manuel Gonzalo Barcena</t>
  </si>
  <si>
    <t>…e trigo, casa de.balde, y lo que pa A consecuencia de una exposición de D. Juan García guen tres eclesiásticos. Se dirigirán los memoriales francos de porte por Molina de Aragón á D. Manuel Gonzalo Barcena,Arias , en virtud de un exhorto del juez de primera instan escribano del ayuntamiento de dicha‘Villa; en la inteligencia decia de Buítrago, se concedió licencia al Sr. Puigblanch que han de proveerse dichos partidos lo mus pronto que sea popara practicar cier…</t>
  </si>
  <si>
    <t>Bardajt</t>
  </si>
  <si>
    <t>…abas qiie'. deberían ponerse, las que desearían muy estrechas los tímidos, los despotas,.los Parts 2/ de Agosto. -enemigos de la' libartad;• peto no.los liberales, los hojnbres El caballero Bardajt, embajador de S. M. Católica.en la</t>
  </si>
  <si>
    <t>Barinaga, Pedro Higinio</t>
  </si>
  <si>
    <t>Pedro Higinio Barinaga</t>
  </si>
  <si>
    <t>…ro.de justificar los motivos por que A las comisiones de Legiriacion y Guerra reunidas se no había opinado que se discutiesen aquellas; motivos á que mandu putar una exposición de D. Pedro Higinio Barinaga, no creía el orador se diese, respecto de él, una interpretaguardia cíe la Persona de S. M., sobre que en Los procedi clon, siniestra ; pero que sin embargo á primera vi-ta po mientos de las causas criminales de los militares se aplicasen drían dar lugar á so…</t>
  </si>
  <si>
    <t>Baro, Diego</t>
  </si>
  <si>
    <t>Diego Baro</t>
  </si>
  <si>
    <t>…artolomé Scotto, 2®. Don pública de Filipinas, Nueva-España, Ha vana y Puerto-Rico. Josef Comitre, 1®. D. Manuel Caballero, 2200. D. Ma nuel de los Ríos, 80. D. Josef Playas, 160. D. Diego Baro, 80. D. J. B. Canepa, 80. La Sra. viuda de Hernán Deseando complacer al público en todos sus ofrecimientos dez, hijo y compañía, i0. D. Josef Martínez, x0. Don los profesores de caligrafía, aritmética, grartiática y ortogra Francisco Xavier Machado y D. Manue…</t>
  </si>
  <si>
    <t>Barona, Pedro</t>
  </si>
  <si>
    <t>Pedro Barona</t>
  </si>
  <si>
    <t>…: el dictamen por partidas, quedaron todas aprobadas, menos gera , y otro sobre continuación de una pensión de óQ rs. la señalada para los gastos del extinguido ministerio de Se á D. Pedro Barona. guridad pública, que se mandó borrar , y las de los gastos Se dio cuenta de otro oficio del mismo Sr. secretario, ae regalía de aposento y gastos ordinarios del tribunal de que remiria una exposición de la junta de repartimiento de Cruzada, que se mandaron v…</t>
  </si>
  <si>
    <t>Barradas, Anselmo León y</t>
  </si>
  <si>
    <t>Anselmo León y Barradas</t>
  </si>
  <si>
    <t>…que han de estar suspensos ae los derechos de ciudada de Lleréna á D. Carlos Angulo ‘y Urdaivas: para el de nos , y que no pueden ni deben tener voz activa ni pasiva Monianches A D. Anselmo León y Barradas: para el da en tas elecciones, son los que están en mora, y que recon Plasencia á D. Santiago Amatriain para el de Navalmoral venidos para pagar las deudas, no han pagado al tiempo de i D. Francisco González Miranda: para el de Trujillo á hacerse las eleccion…</t>
  </si>
  <si>
    <t>Barragan, Miguel</t>
  </si>
  <si>
    <t>Miguel Barragan</t>
  </si>
  <si>
    <t>…el comandante de Patzcuaro teniente coronel l&gt;. Juan Oviedo desde el pueblo deSta. Clara que está organizando, que el de Ario le traslada la noticia que le da el valiente teniente coronel D. Miguel Barragan de haber tomado el 23 del corriente el cerro fortificado por el rebelde Bedoya en las inmediaciones de Puturo , quitándole cuatro cañones de á 4, uno de i 12 , y vo armas de fuego entre fusiles y carabinas descompuestas, cuyo por menor inmediatamen te que lo…</t>
  </si>
  <si>
    <t>Barrantes, Luis Castillo</t>
  </si>
  <si>
    <t>Luis Castillo Barrantes</t>
  </si>
  <si>
    <t>…e la de Guadalajara; al brigadier D. Francisco de Paula Osorio de la de la Mancha; al mar ques del Villar de la de Murcia; al teniente general D. Juan O-Donojú de la de Sevilla; á D. Luis Castillo Barrantes de la de Toledo; al brigadier conde de Almodovar de la de Valencia, y ai brigadier D. Luis del Aguila de la de Valladolid. El Rey, de acuerdo con la Junta provisional, ha venido en resolver que para evitar los abusos perjudiciales al bien público, en que podr…</t>
  </si>
  <si>
    <t>Barreda, Juan de Dios</t>
  </si>
  <si>
    <t>Juan de Dios Barreda</t>
  </si>
  <si>
    <t>…ce saber á los citados acreedores por medio de este anun cio; en la inteligencia de que al que no concurriere le parará el perjuicio que haya lugar. •Se desea saber el paradero de D. Juan de Dios Barreda, entendido por Amat, que en el mes de Octubre de 1812 se ausentó de esta capital con el egército ingles de músico del regimiento de Cazadores portugueses, r¿úm .3*. si alguna persona tuviese noticia de dicho sugeto tendrá la bondad de avisar en la tienda de p…</t>
  </si>
  <si>
    <t>Barrera, Juana</t>
  </si>
  <si>
    <t>Juana Barrera</t>
  </si>
  <si>
    <t>…dominante, y poner por obra los vípges que te Cecilia , ó el padre y la hija r historia inglesa: puesta-en espania proyectados mucho tiempo hacia. El Brasil fue el teatro ñol por Doña Juana Barrera. Las OoaséCíiéncias de una desobeque escogió para hacer sus primeras investigaciones; y la re diencia , y los medios que se ponen para expiar esta falta , hacen lación de su viage acaba de enriquecer á la Alemania con recomendable su lectura. Se hallara en la…</t>
  </si>
  <si>
    <t>Barrois</t>
  </si>
  <si>
    <t>…n general está por la p-tz , creyendo que seme S. M. para encargar e del mando superior de las divisiones jantes providencias son meramente de precaución. militares 12.a y t;.a El general Barrois salió también para Se ha recibido aqui la nota q- e el Emperador de Ale Brest con el objeto de pasar revista á varias legiones de in mania ha mandado pa'ar á las diferentes cor es de Italia, fantería en calidad de inspector general. en la cual declara S. M. q…</t>
  </si>
  <si>
    <t>Barry, Josef María</t>
  </si>
  <si>
    <t>Josef María Barry</t>
  </si>
  <si>
    <t>…váíLano próximo' pasado , al expediente promovido porD. Jtián Barry, capitán dt:®wa|;átá de lá Real armada, y demas consortes sus hermanos y sobrino', se manda citar y.emjplazar á D. Josef María Barry , voluntario que fue de las milicias provinciales de Córdoba, y hecho prisionero por los france ses al principio deda última guerra, á sus herederos ó la persona qüe se considere con derecho á sus bienes, para que comparezca en él propio tribunal 1 usar del q…</t>
  </si>
  <si>
    <t>Barry, Juan</t>
  </si>
  <si>
    <t>Juan Barry</t>
  </si>
  <si>
    <t>…reglo al artí pitanía general de Andalucía, su fechad de Agosto del afio culo 23, tifio tí.°, traradr&gt; 8.u de las Reales ordenanzas, y próximo pasado , al expediente promovido por D. Juan Barry, capitán de fragata de la Real armada y demas consortes , sus darme aviso del recibo de esta.” Madrid 30 de Octubre ae hermanos y sobrino, se manda citar y emplazar á D. Josef Ma 1820. ría Barry, voluntario que fue de las milicias provinciales de LITERATURA.…</t>
  </si>
  <si>
    <t>Basabrú, Josef Rulz del Burgo y</t>
  </si>
  <si>
    <t>Josef Rulz del Burgo y Basabrú</t>
  </si>
  <si>
    <t>…Solís, D. Josef Canals y Mayéis, D. Rafael Galinno y Guillelmi, D. Francisco Rívadeneira y Acevedo, D. Mariano Navarro "y Avellañ, D. Juan Basco y Sarria; Den Ramón Nuñez de Haro, D. Josef Rulz del Burgo y Basabrú, D. Benito Osma y Osma, y el soldado distinguido de la misma arma D. Benito de XJrrutia y Franco, que han concluido el curso general de estudios, ha tenido á bien promoverlos á subtenientes efectivos de dicho cuerpo, aunque con solo el suel do que en la actua…</t>
  </si>
  <si>
    <t>Basabru, Lorenzo de</t>
  </si>
  <si>
    <t>Lorenzo de Basabru</t>
  </si>
  <si>
    <t>…instancia del hermano Plácido Luzurtaga, procurador de 3a causa de beatificación de la vene rable madre Sor María de Jesús de Agreda, se citó y emplazó por el término de 30 días á D. Lorenzo de Basabru, último tenedor del vale Real de 300 pesos de la crea ción de i.° de Mayo de 808 con el núm. 456,414, retenido en la renovación como perteneciente á la referida causa, para que en dicho término acudiese personalmente, o por medio de procurador, con poder bast…</t>
  </si>
  <si>
    <t>Basando, Sebastian Dra</t>
  </si>
  <si>
    <t>Sebastian Dra Basando</t>
  </si>
  <si>
    <t>…proyecto de ley sobre arre puerta principal del palacio ; y por delante de él fueron glo de cárceles, y por tercera el de instrucción publica. desfilando las tropas. El comendador coronel Sebastian Dra Basando después- á elegir la comí-ion especial para el go Valen te de Briro Cabreira fue recibido con el mayor consejo de Estado, propuso el Sr. presidente la duda del entusiasmo por el pueblo, agradecido á lo mucho que nues número de individuos que habían de comport…</t>
  </si>
  <si>
    <t>Bassadone, N. P.</t>
  </si>
  <si>
    <t>N. P. Bassadone</t>
  </si>
  <si>
    <t>…Gibbs Casson bondad los que quieran emplearles, de dejar sus señas en la y compañía, 320. D. J. B., 40. D. Tomas Smith y com calle de las Carretas, librería de Ortega. pañía, 320. D. N. P. Bassadone, 80. Los Sres. Muir Torry y compañía, 320. D. Isaac Hadwen, 320. D. Juan Duffield y compañía, 320. D. Jacinto Narice, 80. D. Guiller mo Gray y compañía, 640. D. Juan Haffenden y compa ANUNCIOSñía, 320. D. Carlos S. Middleton, 8o. D. Joaquín Bobadilla, 160. D.…</t>
  </si>
  <si>
    <t>Bathurst</t>
  </si>
  <si>
    <t>259</t>
  </si>
  <si>
    <t>…esto, cuyo dictamen apoyó el conde de Harrowby. El conde Grosvenow habló y votó en el mismo sentido que el marques de Lansdown; pero habiendo sostenido la mocion los ministros, el conde Bathurst, lord canciller y el conde de Liverpool, fue adoptada al cabo’por la Cámara. CAMARA DE LOS COMUNES. Lord Castlereagh propuso á egémplo de lo que hizo lord Liverpool en la Cámara de los Pares, que se contestase al mensage del Rey con motivo de la disolución-de…</t>
  </si>
  <si>
    <t>…acia gran ten copia de la correspondencia del Gobierno con los comi estrado. sario1 regios que están en las islas Je nicas. Él general Müans llegó á Gibraltar procedente de Bue El conde Bathurst defendió con energía la conducta del nos-Aire*, y ha llegado aquí pocos días ná. general H. Maitland, gobernador de aquellas islas; y por Pamplona 26 deJulio. último fue aprobada la proposición del lord Lauderuale. En todas las escuelas de esta ciudad se expl…</t>
  </si>
  <si>
    <t>Donativo, suscripción o relación nominal</t>
  </si>
  <si>
    <t>…grandes potencias; y aun añaden que por la Inglaterra del Rey, que ha durado mas de dos horas, y también hal vendrá sir Jorge Canning, por la Rusia el conde de Capo tenido otra el conde Bathurst. Ayer y hoy ha recorrida de Istría, v por U Prusia Mr. Bernstónt ó Mr. de Kru- S. M. los buques que se estarr construyendo, y ha mandado semark. hacer en ellos varías mudanzas. Según la lista de los olicialcs x PRUSIA. ingleses empleados en el egército.portug…</t>
  </si>
  <si>
    <t>…rado una felicitación de la jun io n un consejo de gabinete, al que concurrieron todos ellos, á ta suprema de Caridad, dando gracias al Congreso por las excepción de Mr. Canning y lord Bathurst; pero se ignora el medidas que se han tomado para el socorro de los estable resultado de susTdeliberaciones, aunqué si se‘atiende á lo cimientos de beneficencia; ‘ * que ha pasado,-se puede presumir'que los ministros han re A la comisión-de Comerció sé pasó u…</t>
  </si>
  <si>
    <t>Batlle, Juan de</t>
  </si>
  <si>
    <t>Juan de Batlle</t>
  </si>
  <si>
    <t>…ogado de esta audiencia territorial^ Señores: Gefe superior político, presidente. = El barón de Castelíet.=r Don Félix Torres Amat. = D. Benito de PlandoIit.=D. Antbnío’Támaró. sr Don Juan de Batlle. ==D.^ Manuel LassaJa=D. Maríapo Estévé. =z Antonio Buch, secretario. . . ? Madrid 7 de Abril\ ARTICULÓ DE OF ICIO. Él P-ey,ha expedido los depr^tps siguientes:-k ■ ^ « ,, Cuando tuve á bien nombrar £ecretario¿ in-terjno.de Estado ydel Des i, pacho de la Gobe…</t>
  </si>
  <si>
    <t>Bau, Felipe</t>
  </si>
  <si>
    <t>Felipe Bau</t>
  </si>
  <si>
    <t>…ar, reuniéndose inmediatamente para formar la junta suprema los mismos individuos que la componían cuando se disolvió; á saber, D. Manuel Josef Quintana, presidente, y ios vocales D. Felipe Bau*á, D. Martin Navas, Di Eugenio de Tapia, D. Pablo de la Llave, D. Vi cente Sancho-, D. Juan Acevedo, y D. Francisco Martínez de la Rosa, se*eretario; y previniendo que si algunos hubieren fallecido, sean reemplazados por los suplentes que había en la misma ép…</t>
  </si>
  <si>
    <t>Bausa, Felipe</t>
  </si>
  <si>
    <t>Felipe Bausa</t>
  </si>
  <si>
    <t>…nta electoral de la provincia ios ciudadanosrcuyos nombres siguen: &lt; 'p •; Por.Madrid.: D. RampnrGiraldo de Afquelíada, D. Manuei Josef Quintana, D. Bernardo de Borjas y Tarrius &gt; D. Felipe Bausa , D. Miguel Anto nio Zumaíacarregui , ;D.. Juan Palárea, D. Eugenio de Tapia , D. Josef Ma ría Calatrava.,, D. .Vicente Sancho v D^Eugenio A rrieta, D. Ramón Trujillo. Pattido de Fuencarral. D. Isidro López, presbítero. Idem de Getafei D. Crisáuto Josef Garcí…</t>
  </si>
  <si>
    <t>Bausan</t>
  </si>
  <si>
    <t>…. MIERCOLES 3o DE AGOSTO DE i8ao. A NOTICIAS EXTRANGERAS. ITALIA. AUSTRIA. Ñapóles 29 de Julio. El consejo de seguridad pública ha anunciado haber ar Vierta a de Agosto. ribado el capitán Bausan el 2t en la mañana á la rada de Casi todos los generales nombrados hasta ahora para Palermo, donde ya había cesado enteramente el desorden; mandar las tropas de refuerzo que nuestro Gobierno envió y el pueblo obedecia con gusto las órdenes de una junta á la L…</t>
  </si>
  <si>
    <t>749</t>
  </si>
  <si>
    <t>…B3Bg3SS&amp;m 3Q8K ESS8 GACETA DEL GOBIERNO. DOMINGO 10 DE DICIEMBRE DE i8ao. NOTICIAS EXTRANGERAS. mentar las atribuciones de las diputaciones mas bien que disminuirlas.' AUSTRIA. El Sr. Bausan, refiriéndose á las noticias que le ha dado un oficial de marina que acababa de venir de Paiermo, Vierta Tf¡ de Noviembre. v anunció, al Parlamento la próxima llegada de la escuadra Se dice que avisan de Temes war haber mandado el Gran que allí había quedado,…</t>
  </si>
  <si>
    <t>Bautista, Juan</t>
  </si>
  <si>
    <t>Juan Bautista</t>
  </si>
  <si>
    <t>…valor es de 500 pesos al El Excmo. Sr. D. Jorge Don, teniente gobernador de año. Se admiren memoriales con sus respectivas retaeiones de la plaza, 20 rs. El Sr. vicario apostólico D. Juan Bautista méritos, ó extractos de los sugetos que no hayan pretendido Zino, 320. El capitán del puerto D. Guillermo Swetland, la ración, por término de 15 dias. lóo. D. Juan María Bucbetti, 320. D. Josef Monroy , 80. D. Eduardo Escarnichia, 320. D. Amonio Ferrari, 160.…</t>
  </si>
  <si>
    <t>Bauzá, Felipe</t>
  </si>
  <si>
    <t>Felipe Bauzá</t>
  </si>
  <si>
    <t>…ambley dijo que no se vendían los efec Se dió cuenta del nombramiento verificado por la junta tos decomisados, suspendiendo dar determinación sobre suprema de Censura en los Sres. D. Felipe Bauzá y D. Pa ellos hasta sustanciar el proceso; pero los Sres. Alvarez Soblo La Llave. para los cargos de presidente y vice-presi— tomayor y Codés confirmaron lo manifestado por el señor dente de la misma: las Cortes quedaron enteradas. Calatrava, refiriéndose el primero…</t>
  </si>
  <si>
    <t>Bayues, Pedro</t>
  </si>
  <si>
    <t>Pedro Bayues</t>
  </si>
  <si>
    <t>…ma. re Marin , Marín Tauste, Azaola, Serrallach , Peñaliel, Ga- Una pieza de 3 robos, 2 almudes en el campo de Mos reli y Alvarez Guerra; y levantó la sesión. quera. Capellanía de D. Pedro Bayues. La diputación de caridad del barrio de Niñas de la Paz Una casa sita en la calle de S. Miguel de Tudela. de esta muy heroica villa de Madrid, presidida por el señor Una pieza de tierra de pan traer, de 8 robos, 3 almuD. Casiano González de Castro, censor de…</t>
  </si>
  <si>
    <t>Bcranger, Francisco</t>
  </si>
  <si>
    <t>Francisco Bcranger</t>
  </si>
  <si>
    <t>…a, del mismo punto-y Cartagena, y el 22 dé esté' ultimo' puerto la íF¿gátá Perla, En 12 de Noviembre de 1819 fueron restablecidos en sus . empleos de brigádier y capitán íté Navio D. Francisco Bcranger y D. Roqu e Guruzeta. No habiendo permitido al duque del Parque su quebrantada salud aceptar la embajada de París, ha tenido a bien $. M. nombrar al marques de Santa Cruz para desempeñar aquel destino. S. M. ha tenido á bien confirmar Interinamente en el gobierno de la plaza de B…</t>
  </si>
  <si>
    <t>Be</t>
  </si>
  <si>
    <t>…o, y en los sinceros obsequios con que han feste oñeio. jado á su adorado Rey. Aprobada el acta de la sesión anterior, se presentaron Se dice que ¿1 principal objeto del viage del general Be los ministros del Interior, de Hacienda y de Marina. resford es el de persuadir á) S. M. Fidelísima que vuelva á Mr. Simeón , ministro dellntcrior, subió á la tribuna, y sus estados de Europa , ó permita que vaya á ellos el Prín dijo: «El Rey nos ha mandado p…</t>
  </si>
  <si>
    <t>Becenil, Mariano</t>
  </si>
  <si>
    <t>Mariano Becenil</t>
  </si>
  <si>
    <t>…apitán graduado de Navarra; sada ciudad de Tudela, en 85b rs. D. Manuel Cisneros, coronel de las Milicias provinciales de .Otra landa en Mosquera y campo Cerezo,de ; robos, Avila; D. Mariano Becenil, teniente coronel graduado de jurisdicción de la referida ciudad de Tudela , en iQ rs. idein ; D. Antonio Rodríguez*^ teniente de idem ; D. Agus Otra heredad de árboles frutales, en Mosquera y sitio tín Santero, idem idem; D. Pío Ximenez de Muñana, del común…</t>
  </si>
  <si>
    <t>Becerra, Alvaro Gómez</t>
  </si>
  <si>
    <t>Alvaro Gómez Becerra</t>
  </si>
  <si>
    <t>Soberon de lá de las Islas Canarias; á D. Ignacio Rodríguez de Fonseca de la de Cuenca; á D. Alvaro Gómez Becerra de la de Extremadura ; al conde de ViJlafuertes de la de Guipúzcoa; al brigadier D.. Manuel Jáureguí de la de Grana da; á D. Josef Manuel Vadillo de la de Jaén; á D. Andrés Crespo CantoIIa de la de León; á D. Guillermo Montis de la de las islas Baleares; á D.…</t>
  </si>
  <si>
    <t>Bedoya, Juan Manuel de</t>
  </si>
  <si>
    <t>Juan Manuel de Bedoya</t>
  </si>
  <si>
    <t>…uias que celebró la ciudad de Orense, en unión con el limo, deán y cabildo de aquella santa iglesia catedral, por la Reina de las Españai Doña María Luisa de Borbon predicó el Dr. D. Juan Manuel de Bedoya, canónigo cardenal de la misma santa iglesia. Se halla venal en la librería de Viílareal, calle de las Carretas, como asimismo la oración fúnebre á la buena memoria del Emo. car denal Quevedo y Quintano, por el misino Doctor, á 3 rs. cada egemplar. Pueden ir…</t>
  </si>
  <si>
    <t>Belandres, Ramona González</t>
  </si>
  <si>
    <t>Ramona González Belandres</t>
  </si>
  <si>
    <t>…. correspondientes al reemplazo del egército, contrajo matrimonio en Oviedo, estando empleado en este regi que podría suplirse en su caso con milicias provinciales, y miento , con Doña Ramona González Belandres, y pasó después 7.; 29,053 rs. respectivos á 4500 soldados cumplidos, que ¿ servir á la división det general Bonet: dejó luego el servicio, dando por último reducido el presupuesto á 322.696,972 rs. y se le formó caus3 por los españoles, habiendo estado arres…</t>
  </si>
  <si>
    <t>Bell</t>
  </si>
  <si>
    <t>…1719, por el cual consta que Mr. de Val.lange había introducido el usodp enseñar á escribir en la arena con mas perféccioín aún &gt;que pon eirnétodode 1q? indios, que ha adoptado el doctor Bell; y otra:obra, pubí igadaiguabn^nteé# r París el año de 1709; con el título de Reglamento^ método.par-a, las escuela '# de caridad- de la parroquia de S. Gervasio s da, motivo á presumir. qu£ á principios del siglo xv practicaba en Francia ei doctor Gerson muc…</t>
  </si>
  <si>
    <t>Belmonte</t>
  </si>
  <si>
    <t>…la conducta que deberán observar en las circuns Los diputados enviados por Balermo á Mesina , entre los tancias actuales. E11 el teatro han sido,vitoreados los' espa cuales iba el príncipe Belmonte y el marques Gregorio,- ñoles y los ingleses. Los generales Blund y Wilson , aun fueron arrestados al llegar á la ciudad, y permanecen ea que privados del mando en gelé, conservan todavía la guar clase de tales, hasta que el Gobierno de Ñapóles resuelva dia d…</t>
  </si>
  <si>
    <t>Belyan, Pedro Pablo</t>
  </si>
  <si>
    <t>Pedro Pablo Belyan</t>
  </si>
  <si>
    <t>…to de los 10 mrs. en diencia territorial que abajo se expresan : D. Andrés Lo pez escudo de la diferencia del sueldo que las referidas clases ha de Frías, D. Josef Soler del Olmo, D. Pedro Pablo Belyan dejado de percibir ; y enterado por exposición de la tran , D. Isidro Lasauca, D. Domingo de Dueñas , D. Fran junta de gobierno del expresado monte de que por el enun cisco Antonio de Tudo , D. Josef de Ortiz, D. Josef de ciado extinguido Consejo solo se dió…</t>
  </si>
  <si>
    <t>BenavidesP, Carlos</t>
  </si>
  <si>
    <t>Carlos BenavidesP</t>
  </si>
  <si>
    <t>…para las gracias que esta 'tenga á bien dispensarles.! r ,, Dios guarde á vmd. muchos, añosi San JoseT Casasviejas Julio 31 de 1819. = Mariano Guevara. m Sr-, alférez y xomandante D. Carlos BenavidesP -r Parte del teniente tQttmkl'pté- Jvsef Gristohalctfillaseñor. ;,En el momento que se presentó ádisfrutárTaRealgracia del- indulto el doctor D. Joséf Antonio Magos ¿ convenimos en qué‘escribiese á Megía con vidándole con el indulto ,, cuya carta conducta el…</t>
  </si>
  <si>
    <t>Benfumea, Juan</t>
  </si>
  <si>
    <t>Juan Benfumea</t>
  </si>
  <si>
    <t>…es, 69 goletas, lugres y cañoneras, 14 Seiiembre de flt8, relativo al pago de juros. urcas, 32 gabarras y 24 trasportes; en todo 258 baques de • Aja de .Infracciones-;una queja de D. Juan Benfumea, guerra, y 19 en astillero. ' presbítero, contra el ayuntamiento de la vil'a de Marchena ; y una exposición sobre nulidad de elecciones de ayunNOTICIAS DEL REINO. tamien o de la villa de Estepa, remitido por la diputación próiSBtíal de Sevilla;--- ■ - • -----…</t>
  </si>
  <si>
    <t>Benitez</t>
  </si>
  <si>
    <t>…educida á cuatro meses , y en este especial, y haber pedido el Sr. Romero Alpuente que fuese tiempo se pidiera al Gobierno el expediente que sobre e! par con urgencia , observó el Sr. Benitez que solo debia tratar ticular obraba en su poder, remitiéndote con su dictamen, se de separar á Ostolaza de Sevilla por los perjuicios que pu acompañado del estado de la cosecha de este año, v si pu diera ocasionar su permanencia: previa una ligera discusión,…</t>
  </si>
  <si>
    <t>…o subsistente el pago de un cuartillo de real por los Sres. Cortés y Martínez de la Rosa, y de haber respon arroba de aceite, siempre que la extracción se haga en bu dido el mismo Sr. Benitez á las objeciones que estos le que nacional, se establezca también el de 3 rs. por arroba hicieron. cuando se verifique en extrangero, sin mas impuestos de No se admitió á discusión otra proposición del Sr. Ca ninguna clase; entendiéndose esto por ahora y hast…</t>
  </si>
  <si>
    <t>Benitéz</t>
  </si>
  <si>
    <t>…, manda el campamento. digo , cuya observancia juraron. Por todo lo cual concluyó / q-te debía declararse haber lugar á ¡a formación de causa á ITALIA. los' óvy ex-diputados. : El Sr. Benitéz defendió el -dictamen de la comisión di 'Ñapóles 17 de Setiembre. ciendo , que esta ' no había dudado de qne en todo ri -El Excino. Sr. í&gt;. Luis de Onís, embajador extraoYdi- gor dé'justicia debía declararse la formación de causa ; pero nario de S. M. Católic…</t>
  </si>
  <si>
    <t>…ugnante al sistema, no podria estar concluido en esta 4.0 «A fin de conciliar el ínteres público de toda la legislatura. Nación en común con el particular de cada provincia, po El Sr. Benitez levó unas observaciones dirigida; á ma drán las diputaciones provinciales, que temiesen graves in nifestar lo impracticables y ruinosas que serian las leyes convenientes por sus respectivas provincias de la egecucion prohibitivas en la isla de Cuba , siendo u…</t>
  </si>
  <si>
    <t>Bénítéz, Josef</t>
  </si>
  <si>
    <t>Josef Bénítéz</t>
  </si>
  <si>
    <t>…al con la población del puerto de Pasages, asi en las relacio hechores presentó sa dictamen acerca de ia qúe-a dada' por nes militares como en ías económicas, mercantiles y poli-* D. Josef Bénítéz/ vecino dé 'Xerez , contra ia.audiencia de ticas, y proponga á las Cortes, en la próxima legislatura, Sevilla, pctr haber indultado á Juan de Palomino' y Loren los medios con que el poder legislativo pueda concurrir á zo Cano , A quien el exponente aprehendi…</t>
  </si>
  <si>
    <t>Benitez, Joset</t>
  </si>
  <si>
    <t>Joset Benitez</t>
  </si>
  <si>
    <t>…mer depositario. La ley debe cisco Ximenez de Bedoya. D. Vicente Cafuer y C haves, «arreglar el uso de la autoridad, cuando emana de ella ; la Doña Ana Diaz, Doña Matilde Pertuza, D. Joset Benitez, «autoridad no es 3’a un yugo para tos súbditos , sino D. Gerónimo Colinas, el Sr. Conde de Motezuma, D. San «una regla que los dirige. Los hombres se reputan libres tiago Martin, D. Tadeo Sánchez de Escanden, D. Juan de «cuando solo los gobierna la ley. La s…</t>
  </si>
  <si>
    <t>Benito</t>
  </si>
  <si>
    <t>5* -negas de trigo, consignadas en las tercias de Don Benito. Núm. 714. El limo, Sr- deán y cabildo de la catedral de Oviedo 3®. Num. 71 ¡y» D. T. D. 6a. Núm. 716. Ei limo» Sr. obispo de Barbastro 300. Núm. 717. Doña J, G. 100, Núm. 718. Doña N. G. 100. Núm. 719. El limo. Sr. deán y cabildó de la catedral de Lérida 640…</t>
  </si>
  <si>
    <t>…uias nos de Ermesende, en idem, 56. Núm. 893. Producto de las 100 fanegas de trigo consignadas por el limo, deán y cabildo de Plasencia (véase donativos núm. 713) en las cillas de Don Benito, 1500 rs. Nofa. El vale Real de 150 pesos cedido por el cabildo de la colegial de Ubeda (véase donativos num. 758), que está señalado con el núm. 260,194, de la creación de Enero de 1808, se ha presentado á la renovación por no estar corriente para descontars…</t>
  </si>
  <si>
    <t>…o del consejo de de justicia de la orden de S. Juan para que se le paguen los Estado; confesó el Sr. ministro que la pregunta era dura; réditos de un juro que tiene en la villa de D. Benito, pro pero que podría dar él Gobierno contestación directa luego vincia de Extremadura. qué ’lds Cortes despachasen una consulta que estaba pen Se leyó una exposición de algunos capellanes de la pro diente. vincia de Tuy, pidiendo que se les pagasen los rédito…</t>
  </si>
  <si>
    <t>Benito, León</t>
  </si>
  <si>
    <t>León Benito</t>
  </si>
  <si>
    <t>…universal, es indudable que os pondréis al nivel cuyas preguntas se hicieron por ei referido alcaide , por el del ilustre siglo en que tenéis la felicidad de constituiros. párroco D. León Benito, por algunos capitulares v otras «Estos son los poderosos motivos que convencieron al personas de instrucción , y respondieron con ia mayor pron Gobierno supremo, y le decidieron á ofreceros en tas ins titud y sentido, tanto q te manifestaron no solo saberlas…</t>
  </si>
  <si>
    <t>Benjumea, Juan</t>
  </si>
  <si>
    <t>Juan Benjumea</t>
  </si>
  <si>
    <t>…o opiniones políticas , se hallen ya del todo ó en la mayor de Marchena, vindicándose de la queja dada por el presbí parte pacificadas, y hayan reconocido sus habitantes y Ju tero D. Juan Benjumea. rado la Constitución política de la Monarquía española." A la de Poderes una representación de D. Plácido Fé Decía el 2."»Por consiguiente serán estos puestos in lix Denche, primer suplente por la provincia de Toledo, mediatamente en libertad , cualquiera qu…</t>
  </si>
  <si>
    <t>Benoliel, Judah</t>
  </si>
  <si>
    <t>Judah Benoliel</t>
  </si>
  <si>
    <t>…lial. Isabel, ó los desterrados de SíD. Carlos Williams, 80. D. Juan Shau, 32c. D. Pedro beria. Historia verdadera del presente siglo: por Madama Cottin, Enaguila, presbírero, 40. D. Judah Benoliel, 320. Don traducida libremente por S. H. T.: un tomo en 8.°, con una es Hamet Beggia, 160. D. Ambrosio Felipes , 40. D. Pascual tampa fina. Véndese en la librería de Rodríguez, y en Cádiz en la de Hortal y compañía. Francia, 40.D. Antonio Guaseo, 160. D. Juan…</t>
  </si>
  <si>
    <t>Bentick, Guillermo</t>
  </si>
  <si>
    <t>Guillermo Bentick</t>
  </si>
  <si>
    <t>ORAN BRETAÑA. Londres jo de Enero. Se'asegura que se quitará el mando de las posesiones del Mediterráneo á sir Tomas Maitiand, y que le reemplazará lord Guillermo Bentick, que ac tualmente se halla en Roma. Se^ habla también de un nuevo arreglo, en vir tud del cual se deberá separar el gobierno de las islas Jónicas del de Malta, y dicen que sir John Oswáld está nombrado comandante de dichas islas; De resultas del; fallecimient…</t>
  </si>
  <si>
    <t>Bentink</t>
  </si>
  <si>
    <t>…ose de Roma la mayor parte de los ingleses distinguidos que Fueron á pasar el invierno á aquella capital i muchos se dirigen á Ñapó les, y los de la ciase mas elevada , cuales son lord Bentink, el conde de SpenGer y el conde de Withworth, se restituyen á Inglaterra, adonde los llaman los negocios políticos y las próximas elecciones para ek nuevo Parla mento.. A los condes de Spencer y Whith^orth se les aguardaba en Roma para principios de Marzo. i…</t>
  </si>
  <si>
    <t>Benús, Francisco</t>
  </si>
  <si>
    <t>Francisco Benús</t>
  </si>
  <si>
    <t>396</t>
  </si>
  <si>
    <t>…ra la de S. Jaime B. Prosperó Bofarull, archivero general de la corona de Aragón j para la de S* Cucufateel Sr. mar ques de Monistról ó D. Ignacio Palaudarias; para la de S. Justo D. Francisco Benús, juez interino de, cuartel , y para la de Sta. María D* Felipe Martin Igual, mimstro de la audiencia territorial*. Se acordó que se pida el censo de poblado» al ayuntamiento de esta ciu dad. Uno de los objetos mas importantes de-que "se trató fue ekquese pasa…</t>
  </si>
  <si>
    <t>Benzemberg</t>
  </si>
  <si>
    <t>Gaceta de Madrid n.º 91</t>
  </si>
  <si>
    <t>…rdar el resultado del Congreso de Viena antes de establecerla. prusia" *.... Berlín 12 de Maya. En una carta que el príncipe de Hardemberg, archicanciller del reino, ha escrito al profesor Benzemberg dándole gracias por haberle remitido su obra sobre las antiguas constituciones provinciales de diversos territorios de Prusia, es digno de notarse ér pásage ¿iguiénte-í ^ ' Vi P°r Ib: que- respecta á nuestra (Constitución futura del reino y de las pro vincias…</t>
  </si>
  <si>
    <t>Ber, Felipe</t>
  </si>
  <si>
    <t>Felipe Ber</t>
  </si>
  <si>
    <t>…e se publica en Lon Solución á varios problemas insertos en la gaceta del 23 dres contiene la siguiente observación sobre las indagaciones de Mayo último, por el teniente retirado D. Felipe Ber de las antigüedades de Egipto. nardo Fernandez. Los preciosos monumentos del antiguo Egipto que hasy Una exposición sobre la necesidad de mejorar la clase ta ahora se han desenterrado no son probablemente cari de capellanes castrenses, cor el capellán del 2.°…</t>
  </si>
  <si>
    <t>Ber, Juan</t>
  </si>
  <si>
    <t>Juan Ber</t>
  </si>
  <si>
    <t>Gaceta del Gobierno n.º 179</t>
  </si>
  <si>
    <t>…en sus capi sus descendientes, igualmente legítimos, y á todos aquellos que tales, poniendo dos carpetas á los de una misma cíase y se hallen con derecho á los bienes del difunto Sr. D. Juan Ber vegal , natural del lugar de Calamocha , reino de Aragón, capevalor, en las que los dueños, bajo-su firma, expresarán cla llán de honor que fue de S. M., fiscal de su Real capilla , yra y terminantemente tos números que comprenden, y la administrador del Real…</t>
  </si>
  <si>
    <t>Beramendi, Carlos</t>
  </si>
  <si>
    <t>Carlos Beramendi</t>
  </si>
  <si>
    <t>…de Múdela , pidiendo aprobación del repartimien Se mandó pasar á la comisión de Instrucción pública to hecho entre los vecinos para dotar la plaza de medicóí se una exposición de D. Carlos Beramendi sobre el importan mandó pasar á la comisión de Hacienda. te objeto de la educación. A la de Legislación una representación del marques de Se empezó á leer el proyecto de (íecreto para el arre Campo-Sagrado pdra que se concluya la causa que tiene glo de la en…</t>
  </si>
  <si>
    <t>…os entregaron , pero ni aun se íes incomo res de la memoria sobre única contribución, impresa en dó ; y si le habían buscado á él en Portugal para entregar 1814 , y presentada por D. Carlos Beramendi. lo , no habia sido en virtud de tratados, sino de los abusos A la ecpecial de Regulare* una exposición de tres irlan y facultades ¡limitadas en aquella época de los Gobiernos deses , frailes novicios del Cármen calzado, en que hacien de ambas potencias.</t>
  </si>
  <si>
    <t>Beramendi, Carlos de</t>
  </si>
  <si>
    <t>Carlos de Beramendi</t>
  </si>
  <si>
    <t>…r todos los de Espa No cabe duda que los beneficios los deben pagar los ña sin desembolso del erario nacional, escritas por transeúntes, porque son los que los reportan, mucho mas D. Carlos de Beramendi. cuando su contribución es temporal, y de general utilidad; Los caminos llamados reales ó carreteros, esto es, los que 4.0 Establecer,: como en otras naciones , compañías de en toda nación conducen desdé su- capital á las fronteras pontoneros en las provincia…</t>
  </si>
  <si>
    <t>Berameudi, Carlos de</t>
  </si>
  <si>
    <t>Carlos de Berameudi</t>
  </si>
  <si>
    <t>Gaceta del Gobierno n.º 15</t>
  </si>
  <si>
    <t>…ospreció'dé fa ‘Representación nációiyal, se le obligase (1) El autor de este papel es el intendente de los egereitos á comparecer en la barra, y dar una' satisfacción. nacionales D. Carlos de Berameudi.</t>
  </si>
  <si>
    <t>Bercsford</t>
  </si>
  <si>
    <t>Gaceta del Gobierno n.º 165</t>
  </si>
  <si>
    <t>741</t>
  </si>
  <si>
    <t>…o personal, pero no ministro de Negocios extraneeros de S. M. Británica , todo del pecuniario. 2.a Que los religiosos están exentos de am lo acaecido con respecto á la entrada del lord Bercsford, bos servicios. 3.a Que no se comprenden bajo la denomina marques de Catnponiayor en ct Tajo, para evitar que al ción de funcionarios públicos los abogados, escribanos y guna noticia anticipada pudiese alterar por un momento procuradores. 4.a Que los oficiale…</t>
  </si>
  <si>
    <t>Berdier, María del Carmen</t>
  </si>
  <si>
    <t>María del Carmen Berdier</t>
  </si>
  <si>
    <t>…omo ha sido costumbre siempre), para que en unión suelto el expediente general sobre el asunto. acerca de una con los de las demas ciudades y villas, que mandamos ve exposición de Doña María del Carmen Berdier, viuda del nir también á las referiJas Cortes, hagan cuanto parezca cirujano D. Baltasar Gutiérrez , complicado en la causa de mas útil á los referidos fines. Unos y otros se presentarán Richart, y condenado en ella á la pena ordinaria, que su con la competen…</t>
  </si>
  <si>
    <t>Berdú</t>
  </si>
  <si>
    <t>…aria , que debía celebrarse á las 8 y media de esta A petición del Sr. Moscoso se leyeron las bases estable noche. cidas por el Gobierno para el empréstito. ARTICULO CE OFICIO. El Sr. Berdú, omitiendo examinar si se.estaba precisa mente en caso de necesidad, y si convendría mejor apre El Rey ha expedido el decreto síguíenre: miar á los deudores-de contribuciones al pago de sus des «Con motivo de la duda que ha ocurrido A los vicarios cubiertos ,…</t>
  </si>
  <si>
    <t>Beresford</t>
  </si>
  <si>
    <t>Gaceta de Madrid n.º 85</t>
  </si>
  <si>
    <t>eti un- artículo éxténso y curíosoacerca dé lo ventajoso que sería pata los qne van y vienen:de la India seguk el camino de Egipto y del mar Rojo. El. lord Beresford salto et 4 del mesde Abril para Rio-Janeiro, embarcán dose en Lisboa en la fragata Espartana. Antes de ausentarse dirigió una or4 den del día al egército,.dispensándole muchos elogios por. su conducta: reco mendóle la disciplina y obediencia á las autoridades…</t>
  </si>
  <si>
    <t>…uartos.] l&lt;íf GACETA DEL GOBIERNO. DOMINGO 6 DE AGOSTO DE 1820. NOTICIAS EXTRANGERAS. FRANCIA. AMERICA» París 23 de Julio. Rio Janeiro te, de Mayo. CAMARA DE LOS DIPUTADOS. Por el general Beresford, que llegó á este puerto desde el de Lisboa en ¿8 dias de navegación, se ha sabido que Fer Sesión del 22. nando vii ha adoptado espontánea y libremente la Cons Se sabia ya por los diarios que la sesión de hoy estabd titución sancionada por las Cortes generale…</t>
  </si>
  <si>
    <t>…cerlos felices, y un Congreso compuesto de suLas cartas de Río-Janeiro, fechas en 3 de Junio, asegu getos bien decididos y oc pados solo en proporcionar á la ran que a petición de lord Beresford ha enviado á Lisboa Nación sj prosperidad, y al trono e-pañol su consolidación, el Rey del Brasil grandes cantidades para el pagamento de no podrá menos de servir de dulce recuerdo en los siglo» las tropas portuguesas. Este fue uno de ¡os principales mo venid…</t>
  </si>
  <si>
    <t>…s vecinos de aquella ciudad de la contribucióncienda eran pésimas. Las tropas no:. recibían1 ni prest ni ves de 4 por 100 que pagan por alcabalas.'tuario ; cosa que no ignoraba el lord Beresford cuando salió A la comisión primera de Legislación se mandó pasarde Lisboa para el Brasil. Todos saben que este general se una representación deJ). Diego Correa, cadete retirado, enembarcó después del triunfo de la Constitución de España, ja que exponía qüejhá…</t>
  </si>
  <si>
    <t>…as años la latinidad, se dedicaban á otros El día ro fondeó en e&lt;te puerto el buque ingles Vengeur, estudios en idiñma castellano, les costaba infinito trabajo que traia abordo al lord Beresford; quien habiendo parti volver á dedicarse á estudios enseñados en el latino: por lo cipado su llegada al Sr. ministro de Guerra y Marina Ma que opinaba que á lo menos debía darse mas latitud á la en tías Josef Dias Azedo, preguntando al mismo tiempo si le seña…</t>
  </si>
  <si>
    <t>…inmediaciones de Munich. ___Reina actualmente la mas cordial unión entre los Reyes Lisboa 20 de Octubre. de Baviera y Wurtemberg y el gran Duque de Haden, lo No habiendo podido el lord Beresford dar la vela el dia que es un vaticinio favorable para la prosperidad de Alema 17, á causa del mal tiempo, salió el 18 de este puerto en nia. Se sabe que de algún tiempo á esta parte es sumamente el buque correo Arabella, convoyado hasta cierta altura activa l…</t>
  </si>
  <si>
    <t>Gaceta del Gobierno n.º 143</t>
  </si>
  <si>
    <t>…an extendido es defensa, importan actualmente no0 libras esterlinas (que critos sobre una supuesta correspondencia entre nuestro vienen á ser 11 millones de reales). Gobierno y el mariscal Beresford: ni su carta, escrito ó no __ Ayer visitó á la Reina S. A. R. el duque de Sussex, y ta que circula , ni la respuesta que suponen dada al maris estuvo en su compañía mas de una hora. cal por eL Gobierno, tienen fundamento alguno; son docu Sentimos, dice el Tiñ…</t>
  </si>
  <si>
    <t>…bía pronunciado con prue violación semejante del derecho de gentes, y que renazca bas mucho menos claras. * - , en la Europa el reinado de la fuerza, que él mismo, con la -----El. lord Beresford desembarcó el 28 del pasado en Falcaida de Napoleón , proclamó ya como extinguido. mouth. El paquebote la A.rabella, que ha conducido á n Esperamos que la lealtad del Emperador Francisco no S. E. , nos ha traído cartas de Lisboa hasta el 17 del pró querrá que…</t>
  </si>
  <si>
    <t>…ones dadas por el Gefe político están conformes al de podían formar opinión alguna sobre los hechos relativos al creto de las Corres que sirve de reglamento para la milicia citado lord Beresford , marques deCampoinay.or, en aten nacional." A ia del Gefe político de Cuenca sobre si deben ción á ser un negocio, del cual solo podía conocer S. M. entenderse exceptuados los deudores A los caudales de pro Fidelísima el Rey nuestro Señor. pios y pósitos de…</t>
  </si>
  <si>
    <t>Gaceta del Gobierno n.º 169</t>
  </si>
  <si>
    <t>…para disimular el insulto. Muchos se han lord. Debe tenerte presente que dicha correspondencia se hecho actualmente á varias personas Reales; pero los que reduda á los oficios que lord Beresford pasó á la junta pro han visto de qué manera se na ultrajado y ofendido á una visional de Lisboa cuandd volvió del Brasil, y á la respues -Reina, no tendrán mucha lástima de algunos hombres, y ta que dio la junta á este teniente general de S. M. F. aun de algu…</t>
  </si>
  <si>
    <t>…idionales ha aquel asunto no es de importancia, y con su esmero se la bía prohibido , bajo penas muy severas , que se esparciese la dan. Uno de ellos dice lo siguiente: voz de que lord Beresford habla llevado consigo a Ingla Han llegado también á esta capital los rumores que se terra el tesoro de! Rey. Hay mucha rivalidad entre las tro esparcieron en Lóndres acerca de una tentativa insurreccio pas brasilienses y portuguesas, por lo que piensan los in…</t>
  </si>
  <si>
    <t>Bérgami</t>
  </si>
  <si>
    <t>…o. Sr.: S. M., por un efecto de su Real munifi ilustre cliente; pero con especialidad los que se refieren i sti cencia, se dignó concederme en Marzo próximo pasado conducta con el conde Bérgami: sostuvo que no pedia re una pensión de 400 ducados anuales, que eternamente agra sultar de ellos una acusación de adulterio, y precumó á |q deceré á su soberana bondad; pero considerando que el ali Cámara si podría un juez permitir á un juri que informase vi…</t>
  </si>
  <si>
    <t>Bergaz, AtfónW Giralda</t>
  </si>
  <si>
    <t>AtfónW Giralda Bergaz</t>
  </si>
  <si>
    <t>…e primero constitucional de esta villa, certifico: Que en el día 19 de Mayo compareció á mi presencia á juicio conciliatorio D. Jósef Maríá Gatalan, dé esta vecindad , asociado de D. AtfónW Giralda Bergaz, én córiceptó de hombre bueno; y expuso qué D; Juan Salcedo hábia publicado un attíctiló'comunicado én el Diario de esta corte y en el Consti' tticioháli calumniándole con el dicterio de iniposfor , por haberle 'compren dido .en'la lista inrerina que se publi…</t>
  </si>
  <si>
    <t>Berjano, Francisco</t>
  </si>
  <si>
    <t>Francisco Berjano</t>
  </si>
  <si>
    <t>…ados y «ecos ; los aguar- pende en el juzgado de primera instancia de dicha ciudad, y dien'és de uva y de caía, los licores y los aceites de toda por ante el escribano de la misma D. Francisco Berjano. clase; el azúcar, el cacao, el café, el az.afran , la miel v los Por el presente se cita, llama y emplaza á todas y cualesquie ra personas que puedan tener derecho á los bienes que ha deja dulces procedentes del extranjero; exceptuándose por ahora do D. Fran…</t>
  </si>
  <si>
    <t>Bermejo, Antonio García</t>
  </si>
  <si>
    <t>Antonio García Bermejo</t>
  </si>
  <si>
    <t>…esta representación en la gaceta, para que sepa el público las personas que han contribuido á tan piadosos fines; ademas de haberle mani festado de Real orden al capellán de honor D. Antonio García Bermejo lo gratos que le han sido á S. M. sus servicios en desempeño de esta comisión. 'Estado de lo que ha proelucido la suscripción abierta en esta corte de orden de S. M. para socorro de los pueblos de Andalucía afligidos con la fiebre contagiosa, y destinos que s…</t>
  </si>
  <si>
    <t>Berna, Antonio</t>
  </si>
  <si>
    <t>Antonio Berna</t>
  </si>
  <si>
    <t>…, calle de Zúñiga, núm. 31. do y comercio sobre los m'uns. 3. , 5.", 8 ", 9.“, 16. y 23. det PAMPLONA. cap. 2.J, el núm. 16 del cap. j.°, y los núms. 6C y y.’ del ca Capellanía de D. Antonio Berna!. pitulo 6.°,: nueva edición hechaecm el mayor esmero: un tomó Una lauda erial, de 2 robos, 8 almudes en el campo de en folio. Se hallará en la librería de Hurtado á 56 rs. en pasta. Mosquera , jurisdicción de Tudela, Caita quinta de D. Justo Balanza, en que…</t>
  </si>
  <si>
    <t>Bernaaños</t>
  </si>
  <si>
    <t>…un todo con los retiros var las diputaciones de las Cortes que vayan a palacio. militares; de manera que tomando por base los sueldos y A la de Legislación se mandó pasar otra del Sr. Bernaaños de servicio de cada uno, sean para todos uniformes beu , leida en la sesión del 11 , para que en el calendario se los reglamentos que se observen en este punto. añada en el dia en que juró el Rey la Constitución en lqs Otra del Sr. Sandino para que se nombre…</t>
  </si>
  <si>
    <t>Bernabeu</t>
  </si>
  <si>
    <t>…a resuelto S. M. qué adoptándose por punto general que todá especie de propiedad es enagenable. las reglas propuestas- por' V. E. par» asegurar las respectivas En seguida otra del Sr. Bernabeu para que en el calen liquidaciones, y evitar interpretaciones opuestas al verdade dario se añadiesen después dei Santo del dia 9 de Julio es ro espíritu de dicho decreto, y á las benéficas intenciones tas palabras: «Memoria de la regeneración política de la d…</t>
  </si>
  <si>
    <t>…qne se ar Se dio principio leyendo el acta de la anterior. El señor reglen las dotaciones de los párrocos. Sánchez Salvador observó que al extender en ella el -dicta Otras dos del Sr. Bernabeu para que se erijan parro men de la comisión sobre la duda de quién había de seguir quias en algunas poblaciones , con el fin de evitar la preci la sumaria de lo ocurrido en el cuartel de Guardias, se ha sión en que se ven algunos párrocos de decir dos ó tres…</t>
  </si>
  <si>
    <t>…a nacional las funciones de su grado ó superior; pero Málaga en cabeza de su provincia marítima. no- para las de inferior contra su voluntad , bien que la " Se concedió permiso al Sr. Bernabeu y otros dos seño aceptación será considerada como un acto patriótico lauda res para tratar con el Gobierno sobre diferentes asuntos. ble.” El Sr. Zapata dijo que no veia en qué estaba fundado Se pasó á continuar la discusión pendiente sobre el re este articul…</t>
  </si>
  <si>
    <t>…a ter E! Sr. presidente dijo: soy del mismo parecer que los ■ cera parte de los ciudadanos hábiles.” Sre^. Martínez de la Rosa y Sr. ministro de la Gobernación; Se aprobó esta del Sr. Bernabeu: «Pido que al arr. 38 se porque la Nación en el estado presente no puede valerse para añada quedando los ayuntamientos autorizados para que el nombramiento de los jueces de hecho de otro medio me repongan los que vayan fallando.” jor que el propuesto por la c…</t>
  </si>
  <si>
    <t>…caciones. Las Cortes quedaron enteradas, y mandaron repartir en Declarado el punto suficientemente discutido, preguntó tre los Sres. diputados los egemplares de los decretos de el Sr. Bernabeu si los diputados que habían sido perseguidos amnistía para americanos y emigrados con el intruso, abo por causa de los 69 del manifiesto, podrnn dejar de votar lición de mayorazgos, y demas publicados en estos últi para que no se les acusase de parcialidad ó…</t>
  </si>
  <si>
    <t>Bernabeu, Antonio</t>
  </si>
  <si>
    <t>Antonio Bernabeu</t>
  </si>
  <si>
    <t>Gaceta de Madrid n.º 88</t>
  </si>
  <si>
    <t>640</t>
  </si>
  <si>
    <t>…por este mismo tribunal, de horrorosa memoria, éV el interrogatorio con que por un escrito. sobre; la naturaleza dé los bienes eclesiás ticos egercitó la pacieracia del ciudadano D. Antonio Bernabeu, presbítero, diputa do de las Cortes ordinarias, y reelegido para las actuales; quien publicando para su justificación éste lúgubre documento con sus respuestas y ‘observaciones, cree ciemos; trár que el1 ''difunto oficio, llamado santo, jamas fue modeló dé s…</t>
  </si>
  <si>
    <t>…dadas. A la Inclusa 113 rs.: al Hospicio ó casa de Beneficen Apología de la revelación del célebre Lecoz , traducida por cia 63: al Refugio 4©: á las Incurables 4© : á la Esperan D. Antonio Bernabeu. Se vende en la librería de Coronel. MADRID EN LA IMPRENTA NACIONAL.</t>
  </si>
  <si>
    <t>…su naturaleza; y si troducción , respuestas y observaciones ú los 31 cargos que el estuviesen ordenados in sacris, vivirán sujetos á los respec tribunal difunto hizo al ciudadano D. Antonio Bernabeu , pres tivos ordinarios, que cuidarán de su conducta y colocación bítero. España , aunque libre é independiente por la sabia Cons según sus méritos y suiiciencia. ;.u Los que se hayan ordenado titución , necesita hacer muchos esfuerzos constitucionales para i…</t>
  </si>
  <si>
    <t>Bernales</t>
  </si>
  <si>
    <t>…con Jos nombres de Arco Agüero, Mina, Acevedo y Agar Tocó la música del duque de Glocester boleras y otras sona tas españolas,; y al fin de la comida el presidente de la mesa, el Sr. Bernales, después de haber reasumido en un excelente discurso todos los sucesos de la revolución y brindó por la grandeza y magnanimidad con qué la nación espá-r ñola ;habia -sostenido sus derechos: siguióse á/este brindis una composición castellana , que se cantó por…</t>
  </si>
  <si>
    <t>Bernales, Josef Cayetano de</t>
  </si>
  <si>
    <t>Josef Cayetano de Bernales</t>
  </si>
  <si>
    <t>…munico á YL de Real orden para su inteligencia y puntual cum plimiento en la parte que le corresponda. Madrid 13 de Mayo de 18ao.” En consideración á los distinguidos servicios de D. Josef Cayetano de Bernales, á 'su zélo patriótico* y Ú haber expendido cuantiosas sumas para pro movería instrucción-.'y prosperidad en, la villa de Limpias, partido de Laredo, S. M., a-instancia de su ayuntamiento^, há tenido á bien concederle los honores de Intendente de provincia* í…</t>
  </si>
  <si>
    <t>Bernardo</t>
  </si>
  <si>
    <t>…a; á D. Josef Manuel Vadillo de la de Jaén; á D. Andrés Crespo CantoIIa de la de León; á D. Guillermo Montis de la de las islas Baleares; á D. Mi guel Escudero de la de Navarra; á D. Bernardo de. los Ríos de la de Palen— cía; á D. Francisco'Cantero de la de Salaipanca; á D. Josef Qúeipo de la de Segovia ; á D. Josef María Puente de la de Soria; á D. Antonio Leonardo de Letona de la de Vizcaya» y á D. Josef Pintón y Lorenzana de la de Za mora. Asim…</t>
  </si>
  <si>
    <t>…nte el tribunal competente. conde de Rezende; el barón de Morellos; el coronel Sebas A la especial de Hacienda se pasó una exposición del tian Drago Valente de Brito Cabreira ;-el coronel Bernardo hermanó'mayor del hospital de Caridad devCartagena, pi de Castro y Sepúlveda ; el deán de la sede de Oporto,Luis diendo se socorriesen sus muchas atenciones. Pedro de Andrade Brederode; Manuel Vicente Teíjeira de A la Eclesiástica un proyecto de reforma del c…</t>
  </si>
  <si>
    <t>…—Ayer hubo consejo de gabinete; y dicen que e-. él se dencia y causa de la libertad. resolvió hacer una proposición para que se suspenda por Al Gobierno se pasó una exposición de D. Bernardo término de seis meses el proceso de la Reina, que es lo Martin para que se le declarase inventor de una silla de mon* mismo que decir que se piensa en poner fin á la demanda. tar que presentó á varios gefes españoles en la guerra de I3 independencia, acompaña…</t>
  </si>
  <si>
    <t>Berni</t>
  </si>
  <si>
    <t>…contra re bien extraño con lo que medio siglo h.i se veia. con los otros ministerios. Quedó aprobado e'te dictamen ; y Entonces lo5 Gobiernos eran todos absolutos, y decidían el .Sr. Berni naadi . que !oc primeros trabajos debían enviar de lo intereses de los pueblos según su propia voluntad. Kn se en el término de ocho dias, según lo acordado en la -eel día, que va se ve introducido el régimen constitucional sion anterior , pidiendo ademas que…</t>
  </si>
  <si>
    <t>Berri, Duque de</t>
  </si>
  <si>
    <t>Duque de Berri</t>
  </si>
  <si>
    <t>…ít . r El Rey ha mandado que la corte se vista de luto por dos semanas y. con tadas desde hoy; la primera riguroso, y la.segunda de alivio, con motivo del fallecimiento del Sermo. Sr. Duque de Berri. • — ■ ■■■ . ■ - • ! !, * • » : ' : , . . &gt;7 .. ' La Junta de gobierno del Banco nacional de S. Carlos, en vir,tud del ca— pítulo 19 de la Real cedula. de erección, y de lo que previenen el i.° y 2.° del reglamento de juntas generales, ha señalado para la jun…</t>
  </si>
  <si>
    <t>Berri, Pedro</t>
  </si>
  <si>
    <t>Pedro Berri</t>
  </si>
  <si>
    <t>12</t>
  </si>
  <si>
    <t>…do elemental de la economía política, dirigido á los ministros de la Gobernación y de la Hacienda nacional, es ton , no ha publicado todavía ninguna obra. crito en italiano por el conde Pedro Berri, y traducido al es 7.0 La sociedad médica de Neevd-Orleans dedica pañol por el ciudadano D. Francisco Rodriguez de Ledesma, principalmente sus t2reas y observaciones á la conservación abogado del ilustre colegio de esta corte. Se vende en las li de la salud p…</t>
  </si>
  <si>
    <t>Berro, Josefa del</t>
  </si>
  <si>
    <t>Josefa del Berro</t>
  </si>
  <si>
    <t>…rnandez de los R ¡os, del Consejo de'S. M., y teniente primero de corregidor, ante su escribano del número D. Jacinto Oaona y Loeches,se cita, llama y emplaza por este periódico i Doña Josefa del Berro, vecina que ha sido de está corte, sus hijos, herederos y de más personas que se consideren tener derechoá varias tierras y un censo, sitas en tér mino de dicha ciudad, y otros pueblos que tuvo arrendadas la Dona Josefa á Doii Pedro Ceniceros, presbítero, y c…</t>
  </si>
  <si>
    <t>Berroetá, Joscf Ramón de</t>
  </si>
  <si>
    <t>Joscf Ramón de Berroetá</t>
  </si>
  <si>
    <t>…una, sin los datos que debe tener para semejantes los aprecia, estima y favorece. publicaciones. S. Sebastian 2y de Noviembre. E! Sr. Gefe político de esta provincia ha dirigido á Don Joscf Ramón de Berroetá , cura párroco de Villafranca, el Las not iciasde Lóndres llegan hasta el 2t de Noviembre. siguiente oficio; Mr. Canning habia llegado ya á aquella capital, y sti »En una de mis exposiciones, hice presente al Gobierno repentino viage daba motivo á multitud de…</t>
  </si>
  <si>
    <t>Bertholet</t>
  </si>
  <si>
    <t>…s i6 de (Diciembre. ' El Rey ha nombrado en decreto de 8 descorriente caballeros de la orden de S. Miguel á varios sabios y literatos distinguidos, entré los cuales se cuen tan el conde Bertholet, Par de Francia; Mr. Richerand , individuo de la so ciedad de medicina; Mr. Rainouard, secretario perpetuo de la academia fraiw cesa, y el abate Sicard , individuo de la misma academia. La misma condeco ración lia concedido S. M. á algunos artistas, y entre e…</t>
  </si>
  <si>
    <t>Bertoldo</t>
  </si>
  <si>
    <t>…to Patrón, á Don diencia. Luis Clouet, á D. Pedro Vargas , al duque de Alagon , al Se opuso también el Sr. Gaseo á la aprobación de este inarques de Echandía, al barón de Coly y á D. Bertoldo artículo, deseando que los señores de la comisión explicasen Schepeller para importar en la isla de Cuba y otros paí con mas claridad los casos en que deberia obedecerse á la ses de Ultramar harinas y efectos extrangeros bajo bande autoridad militar ó á la po…</t>
  </si>
  <si>
    <t>Bertuzi, Pablo</t>
  </si>
  <si>
    <t>Pablo Bertuzi</t>
  </si>
  <si>
    <t>…rancés é italiano, ofrecen dar lecciones de di D. Joaquín de los Santos Lomba, 400. D. Manuel Gonzá chas ciencias é idiomas, y enseñar el latín en dos años, y la lez Estrada, foó. D. Pablo Bertuzi, 80. D. Juan Morales, taquigrafía en tres meses, en su casa ó en la de los alumnos; 500. El cónsul de los Estados-Unidos D. Henrique M. bajo cuyo supuesto, y para la mayor comodidad del público, Cali, 3 20. El cónsul de Portugal D. J. H. Parral, 5 00. han est…</t>
  </si>
  <si>
    <t>Bet</t>
  </si>
  <si>
    <t>…sin la menor re ching-Bonni. He visto, dice el que escribe, al ilustre pri sistencia , y á la mañana siguiente salieron dos batallones sionero paseándose á caballo, precedido del mariscal Bet*para las fortalezas de Finlandia, y otro permaneció en el fraud , en compañía de la esposa de este, y detras ai conde fuerte de Schlusselburg. Moutholon con el resto de la comitiva. Está grueso cual ja mas lo ha estado, y horrorosamente hinchado de carrillos.…</t>
  </si>
  <si>
    <t>Betudno, Juan</t>
  </si>
  <si>
    <t>Juan Betudno</t>
  </si>
  <si>
    <t>…omisión' segunda de Legislación presentó su dicta men para que se accediese á las exposiciones que los extran Sesión extraordinaria de z.° de Noviembre. geros D. Salvador Fonran , D. Juan Betudno, D. Santia En atención á haberse leído en sesión secreta el acta de go Artembusch y D. Alejandro Lanti tenian hedías en so la última extraordinaria pública , se dio principio á la elec licitud de carta de ciudadano. Las Cortes aprobaron este ción de los señor…</t>
  </si>
  <si>
    <t>Bezuntlla, Manuel de</t>
  </si>
  <si>
    <t>Manuel de Bezuntlla</t>
  </si>
  <si>
    <t>…ado juzgado, por la escrihanía de gavilla, con otros ganados, cuya pertenencia te ignoraba. D- P.edro j osef de Ibabe, á deducir el derecho de que se crean Los partes del teniente coronel D. Manuel de Bezuntlla, asistidos; en inteligencia que de no hacerlo asi les parara el per comandante del distrito de Salvatierra, y del teniente coro juicio que ¡uiya lugar. nel D. Joref María de Soria, encargado de la partida vo Ensavo político sobre el reino de Nueva-Espana, sac…</t>
  </si>
  <si>
    <t>Bianchi</t>
  </si>
  <si>
    <t>…jor decir, la de los tártaros, sus últimos ge, que seria de reserva para avanzar cuando el primero invasores. En el espacio de tres siglos agitados de continuas adelantase; que el general Bianchi, duque de Casalanza, guerras solo un príncipe justo y sensato se presenta á la había rehusado el mando del egército de expedición por imaginación ; este príncipe es Selim Gherai, que vivió á fines motivos de delicadeza y de gratitud , y que esta noticia del s…</t>
  </si>
  <si>
    <t>Bijornstserna</t>
  </si>
  <si>
    <t>…eban pagar; los mis mos barcos en los puertos de Suecia.,^ t Todavía se‘hallan detenidos en él puerto de Gothemburgo por causa de los hielos milord Strangford con so familia, y el general Bijornstserna. . ■ - : .-V •’ • AUSTRIA. &gt; r. ! :;'J Viena i6'de Marzo. , ■..‘'¿'.l-','- V h* * Aiin sé halla aquí el i cjé Múnstér, que se vio precisadoá ¡diferir'ssu pata In jlatérra , en rázonzon dé*';láHe la enfermedadenfentiedád cíede unouno aé'sús'Éüos.&lt;iteidé sushij…</t>
  </si>
  <si>
    <t>Binns, Ingram</t>
  </si>
  <si>
    <t>Ingram Binns</t>
  </si>
  <si>
    <t>…era instancia de esta villa , y escribanía del número que á virtud de habilitación de S. M. despacha D. Juan de Mi LISTA 31. PROVINCIA DE CADIZ. guel Monasterio, se ha acudido por D. Ingram Binns, vecino Dos casas altas y bajas, números 56, 57, 58 y 59, en y del comercio de esta corte , haciendo cesión de todos sus bienes la calle de S. Francisco de Paula de aqueLIa ciudad, en muy en favor de sus acreedores, la que le ha sido admitida por dicho mal es…</t>
  </si>
  <si>
    <t>Bla, Juan</t>
  </si>
  <si>
    <t>Juan Bla</t>
  </si>
  <si>
    <t>…usiacmo que en el mes de Marao hizo declararnos A las de Milicias nacionales y especial de Fuerza arma por la Constitución. Siendo el comercio uno de los objetos da una memoria de D. Juan Bla:co Negrillo, coronel de principales de nuestras ocupaciones, tenemos fija nuestra caballería, sobre la organización de esta arma, y algunos vi ta muy principalmente sobre lo que se determine en el puntos relativos á milicias. Congrego acerca de él; y como los…</t>
  </si>
  <si>
    <t>Blake, Joaquín</t>
  </si>
  <si>
    <t>Joaquín Blake</t>
  </si>
  <si>
    <t>…e Estado y del Despacho de Hacienda digo en el dia de hoy lo que sigue: El Rey, á quien he dado cuenta de un oficio que con este objeto me dirigió en 28 de Abril próximo pasado el Sr. D. Joaquín Blake, manifestan do la incompatibilidad constitucional que existe entre el destino de consejero de Estado que desempeña y el de ingeniero general que igualmente estaba i su cargo, haciendo por la misma razón dimisión de este último empleo, ha tenido á bien admitír…</t>
  </si>
  <si>
    <t>Mr. Williams dijo que quería probar á la Cámara que Ras- sición del capitán general D. Joaquín Blake para que se teili habia solicitado al testigo para que fuese á Inglaterra derogase lo acordado por el ayuntamiento de Valencia so á declarar contra la Reina, y que también le habia ofre bre la encomienda llamada del Peso en la misma ciudad. cido dinero. En fi…</t>
  </si>
  <si>
    <t>Blan, Josef Sabau y</t>
  </si>
  <si>
    <t>Josef Sabau y Blan</t>
  </si>
  <si>
    <t>…ricas y críticas ..y tablas cronológicas desde los.tiempos mas antiguos hasta la Circular del ministerio de la Gobernación de la,Península. muerte del Sr. I&gt;. Cirios 111pof el Dr. D. Josef Sabau y Blan co, individuo de la Real academia de la Historia, electo arce Los Sres. secretarios de Jas Cortes me dicen con fecha diano de Aliaga de- la santa iglesia metropolitana de Zaragoza,27 de Agosto último lo que sigue: . acudirán á recoger el tomo 16, y pagar el 1…</t>
  </si>
  <si>
    <t>Blanco, Alejandro</t>
  </si>
  <si>
    <t>Alejandro Blanco</t>
  </si>
  <si>
    <t>…as de, 10 de Noviembre, de 1810 , por el mismo autor. Retrato de D. Rafael del Riego/ adornado de, .trofeos militares y objetos alusi vas a ja Constitución, dibujado y grabado por D. Alejandro Blanco. Se hallará en la librería de,Sanz, calle de Jas'Carretas ,ly en el almacén de estampas de la calle der Arenal, a o rs. V/' 'eN la Imprenta nacional.</t>
  </si>
  <si>
    <t>Blanco, Antonio Gaspar</t>
  </si>
  <si>
    <t>Antonio Gaspar Blanco</t>
  </si>
  <si>
    <t>…tivo, ,, Ademas de los oficiales generales que en oficio de ayer manifesté á V. E. se me habían presentado procedentes de la Carraca, lo han verificado igual mente los brigadieres D. Antonio Gaspar Blanco, D. Francisco Hano y otros # oficiales. „Con esta fecha he expedido pasaporte al teniente coronel graduado Don Facundo Infantes para que pueda pasar á'esa corte á presentarse á S. M. y hacer presente varias cosas de parte del coronel D. Antonio Quiroga, pues…</t>
  </si>
  <si>
    <t>Blanco, Joaquín</t>
  </si>
  <si>
    <t>Joaquín Blanco</t>
  </si>
  <si>
    <t>…á las instrucciones que se habian dado sobre el asunto. estas correo el D:li%ente, su comandante el teniente de fraaara habian sido generales; que no creia que se hubiese fal-ado D. Joaquín Blanco, con la correspondencia, grana, cacao á ellas en un solo punto; y que cuando se pidi i en !a secre y 53¿I pesos fuertes de Veracruz y la Havana en. 41 dias. taría de Estado el pasaporte para Rastelli, el oficia! de la itiesa debió creer que el testigo iba aut…</t>
  </si>
  <si>
    <t>Blanco, Josef Sabáú y</t>
  </si>
  <si>
    <t>Josef Sabáú y Blanco</t>
  </si>
  <si>
    <t>…eneral de España del P. Ma riana, ilustrada con notas históricas y críticas, y tablas cronológicas desde los tiem pos mas antiguos hasta la muerte del Sr. D. Cárlos ur, por el Dr. D. Josef Sabáú y Blanco, canónigo de la santa iglesia metropolitana de Bárgos, é individuo de ll jELeal Academia de la Historia, acudirán á recoger el tomo 13 y pagar el 14, qué saldrá pronto, á la librería de Quirós, calle de Atocha; en Cádiz á la de Zara goza; en Santiago á la de…</t>
  </si>
  <si>
    <t>Blanco, Josef Sabau y</t>
  </si>
  <si>
    <t>Josef Sabau y Blanco</t>
  </si>
  <si>
    <t>…general de España del P. Ma riana, ilustrada con notas históricas y criticas, y tablas cronológicas desde los tiem pos mas antiguos hasta la muerte del Sr. D. Cárlos m, por el Dr. D. Josef Sabau y Blanco, individuo de la Real academia de la Historia, canónigo de Burgos,, y elec to arcediano de Aliaga de la santa iglesia metropolitana de Zaragoza, acudirán á re coger el tomo 14 y pagar el 1 5, que saldrá pronto, á la Obrería de Quirós, calle de Atocha; en Cádi…</t>
  </si>
  <si>
    <t>Blanco, Josef Sábau y</t>
  </si>
  <si>
    <t>Josef Sábau y Blanco</t>
  </si>
  <si>
    <t>…neral dé España del P. Ma riana /Ilustrada con notas históricas y eríticaSi y tablas cronológicas, desde los tiem pos mas antiguos hasta la muerte del Sr. D. Cárlos in, por él Dr. D. Josef Sábau y Blanco, individuo cíe la Real academia de la Historia, canónigo de Burgos, y electo arcediano de Aliaga de la santa iglesia metropolitana de Zaragoza, acudirán i reco ger el tomo 15 , y pagar él r&lt;5, qué saldrá pronto, á la librería de Quirós, calle de Atocha; en Cá…</t>
  </si>
  <si>
    <t>Blasco, Antonio</t>
  </si>
  <si>
    <t>Antonio Blasco</t>
  </si>
  <si>
    <t>…balternos del egército. de Hacienda. i- ¿e aprobó el dictamen de ía comisión segunda de Legis Asimismo se dió cuenta de una exposición de la dipu lación acere » de la solicitud da D. Antonio Blasco,. cur tación provincial de Cuenca, en que haciendo presente la sante de leyes, par» que se le permute un curso de lugares miseria y mal estado de los pueblos de su provincia , pedia teológicos que lia seguido por el séptimo de su carrera. La se alzasen los ap…</t>
  </si>
  <si>
    <t>Blasco, Manuel Sánchez</t>
  </si>
  <si>
    <t>Manuel Sánchez Blasco</t>
  </si>
  <si>
    <t>…á qué tribunal pertenece el conocimiento de un asunto Burdeos. judicial que tiene pendiente. NOTICIAS DEL REINO. . La misma comisión presentó su dictamen acerca de la solicitud de D. Manuel Sánchez Blasco, vecino de BenameMadrid 3 de Noviembre. jí, sobre la construcción de una casa-posada en dicha villa, á la que se habia opuesto la marquesa de este título, y la CORTES. chanciilería de Granada habia fallado á su favor. La comi Sesión del 3 de Noviembre. sión o…</t>
  </si>
  <si>
    <t>Blumenbach</t>
  </si>
  <si>
    <t>…o público-que en la universidad de Huesca compuso D. Joaquínnos pelos, que entregó á Mr. Adams, quien los remitió al María de Palacios y Hurtado: idem en la de Castillo.= La villa:profesor Blumenbach. Aunque no se tuvo mas indicio acer constitucional, 6 el castigo generoso : comedia en verso: idemca de este descubrimiento, ilamó no obstante la atención de en la de la viuda de Ulescas.=Ideas sobre el sistema militar de-los naturalistas; y Mr Adams se resol…</t>
  </si>
  <si>
    <t>BminEn, N.</t>
  </si>
  <si>
    <t>N. BminEn</t>
  </si>
  <si>
    <t>Gaceta del Gobierno n.º 186</t>
  </si>
  <si>
    <t>…renunciado Juan Oñoz, D. R. de Llordella, D. Beraardino de Ereña, gl en la tribuna, se imprimieron particularmente por el autor. comisionado principal del Crédito público en.Cádiz D. N. BminEn esre orden cronológico de escritos sobre tan importan za, Doña Juana Lozano y Doña.Josefa López, tenedores que tes y diversas materias, enlazadas por medio de sumarios igualmente han sido de otro vale Real de 150 pesos de la mis bien hechos, hay discursos que…</t>
  </si>
  <si>
    <t>Bnrutel, Juan Antonio</t>
  </si>
  <si>
    <t>Juan Antonio Bnrutel</t>
  </si>
  <si>
    <t>…rden de S. A. para su inteligencia y demas efectos cor sultiva, por el brigadier coronel del regimiento infantería de respondientes. S. Fernando 17 de Diciembre de 181= Ma América D. Juan Antonio Bnrutel!. nuel López de Araujo. = Sres. directores generales de la Ha Propuesta de una c: cuela de enseñanza mutua para pre cienda pública.”= Al insertar á V. S. esta dirección la an- sidiarios jóvenes, por el sargento mayor de la ciudadela de . terior Real orden no…</t>
  </si>
  <si>
    <t>Bo</t>
  </si>
  <si>
    <t>…Vázquez Franco, vecino de Molina de Aragón, de raldo por 8S votos de 1x2. una huerta vinculada, cuyos títulos de legitimidad se le haLa cuarta de diputado ultramarino recayó en el Sr. Bo bian perdido en un incendio causado por los franceses en dega por 90 votos de tío. la guerra de la independencia. La quinta de diputado peninsular recayó en el Sr. San A la comisión de Diputaciones provinciales se pasó el cho por 62 votos de 112. expediente d…</t>
  </si>
  <si>
    <t>Bo, Josef</t>
  </si>
  <si>
    <t>Josef Bo</t>
  </si>
  <si>
    <t>…isional, habría adoptado este ata española mercante la Preciosa Mariana, procedente de medio, sin duda el mas conforme al espíritu de la Cons f,ima y Guayaquil, en 125 dias ; y su capitán D. Josef Bo titución ; pero que ya el caso no era el mismo, puesto nifacio de Arrarte ha dado parte que el 9 de Febrero últi que los Sres. diputados suplentes de América se habían re mo salieron para Guayaquil las fragatas de guerra españolas unido para celebrar sus elec…</t>
  </si>
  <si>
    <t>Bo, Josef Navia</t>
  </si>
  <si>
    <t>Josef Navia Bo</t>
  </si>
  <si>
    <t>…e instale Jesde luego la Audiencia consti tucional d^ Maclfid, para laV cual ’ nombro interina y provisional mente; á los anagistrados qu^ ténia al,-tiempo de sucesaciqnvá saber , D. Josef Navia Bo4 ¿años;, regente j D. V icen je María Caveto,, P» francisco Cándido de Baz* Don Ramón Same, D. Ramón Macía Líeopar.t, D..Francisco Mateo ^Marchamalo, D. Miguel Antonio 2üumalacarregui y X). Juan,Remeto. Alpuente, $in perjui cio de atenderse después cuaj,;Corr…</t>
  </si>
  <si>
    <t>Boada, N.</t>
  </si>
  <si>
    <t>N. Boada</t>
  </si>
  <si>
    <t>…n una actitud que la decencia no permite descri del regimiento de Guadalajara que guarnece la costa , a! man bir,: oor último, que volviendo Bérgami de un viage que do de su digno comandante D. N. Boada, se hizo con la habia hecho á Bolonia, salió la Princesa con una parte de pompa y aparato posible, y reinó la mejor armonía entre su comitiva i recibirle , y que habiendo bajado uno y otro la tropa de dicho cuerpo y las milicias nacionales, que fue de sus res…</t>
  </si>
  <si>
    <t>Boado, Manuel Sánchez de</t>
  </si>
  <si>
    <t>Manuel Sánchez de Boado</t>
  </si>
  <si>
    <t>…jado. Después de alauna discusión entre los Sres. Traver, Ma rtinez de la Rosa y~Navas , en que propuso el segundo que se adoptara el término medio de que los censos que se El Dr. D. Manuel Sánchez de Boado, vecino de Plenpagasen sobre tincas determinadas y por personas particula ■cla, en Vizcaya, se ha prestad» gratuitamente A regentar una res continuaran sujetos A sufrir la suerte de los-demás; pe cátedra de Constitución en aquella villa. Un egemplo de zero qu…</t>
  </si>
  <si>
    <t>Bobadilla, Joaquín</t>
  </si>
  <si>
    <t>Joaquín Bobadilla</t>
  </si>
  <si>
    <t>…c Hadwen, 320. D. Juan Duffield y compañía, 320. D. Jacinto Narice, 80. D. Guiller mo Gray y compañía, 640. D. Juan Haffenden y compa ANUNCIOSñía, 320. D. Carlos S. Middleton, 8o. D. Joaquín Bobadilla, 160. D. Diego Terry, 80. DI Jacinto Isnardy, 320. El heroísmo del amor filial. Isabel, ó los desterrados de SíD. Carlos Williams, 80. D. Juan Shau, 32c. D. Pedro beria. Historia verdadera del presente siglo: por Madama Cottin, Enaguila, presbírero, 40. D. Ju…</t>
  </si>
  <si>
    <t>Bobre</t>
  </si>
  <si>
    <t>…introduc ar-reniente del reino . los Sres. príncipe de Paterno, el go— ción de géneros ingleses, mientras esté vigente el bilí so ernador militar de Palermo, el mariscal de campo D. Bobre granos; que se establezca una diferencia entre los dere gerio Séttimo, el príncipe de Pandolfina, el príncipe de chos del Gobierno y las leyes que deben someterse indis Torrebrima, el caballero D. Manuel Requesens, el duque de pensablemente á las discusiones…</t>
  </si>
  <si>
    <t>Bocha</t>
  </si>
  <si>
    <t>…tucio méritos militares, particulares servicios y persecución que nal de Badajoz el dia 9 de Julio de «820: por D. Manuel de la ha sufrido por adicto al sistema constitucional, al capitán Bocha. Véndese en la-librería de Villareal y Paz. SUPLEMENTO</t>
  </si>
  <si>
    <t>Bodega</t>
  </si>
  <si>
    <t>…á la comisión do raciones del Congreso , laque se repitiese todos los años el Poderes. primer dia de sus sesiones; y la otra para que con el mis Se hizo lo mismo con un oficio del Sr. Bodega, su fe mo objeto se hiciese una demostración religiosa en ambas cha en Santorcaz, haciendo presente que no podia venir al Españas. Congreso, como ya había expuesto al ministerio, por tener Se leyó asimismo por primera vez otra del Sr. Muñoz que pasar á Almona…</t>
  </si>
  <si>
    <t>Bolaño, Josef Navia</t>
  </si>
  <si>
    <t>Josef Navia Bolaño</t>
  </si>
  <si>
    <t>…e primera instancia. Y por esta aprobado por la sociedad económica y por la comisión de nnestra sentencia definitiva de vista asi lo pronunciamos, medicina. mandamos y firmamos. = D. Josef Navia Bolaño.= D. Vi _ También ha debido presentar el mismo Boucher á la cente García Cavero. = D. Francisco Cándido de Paz. = Don sociedad económica- el modelo de una embarcación insu Ramón Samé. = D. Ramón Macía de Lleopart. = Madrid mergible , que ha merecido ya la apr…</t>
  </si>
  <si>
    <t>Bolea, Antonio</t>
  </si>
  <si>
    <t>Antonio Bolea</t>
  </si>
  <si>
    <t>….Le ga nito*, núm. 16, cuarto bajo, ó en la vicaría eclesiástica al notario mayor D Vi cente de la Llave = El de D. Bartolomé Bolea, natural de Madrid, de 23 años de edad, hijo de D. Antonio Bolea, natural de Turin, y de D ña Antonia Poca. A los, seis años salió para Valencia con su padre, el cual murió seis años há. .Teniendo que comunicársele asuntos de la mayor consideración, se espera que den razón de ku paradero á D. Miguel Perez, calle de la Sart…</t>
  </si>
  <si>
    <t>Bolea, Bartolomé</t>
  </si>
  <si>
    <t>Bartolomé Bolea</t>
  </si>
  <si>
    <t>…rra con la Francia Se dará ra on á su esposa Josefa Sai/, calle de .Le ga nito*, núm. 16, cuarto bajo, ó en la vicaría eclesiástica al notario mayor D Vi cente de la Llave = El de D. Bartolomé Bolea, natural de Madrid, de 23 años de edad, hijo de D. Antonio Bolea, natural de Turin, y de D ña Antonia Poca. A los, seis años salió para Valencia con su padre, el cual murió seis años há. .Teniendo que comunicársele asuntos de la mayor consideración, se espera…</t>
  </si>
  <si>
    <t>Bonet</t>
  </si>
  <si>
    <t>…caso con milicias provinciales, y miento , con Doña Ramona González Belandres, y pasó después 7.; 29,053 rs. respectivos á 4500 soldados cumplidos, que ¿ servir á la división det general Bonet: dejó luego el servicio, dando por último reducido el presupuesto á 322.696,972 rs. y se le formó caus3 por los españoles, habiendo estado arrestado El Sr. Gaseo deseó que la comisión manifestara si po en la ciudad de la Coruña, de donde se marchó en Enero de…</t>
  </si>
  <si>
    <t>Bonnerman</t>
  </si>
  <si>
    <t>Gaceta de Madrid n.º 28</t>
  </si>
  <si>
    <t>…ina para-conducirla á Inglaterra. , Idem 14. . , Esta mañana hemos recibido gacetas de Madras de fecha de 8 de ,Octubre último, y por ellas la triste noticia del fallecimiento del coronel Bonnerman, gobernador de Ja isla del Príncipe de Gáles. , En gaceta extraordinaria del Gobierno del mismo Madras de fecha de 11 de Setiembre se hace saber al público que S. A. el Príncipe Auzun , jah y primogénito legítimo de S. A. el difunto nabab Azeem Ui-Dowlah Buha…</t>
  </si>
  <si>
    <t>Borbién</t>
  </si>
  <si>
    <t>Gaceta del Gobierno n.º 154</t>
  </si>
  <si>
    <t>…ay en los milicianos de cada provincia tengan un cuerpo de arti aquella plaza. Otros muchos regimientos lian recibido tam lleros , y á lo menos seis piezas de artillería : 6.a del Sr. Borbién orden de pasar á nuevos destino'. relli, relativa á la egecucion del art. 1S1 de la Constitución: El general austríaco conde de Nugenr, que en los días 7.a del Sr. Netti sobre el arresto del Sr. Palladino y sus de la última revolución mandaba el egércíto napo…</t>
  </si>
  <si>
    <t>Borbon, María Luisa de</t>
  </si>
  <si>
    <t>María Luisa de Borbon</t>
  </si>
  <si>
    <t>…le de las Carretas. Sermón que en las exequias que celebró la ciudad de Orense, en unión con el limo, deán y cabildo de aquella santa iglesia catedral, por la Reina de las Españai Doña María Luisa de Borbon predicó el Dr. D. Juan Manuel de Bedoya, canónigo cardenal de la misma santa iglesia. Se halla venal en la librería de Viílareal, calle de las Carretas, como asimismo la oración fúnebre á la buena memoria del Emo. car denal Quevedo y Quintano, por el misino D…</t>
  </si>
  <si>
    <t>Borgo, Pozzo di</t>
  </si>
  <si>
    <t>Pozzo di Borgo</t>
  </si>
  <si>
    <t>…o /rasgo : „N.o se veia ya la serenidad en el rostro de ningún ingles capaz de pensar y de prever*”. -• -ii,...: ’.v;. Jjdem -i..!:" :-. El ministro de Rusia cerca de esta corte , conde Pozzo di Borgo , aguar da pliegos de grande importancia de Petersburgo. Se decia que el conde de Capo de Istria, uno de los principales ministros del Emperador Alejandro, ha perdido la gracia de S. M. I. : si se confirma esta especie, es muy proba re que- var fe de política…</t>
  </si>
  <si>
    <t>Borjas, Bernardo de</t>
  </si>
  <si>
    <t>Bernardo de Borjas</t>
  </si>
  <si>
    <t>…e del i.°de Valencey, y en se del Crédito público de entre los tres que habia propuesto el guida les dirigió el Excmo. Sr. general en gefe una proclama, Gobierno, y quedó nombrado D. Bernardo de Borjas y en que recordándoles la buena fe con que siempre habia Tarrius, gefe de la balanza de comercio, por 72 votos procedido con ellos, les aseguraba que iban á prestar el ju de 137. ramento que el Rey habia ya prestado espontáneamente Después se pasó á continuar…</t>
  </si>
  <si>
    <t>Borrelli</t>
  </si>
  <si>
    <t>…poles 11 de Noviembre. y de S. A. R. la Duquesa de Lúea? tuvo el ¿8 de este Sesión del Parlamento nacional del dia 2. raes, una audiencia particular del Rey Carlos Juan, en. la El Sr. Borrelli salió elegido presidente en el tercer es que dio parte á S. M. de los desposorios del Infante de crutinio, y el Sr. Ruigiero- vice-presidente. Fue asimismo laica con vona Princesa de Cerdeña. nombrado secrerario ei Sr. Dragoneen en lugar del que aca baba de c…</t>
  </si>
  <si>
    <t>Borrelli, Pascual</t>
  </si>
  <si>
    <t>Pascual Borrelli</t>
  </si>
  <si>
    <t>…el consejo de Seguridad pública los un instrumento de paz. Se promoverán con carteles sedicio sugetos siguientes: , _ T . sos reuniones no autorizadas por el Gobierno, para que la D. Pascual Borrelli, presidente ; D. Josef Laghezza, se muchedumbre aprenda á eludir la sujeción de la ley, y cretario general; consejeros D. Donato Colleta, D. Luis para que arrebatada por un movimiento inconsiderado , de Siniscalchí , el barón D. Josef Nanni, y el abate D. Do…</t>
  </si>
  <si>
    <t>Bosch, Alberto</t>
  </si>
  <si>
    <t>Alberto Bosch</t>
  </si>
  <si>
    <t>tía sobre la estereométria. "D. Alberto Bosch sobre la trigonometría. D. Félix Ichaso de las secciones cónicas. En ambos dias satisfizo cada alumno, después de haber disertado, á cuan tas preguntas le hicieron los señores espectadores sobre todos los ramos de las matemáticas puras. La serenidad y despejo…</t>
  </si>
  <si>
    <t>Bosch, Jaime</t>
  </si>
  <si>
    <t>Jaime Bosch</t>
  </si>
  <si>
    <t>…jabeques mil construidos y peor armados; sea comisión, compuesta de los ciudadanos D. Erasmo.de 16 cañoneras, y'varias galeras y cañoneras viejas; pero sin Goninma, D. Juan Rull, D. Jaime Bosch, D. Serapio San— gefes ni marinería. Tiene ademas unas 30 embarcaciones mer gertnan, D. Francisco Cortés, D. Juan Pons, D. Manuel cantes , y muchos barcos pequeños de cabotage. Forner, D. Francisco Coima , D. Ignacio Torres GolobarMarruecos se halla actualmen…</t>
  </si>
  <si>
    <t>Bota, María Bárbara</t>
  </si>
  <si>
    <t>María Bárbara Bota</t>
  </si>
  <si>
    <t>…ones á una d? las huérfanas de los militares ó patriotas que hubiesen muerto en defensa de la justa causa de la nación, ha cabido en suerte del primer extracto de la de este dia á Doña María Bárbara Bota, hija de D. Antonio, oficial que fue dé provisiones, muerto en el campo del honor. ARTICULO DE O F I CI O. El Rey se ha servido expedir los decretos siguientes 1,, Uno de los mas poderosos auxilios de que. necesitan la agricultura, industria y las artes para…</t>
  </si>
  <si>
    <t>Bounanni, Cayetano</t>
  </si>
  <si>
    <t>Cayetano Bounanni</t>
  </si>
  <si>
    <t>…nfirmado provisionalmente la junta creada en Palermo ella al príncipe de Villafranca , al mariscal D. Rogero Ser- con aprobación del lugar-teniente, y S. A R. ha ofrecido timo, al príncipe D. Cayetano Bounanni, al prepósito una amnistía general por lo* desórdenes actuales. con ral que P. Palenno, al marques Radusa, al coronel D. Manuel los extraviados vuelvan á la subordinación debida á las le Requesenz y á D. Josef Tortorici. Se dieron varias sabias ve*. Se han ex…</t>
  </si>
  <si>
    <t>Bovám'bajo, Cristóbal Brentano</t>
  </si>
  <si>
    <t>Cristóbal Brentano Bovám'bajo</t>
  </si>
  <si>
    <t>Gaceta de Madrid n.º 77</t>
  </si>
  <si>
    <t>…, que e09.de Diciembr e de 1816 dictó el extinguido tribunal superior»de, JusUciá deja^m^iq^ciudad, se hace sabes -qúe •érinel. dia,27 de AgostO)del.misirioáño de i^ió/aÜeet(&gt;..el:Sr. D. Cristóbal Brentano Bovám'bajo laidisposiciomtestamentafiat,c que Otorgó en 15 ,de Enero de 1813 ante ef doctor Francisco Sacehi, escribano público de dicha ciudad de ■Como, por la cual lega 30® libras italianas á-favor de los descendientes de JoséfBováray natural de Paíé; otras 30® libras…</t>
  </si>
  <si>
    <t>Bovára, Cristóbal Brentano</t>
  </si>
  <si>
    <t>Cristóbal Brentano Bovára</t>
  </si>
  <si>
    <t>…o la que en 9 de Diciembre de 1816 dicto el extinguido tribunal superior de Justicia de la misma ciudad, se hace saber que en el dia 27 de Agosto del mismo ano de 1816 falleció el Sr. D. Cristóbal Brentano Bovára bajo la disposición testamentaria, que otorgó en 15 de Enero de 1813 ante el doctor Francisco Sacchi , escribano público de dicha ¡ciudad de Como, por la cual lega 30© libras italianas á favor de los descendientes de Josef Bovára , natural de Paré; otras 30©…</t>
  </si>
  <si>
    <t>Bowens</t>
  </si>
  <si>
    <t>Gaceta de Madrid n.º 25</t>
  </si>
  <si>
    <t>…eniente Van-Doornum y el capitán inspector adjunto Lucasson; y murió el subte niente Clausson. El comandante elogia mucho la conducta de las tropas euro peas, como asimismo la del capitán Bowens, de ios tenientes Van-Door.ium y Boderneyer, y la del capitán inspector adjunto, que le acompañó volunta riamente en esta expedición, y peleó á su lado.”</t>
  </si>
  <si>
    <t>BraamLóndres, Hermano Josef</t>
  </si>
  <si>
    <t>Hermano Josef BraamLóndres</t>
  </si>
  <si>
    <t>…ler Josef Joaquín Ferreira de Moura, encargado de los negocios del reino y de Hacien INGLATERRA. da, el diputado Manuel Fernandez Tomas, encargado de los. negocios extrangeros; el diputado Hermano Josef BraamLóndres 0$ de Setiembre. camp del Sobral, secretario de les negocios de Guerra y En vano prohibió [a poltcia.de Glaskow la reunión de Marina, con voto en los objetos de su atribución; el te los habitantes en cierto punto, para hacer una exposición i niente general Ma…</t>
  </si>
  <si>
    <t>Braamy, Van</t>
  </si>
  <si>
    <t>Van Braamy</t>
  </si>
  <si>
    <t>Gaceta de Madrid n.º 92</t>
  </si>
  <si>
    <t>…Parma, Plasencia y Guastaia. Grénova jo de May0\ El 15 del pasado fondeó en este puerto la escuadra de los Países-Bajos, compuesta de cinco navios de ,línea, mandadas por el vice-almirante Van Braamy procedente de Mahon. • , . ' En Parma se ha publicado un reglamento concerniente a la conscripción, á virtud deí cual se han de alistar anualmente 250 individuos para e&amp;seryicio activo, y yo, para la reserva. . / ^ Se ha esparcido un rumor general en esta pla…</t>
  </si>
  <si>
    <t>Bradisla</t>
  </si>
  <si>
    <t>…ndrá de manera que se concille la dignidad de los tronos en S. Petersburgo , que está encargado de arreglar con la con la tranquilidad de Europa. Puerta un tratado de comercio. El Sr. Bradisla, embajador de los Estados-Unidos de la América del Norte está encar ITALIA. gado de otra comisión igual. Ñapóles 27 de Noviembre. FRUSIA. El Excmo. Sr. ministro de la Guerra presentó el día 21 en el Parlamento una carta de S. A.R. el lugar-teniente ge Berlín…</t>
  </si>
  <si>
    <t>Braganza, Isabel de</t>
  </si>
  <si>
    <t>Isabel de Braganza</t>
  </si>
  <si>
    <t>…exequias con Un solar y jardines en Logroño, inclusas ciertas pa sagradas por el cabildo eclesiástico de Zamora por el alma deredes y piedra suelta. 37,244. nuestra católica Reina Doña Isabel de Braganza , por el doctorEn la provincia de Valladolid, procedentes de la ex D. Miguel de Ilerrezuelo. Véndese á 4 rs. en la librería de Petinguida Inquisición, cuyos remates se verificarán en rez.= Tratado del sarampión por Roux, traducido del francés la misma ciudad…</t>
  </si>
  <si>
    <t>BraganZa, María Isabel de</t>
  </si>
  <si>
    <t>María Isabel de BraganZa</t>
  </si>
  <si>
    <t>…s ventajas. Se hallará en las librerías de Villareál, calle de tes Carretas» y de Paz, frente á las covachuelas. ! Sermón que en los sufragios que por el alma de su angusta Reina. Doña María Isabel de BraganZa , que ofreció á Dios la Excelentísima ciudad de Barcelona en los dias 2f y 22 de Enero del corriente año, predicó el limo. Sr. Dr. D. Félix Ámat, dignidad de sacristán inayor. de la misma santa.iglesia; con una sucinta re lación de las honras fúnebres que se…</t>
  </si>
  <si>
    <t>Brancadoro</t>
  </si>
  <si>
    <t>…e tierra. chas dificultades para vencerle ; y aun dudan varios polí Escriben de Roma que monseñor Bernetti, sobrino del ticos que pueda conseguirlo , sobre todo si es cierro, como cardenal Brancadoro , ha sido nombrado gobernador dé sostienen algunos , que toda la Grecia está decidida en fa Roma en lugar del fugitivo monseñor Pacea. vor de este pretendido Rey de Epiro, que quiere abrazar la réligion griega, y que los habitantes de aquel pais se pasán FRAN…</t>
  </si>
  <si>
    <t>Breciano, Antonio</t>
  </si>
  <si>
    <t>Antonio Breciano</t>
  </si>
  <si>
    <t>…D. Juan Ultramar, ha entrado de regreso en el citado puerto el dia Giró, 8o. D. Agustín Lagrave, 160. D. Luis Monteiro, 80. 6 de este mes, conduciendo Correspondencias de oficio y D. Antonio Breciano,8o. D. Bartolomé Scotto, 2®. Don pública de Filipinas, Nueva-España, Ha vana y Puerto-Rico. Josef Comitre, 1®. D. Manuel Caballero, 2200. D. Ma nuel de los Ríos, 80. D. Josef Playas, 160. D. Diego Baro, 80. D. J. B. Canepa, 80. La Sra. viuda de Hernán Deseand…</t>
  </si>
  <si>
    <t>Bren, Cristóbal</t>
  </si>
  <si>
    <t>Cristóbal Bren</t>
  </si>
  <si>
    <t>…iié en.9 de Diciembre de 181 ó dictó el extinguido tribunal superior de/Justicia dq laL iñisipa ciudad, se hace saber que, en el dia 27 de Agosto del mismo año de i8ió falleció el Sr. D. Cristóbal Bren tano Bovára bajo la disposición testamentaría, ¡que otorgó en 15 de Enero de 18izante el doctor francisco Sacchi, escribano público de dicha .ciudad, dé, Como ,, por la cual lega 30© libras italianas á fayor de los. descendientes de Jo-' sef Bovára , natural…</t>
  </si>
  <si>
    <t>Brey, Juan</t>
  </si>
  <si>
    <t>Juan Brey</t>
  </si>
  <si>
    <t>…Guerra, se ha servido S. M conceder á Doin Nicolás Marti, iciriqano iimlar de la villa de Elche, el fuero militar y uso de uniforme de primer ayudante*de cirugía de egército; y á D. Juan Brey, residente en la-plaza de la Coruña, el fuero militar y uso de uniforme de practicante de cirugía de egército en premio de los servicios que han con traído en los hospitales militares de campaña durante la última guerra; de clarando al mismo tiempo le ha sido…</t>
  </si>
  <si>
    <t>Brice</t>
  </si>
  <si>
    <t>Gaceta del Gobierno n.º 137</t>
  </si>
  <si>
    <t>…de probabilidad. «Las circunstancias son graves. El Gobierno de los Países-Bajos ha entregado á las au «Poned la vista en vosotros y alrededor de vosotros: toridades francesas al coronel Brice, que fue arrestado en todo os manifestará vuestros peligros , vuestras necesidades Lieja el 19 de Setiembre. y vuestras obligaciones. Si ha de darse crédito á la gaceta piamontesa, Ali-Bajá «Habéis adquirido una libertad sólida y legítima: esta ha quedado sep…</t>
  </si>
  <si>
    <t>Brigas, Tomas</t>
  </si>
  <si>
    <t>Tomas Brigas</t>
  </si>
  <si>
    <t>…voluciones. regó rotundamente el capitán, por cuyo motivo dispuso la Reina comer en su camara mientras permaneciese A bordo ITALIA. de la Chr-nd.u En seg ida se pasó al examen del capitán Tomas Brigas, Milán 2&lt;T de Agosto. que mandaba el Leviathun en 181; , y dijo que había sido Según los periódicos de Palermo y de Messina, parece enviado a Gér.cva para recibir á su bordo á S. A. R. v su que los palermi taños han formado varios cuerpos de guerri comitiva,…</t>
  </si>
  <si>
    <t>Briggs</t>
  </si>
  <si>
    <t>…sidente los individuos de las guna en su conducta. El abogado general replicó que el tes nueve comisiones, uno de los diputados destinados para la tigo habia hablado «obre eilo al capitán Briggs, comandan 3.*, sjje esta encargad:) oe lo perteneciente a je seguridad te del Levia han, y le preguntó &gt;i aseguraría lo contrario pública, manifestó que el Rey le habia nombrado presiden bajo juramento , á lo que contestó el testigo que no podía te del consej…</t>
  </si>
  <si>
    <t>…en que existiesen los brir de confuMon á Mr. Graven y á sir Williams Geli. Sin colegios mayores suprimidos remitan por su conducto los embargo . no han podido presentar mas que al capitán Briggs índices originales de las bibliotecas de dichos co’egios , á fin para probar que tuvo una conversación con el teniente de que pueda darse á sus libros y demas objetos de que tra ilowman, de la cual este último no se acuerda. ta el reglamento aprobado por las…</t>
  </si>
  <si>
    <t>Brilingeroide</t>
  </si>
  <si>
    <t>…El Rey de Wurtemberg se ha suscrito por la cantidad de 800 francos para los gastos del monumento de Malesherbes, con cuyo motivo su ministro de Estado y de Negocios extrangeros el conde Brilingeroide ha remitido ai vizconde Pinon la carta siguiente: *»Ha llegado á.noticia del Rey con mucha satisfacción el proyecto que se ha formado de erigir un monumento, á Mr. de Malesherbes; y apreciando de»</t>
  </si>
  <si>
    <t>Bringas, Francisco</t>
  </si>
  <si>
    <t>Francisco Bringas</t>
  </si>
  <si>
    <t>…n se pida auxilio se halle de Real orden nos remitió V. E. en 1 7 de Julio último, en el caso de necesitarle él mismo , y sin embargo se le relativo á los privilegios concedidos á D. Francisco Bringas, hace responsable de las resultas que pueda tener su inobe á la casa de Gordon y Murphi, á D- Benito Patrón, á Don diencia. Luis Clouet, á D. Pedro Vargas , al duque de Alagon , al Se opuso también el Sr. Gaseo á la aprobación de este inarques de Echandía, al…</t>
  </si>
  <si>
    <t>Bringas, Francisco Arnaiz y</t>
  </si>
  <si>
    <t>Francisco Arnaiz y Bringas</t>
  </si>
  <si>
    <t>…xigirá para cubrir los gastos del es do sido renovado en cabeza de Doña Rufina Martínez, en su tablecimiento, y los demas objetos conducentes á su orga circulación fue endorsado á D. Francisco Arnaiz y Bringas, y nización y administración , debe animar á los dueños de fin por este á D. Francisco Urquiola, quien lo presentó para la cas de esta corte á incorporarse en dicha sociedad, aseguran renovación de i.° de Enero de 1814, y se le dió un equiva do sus posesiones…</t>
  </si>
  <si>
    <t>Brion</t>
  </si>
  <si>
    <t>…s. rector de teatro llamado Zangia, que, según parece, habia Otras cartas posteriores del 9 de Setiembre anuncian hecho gran papel en el asunto de la Princesa, y habia sido que el almirante Brion ha sido derrotado en el rio Mag agente del coronel Brown; que estando un dia juntos en el dalena. . - . . teatro de S. Lucas de Venecia , recibió Znngla ciertas carras, De Nueva-Yorck escriben el 12 de Setiembre que el día 2 que causaron en él una notable alt…</t>
  </si>
  <si>
    <t>Brischdale, Juan Olaghlin</t>
  </si>
  <si>
    <t>Juan Olaghlin Brischdale</t>
  </si>
  <si>
    <t>…spolios y Vacantes y productos del indulto cua Otra resolución de varios problemas de los publicados dragesimal á favor de persona alguna particular, ni. se.dis en 23 de Mayo, por D. Juan Olaghlin Brischdale. traigan á otros objetos que á los hospitales, hospicios, ca Sistema de organización de infantería y caballería muy sas de misericordia, niños expósitos y demas establecimien analítico, escrito por D. Joaquín Ortiz de Zarate, coronel tos de está clase á que e…</t>
  </si>
  <si>
    <t>Brito</t>
  </si>
  <si>
    <t>…har que se trata Gracias d Dios! Al punto se levantó y bajo al cuarto de entre los Gabinetes de asuntos importantes. la Duquesa; y habiendo encontrado á Monsieur, se abra S. E. el Sr. Brito, ministro de Portugal cerca de la zaron los dos augustos personages, derramando lágrimas corte de los Paisas-Bajos, acaba de dirigir una circular á de gozo. todos los cónsules portugueses residentes en este reino, man Las salvas de artillería anunciaron á los…</t>
  </si>
  <si>
    <t>Brittas</t>
  </si>
  <si>
    <t>202</t>
  </si>
  <si>
    <t>…anda á pagar una multa los ministros se esmeran en anticiparse á los votos de los por haberse ausentado, á saber; el arzobispo de Tuam 300 buenos ciudadanos. libras esterlinas, el lord Brittas 1 ;o, el lord Mountgaret Ei arzobispo de Salerno ha dirigido á S. M. una expo roo, y el lord Dunsany 20. En 6 de Mayo de 1644, ,Por sición, felicitándole por los sucesos ocurridos en favor de la haberse ausentado también, fueron condenados cuatro Pares patria…</t>
  </si>
  <si>
    <t>Brnsvn</t>
  </si>
  <si>
    <t>…la, mandada por El Lord Liverpool abrió la sesión, manifestando á la Cá ■Sairit-Caprais-, seguía'siempre á la vista de la brigada Costa. mara que había querido recibir de boca del coronel Brnsvn .No hubo novedad en la marcha hasta las cercanías de lét- la explicación de su conducta con respecto á Marietti. (Se -mihi, en donde - el capitán de fragata Saint-Caprais descu- dijo anteriormente que el pad:e de este habia recibido una .brío, la flotilla de…</t>
  </si>
  <si>
    <t>Broivn</t>
  </si>
  <si>
    <t>…lguno para dar por cierto tó contra la peticiona del fiscal de la corona. este viage. El conde de Darnley fue de! mismo parecer, v el ITALIA. marques de Campden , aunque amigo de! coronel Broivn, adoptó sin embarco el mismo dictamen. Por ultimo, ha Kdpoles 16 de Octubre. biendo pasado la Cámara á votar la cuestión, declaró que Por decreto de S. M. del dia 13 ha sido nombrado el no podía conceder e! plazo que se pedia. general D. Guillermo Pepe inspec…</t>
  </si>
  <si>
    <t>Brown</t>
  </si>
  <si>
    <t>nir ; pero le había obligado el ministro napolitano, quien le délos franceses la desaprueba con indignación; y asi podrá había encargado á un correo , este al coronel Brown en el Gobierno emplear con vigor sus fuerzas contra semejantes Milán, y el coronel á Mr. Crouse; que solo habia visto dos desórdenes. Para pedirlo tenemos un derecho, y el Gobier veces al coronel Brown en Milán, á saber, á su arribo, y no obligación de hacerl…</t>
  </si>
  <si>
    <t>…Reina mnmA, y esta la llamaba bijita mia. presencia de Otros-tres sugetos, entre los cuales había un En seguida fueron llamados otros testigos, entre ellos el abogado ingles y el coronel Brown. Estuvo en Milán cua-1 tahonero de la Princesa, y sus declaraciones confirmaron tro dias y medio, y no se le interrogó hasta el tercero, k&gt; que habian dicho los testigos anteriores. porque había otros testigos que estaban esperando-antes que ------ ..........…</t>
  </si>
  <si>
    <t>…ue Ví~ macará le había dado dinero hasta sets veces; pero que ALEMANIA. el declarante , no muy satisfecho con las cantidades que rect-' bia por su infidelidad, se había quejado al coronel Brown, Hannóver 14 de Octubre. el cual había hecho que al dia siguiente le diese mas dine El día 2 se hizo ta apertura de los Estados provinciales ro. Los papeles entregados consistían en cartas particulares de la Frisía oriental, que forma parte de nuestro nuevo d…</t>
  </si>
  <si>
    <t>…juicio sobre los tío podría probar que Zanala y otros habían sido agentes, motivos que os lian impelido á desechar los proyectos des sino sicuiéndoles los pasos hasta la casa del coronel Brown tinados á completar el sisrema de vuestra legislación. Dejo y el abogado Vimacarti. al cuidado de vuestros conciudadanos el determinar si vues En seguida se llamó á la barra á Domingo Salvador!,' tro único objeto, al dar semejante voto, fue dar á las leyes na…</t>
  </si>
  <si>
    <t>…ro nombramiento para dipu vidido su informe en dos partes. En la primera exponía !a tados del Parlamento nacional no os acarree una ignominia necesidad urgente, manifestada por el coronel Brown, de Igual á vuestro lu-:tre y dignidad. enviar á Italia nn correo que llevase cartas de los testigos No sacrifiquéis á otro ídolo que al solo interes del bien italianos para sosegar los ánimos de sus parientes y amigos, público. que estaban llenos de inquietu…</t>
  </si>
  <si>
    <t>…arlamento nacional, en vista de las relaciones , no nuaciones de conspiración que la parte contraria había he ticias y documentos que le ha comunicado S. E. el minis cho contra el coronel Brown, y pidió tiempo para tomar tro de lo Interior sobre el convenio miiirar, ajustado entre declaración á este corone!, á fin de refutar todas las aser S. E. el teniente general D. Florestano Pepé y el príncipe ciones de los abogados de la Reina , añadiendo que e…</t>
  </si>
  <si>
    <t>Brue</t>
  </si>
  <si>
    <t>…n Mons el capitán Lamothe, los rá' el ministro ingles Mr. Canning. _ , ' ententes Dutoy y Desbordes, y los ..subteniente- lególa Se dice- en todas partes qqqel embajador de Rusia (conde Brue, de la legión del Sena. La Camara de los laies pide Golofkin ) .se ha-negado 1 poner el visto bueno en ios pa lió su entrega, y el Gobierno la ha conseguido de, Key saportes del .príncipe napolitano Cimitilo S. Severino, que lia le los Países-Bajos. Se lian d…</t>
  </si>
  <si>
    <t>Bruna, Josef Melendez</t>
  </si>
  <si>
    <t>Josef Melendez Bruna</t>
  </si>
  <si>
    <t>…nato. de vinos y aguardientes de la Rapec y del Pequeño-Berey. Se acordó 119 haber lugar á deliberar sobre la instancia El fuego prendió á cosa de las cuatro y media en casa de de D. Josef Melendez Bruna, marques deNegron, pidién Mr. Cabanis, uno de los mas ricos comerciantes del pueblo. dose le oyese antes de resolver las Cortes el expediente pro Una hora después ni existían ya los almacenes ni los géne movido por la viuda de su hermano, marques del mismo ro…</t>
  </si>
  <si>
    <t>Bruna, Luis Melendez</t>
  </si>
  <si>
    <t>Luis Melendez Bruna</t>
  </si>
  <si>
    <t>…con réditos de 3 por 100 al año, hipoteca'de!la misma finca, y obligación de su reedificación conforme á reglas de policía inmediatamente. .A instancia de la viuda y heredera del Sr. D. Luis Melendez Bruna, del JÜonsejo de S. M. en el supremo de Castilla, marques que fue de Negron, y en virtud de pro videncia del señot alcalde de Casa y Corte D. Martin de Gaztañaga, se ha mandad» volver á llamar, citar yemplazar por el improrogable, último y perentorio término…</t>
  </si>
  <si>
    <t>Bruna, Luis Melenfiez</t>
  </si>
  <si>
    <t>Luis Melenfiez Bruna</t>
  </si>
  <si>
    <t>…encia del Sr. D. Josef Martínez Moscoso, juez letrado de primera instancia en esta muy he roica villa, se cita y llama á todos los acreedores é interesados en la testamentaría del Sr. D. Luis Melenfiez Bruna, marques que fue dé dicho título, radicada en la escribanía de provincia propia de D. Manuel López de Rivas, para que concurran á la junta general que ha de celebrarse el domingo 23 del corriente mes de Abril, £ las 9 en punto de la mañana , en la posada del…</t>
  </si>
  <si>
    <t>Btauharnais, Eugenio de</t>
  </si>
  <si>
    <t>Eugenio de Btauharnais</t>
  </si>
  <si>
    <t>7 T 1 y ¿e !a Prusia , por una compensación pecuniaria á favor de la misma escuadra; el almirante ingles esperaba instantá del príncipe Eugenio de Btauharnais, hicimos en 9 de Se neamente la llegada dé la fragata*OrLt.rj'»w, procedente de tiembre de 1817 una declaración, por la cual se estableció, Gibraltár. . . bajó la mediación de la Inglaterra, que esta compensación ' FRANCIA. debería ser de 5 millones de franco…</t>
  </si>
  <si>
    <t>Btown</t>
  </si>
  <si>
    <t>…uir una Constitución libre, down que se presentase á la Cainara aquella parte de la adaptada á las puras ideas del tiempo y á nuestras necesi correspondencia entre Mr. Powell y eL coronel Btown, dades; y que todos los diputados suplicaban á la dignísi relativa á Rastelli (el cual había salido de Inglaterra en el ma junta tomase en ¡a mayor consideración en la mas se mes de Setiembre último), aunque fuese con la condición ria consideración el present…</t>
  </si>
  <si>
    <t>Bucareli, Josef</t>
  </si>
  <si>
    <t>Josef Bucareli</t>
  </si>
  <si>
    <t>…ra la Nación, Constará de lero ; el brigadier D. Josef Rich ; el mariscal de campo Don 2 tomos en 8.° de buen papel y letra, los que se hallan en prensa, Pedro Toséis Gamez ; ídem D. Josef Bucareli; ídem D. Jo y el primero se entregará muy en breve á los que gusten sus sef San Juan ; ídem otra del mismo; Ídem D. Vicente Oso- cribir, pagando 20 rs. vn. adelantados. A los que no suscriban rio ; el teniente general D. Juan Caro; el comandante de les costar…</t>
  </si>
  <si>
    <t>Bucbetti, Juan María</t>
  </si>
  <si>
    <t>Juan María Bucbetti</t>
  </si>
  <si>
    <t>…tólico D. Juan Bautista méritos, ó extractos de los sugetos que no hayan pretendido Zino, 320. El capitán del puerto D. Guillermo Swetland, la ración, por término de 15 dias. lóo. D. Juan María Bucbetti, 320. D. Josef Monroy , 80. D. Eduardo Escarnichia, 320. D. Amonio Ferrari, 160. El bergantín goleta Encantadora, correo de la armada D. Pablo Larios, 3 20. D. Juan y D. Guillermo Douguid, 80. nacional, que salió de Cádiz el i.° de Marzo último para D. Pedro…</t>
  </si>
  <si>
    <t>Buch, Antonio</t>
  </si>
  <si>
    <t>Antonio Buch</t>
  </si>
  <si>
    <t>…político, presidente.zs.Barón de Castellet. =-Don Félix Jorres Amat. = D. Benito de Píándolit. == D. Antonio Támaro. = DoiI Juan Botlie.=:D. Manuel Lassala. = D. Mariano Esteve. =D. Antonio Buch, secretario. Se levantó la sesión. - \ Sevilla de Afqrzp,^..i)f%,El general en gefe del egército reunido d los individuos que fe forman* 1 „ Compañeros, yo soy el elegido para ponerme á vuestra cabeza: me rezca vuestra aprobación este destino con que; se me J…</t>
  </si>
  <si>
    <t>Bueno, Juan Perez</t>
  </si>
  <si>
    <t>Juan Perez Bueno</t>
  </si>
  <si>
    <t>…al de la secretaría general de la Junta central, tesorero de egército de Andalucía, intendente de Soria, Guadalajara y Salamanca, y nombrado para la de Murcia: para la de Zamora á D. Juan Perez Bueno, gefe de mesa de tesorería general, oficial de ¡Ja secretaría del Despacho de Hacienda, y contador principal del egército de Aragón: para la de Salamanca á D. Esteban Megía, separado dé ella por ad hesión á las nuevas instituciones: para la de Cádiz á D. Anto…</t>
  </si>
  <si>
    <t>Buensanto, Vito</t>
  </si>
  <si>
    <t>Vito Buensanto</t>
  </si>
  <si>
    <t>…rasladaron ayer los Exentos. Sres. secretarios del Despacho cillería; pero no otras varias , como por ejemplo, las del fe la antigua biblioteca de Monteoliveto, en donde se hadaba Sr. Vito Buensanto, diputado por la provincia de Tierra de reunida la mayor parte de los diputados al Parlamento na Otrarttoj, que fue del orden de predicadores, y se secu'arizó cional con el objeto de empezar las juntas preparatorias. después en: virtud del decreto en que se.…</t>
  </si>
  <si>
    <t>Burcero, Gerónima</t>
  </si>
  <si>
    <t>Gerónima Burcero</t>
  </si>
  <si>
    <t>…de tierra blanca én Sigiienza. Los Sres.' diputados secretarlos de las Cortes con esta Cuarenta y cinco idem, 2 celemines ídem en Bújar. fecha me dicen lo que sigue: Idem idem por Doña Gerónima Burcero. «Las Cortes han acordado que el Gobierno manifiesre Ciento cinco ídem, 4 idem, ídem en Bujarrabal. por los’conductos respectivos á todos los cuerpos de esta Ochenta y nueve Idem, 6 Idem, ídem en Bujalcayado. guarnición, á la milicia nacional, y á los Vecinos…</t>
  </si>
  <si>
    <t>Bureba, Joaquín</t>
  </si>
  <si>
    <t>Joaquín Bureba</t>
  </si>
  <si>
    <t>…prestar el juramento que pres CREDITO PUBLICO. cribe el reglamento provisional, lo que con efecto verifico; A consecuencia de Real orden de 18 dé Octubre último, pero, el párroco D. Joaquín Bureba, sobrino carnal del circulada por la junta nacional del Crédito público en rodé obispo de Teruel, disgustó y escandalizó al auditorio con Noviembre siguiente á los señores intendentes del reino é la exhortación que hizo desde el pulpito: pues sentó varias isl…</t>
  </si>
  <si>
    <t>Búrgos, Javier de</t>
  </si>
  <si>
    <t>Javier de Búrgos</t>
  </si>
  <si>
    <t>….blicarun diario griego para la instrucción el texto latino y notas históricas y literarias al fin de las piezas: del pueblo, pues la imprenta establecida recientemente en la por D. Javier de Búrgos. Esta obra, de que el Rey se ha ser capital de la isla se halla en el mejor estado. También sa vido admitir la dedicatoria , consta de cuatro tomos, de los cua espera la publicación de muchas obras importantes que sal les el primero está concluido , y muy ade…</t>
  </si>
  <si>
    <t>Burney</t>
  </si>
  <si>
    <t>104</t>
  </si>
  <si>
    <t>…constelación de Hércules. El movimiento progresivo del sol no se reconoció hasta mucho tiempo después de haberse descubierto sii movimiento de rotación. ,,Este movimiento (dice el capitán Burney) fue des cubierto por Galileo mucho antes que sir Isaac Newton demostrase la uni versalidad de la gravitación; y las consecuencias de;estás dos causas no pue den comprenderse sino por lentas graduaciones y por la combinación de mu chas ideas y raciocinios*” E…</t>
  </si>
  <si>
    <t>…actoría de Yorck, donde desembarcamos, habiendo encontrado este país mas agradable de lo que esperábamos.'* r ■ r ^ .. . . Idem #. Y .-..Y.'' Ha publicado en estos últimos días el capitán Burney tm curioso comen tario, 6 mas bien nna impugnación del sistema generalmente recibido en or den al movimiento de los planetas: es una obrita que merece la atención de los sabios, y que quizá pueda conducir á descubrimientos astronómicos</t>
  </si>
  <si>
    <t>Burriel, Antonio</t>
  </si>
  <si>
    <t>Antonio Burriel</t>
  </si>
  <si>
    <t>369</t>
  </si>
  <si>
    <t>…l corriente la Real orden que sigue: „Con fecha de 21 de este mes comuniqué á V, E. la resolución de S. M. para que reunidos los inspectores generales de las armas, y con ellos el brigadier D. Antonio Burriel en calidad de vocal secretario de esta junta, sé formase y propusiese el presupuesto de los gastos del egército bajo los dos conceptos de su fuerza actual, y de la que señalan los reglamentos vigentes, clasificando asimismo los de su parte material, como son…</t>
  </si>
  <si>
    <t>Burrrel, María Salomé</t>
  </si>
  <si>
    <t>María Salomé Burrrel</t>
  </si>
  <si>
    <t>Gaceta del Gobierno n.º 31</t>
  </si>
  <si>
    <t>…dad. para ver las consecuencias remotas de ¡os actuales, aconteci A la especial de Hacienda otro expediente promovido mientos, tal vez tendrá ocasión de llorarlos. Dijo con mu por Doña María Salomé Burrrel, camarista de kr-Sra. In cha razón un grande estadista (Mr. Burke): »en otro tiem fanta Doña María Teresa, á pretexto de haberse negado el po el empleo sostenía al hombre; en nuestros días la dig contador de la Hacienda pública á tomar razón de algunos nidad…</t>
  </si>
  <si>
    <t>Bus, Anastasio</t>
  </si>
  <si>
    <t>Anastasio Bus</t>
  </si>
  <si>
    <t>246</t>
  </si>
  <si>
    <t>…UANAJUATO» Oficia dd coronel y comandante general D. Antonio de Linares* - ,,Excmo. $r.: En el adjunto parte, que original pongo en las superiores manos de V. E., me manifiesta el coronel D. Anastasio Bus tomante que con dos partidas del regimiento de S. Cirios y otras del de S. Luis , la primera á las órdenes del teniente £&gt;. Atanasio Rojas, y la segunda á las del de la mis ma dase D Josef María Castillo, logró dar muerte en las Inmediaciones dél pueblo de St…</t>
  </si>
  <si>
    <t>Buscallá, Jaime</t>
  </si>
  <si>
    <t>Jaime Buscallá</t>
  </si>
  <si>
    <t>…rá. ) Capellanía fundada de Doña Bernarda García Dueñas. ANUNCIOS. La tercera parte de un molino harinero en la Vega. Idem idem de D. Francisco Ortega. Se cita á los acreedores de D. Jaime Buscallá, del comercio Una hacienda de riego en Benadux. de esta corte, para Ja junta que ha de celebrarse ante el señor Idem idem de D. Rodrigo Marín de la Ala. D. Angel Fernandez de los Ríos,ministro togado, juez de pri mera instancia én esta muy heroica villa, ante…</t>
  </si>
  <si>
    <t>Bustamante, Antonio</t>
  </si>
  <si>
    <t>Antonio Bustamante</t>
  </si>
  <si>
    <t>…4 trabucos-, 26 caballos, cho de Hacienda , no se hubiera hecho lo mismo con el in 80 varas de paño y otras frioleras. forme de la comisión, expresando en qué consistían las re El coronel D. Antonio Bustamante da parte de haber formas, porque podría ser que algunos Sres. Diputados con sido aprehendidos el teniente coronel de insurgentes Fran cheo Chacón, que con pasaporte del cabecilla Borja marviniesen en unas, pareciéndoles otras mezquinas o de poca chaba á Tcipa…</t>
  </si>
  <si>
    <t>Bustamante, Francisco de</t>
  </si>
  <si>
    <t>Francisco de Bustamante</t>
  </si>
  <si>
    <t>…as administraciones de cor laciones pacíficas y amistosas. reos y librerías de las provincias. ARTICULO DE OFICIO. nota. E11 la gaceta de 11 de Octubre, col. g.*, lín. ag , di* ce D. Francisco de Bustamante , léase D. Jñavier Joaquín de Con fecha 30 del corriente desde el Real sitio de S. Lo Buitamante. renzo dice el Sr. secretario de Marina al Sr. secretario de la OTRA. En la gaceta de ayer, col. 6.a, lín. 34, después di la G obernacion de la Península lo que s…</t>
  </si>
  <si>
    <t>Bustamante, Josef Tagle</t>
  </si>
  <si>
    <t>Josef Tagle Bustamante</t>
  </si>
  <si>
    <t>Gaceta del Gobierno n.º 2</t>
  </si>
  <si>
    <t>…S. luquero ó lacayo de un gobernador, á un marinero y á un Por providencia judicial, dictada en 26 de Abril anterior desertor trasformado de repente en alcalde mayor, subde por el Sr. D. Josef Tagle Bustamante, juez de primera instan legado y capitán á guerra de una provincia populosa, sin cia en el sitio de Aranjuez, en el expediente que en el dia se otro consejero que su rudo entendimiento, ni mas guia que halla pendiente en su juzgado y escribanía que despacha D…</t>
  </si>
  <si>
    <t>Bustamante, Pedro Perez</t>
  </si>
  <si>
    <t>Pedro Perez Bustamante</t>
  </si>
  <si>
    <t>…o Minad; -•&gt; t ■ Asimísmo ha confirmado S. M. -interinamente en el gobierno de la plaza de Alicante al brigadier D. Pablo Miranda, y en el de la ciudadela de Va lencia al teniente coronel D. Pedro Perez Bustamante. ; í En'oficio de 14 del corriente da parte él conde de S. Román de qué todas lás • 'tropas que tenia| á 'sus ordenes habían jurado con Iá mayor alegría la Consti-. tildón de la Monarquía española, sancionada en Cádiz por las Cortes en 1812. Continúan las not…</t>
  </si>
  <si>
    <t>Bustamante, PedroPerez</t>
  </si>
  <si>
    <t>PedroPerez Bustamante</t>
  </si>
  <si>
    <t>…regi Contestó eiSr. conde deToreno que aunque convenía en miento de Velez-Málaga; D. Segundo Ulibarri, D. Epifanio parte con su preopinante, se proponían sin embargo cosas Lozano, D. PedroPerez Bustamante, D. Juan Felipe Masede ia atribución exclusiva de las Cortes, como era la habili gosa, D. Antonio Lacerda , D. Saturnino Figueroa, D. Ma tación del curso, y pidió que se accediese á esto, y se hi riano García Cáceres , D. Antonio Hernández y D. Pas ciese una…</t>
  </si>
  <si>
    <t>Bustanninte, Diego Sanz de</t>
  </si>
  <si>
    <t>Diego Sanz de Bustanninte</t>
  </si>
  <si>
    <t>…ien tuviese derecho í una ejecutoria , testamento , y otros Una cochera, place.a de la Inquisición , parroquia ídem, varios papeles muy interesantes pertenecientes á ia familia de D. Diego Sanz de Bustanninte y de Doña Isabel Alvarez de sin número, manz. 602, tasada en 6,400. Aragigo y Valdés, su muger , acudirá a la calle de los Reves, Otra idem lindante con la anterior en la misma placeta ñúm. 4, cuarto bajo, en efunde le informarán de estos docu— y manzana, ras…</t>
  </si>
  <si>
    <t>Butrón, Fernando</t>
  </si>
  <si>
    <t>Fernando Butrón</t>
  </si>
  <si>
    <t>…no Guerra que se pasasen Con la exposición misma A las de Política y Ordinaria de hacienda un plan del á la comisión de Hacienda, y las Cortes determinaron que gobernador de Ceuta D. Fernando Butrón, presentado por se pasaran á la Ordinaria. ñ Sr. O-Daüy relativo á hacer algunas reformas y econo Se leyó una indicación del Sr. Banqueri, que se tuvo mías en aquella plaza, y sobre si convendrá negociar los pre por proposición y primera lectura, relativa á q…</t>
  </si>
  <si>
    <t>Butrón, Ignacio de</t>
  </si>
  <si>
    <t>Ignacio de Butrón</t>
  </si>
  <si>
    <t>…visto de la de 300 ducados, con obligación de mantener un barbero. Los pretendientes dirigirán sus respectivos memoriales por el correo, porte pagado, al escribano de ayuntamiento D. Ignacio de Butrón. Librito espiritual que contiene oraciones para todos ios dias: el examen de con ciencia: oraciones para antes y después de confesar y comulgar: los actos de fe y meditaciones para la misa-, oración para ofrecer la. estación en el jubileo de Cua renta horas:…</t>
  </si>
  <si>
    <t>C, Antonio</t>
  </si>
  <si>
    <t>Antonio C</t>
  </si>
  <si>
    <t>…s profesores de caligrafía, aritmética, grartiática y ortogra Francisco Xavier Machado y D. Manuel Andrade Silva, 1600. fía castellana elemental, humanidades, matemáticas puras, é D. Antonio C.'Carvalho, 800. D. Santiago Galleano, 10. idiomas ingles, francés é italiano, ofrecen dar lecciones de di D. Joaquín de los Santos Lomba, 400. D. Manuel Gonzá chas ciencias é idiomas, y enseñar el latín en dos años, y la lez Estrada, foó. D. Pablo Bertuzi, 80.…</t>
  </si>
  <si>
    <t>C, J.</t>
  </si>
  <si>
    <t>J. C</t>
  </si>
  <si>
    <t>…dos ios cuerpos del egército se iea y explique la Constitución política de la Monarquía; y para hacer mas fácil á la tropa esta enseñanza sirva de texto el catecismo publicado por D. J. C. en 1812, reim preso en este'año, debiendo verificarseá lo menos un dia á la semana á la hora níaS*opqftuna, y satisfacerse el importe de ios egem piares de dicho ca tecismo de los~fbndoá comunes de los cuerpos. De Real orden lo digo á V. E. para su purituál c…</t>
  </si>
  <si>
    <t>C, Joséf</t>
  </si>
  <si>
    <t>Joséf C</t>
  </si>
  <si>
    <t>…tando corrientes los documentos que deben producirlas. Tendreislo entendido , y dispondréis lo cónveniente á su.cumpli miento = Kstá rubricado. == Palacio 25 d» Abril de 1820. = A D. Joséf C^n— ga ArgüeHes.” '■ •... ' . * „ Sea cual fuere el motivo que Éayaimpelido á ¡| marinería embar-</t>
  </si>
  <si>
    <t>C, Juan Perez</t>
  </si>
  <si>
    <t>Juan Perez C</t>
  </si>
  <si>
    <t>…lenape salieron hace muchos siglos de una región Ocerin del 6137 : Doña Josefa de Villar del 16,677 , 37,413 situada hácia el oeste para emigrar hácia el oriente: al lle y 61,894: D. Juan Perez C ineda del 17,036 : D. Jaime Vagar á las orillas del Missisipí Se encontraron con los ira íenti del 17,039: D. Juan Luis Murenco del 19,359= D. Pas &lt; 4°»99^ y quese?, que tes disputaron el para, y emprendieron con ellos cual Moreno de.Mora del 19,431 , 39,433,…</t>
  </si>
  <si>
    <t>C, L.</t>
  </si>
  <si>
    <t>L. C</t>
  </si>
  <si>
    <t>…oy con el Sr. secretario del VARIEDADES. Despacho de la Gobernación de la Península. Viage histórico y político al Montenegro , con un mapa y ARTICULO DB OFICIO. estampas , por el coronel L. C. vialla de Sommieres, gobernador de la provincia de Catar o ; en París, en Circular del ministerio de Hacienda. la librería de AiÉymery, calle Mazarina, núnt. yo. ««Deseoso el Rey de llevar á eeecucion lo prevenido en el Les pardas rocas de Monte-Ñero, que lla…</t>
  </si>
  <si>
    <t>C, Ñ.</t>
  </si>
  <si>
    <t>Ñ. C</t>
  </si>
  <si>
    <t>…o de la catedral de Solsona 500. Núm. 738.' Di N. 20. Núm. 739, Doña J. L. 40. Núm. 740. Vicente Noves, Josef Sánchez Ballesteros, Fraacisco Yévenes y Josef Cornejo 200. Num, 741. D. Ñ. C. 20. A R T I C U 1. O D B : O F I C I O. Real cédula de S. M. y Sres. del supremo Consejo de Indias• El Rey. „ Queriendo señalar con un rasgo de mi Real piedad el dia venturór so en que, afianzando la paz y tranquilidad de mis dominios, doy á los espa ñoles un…</t>
  </si>
  <si>
    <t>C, P. M.</t>
  </si>
  <si>
    <t>P. M. C</t>
  </si>
  <si>
    <t>…a P?z,,rfrente á las gracias de S. Felipe, y en ia de Matute, calle de las Carretas., Extracto dé la obra que escribió en francés Pastoret cqn el título de lqyes. pena *. les. Por D. P. M. C., abogado deí colegio de Madrid; un tomo en 8.° Se vende en la librería de Sojo, calle de las Carretas, á 10 rs. á la rústica.y 12 en pasta. 'i''*-. ■■■" ---------- n . -------------- ----------------------------------------------------------------------------…</t>
  </si>
  <si>
    <t>C, R.</t>
  </si>
  <si>
    <t>R. C</t>
  </si>
  <si>
    <t>…r y feligreses del Campillo de Arenas, diócesi de Jaén, 108. Núm. 799. El señoar cura y feligreses de la parroquial del Campo de Larba/ diócesi de Jaén , 37 rs. y 20 mrs Núm. 8co: Doña R. C. i 60. Núm. 801. El limo. Sr. deán y cabildo de la Sta. iglesia catedral de Jaca 600. Núm. 802. D. F. J. D. V. 100. Núm. 803. Un limo, cabildo 175. Núm. 804. El Sr. abad, cura párro co de S. Martin de Madrid, por limosnas recibidas de sus feligreses 340. Nú-?…</t>
  </si>
  <si>
    <t>C, Vicente Cafuer y</t>
  </si>
  <si>
    <t>Vicente Cafuer y C</t>
  </si>
  <si>
    <t>…inar sobre el pueblo, no el Soberano. Vos saber: D. Francisco Mauricio, D. joseí Zubia, D. Fran «solo sois su ministro, su primer depositario. La ley debe cisco Ximenez de Bedoya. D. Vicente Cafuer y C haves, «arreglar el uso de la autoridad, cuando emana de ella ; la Doña Ana Diaz, Doña Matilde Pertuza, D. Joset Benitez, «autoridad no es 3’a un yugo para tos súbditos , sino D. Gerónimo Colinas, el Sr. Conde de Motezuma, D. San «una regla que los dirige. Lo…</t>
  </si>
  <si>
    <t>Ca</t>
  </si>
  <si>
    <t>63</t>
  </si>
  <si>
    <t>…tro~-f&lt;megas~y media, que antes sirvió de hiicrfa con su pozó y pilarestasado*todo en -SS^g í 3^ y \y mrs. vn. Qaieii-quisiere hacer postura acuda por la escribanía del número' dé^D. Ca simiro Antonio Gómez, que se le admitirá siendo arreglada ; en inteligencia de ha llarse señalado para remate el martes 1.® de Febrero próximo,.á la hora del medio día, en la audiencia del señor juez. . En virtuch de proyid^ncia del.Sr. D.&gt;A-hgel; Fernan.dez…</t>
  </si>
  <si>
    <t>…atro y media fanegas que antes sirvió de huerta, con su pozo y pilares, tasado todo en 884,9x3 rs. y 17 mrs. vn. Quien quisiere hacer postura acuda por la escribanía del número de D. Ca simiro Antonio Qomez, que se le admitirá siendo arreglada; en inteligencia de ha llarse señalado para su •remate el sábado 19 dei corriente, á la hora del medio dia, en la áüdierícia. ^ Quien quisiere hacer postura á los frutos y rentas de la encomienda'de Be…</t>
  </si>
  <si>
    <t>…stos le que nacional, se establezca también el de 3 rs. por arroba hicieron. cuando se verifique en extrangero, sin mas impuestos de No se admitió á discusión otra proposición del Sr. Ca ninguna clase; entendiéndose esto por ahora y hasta la ñaba! sobre que se aumente la representación de Ultramar, aprobación de los aranceles generales, que se han remitido conforme á los datos mas ciertos que existen de la- pobla ya á las Cortes para su exame…</t>
  </si>
  <si>
    <t>…ando menos se los sentenciados por vagos, según estaba mandado en Abril señalara el término de ocho días, y con esta petición con de 1816 y Noviembre de 818 ; á lo que contestó el Sr. Ca cluyó su discurso. latrava, haciendo presente que la comisión no propon ia El Sr. Canabal solicitó que se leyeran nuevamente las precisamente que fuesen á los arsenales, sino á.cualquiera primeras palabras del artículo, y luego que se quitaran las establecimi…</t>
  </si>
  <si>
    <t>Ca'tlereagh</t>
  </si>
  <si>
    <t>648</t>
  </si>
  <si>
    <t>…de la Reina , ¿d de línea, y de coraceros, Ja de Viena, donde residía en calidad de embajador lord degenerarían del carácter Je ciudadanos y de pertenecer i Stevvarr, hermano del lord Ca'tlereagh. la familia española, si no compareciesen presurosos ante la Este lord Sresvard, añadió el orador, mantenía á Ma- augusta representación de tan gran Nación á íelicitarla por jocci , que era uno de los principales traficantes de per el celo y acierto en sus se…</t>
  </si>
  <si>
    <t>Ca, Ignacio Antonio</t>
  </si>
  <si>
    <t>Ignacio Antonio Ca</t>
  </si>
  <si>
    <t>…mbién convenía imprimir laD. Miguel Ladrón de Guevara; el capitán D. Josef Velas- traducción’de esta obra, bien conocida de los sabios, y que pue co; el capitán D. Rafael Casella; D. Ignacio Antonio Ca de ser de un beneficio incalculable para la Nación, Constará de lero ; el brigadier D. Josef Rich ; el mariscal de campo Don 2 tomos en 8.° de buen papel y letra, los que se hallan en prensa, Pedro Toséis Gamez ; ídem D. Josef Bucareli; ídem D. Jo y el primer…</t>
  </si>
  <si>
    <t>Ca, Pablo</t>
  </si>
  <si>
    <t>Pablo Ca</t>
  </si>
  <si>
    <t>…age siguiente de Masillon. y Ruiz, D. Matías Olivencia , D. Josef Melero, D. Fran «Los príncipes y los grandes no son sino los -hombres cisco de Bior, el Sr. marques de S. Martin, D. Pablo Ca del pueblo; 3’ ti lejos de ser los protectores de su debilidad brero, el Sr. Marques Je Cusa-Pon.ejos, la Sra. Duquesa de los grandes y los ministros de los Reyes, ton solo tus opre Frías y D. Josef &gt;anz •. sores; ti solo son unos (broces tuiores que despojan…</t>
  </si>
  <si>
    <t>Ca, Ventura</t>
  </si>
  <si>
    <t>Ventura Ca</t>
  </si>
  <si>
    <t>…estos se admitieron con agrado. A las comisiones de Hacienda y Eclesiástica reunidas se A lá de Hacienda varios egemplures del proyecto de inandó pasar una memoria presentada por D. Ventura Ca lotería general, cuyo autor pedia también una plaza de in bellos sobre vicios en la administración de rentas decimales* tendente. A la de Hacienda una memoria dé D. Joaquín Díaz de A la dé Güerra Cuatro proyectos sobre organización de Córdoba, relativa al nue…</t>
  </si>
  <si>
    <t>…ivo á Marina. todo el reino el rezo y misa del Bto. Juan Bautista de la La comisión de Infracciones de Constitución presentó Cpncepcion. su dictamen acerca de las quejas dadas por D. Ventura Ca Las comisiones de Marina y Comercio presentaron su bello co tra el regente de la audiencia de Valladolid , y dictamen acerca de una memoria anónima que se les habia de Isidorq Molinero contra el alcalde de B.mbibre; y pasado por el Sr. secretario de Marina , titu…</t>
  </si>
  <si>
    <t>Caamaño, Juana Zaldivar</t>
  </si>
  <si>
    <t>Juana Zaldivar Caamaño</t>
  </si>
  <si>
    <t>…ia y comisiones de la misma D. Manuel López de Rivas, se cita, llama y emplaza á todas las personas que por cualquiera causa ó motivo se creyesen con mejor derecho á los bienes de Doña Juana Zaldivar Caamaño, de estado viuda, que falleció abintestato en esta corte el 16 de Agoste del &lt;año próximo pasado, para que en el preciso y perentorio término de 30 dias, contados desde esta publicación etr la gaceta, comparezcan en el juzgado civil del nominado señor alcalde…</t>
  </si>
  <si>
    <t>Cabalen</t>
  </si>
  <si>
    <t>…n la tesorería. Antequera 12 de Agosto. Se leyó y mandó parar á la comisión ordinaria de Ha En los días 25 , 26 y 27 hemos celebrado aquí con in cienda la siguiente indicación del Sr. Cabalen: «Que los decible regocijo la jura de la Constitución , tan apreciada empleados en la Hacienda nacional no puedan cobrar sus de todos, tan festejada por los pueblos de la Península, y sueldos hasta tanto que no ésten pagados los de las demas tan digna de nues…</t>
  </si>
  <si>
    <t>Caballero, Guillermo</t>
  </si>
  <si>
    <t>Guillermo Caballero</t>
  </si>
  <si>
    <t>…de la villa de Trigueros, en que daba gracias La comisión de Legislación presentó su dictamen acer por haberla hecho cabeza de partido : igualmente quedaron ca de la solicitud de D. Guillermo Caballero y .orros cur enteradas de tres felicitaciones, dos de los ayuntamientos santes de farmacia, para que soles dispensase Ja falta!de edad de Ecija y de Toro por la firmeza que mostró el Congreso, que tenían para entrar en examen de su facultad: e! dicta en los d…</t>
  </si>
  <si>
    <t>Caballero, Manuel</t>
  </si>
  <si>
    <t>Manuel Caballero</t>
  </si>
  <si>
    <t>…te mes, conduciendo Correspondencias de oficio y D. Antonio Breciano,8o. D. Bartolomé Scotto, 2®. Don pública de Filipinas, Nueva-España, Ha vana y Puerto-Rico. Josef Comitre, 1®. D. Manuel Caballero, 2200. D. Ma nuel de los Ríos, 80. D. Josef Playas, 160. D. Diego Baro, 80. D. J. B. Canepa, 80. La Sra. viuda de Hernán Deseando complacer al público en todos sus ofrecimientos dez, hijo y compañía, i0. D. Josef Martínez, x0. Don los profesores de caligrafía…</t>
  </si>
  <si>
    <t>Caballero, Valentín Canillas</t>
  </si>
  <si>
    <t>Valentín Canillas Caballero</t>
  </si>
  <si>
    <t>…juez depri-* mera instancia de esta villa,su fecha 24 de Marzo próximo, se cita yemplaza a losj parientes, y-demás personas que puedan tener derecho á los* bienes que¡ haya dejado D. Valentín Canillas Caballero, presbítero, que falleció abintestato en el año pasa do de 1815, para que dentro del término de 20 dias, contados desde este anuncio,, comparezcan en su juzgado, y escribanía del número de, D. Alejandro, Gu^rrez , á deducir, $u derecho; con apercibimiento que…</t>
  </si>
  <si>
    <t>Cabañas, Manuel</t>
  </si>
  <si>
    <t>Manuel Cabañas</t>
  </si>
  <si>
    <t>*62 tida dé 2^ hombre* á' las órdenes de los alféreces D. Manuel Cabañas y Do» ‘Damián Araujo con las • instrucciones necesarias, las que desempeñaron á mí entera satisfacción. No obstante lo muy penoso dél cerro, y continua llü* Tiá de día y noche, llegaron al campoen donde se presentaron á los re beldes: estos, favorecidos de sus bue…</t>
  </si>
  <si>
    <t>Cabello, Josef Martin</t>
  </si>
  <si>
    <t>Josef Martin Cabello</t>
  </si>
  <si>
    <t>…ldelobós, de cabida dos fanegas y media , que linda á oriente y mediodía con, heredades de Francisco Mon tero Crespo &lt; ál poniente con?Benigno-Gallego, y.al norte con heredades de D. Josef Martin Cabello, tasada en 4500 rs,, á 180O cada fanega; y otra en Mandes de tres fanegas y media, que linda á oriente con María del Pilar Montero, á mediodía con mayorazgo de Castrillo, al poniente con camino que guia á la puerta de Reco letos, y .ai norte con Manuel López…</t>
  </si>
  <si>
    <t>Cabola, Angel Antonio</t>
  </si>
  <si>
    <t>Angel Antonio Cabola</t>
  </si>
  <si>
    <t>…én en está jornada los tenientes de la Reina D. Juan Llamosa y D. Pedro Antonio Fer nandez, siendo los primeros que ocuparon la cabeza del puente, el distingui do del mismo cuerpo D. Angel Antonio Cabola, los sargentos segundos An tonio Vázquez y Francisco Uben taja , los soldados Luis ViUomediaoa, Lucas Ribero, Josef Antonio González y Mateo Rodríguez, con otros machos de los distintos cuerpos que componen la división, para quienes espero de la ge nerosidad…</t>
  </si>
  <si>
    <t>Cabrero</t>
  </si>
  <si>
    <t>…sen CORTES. los Sres. diputados, y se señalara día para la discusión. Se mandó pasar á la comisión de Legislación con urgencia. Sesión del /p de Julie. Se leyó una proposición del Sr. Cabrero para qne se ar Se dio principio leyendo el acta de la anterior. El señor reglen las dotaciones de los párrocos. Sánchez Salvador observó que al extender en ella el -dicta Otras dos del Sr. Bernabeu para que se erijan parro men de la comisión sobre la duda de…</t>
  </si>
  <si>
    <t>…Cortes sino también á lo; demas pueblos en donde se formaron no tuvieron á bien aprobarla , como sucedió con otra del cuerpos de milicias de'pues de j trada la Constitución ; por Sr. Cabrero, que se dijo ser la misma que la anterior. lo que se aprob &gt; 'de este modo: «los cuerpos de milicia na Se dio parte á las Cortes de un oficio del secretario del cional que se hallan ya formados en varios pueblos de la na Despacho de Marina, que inclina dos ,…</t>
  </si>
  <si>
    <t>…la discusión precedente salió pora pa de los hospitales. lacio la diputación de que se ha hecho mérito, en la que 4.0 Que mande el Gobierno al ayuntamiento de Madrid reemplazó el Sr. Cabrero al Sr. Arríela, que no estaba vesti dé á la mayor brevedad una exacta relación de todas las do de ceremonia. .fundaciones y memorias que hay en esta muy heroica villa, Se leyó el dictamen de la comisión especial encargada de así de las que eran de patronato d…</t>
  </si>
  <si>
    <t>…, del que la comisión no había podido formar una idea, Se leyeron por primera vez las proposiciones siguientes: exacta por sola la explicación que,daba su autor; pero esto Una del Sr. Cabrero para que se divida en dos la pro la había ofrecido un motivo para que hiciera sus reflexiones vincia de Aragón, sirviéndolas el Ebro de límite, distin-, sobre los cenillcados de invención que se dan en las deutas guiéndolas con el nombre de alto y bajo Aragón…</t>
  </si>
  <si>
    <t>…arar desafuero en los casos en que se hayan de aplicar haya dado la sentencia de muerte &amp;c.” penas corp&lt;ris ¿ijjlictivas. 6.° «Estas mismas reglas se observarán en la provincia El Sr. Cabrero se opuso también al artículo, aunque, de Cataluña, asi como en las demas de la Monarquía; y convino en que no se trataba de dejar impunes los delitos por consiguiente queda suprimido desde ahora el tribuna! de los eclesiásticos; pero apoyándole de nuevo el Sr…</t>
  </si>
  <si>
    <t>Cacace, Camilo</t>
  </si>
  <si>
    <t>Camilo Cacace</t>
  </si>
  <si>
    <t>…inistros; tres pares, el duque de Newcastle, el conde de puesta reía-iva á la suscripción voluntaria le ha sido suge Home y el conde de Shef eld, los que después de haber rida por D. Camilo Cacace, y uo debe privar a c-te exce asistido á las deposiciones de los testigos en contra de la lente ciudadano de la gloria que merece su acendrado pa Reina, se han ausentado mientras ha duado su defensa; y triotismo. en fin el arzobispo de Cantorbery, que había j…</t>
  </si>
  <si>
    <t>Cacado, Tomas de</t>
  </si>
  <si>
    <t>Tomas de Cacado</t>
  </si>
  <si>
    <t>…ado en Diciembre del año próximo pasado, de s?.416,400 rs. vn. Para verlas se acudirá en dicho pueblo de Talavera ¡i D. F rancisco Urruela; y para tratar de ajuste en esta corte á D. Tomas de Cacado, procurador de los Reates Consejos, que vive en la calle de Toledo, esquina á la de S. Bruno, cum. 1, cuarto segundo. Habiendo fallecido en esta corte en el año pasado de 1813 D. Francisco Manuel de la Hcrrau, vecino y del comercio de lienzos que fue en ella,…</t>
  </si>
  <si>
    <t>Caco</t>
  </si>
  <si>
    <t>…rmada. 3.0 ;Qué orden y circunstan absoluta , yen todo caso que se debía asignar un precio pro-* cias deberán observarse para los ascensos de escala, á fin de porcionado. Apoyó el Sr. Caco esta observación ; pero eL asegurar el premio á los beneméritos oficiales con ventaja Sr. Moreno Guerra opinaba que era artículo aprobado, y del mejor servicio del Estado? no se debía tratar de él. Después de oir al Sr. Lasan'a, se 4.0 . ;Cómo deberán darse p…</t>
  </si>
  <si>
    <t>Cada</t>
  </si>
  <si>
    <t>Gaceta del Gobierno n.º 170</t>
  </si>
  <si>
    <t>…pues que evitará al Gobierno la necesidad de re yorazgos según la ley actual. currir á medidas rigurosas para hacer egecutar la ley. Los Sres. de SchercmetclF, uno espitan, y otro teniente Cada dia hacen mas progresos en [as altas clases de la so de la guardia imperial rusa, llegaron aquí el dia 11 , y per ciedad la secta de los puritanos y la de los malanistas. manecen todavía. Se ha suscitado alguna disensión entre el consejo de Es -----La provinc…</t>
  </si>
  <si>
    <t>Cadinas, Francisco Perez</t>
  </si>
  <si>
    <t>Francisco Perez Cadinas</t>
  </si>
  <si>
    <t>…aquedegozalanadecdeen blanco,el año dede la1782.que 58,559rGirgenti...... 120.488.. A la de Diputaciones provinciales una representación de Girgenti.. zBivona.......... 41,375- 23 D. Francisco Perez Cadinas, individuo de la de Santander, ¿Sciacca......... 36.663.. sobre que se le exima de este cargo por falta de salud j y /-Siracusa........ 52,996- otra de la diputación de Alava, solicitando jórcales diarios Siracusa... J Noto............. 42,878- de ayuda de co…</t>
  </si>
  <si>
    <t>Cahnrava</t>
  </si>
  <si>
    <t>…jo de Estado en propiedad, y sí deben ¡as Cortes formarle los unos , y el domicilio , moralidad y cargo de los otros." nuevamente en su totalidad con arreglo á la Constitución; El Sr. Cahnrava se, opuso también á que se admitiera ue en este cax) se propongan las listas triples al Rey , pu- esta adición, como destructora de lo aprobado ya, pues no iendo ser comprendidos en ellas iodos, parte, d ninguno se referia ,á las• leyes .que se establecerán,…</t>
  </si>
  <si>
    <t>Caiatrava</t>
  </si>
  <si>
    <t>14-2 cusión que ayer quedó pendiente.permiso para introducir líbre de derechos un cartón ó pasta Empezó el Sr. Caiatrava diciendo que cuando pidió I3 acartonada para reducirle á papeb palabra se había propuesto manifestar que la Constitución A las de Legislación y Hacienda los antecedentes remi no pone trabas ningunas para la pronta administración detidos por el ministerio de G…</t>
  </si>
  <si>
    <t>…nsignacionesheclias bado después de esto el dictamen de la comisión. sobre la tercera parte pensíonabie de las mitras. Se aprobó también el dictamen de la comisión primera Dijo el Sr. Caiatrava que creía por el mismo espíritu de de Legislación acerca de la memoria y representación diri la comisión se extenderia á los que consiguieron sus pensio gida al Gobierno por D. Juan Nepoinuceno Fernandez, en nes por los servicios hechos contra la Nación misma…</t>
  </si>
  <si>
    <t>…ado ayer para la comi con una resolución aislada la armonía que debiera tener «4 sión de Beneficencia, se nombró hoy al Sr. Cieinencin. sistema general, y asi se aprobó. # Leyó el Sr. Caiatrava el dictamen deja .comisión Je Le be aprobó igualmente otro dictamen de la comisión de gislación sobre el expediente promovida .acerca de las vin Leci'iacion, dado en vista de un rec ir-o ilel alcalde segundo culaciones y mayyázgps, en el que se manifiesta que…</t>
  </si>
  <si>
    <t>Caiátrava</t>
  </si>
  <si>
    <t>…ma las causas que habían obligado á estas á nombrar la mitad de está contraida á los simples indicios. los consejeros , y las dificultades que se oponen á completar Le conresró ei Sr. Caiátrava diciendo, que la única ob el número, añadiendo la cuestión de si deberían proponer jeción que se había p. esto era contra el primer artículo, el se todos de nuevo, ó los restantes después de los actuales. que quedaba ya aprobado, y por consiguiente no se debí…</t>
  </si>
  <si>
    <t>cundo manifestó el Sr. Caiatrava que no debía haberse &lt;eña- la comisión encargada de! código rural, que son Alvarez fado un sueldo fijo á los magistiados, tino haber formado Guerra , Mostoso, Lasanta, Ochoa, Valle, Alvarez Sotouna escala de proporción según los años de servicio', pues mayor…</t>
  </si>
  <si>
    <t>Cajfcnrava</t>
  </si>
  <si>
    <t>…de la Gobernación de la Península, insertando otro Congreso la exposición anterior por el conducto regular, del Gefe político de ¡a provincia de Cataluña , en que des continuó el Sr. Cajfcnrava manifestando que no solo tallaba vanecida las voces de que se padecían enfermedades contagio este requisito, sino que á pretexto de una duda se pedia la sas en Premia de Mar. derogación de un artículo constitucional: ¿estamos en el ca Se aprobó el dictamen de…</t>
  </si>
  <si>
    <t>Cal</t>
  </si>
  <si>
    <t>…nador de dicha Continuando después la discusión pendiente acerca del plaza, víveres y otros efectos para el socorro de ella y del dictamen de la «omisión de Hacienda, manifestó el Sr. Cal egércíto que se hallaba á sus Inmediaciones -. los demas mé derón la resistencia que hablan opuesto los pueblos al pago ritos contraídos por aquella casa de comercio, siendo acree de la contribución general de la que solo habia resultado el dora del Estado de…</t>
  </si>
  <si>
    <t>…r cerca los expresados consejeros. El Sr. Dolaren se decidió por el de las cuatro, y la señaló para la sesión extraordinaria de la dictamen de la comisión en todas sus panes, y el Sr. Cal noche, levantando la de este dia. derón convino iustancialmeníe en lo mismo. Después de haber renunciado á la palabra el Sr. Diaz de ARTICULO DE OFICIO. Morales, manifestando lo hacia porque no se le creyese esti Circuí.ir de la Gobernación de la Península. m…</t>
  </si>
  <si>
    <t>Cal, Nicolás Luna</t>
  </si>
  <si>
    <t>Nicolás Luna Cal</t>
  </si>
  <si>
    <t>…habia pasado ahora por muchas cosas, hijas del desorden ;• dó que fuese en castellano. anterior, d imposibles de remediarse en el dia; á las que él Se dio cuenta de una memoria de D. Nicolás Luna Cal mismo se opondría en el año próximo, en que el ministerio derón sobre la necesidad de esrablecer un ministerio de Sa- podría presentar sus dates con mayor exactitud. • nidad pública; y habiendo manifestado el Sr. presidente que Se leyeron y aprobaron todas la…</t>
  </si>
  <si>
    <t>Cala</t>
  </si>
  <si>
    <t>…justos de todos los estados no pueden menos de ser liberales. por el Sr. Romero Alpuente al arr. 1. ya aprohado. las Madrid 8 de Setiembre. que decpues de algunas reflexiones del Sr. Cala;rava, no f eSS. MM. y A A. siguen sin novedad en su importante ron admitidas á di cusion; como ni tampoco otras tres del salud. mismo Sr. al articulo 2.“ S. M. ha despachado hoy con los Sres. secretarios del Se leyó en seguida el art. 3.0, que decía ai: «E‘ta…</t>
  </si>
  <si>
    <t>Cala-racerándose</t>
  </si>
  <si>
    <t>…A la de Infracciones una exposición de D. Francisco ños, si fue e por malicia Alvarez de Boadilla, alcalde de Carrion de los Condes, sin Después de apoyarla su autor, manifestó el Sr. Cala-racerándose de una queja dada contra él; y otra del ayunta va que Ja cornijón no tendria inconveniente en admitirla; miento de Jaén contra el Gefe político y juez interino de pero que la creía stiperflua supuesto que se dejaba vidente la primera instancia por algunos exc…</t>
  </si>
  <si>
    <t>Calabria, Duque de</t>
  </si>
  <si>
    <t>Duque de Calabria</t>
  </si>
  <si>
    <t>…de las que patentiza la pureza de sus intenciones, asegurándonos Dos Sieiiias : en seguida hicieron lo mismo SS. AA. RR. el al mismo tiempo de &lt;u pronta reunión en caso de necesi Sr. Duque de Calabria y el Príncipe de Salerno. No es para dad de sostener los derechos del trono constitucional. Han describirse la tierna y satisfactoria sensación que producía sido igualmente maravillosas la celeridad de los aconteci este tan solemne acto, suscitando ideas subl…</t>
  </si>
  <si>
    <t>Calarr.tva</t>
  </si>
  <si>
    <t>…inocencia. Se hablaba en París de grandes reformas esposo, te niega ahora el cons do que pides" : concesión, en el ministerio '-de Guerra. En los números -ucesivos se ha añadió d ;Sr. Calarr.tva, para la que no debían ser necesa blará con mas extensión sobre este particular. rias das leyes., bastando los principiéis -eternos de justicia. Aun eaefcaso de haberse, pedí do con intención de abrir el ECONOMIA POLITICA (l). juicio no pertenecía inipedirló…</t>
  </si>
  <si>
    <t>Calarrava</t>
  </si>
  <si>
    <t>…mayor circunspección todos los perjuicios ó bienes que como estos para elegir y ser elegidos. Pero habiendo expre podrían seguírsele á la Nación de la continuación de los sado el Sr. Calarrava que el acceder á la solicitud de- Fa mayorazgos, proponía á la deliberación de las Cortes diez jardo seria hacer excepción en un decreto reconocido, ccuhó artículos, en que refundiendo todos estos principios, se ley, añadiendo con el Sr. Cuesta que’son- relig…</t>
  </si>
  <si>
    <t>Calatra</t>
  </si>
  <si>
    <t>…ibertad ñor Puigblanch que no se hacia mérito de los devocionarios, de imprenta. contestó el Sr. Tapia que aunque la comisión no tendría El Sr. Martínez de la Rosa, contestando al Sr. Calatra dificultad en que se comprendieran los libros ascéticos, se va, dijo que en primer lugar la comisión habia preferido había ceñido á lo propuesto para circunscribir la previa cen formar un reglamento enteramente nuevo á valerse de los sura á sus justos limites…</t>
  </si>
  <si>
    <t>Calatra-</t>
  </si>
  <si>
    <t>…ctivas de los empleos que deban be cientes para creer que aquella persona lo ha cometido. neficiarse en bien del mismo establecimiento. El br- Gaseo dijo que le habla prevenido el Sr. Calatra-</t>
  </si>
  <si>
    <t>Calatrava</t>
  </si>
  <si>
    <t>…ladvo hacer admi relativa al citado empréstito.. nistrar pronta y debidamente la justicia, se aprob &gt; esta in Manifestó el ministro que, sí parecia. á las Cortes, sus dicación del Sr. Calatrava: ,,el secretario de la Gtérra ven penderla la lectura de su memoria hasta el dia slguíente por drá preparado para informar á ¡as Cortes en la se ion de estar ya muy cansado; y habiendo convenido en ello, indi mañana de lo que se pueda poner en su noticia rela…</t>
  </si>
  <si>
    <t>…nidos [os datos se ocuparía , con inmediatamente en veta de su urgencia, recomendada por la comisión, en el examen del Crédito público; pues sin él, el Sr. Navas; y á petición del Sr. Calatrava se pasó á la co añadió , nada podemo' hacer, y mucho menos en el estado misión de Legislación para que dijera su dic amen acerca en que se halla en el dia. de los demas puntos, sin perjuicio de señalar dia para nom Se 3probó la indicación del Sr Yandiola. red…</t>
  </si>
  <si>
    <t>…omisión El Sr. Gareii dijo que la universidad de Valencia, elu especial destinada á examinar, conforme á lo propuesto por diendo el cumplimiento de las órdenes, siguió en la en el Sr. Calatrava , los decretos y resoluciones de S. M. en los señanza por el plan de 1807 , hasta que se mandó restable seis años últimos-, y fueron los Sres. Calatrava, Govantes, cer el de 71 , añadiendo que en ella se había explicado en Hiño josa, La Santa, Bénitez y S. Mi…</t>
  </si>
  <si>
    <t>…erpo legislativo hubiese hecho Gobierno que se le autorizase, ó que se abrie e discusión enunciativa de esta especie. sobre este punto, es una prueba de que no se está en aquel El Sr. Calatrava pidiú que si era po ible dijeran los se caso, que podrá no obstante llegar, sin embargo de que ñores ministros si habia algún mo ivo para rezetar que los iastsK ahora el. Gobierno se lisonjea de que tiene todos los jueces que entendiesen en las causas citadas…</t>
  </si>
  <si>
    <t>…ados, y Juró y*tomó asiento en el Congreso' D. Josef Sacasa, resolver con acierto , quedase sobre la mesa el expediente; y diputado suplente por Goatemala. habiendo manifestado el Sr. Calatrava que se hallaba este Se leyó una exposición de D. Rafael del Riego y Don con la instrucción necesaria, se aprobó el dictamen. Felipe de Arco Agüero, en que por sí, y á nombre del La comisión de Gobierno interior presentó el suyo acer egército de su mando, feli…</t>
  </si>
  <si>
    <t>…contestado por los Sres. secre de dicho bilí. tarios que no existia sino únicamente un proyecto de deEl dia 6 se remitió á la Reina copia del bilí, y S. M. crero rubricado por el Sr. Calatrava, se acordó llevar el ex presentó al Parlamento otra nueva petición. pediente para determinar en su vista. A la comisión de Instrucción pública se mandaron pasar FRANCIA. los trabajos hechos por otra encargada del mismo objeto por S. M., remitidos en dos cajon…</t>
  </si>
  <si>
    <t>…era del convento, según Josef María Yanguas, en que solicitaba una plaza de indi as Ies acomode ; y el. que contraviniere á lo dispuesto seviduo en la junta de Censura, propuso el Sr. Calatrava que extrañado de la nación, y castigado según fuere nece para dar una lección á este interesado, no se admitiera esta « sario. solicitud. A consecuencia propuso el Sr. Tapia que por pun Después de alguna discusión - sobre si debían leerse los to general no se…</t>
  </si>
  <si>
    <t>…. habia empezado á tomar las aguas de Sacedon, dado en que no hay condenación de costas donde no hay y que gozaba completa salud con su augusta Esposa. sentenciará que contestó el Sr. Calatrava que nada se per Quedaron enteradas las Cortes de un oficio del expre derla, pues podria entenderle en los tribunales sin perjuicio sado ministerio, en que se participaba que los Sres. conde de las costas , causándosele asi á. los interesados.. de Montenegro y…</t>
  </si>
  <si>
    <t>do mas arreglado, como la comisión proponía, que se so - El Sr. Calatrava propuso que si no habia inconveniente, breseyese desde que se publicó la Constitución ; porque ;en se suspendiera el tratar de estos puntos particulares hasta qué razón pueden apoyarte , dijo, para que en Madrid, por que se presentara el expediente general de…</t>
  </si>
  <si>
    <t>…o, y que se des só á la comisión de Infracciones de Constitución , á la que tinara en cada sesión media hora lo mas para la lectura de se mandó agregar la de Guerra á petición del Sr. Calatrava. oficios y proposiciones, dejando el tiempo restante para A la misma de Infracciones se mandó pasar una repre tratar efe los asuntos. Se recordó por el Sr. Subrié que Habia sentación hecha á nombre de D. Manuel Clavijo, capitán sido ya leida en otra sesión; y…</t>
  </si>
  <si>
    <t>…e quer rio. = Ladeo Ignacio Gil, diputado secretario. == A la Re ría recoger la licencia. gencia del Reino.” El Sr. Martínez de la Rosa pidió se señalara dia para la discusión. El Sr. Calatrava dijo que siendo un proyecto de ley no se podía discutir sino por los trámites regulares; 1 ANUNCIOS. y tratándose de si debía ó no discutirse, se acudió á la Constitución, y citando el artículo 133 al leer que las Cor Por providencia dada en autos, y refrenda…</t>
  </si>
  <si>
    <t>…es cinc á estas pertenece la concesión de en la discusión el día que señalara el Sr. presidente. los privilegios exclusivos. El Sr. conde de Toreno se opuso á ello por la impor El Sr. Calatrava creía que ames de proceder ;; la impre tancia del asunto; y'creyendo que lasóla relación de ,n sión de este expediente convenia devolverlo á la comisión, abuso tan escandaloso era suficiente para la discusión, pidió para que dijese qué medidas convendría toma…</t>
  </si>
  <si>
    <t>…ula y adyacentes al tiempo de recibirse esta determina do el Sr. Freire el dictamen de la comisión, justificó este el ción; que fuesen excluidas de ella las islas Baleares durante Sr. Calatrava . demostrando las razones en que se había fun su actual penosa situación. El Sr. Moreno Guerra , indivi dado aque’la , y quedó aprobado. duo de la comisión, deshizo la equivocación padecida en Se aprobó igualmente el dictamen de la comisión de Le señalar el m…</t>
  </si>
  <si>
    <t>…etiembre próximo se proveerá la pla tando si á la de Legislación únicamente , tampoco lo apro za, previo examen público de leer y escribir por el arte de To baron las Cortes; y el Sr. Calatrava observó que la práctica rio, gramática castellana, aritmética, geometría y álgebra; y Ips que se ha seguido siempre en las Cortes ha sido la de que memoriales se dirigirán, francos de porte, al Sr. alcalde consti una vez hecha la indicación por el Sr. preside…</t>
  </si>
  <si>
    <t>…a adición del Sr. Martínez de la Rosa, „quemándose en del Crédito público reclamándolos, nada habia conseguido. publico.” La comisión era de dictamen que este negocio no corres El Sr. Calatrava propuso se hiciera esta adición , «sin pondía á las Cortes, y debia pasarse al Gobierno para que que estos bienes que se vendan puedan ser sujetos jamas á resolviera con arreglo á las leyes y reglamentos vigentesvinculaciones, ni pasar en ningún tiempo ni baj…</t>
  </si>
  <si>
    <t>…éficas ideas que ha manifestado , proponga á las Cortes dado lugar a la solicitud de estas monjas, se aprobó la las medidas que juzgue mas convenientes para obviar los adición del Sr. Calatrava. obstáculos que puedan presentarse. Esta fue también apro Otra adición se leyó después del Sr. Gaseo, que decía: bada. «li ego que cualquiera religiosa pidiere la secularización , sea El Sr. Puigblanc presentó después la siguiente indicación, extraída del con…</t>
  </si>
  <si>
    <t>…as en este dia, para que forme un proyecto 25. Si se conceptúa ntil un cuerpo de estado ecle'iá'tide decreto. co en la armada nacional, ¿cuál debe ser su organización, Advirtió el Sr. Calatrava que debiendo volver á la co- su número y sus funciones á bordo, y en los destinos que mMon la indicación del Sr. Gaseo, seria conveniente se ocupen en tierra, á fin de que en ningún caso falte el auxi aclarara su verdadero sentido, diciendo que se entienda so…</t>
  </si>
  <si>
    <t>…ación de vinciales deben tener en estos negocios toda la autoridad las Cortes, era el de evitar en esto la discusión. que Ies concede la instrucción, sin mas intervención de la El Sr. Calatrava pidió que se pusiera en otros términos ,piilitar que la que en ella se señala. Por todo lo cual, y mas claros, á lo que le contestó el Sr. Toreno; y después habiéndose conformado S. M. con el dictamen del precita de alguna discusión y haber pasado á votar, te…</t>
  </si>
  <si>
    <t>…o el primer artículo, parecía muy injusto dar 300 ducados á unos hombres que sino todo el dictamen de la comisión. tenían muchísimo mas que lo necesario para vivir; y asi Quiso el Sr. Calatrava sincerar a las comisiones de la pedia se dijese al Gobierno con urgencia, que lo tuviera impugnación que creía hallar en el voto particular del señor presente, y que ia asignación señalada por las Cortes no se conde de Maulé, en que decía se habían excedido m…</t>
  </si>
  <si>
    <t>…nción de se mandó dar por respuesta que las Cortes quedaban en jenritas, acordada en la sesión del 14 , y restablecimiento del teradas. cabildo de S. Isidro. Habiendo advertido el Sr. Calatrava Luego se leyó el dictamen de la comisión de Legislación que estaba extendida con la fórmula designada en el artícu sobre el expediente de D. Felipe María de Paz, marques de lo 91 del reglamento para los decretos exclusivos de las la Corona, remitido por la secretar…</t>
  </si>
  <si>
    <t>…ido comercio. Madrid 6 de Agos las clases de cesantes, señale á cada una el máximum y el to de t8ao.=Josef de Espiga, presidente. — Diego Clemen mínimumpor ser la misma que la del Sr. Calatrava. cia , diputado secretario.^ Manuel López Cepero , diputado Otra hizo el Sr. presidente: „Si se supondrá por base secre ario." como máximum el sueldo de 30‘d) rs.” que retiró también Por tanto mandamos á todos los tribunales, justicias, en vista de la discusi…</t>
  </si>
  <si>
    <t>…del Sr. Mar su procurador , "y el fiscal de esta audiencia.^:Vistos &gt;&amp;c =: tínez de la Rosa del día anterior. Fallamos que debemos confirmar y confirmamos la sentencia Anunció el Sr. Calatrava que la comisión de Legislación -dada por dicho juez de primera instancia en 29-de Mayo tenia acabado su informe sobre vinculaciones; y se levantó próximo pasado, por la que condenó á Josef Rodrigo en la la sesión. pena de muerte de.garrote , conduciéndole al…</t>
  </si>
  <si>
    <t>…l Sr. Alvarez Guerra decia, que existiendo en la secre taría antecedentes, se debia unir á ellos, y no pasarlo á una Circular del ministerio de Hacienda de Indias.. comisson; y el Sr. Calatrava que era de parecer que debia «Por Real orden de 22 de Abril de 1816 se sirvió el accederse á lo que propone la diputación provincial, según Rf.y señalar para la benemérita clase de militares de la Pe loque previene el artículo 4.0 del referido decreto. nínsul…</t>
  </si>
  <si>
    <t>…acy las declaraciones pedidas para la Quedaron aprobados sin discusión después de su lectura del general Porlier. los artículos 49 y ;o; y también fue aprobado el ; 1 des Otra del Sr. Calatrava reducida á «que la comisión ren pués de haber hablarlo el Sr* Zapata , que creía poco castigo ga presenre el mérito que contrajeron los difuntos coronel el de ocho días de prisión al que abandonase la centinela; Gorri y el general D. Josef Aguirrc." á lo que…</t>
  </si>
  <si>
    <t>…crimen en las nuevas instituciones, ademas de tribunal especial de Ordenes remitido por el ministerio de que este es el verdadero sentido de la Constitución. Gracia y Justicia. El Sr. Calatrava contestó á esto que la comisión se ha Se leyó por primera vez una proposición del Sr. Moya, arreglado á lo que la Constitución previene, que no es la sobre amnisría para las tres clases de españoles, conocidos indagación, sino la información sumaria, y que la…</t>
  </si>
  <si>
    <t>…o al egército de la ciu ir:e a la calle, y que no se sabia cuál era la ca.ua pior ¡a dad de S. Fernando y sus premios¿ el cual sé mandó im que se le había detenido. Dijo á e to el Sr. Calatrava que no primir, encargándose de esto la comisión. era una adición la que se pro-ponía, sino una destrucción Se leyó por tercera vez el proyecto presentado por la del artículo aprobado. Que por eso en el art. 4.'’ se declara comu.ion encargada de proponer medio…</t>
  </si>
  <si>
    <t>…s, que será esta una ley nueva, sino ia misma ordenanza antigüá de va necesaria en cualquier caso particular. gos decretada por Carlos ni; sin embargo que era preciso Satisfizo el Sr. Calatrava, recordando que las penas de hacerse cargo de que hoy en dia son muy diversas las luces, responsabilidad están fijadas en la ley de 24 de Marzo de y no se debía estar atenidos completamente á las leyes an 181-5; añadiendo que no propondria la comisión como ti…</t>
  </si>
  <si>
    <t>5/3 _ discusión á que se imprimiera en el Diario de Cortes. numento en la plaza de las Cortes, y robre esto hizo otra Leyó también por primera vez el Sr. Calatrava et pro» proposición el Sr. López (D. Marcial.), creyó la comi: ion yecto de ley, con las reflexiones previas que habia creído oportuno remitir ambos pensamientos á la academia de San oportunas la comisión primera de Legislación, sobre la res Fernando , la cua…</t>
  </si>
  <si>
    <t>…er obligado : dijo también que le parecía ser ademas muy ó cuidadosamente en la formación de ia ordenanza de 1769; terrible la pena de la responsabilidad, y por fin que debia y el Sr. Calatrava, que sin embargo de que la comisión coidevolverse a la comisión. nocía que ínterin haya fueros distintos no podrá haber buena El Sr. Calatrava respondió que la comisión no hubiera y pronta administración de justicia, y de que se podía no presentado este artíc…</t>
  </si>
  <si>
    <t>…del alguna*- ideas manifestadas, propusiese limitaciones en extre artículo 17 del proyecto aprobado ayer sobre el exterminio mo liberales. ’ ‘ ’■*' 1 - ■ de los.- malhechores. El Sr. Calatrava expresó que los verdaderos liberales, los., Habiendo entrado en el ..Congreso los Sres. secretarios liombres virtuosos sabian muy bien distinguir entre libertad del Despacho, se leyeron las dos indicaciones que habían y licencia; que extrañaba se hubiese llam…</t>
  </si>
  <si>
    <t>…necesario se consíkuia el acusador de los secretarios to de Galicia D. Carlos Espinosa y D. Manuel Lacy ; con del Despacho, lo que se levanto la sesión. El Sr. Lobaro dijo como el Sr. Calatrava que el general Observaciones sobre el eclipse del dia J. Riego de nada se habia quejado, y por consiguiente que no habia un motivo para tomar tales resoluciones. Citó el artí Ei próximo eclipse de sol de 7 del corriente llama nues culo 170-de la Constitución…</t>
  </si>
  <si>
    <t>…do poY subversivo el que de otra ma fuerza armada, ¿quién tendrá esta facultad? El Sr. general , nera usare de e-ua voz. Qiiiéogá, coronando sus triunfos comuna modestia que le El Sr. Calatrava propuso , que si los Sres. secretarios no har.i honor, ha mostrado que el egército de la Isla está necesitaban del auxilio del cuerpo legislativo, podrían re pronto á obedecer las órdenes que se le comuniquen diri tirarse á sus destinos, en los cuales tal vez…</t>
  </si>
  <si>
    <t>…etermine, culares habia encontrado uno relativo al arreglo de la bi- dejando copia fehaciente de él en este proceso, y expidien ■flílrotecn de las Cortes; el cual A instancias del Sr. Calatrava do al Sr. conde testimonio de todo lo que señale de los se mandó pasar A una comisión especial. autos para el fin que lo exige. Se les condena en todas las Se leyó el dictamen de la comisión de Uhramar dado costas camadas y que se causen hasta que tenga cumpl…</t>
  </si>
  <si>
    <t>…o de vecinos, al que estaría proporcionado el discusión señaló el Sr. presidente para la extraordinaria de de electores. mañana, difiriendo la del ganado trashumante para la or El Sr. Calatrava, absteniéndose de comparar los militares dinaria del dia siguiente. con aquellos empleados civiles que no pueden ser elegidos Se leyó la minuta de decreto de lo resuelto ayer acerca con arreglo á la Constitución , manifestó que en esta no se del dictamen de l…</t>
  </si>
  <si>
    <t>…como la consideración de parte de quien 1c mueven los mayorazgo-. da. Después de lo cual se aprobó. El Sr. Romero Alpuenfe, sin pararse A hablar de la uti Con este motivo dijo el Sr. Calatrava que le parecía jus lidad de esta medida . creyó solo que debía hacer dos ob to premiar A los que habian padecido por la cau-a de la servaciones. La primera sobre los fideicomisos . con respecro O &gt;t:stit cion ; pero no que estos premios gravitaran sobre á los…</t>
  </si>
  <si>
    <t>…n externamente se habia dicho de los perjuicios y tadales. males que trae consigo el sistema de vinculaciones, no con Otra al camino de Fuenlabrada, de 7 celemines y 6 vino con el Sr. Calatrava, en que las circunstancias fuesen estadales. tales que no se presentaran obstáculos muy grandes para la Otra mas arriba de las eras de Polvoranca, de una fa admisión de este artícelo, y juzgó que seria mas oportuno nega, 8 celemines y 29 estadales. tratar de…</t>
  </si>
  <si>
    <t>328</t>
  </si>
  <si>
    <t>…ría grande oposición en esté primer artículo; pero, no ces y estables, se añadiera la de los juros, censos y demás. creía se la haría la imputación de separarse de lo • prescri Ei Sr. Calatrava contestó (con el fin de evitar que la to por la Constitución. Convino en que existiendo monar opinión se extraviase) que en la presente discu.-iou solo se quía moderada, eran indbpcn-ables los Grandes; pero tam trataba de la supresión de los bienes raices y e…</t>
  </si>
  <si>
    <t>…r del Sr. Sánchez Salva el artículo los fideicomisos perpetuos: reprodujo, respecto dor, contrario á lo resuelto en la sesión extraordinaria de del Sr. Silves, las reflexiones del Sr. Calatrava; satisfizo á lo anoche, relativo al reemplazo de los oficiales que gocen de expuesto por el Sr. Martínez de la Rosa, diciendo que lice^ía ilimitada. aunque la decadencia de España se debiera, como en cfecSe aprobó la indicación del Sr. Sancho, relativa al art…</t>
  </si>
  <si>
    <t>…o se hubiese reme 2. Que el máximum délos que subsistan sea de Ho'3 duca diado, podrían las Cortes curarle radicalmente. dos. 3.a Que los poseedores de los mayorazgos puedan li El Sr. Calatrava hizo ver que la consecuencia legítima bremente disponer de los bienes en que consisten. 4.a Que que debía deducirse de los perjuicios ocasionados por las vin los bienes de mayorazgos esten sujetos al pago de las deu culaciones, tanto sobre bienes raices, como…</t>
  </si>
  <si>
    <t>…la medida sido hija de la metafísica ; pero que quería que la comisión propuesta á los .poseedores en línea recta. pusiese la ley mas clara, tanto respecto A los fideicomisos, El Sr. Calatrava defendiendo, como de la comisión, el como á los mayorazgos para evitar pleitos; que las cares de 2.° artículo sobre que se discutía, dijo que esta no tenia em los mayorazgos habían sido siempre la morada de los plei peño ninguno en que se adoptara aquella ú o…</t>
  </si>
  <si>
    <t>…ni los que les sucedan, no podrán dis fueros de Navarra, y otra del Sr. Loizaga con respecto á. las poner de los bienes corno libres hasta que en última ins leyes de Vizcaya; y el Sr. Calatrava dijo qnq ¡a comisión tancia se determinen á su favor los juicios pendientes, los tendría mucho gusto en que asistieran á ella los autores. cuales deben arreglarse á las leyes dadas hasta este día, ó También pasó á la misma la siguiente adición del señor que s…</t>
  </si>
  <si>
    <t>…as allí rentan los enemigos ; y rompiéndoles 4 embarcaciones de responsiones anuales (i). guerra que no pudo sacar, volvió al siguiente dia á Gui También se apróbó una adición del Sr. Calatrava al ar ña, en cuyo puerto desembarcó) á la fuerza por la Oposición tículo i.° en lugar de los dos suprimidos, para que despees que encontró en mas de 400 hombres que lo defendían de bienes raices ó estables ?e añadiese «muebles semovientes, ■con tenacidad; y d…</t>
  </si>
  <si>
    <t>…te señaló para la discusión de mañana a se hiciera extensivo a los pueblos de que se componen las primera hora la de los artículos propuestos por la comisión provincias, y las del Sr. Calatrava respecto de las últimas, sobre la proposición del Sr. Oliver para que se comidere se aprobé como sigue: «Gozarán de este olvido general las como un sagrado el territorio de España para las propieda provincias ó pueblos disidentes de Ultramar segun se va des e…</t>
  </si>
  <si>
    <t>…nsivo á todo el ganado pondió que desconocía absolutamente semejante tratado , y trashumante y á las carreterías.” que los existentes estaban formados sobre el tratado dé Otra del Sr. Calatrava en estos términos: «No se com Ütrecht, en cuya época solo se trataba de crímenes horren prenden en la clase de pastos comunes los baldíos arbitra dos, y no entraban para nada las opiniones políticas , se de dos, ni los que pertenezcan exclusivamente á los pue…</t>
  </si>
  <si>
    <t>…do muchas yetes la es tura del testimonio que obraba en él, la que por muy di peranza de volver á la primera; castigo, dijo, que solo cono latada se mandó suspender á petición del Sr. Calatrava , y se ce el que le ha sufrido; y por último se decidió por el dic declaró no haber lugar á votar, devolviéndose á la comisión. tamen de la mayoría de la comisión, como una medida Se continuó después la discusión pendiente acerca de no solo conformae con el e…</t>
  </si>
  <si>
    <t>…a de esta del Rf.Y, ó seria necesario que licíliajesteíietiiberacion de las noche. Cortes, pues no esraba bien exprajebi» c-rrr¡el artículo, opinó ‘Sesión del a a de Setiembre. el Sr. Calatrava que era precisa ladíadilbetrxíifrn, y el Sr. Mu ñoz Torrero pidió se pasara el cfcioid ¡Elfo ccomisfon de Le Se ley ó el acta de la ordinaria de ayer, á la que se man gislación para que propu-iera el lCícato pie debiari dar las dó agregar el voto particular d…</t>
  </si>
  <si>
    <t>…e la esperanza de los berberiscos en nacales se añadiera «y demás regulares;" mas conviniendo cobrar las cantidades destinadas para redimir á los españo luego con otra adición del Sr. Calatrava , se acordó que se les era el estímulo principa! para que continuasen en esta pusiera : «Los beneficios curados que esten unidos á los mo persecución; pero los señores de la comisión Gareli y Vi- nacales y conventos que se suprimen por esta ley íkc.”</t>
  </si>
  <si>
    <t>…yentes, y de fácil exacción, sario de la instalación de las Corres, deberían los Sre?. di y para la consolidación y extinción de la deuda pública: por putados vestirse de gala. El Sr. Calatrava leyó el artículo D. Josef Vasconi. Memoria dividida en dos partes: la primera del reglamento , en que se señalan los dias de ceremonia; y trata de las contribuciones directas, y la segunda de las indi resuelto por las Cortes que no se presentarían al dia sigu…</t>
  </si>
  <si>
    <t>…ca, pudiese Demostró su autor la necesidad de que se lomase en valerse de ella para adoptar las providencias oportunas. consideración; y habiendo pedido el Sr. Sancho que no se El Sr. Calatrava preguntó si habría inconveniente en que entorpeciese la dúcusion del proyecto de que se trataba, por la comisión fijase la proporción que debe-guardar el número no estar íntimamente unida con él la indicación , aunque de religiosos mendicantes con el vecindar…</t>
  </si>
  <si>
    <t>…er la clasifi niente de infantería voluntarios de la Corona, muerto en el cación por deíitos que no por penas, como se expresa en el campo del .honor. mismo , en atención á que el Sr. Calatrava demostró la di ficultad , y aun imposibilidad de ello hasta tanto que se rec ARTICULO DE OFICIO. tifique el código. «Cuando un eclesiástico secular ó regular cometa al El Rey ha expedido el decreto siguiente: guno de los delitos expresados, el juez ordinario…</t>
  </si>
  <si>
    <t>…vía hasta qué punto podrá llegar esta. el Sr. Moscoso, á nombre de la comisión, convino en ella; Tampoco pudo menos de poner á la vista que es necesario y previa la refutación del Sr. Calatrava al Sr. Vítorica, se siempre cierto aparato en las cortes extrangeras que no ha aprobó, mandando pasarla á la comisión. ga desmerecer á la Nación española, y que es tan natural, Ei Sr. Isturiz presentó la siguiente indicación: «Para como que nadie en la socied…</t>
  </si>
  <si>
    <t>…á y gravedad de los negocios pendientes, han decrerado que el votación, se acordó que podia hablarse sobre la totalidad. Congreso nacional, cuyas sesiones cumplirán en 9 de Oc El Sr. Calatrava manifestó que los principios en que se fun tubre de este año, según el art. 106"de la Constitución , siga daba el proyecto eran los mismos suyos, pues estaba con celebrándolas hasta el 9 de Noviembre del mismo, con vencido de que la salvaguardia de la liberta…</t>
  </si>
  <si>
    <t>…tan perjudiciales son á'la del artículo adicional del Sr. Fondeviía , relativo todo á la juventud. amnistía de disidentes de América, que se le habían pasa El Sr. Freí re apoyó al Sr. Calatrava, suponiendo no ser do en 18 de este mes, presentaba el decreto redactado con conveniente hacer el ensayo del establecimiento de jueces de arreglo á las mismas adiciones, y opinaba en vista de ellas hecho en la calificación de los escritos ;y dijo del proyecto…</t>
  </si>
  <si>
    <t>59* El Sr. Calatrava presentó una exposición de los síndicos en el presupuesto, formaban la suma de 8.410,375 reales, de la ciudad de Osuna, en que felicitaban á las Cortes por la que opinaba la comisión debian aprobar las Cortes. la aprobación del primer artículo del referido pr…</t>
  </si>
  <si>
    <t>…r á los magistrados: 10. «Pera la cen-ura de toda clase de escritos denun después de lo cual no se admitió á discusión. ciados como abu ivos de libertad de imprenta se usará de El Sr. Calatrava juzgó seria oportuno poner después de las calificaciones siguientes.” las palabras «Monarquía constitucional" estas: «ó cualquie 11. «Los escritos que se dirijan á trastornar ó destruir ra otro de los principios sancionados en la Constitución, ” la religión d…</t>
  </si>
  <si>
    <t>…e en lugar de decir y los síndicos se dijese ó los compatible con la libertad de los ciudadanos, y opinó que síndicos. debía concederse facultad á todo español para quejarse de El Sr. Calatrava pidió también que después de las pa cualquiera injuria que le hubiesen hecho. labras ó del Gefe político de la provincia se añadiese o de El Sr. Romero Alpuenre contestó al preopinante , dicien cualquiera de los alcaldes constitucionales; pues resi do, que ha…</t>
  </si>
  <si>
    <t>…vecinos de Zaragoza , en Ciñendo ia cuestión el Sr. Martínez de la Ro«a al pun que felicitaban á las Cortes por su instalación, y patentiza to de vista á que la había reducido el Sr. Calatrava. demos ban los servicios q e habían prestado .1 la justa causa de la tró la preferencia de los jurados que se proponían sobre los Nación , para que las Cortes los tuvieren en consideración. que existian con el nombre de juntas de censura, enume El Sr. Ramírez…</t>
  </si>
  <si>
    <t>Gaceta del Gobierno n.º 104</t>
  </si>
  <si>
    <t>…. dose con el parecer del referido ministro, opinaba debían Se procedió en seguida á la elección de presidente, sa ábolírse las medias anatas de los empleados. Votado por cando el Sr. Calatrava 43 votos, el Sr. Cano Manuel 19 , el. partes este dictamen, quedó aprobado en su totalidad. Sr. Ciscar 60, y el Sr. Sancho 12; y no habiendo ■ reunido El Sr. Ezpeleta hizo las dos indicaciones siguientes: ninguno de ellos la mitad mas uno, se procedió á segun…</t>
  </si>
  <si>
    <t>Calatrava, Josef María</t>
  </si>
  <si>
    <t>Josef María Calatrava</t>
  </si>
  <si>
    <t>…sidente y del mas antiguo de sus sejaren de tono á ico en el del 2.0, y si no llegaren á too cre arios el Sr. D. Juan Subrié, han sido nombrados , para en el del 3.0 presidente el Sr. D. Josef María Calatrava, diputado por 6 'En las letras de Cambio que vengan del extrangero ó la provincia de Extremadura; para vice-presidente el señor de los dominios españoles ultramarinos, mientras en ellos D. Juan Marta Moscoso, que lo es p&gt;or la de Galicia, y no se halle establ…</t>
  </si>
  <si>
    <t>Calatrava.-</t>
  </si>
  <si>
    <t>…omo por la escasez de brazos , industria aquella en la prisión que- sufría- su marido en .la ciudadela .y comodidades de la vida está.escasísimo.en España, no po de Valencia: y el Sr. Calatrava.- hizo presente que Som- drá en tal situación recaudar en. numerario todo lo que ne biela era , -según-creia,-uño de los cuatro-A cinco individuos cesite para sus gastos sin empobrecer las clases mas prodücsuspensos por el ayuntamiento de Valencia, de que habla…</t>
  </si>
  <si>
    <t>Calderón</t>
  </si>
  <si>
    <t>…Quiroga y Pala rea apoyaron la indicación dél celajes , sala de. cuarteles y Otros semejante . Sr. Castrillo , después de haber expresado'él Sr. presidente Se leyó una adición del Sr. Calderón para que cuando que no abría la sesión muchos dias por no hallarse reunidos hubiese de pasar la propuesta del'Sr. Vilianueva á la comi los diputados necesarios. sión de Legislación , se reuniese A esta la de Hacienda. El Sr- presidente nombró al Sr. Solana pa…</t>
  </si>
  <si>
    <t>…estión ; porque si no, todo lo que se hablara gar á una discusión sobre si debia ó no imprimirse previa seria inútil. mente la memoria; sostuvieron la afirmativa los Sres. Gol- E! Sr. Calderón . de pues de exponer la necesidad de fin , Zapata , Ezpeleta , Sánchez Salvador y Banqueó , aña conciliar la libertad de comercio con la remvon de fondos diendo este que debían imprimirse también los prc-up- e;toc; para las atenciones de! Es-ado, deseó se hub…</t>
  </si>
  <si>
    <t>…Cortes quedaron enteradas. Calatrava, refiriéndose el primero al tiempo en que había A la comisión de Legislación se mandó pasar U solici sido subdelegado, y opinando los dos y el Sr. Calderón tud de un abogado . que habiendo servido al Gobierno in que debía hacerse ¡a adición. truso, y hecho servicios particulares á sus compatriotas en El Sr. Florea Estrada propuso que se extendiese el de el egcrcicio de su empleo, habia obtenido sentencias favo c…</t>
  </si>
  <si>
    <t>…ces de la inexperiencia nal responde de los intereses de los prestamistas, y en la de los jueces en el stsiema act‘ al. aprobación de las Corres todos deben ver la mayor de ¡as El Sr. Calderón , apoyando que en efecto la malignidad garantías que conocen [os pueblos civilizados. S. M. , cuvo numen-a la' apariencias de los delitos para atribuirlos á la constante y ardiente deseo por la felicidad pública, cifrada Cons inicion, añadió que era necesario…</t>
  </si>
  <si>
    <t>…e (a libertad que deber! destituidos de ser españoles; y si cuando por dos veces han gozar los militares. recobrado los grandes derechos de la Nación entera , se esSe inclinaba el Sr. Calderón en sü voto particular á que cluírá de rodo á esta benemérita clase. Sé propuso probar la prisión del cadete Aguilera fue contraría al artículo de la ue la disciplina no consiste en la ciega sumisión de los súb Constitución, que permite á todos los españoles u…</t>
  </si>
  <si>
    <t>…ito crucero; pero que, según el descontento que manifestaba mas grave en su concepto. Se inc in ó al voto particular del aquel Gobierno de la E'paña, era de temer que estaba próxi Sr. Calderón, esto es, á que los reglamentos no son leyes mo un rompimiento con esta potencia; y que en "U Conse fundamentales, y qüe se podría creer al marques de Castccuencia el contra-almirante holandés se detendría muy po lar infractor de una ley, pero no de la Consti…</t>
  </si>
  <si>
    <t>…s, reformado en varios artículos, con arre pasar á la comisión de Infracciones de Constitución para glo á lo manifestado en la dvcu.ion de los días 12 , 13 y que las examinase. El Sr. Calderón record.') que ya las Cor 14 del corriente ; y ofrecie'ndolos de nuevo á la deliberación tes han decidido que estos asuntos pertenecen al Gobierno, del Congreso, señaló el Sr. prsidente para ella el dia de y efectivameme se declaró que no habia lugar A votar.…</t>
  </si>
  <si>
    <t>…cusión. Cor es acuerden que todos los diputados de de [a legislatura Luego se leyeron y aprobaron varias adiciones, una de!' próxima uten de un vestido decoroso é igual, compuesto Sr. Calderón, que decia: «Los dias para la mejora empe de í&gt; -ueros nacionales." zar ¡n A correr desde el en que con're haberse fijado e! edic .Se leyó por egunda vez !a siguiente del Sr. Moreno to en la capital del partido.” Otra del Sr. Moscoso al ar Guerra: «Pido que l…</t>
  </si>
  <si>
    <t>…llanova, que era xnuy aná ta villa con el mayor entusiasmo y las mas vivas demos logo al que él tenia concebido. traciones de júbilo y alborozo, precedió un elocuente dis Otra del Sr. Calderón: «Pido que á la comisión de Le curso, pronunciado por nuestro cura párroco, en que se ex gislación se una la de Hacienda para que resuelvan á un plicaron sus principales disposiciones, en especial aquellas tiempo sobre ambos puntos seguridad de los presos, y…</t>
  </si>
  <si>
    <t>…nia inconveniente nin acerca de esta materia, creia conveniente deshacer una equi guno en que se mudaran de lugar. vocación acerca de que el ser benéficos es un puro consejo, y El Sr. Calderón creyó que debia expresarse este artículo no una obligación. con mas claridad, explicando los casos en que no estará Por fin el Sr. Martel consideró el artículo como una obligada una persona á obedecer este artículo, como en el ley para hacer efectiva la oblig…</t>
  </si>
  <si>
    <t>…tra idem en la calle de la Hermosa. taba suficientemente discutido, y se declaró que no; y des Las casas de esta encomienda llamadas Paneras. pués de haber leído , á instancia del Sr. Calderón , una Real Encomienda de Medina de las lorres. orden de 27 de Abril que obraba en el expediente, por la Una dehesa llamada del Campillo, su cabida 1,100 fa que S. M. habia tenido á bien, conformándose con el dic negas para pasto. tamen de la Junta provisional…</t>
  </si>
  <si>
    <t>…la riqueza pública , agricultura, Leída la base segunda, que decia: «Para que la parre de ■industria y comercio.” la contribución directa que toque á la agricultura se realice El Sr. Calderón manifestó en un largo discurso que n&lt;J con ventaja de los pueblos y menos gravamen suyo , se hará se debía tomar por base la contribución directa, pues era una modificación en los diezmos, procurando dotar compe •imposible en el estado actual hacer que su rep…</t>
  </si>
  <si>
    <t>…ectivos, como se leía con tal que hayan egercido su cargo en partidos formados en el mismo artículo. por las juntas provisionales ó diputaciones provinciales, se Fue de parecer el Sr. Calderón que debia igualarse la gún lo prescrito en los artículos i.°, 2° , 4 ° y del pena de este artículo con la que en el correspondiente seña capítulo 2.0 del mencionado decreto. Madrid ii de Setiem laba la ley de libertad de imprenta. Manifestó también su bre de…</t>
  </si>
  <si>
    <t>…tos públicos ; los cuales, según Se aprobaron los seis artículos como proponía la co los proponia la comisión, no perjudicaban en nada á los misión. tragineros como había dicho el Sr. Calderón. El Sr. Díaz del Moral hizo una indicación para que El Sr. Ezpcleta apoyó también el dictamen de la comi ademas de los vales reales se Ies admitiesen á los pueblos en sión , diciendo que tenia reclamaciones de varios pueblos pago de atrasos los réditos de los…</t>
  </si>
  <si>
    <t>…a al servicio par qne en varios pueblos de la provincia de Murcia no se ha roquial y caito público." cia por tos c ras p .rrocos La explicación de la Constitución, Y otras dos del Sr. Calderón , la primera reducida á que como e tu mandado; y que ni aun se habia hecho en algu expresara la comisión las cargas que debiesen subsistir, y las nos el juramento prescrito; han acordado, en cuanto al que deberían pagarse'; y la segunda á que la supresión de…</t>
  </si>
  <si>
    <t>Calderón, Gabriel Perez</t>
  </si>
  <si>
    <t>Gabriel Perez Calderón</t>
  </si>
  <si>
    <t>737</t>
  </si>
  <si>
    <t>…snas pudieran recaudarse con comodidad , y custodiarse con.seguridad; y el esmero y des interés con que D Domingo Alvarez , beneficiado de la parroquia de Santia go de esta corte; D. Gabriel Perez Calderón, presbítero, capellán en Ja del Obispo de la misma, y Pedro Escolar, cadete del regimiento Infaote Don Cárlos, me han ayyd.ado constantemente para lá percepción , cuenta y en^ treoa de caudales, ¡cobranza y giro de letras, formación de asientos, listas y esta…</t>
  </si>
  <si>
    <t>Calderón, Josef</t>
  </si>
  <si>
    <t>Josef Calderón</t>
  </si>
  <si>
    <t>…Justicia la cantidad de 42,500 rs., invertidos en , varios, el que habiendo reconocido los méritos y persecuciones de esfuerzos hechos para contribuir al restablecimiento del sis D. Josef Calderón, prebendado, era de-sentir te le reco— tema actual. mendaie al Gobierno. A la de Comercio una exposición de la diputación dé Se procedió en seguida á la discusión de la indicación Mallorca , en que hacia presente la suma de moneda, falsa que el Sr. Golfín hiz…</t>
  </si>
  <si>
    <t>Calderón, Josef de</t>
  </si>
  <si>
    <t>Josef de Calderón</t>
  </si>
  <si>
    <t>…rde del dia 20 de Marzo, en que recibió el extraordinaria, saliese un barco para Palma con los pliegos* y recomienda la &gt;eficacia con que se prestó á ello el comandante de» marina D. Josef de Calderón. Los demas.avisos que continúan .recibiéndose convencen cada vez mas de que en todas partes:se han esmerado en vencer cuantos obstáculos se han pre-i sentadoy y en allanarlas dificultades que ocurren, concillando en lo posible la comodid.ad dertes pueblos j p…</t>
  </si>
  <si>
    <t>Cali</t>
  </si>
  <si>
    <t>…bur«rzobtspo de..(Minuta , Llegó antes de ayer con el conde de go. Todavía sigue la discusión entre el barón Strogonoff y Laurencin su mayordomo. Este Príncipe se apeó en el pa el príncipe Cali 1 machi en orden á la explicación de algu lacio Teutónico, donde fue recibido por los generales y nos artículos del tratado de Bucharest, en Lo que se adelan las .principales autoridades civiles. S. A. I. fue ¡mnediata ta peco. Se buscan motivos secretos para…</t>
  </si>
  <si>
    <t>Calleja, Juan Manuel</t>
  </si>
  <si>
    <t>Juan Manuel Calleja</t>
  </si>
  <si>
    <t>…de las ciencias. Los dos tomos en cuarto de que se compone esta obra se1 hallarán en te librería de González, calle de la Luna. J Elementos de gramática castellana, compuestos por D. Juan Manuel Calleja presbítero ¿director del. colegio de. Santiago de Bilbao, para el uso de los alumnos de él. Está gtertiática ofrece ia mayor utilidad pára la instrucción de la juventud en los principios fundamentales de nuestro rdioma, no solo por lo poco voluminosa^ si so p…</t>
  </si>
  <si>
    <t>Calvez, Bernardo</t>
  </si>
  <si>
    <t>Bernardo Calvez</t>
  </si>
  <si>
    <t>…estro fuego, contribuyo esencialmente a la rendición de aquella plaza y fuerte, a los 12 días de tiinchera abierta, me reciendo los elogios del comandante general de la expedición D. Bernardo Calvez, y ser ascendido por este servicio en Agosto de 178. i rariscl de ■campo de los Reales ege'rcitos; quedando por el resto de la guerra de segundo comandante general de aquel cuerpo de egército. , c Hecha la paz con la Gran Bretaña, y restituido á la península,…</t>
  </si>
  <si>
    <t>Calvo, Josef</t>
  </si>
  <si>
    <t>Josef Calvo</t>
  </si>
  <si>
    <t>…a misma D. Tomas María Manrique, se cita, llama y emplaza por término de 15 dias á D. Próspero XínieHallándose vacante una plaza de medico de la Real Fa nez , D. Miguel de Corres, D. Josef Calvo , D. Pantaleon Ruiz, milia por fallecimiento de D. Pedro Irigoyen , y teniendo y demas últimos tenedores é interesados en 5 vales Beales, resuelto S. M. que los citados destinos se provean por opo los tres de 300 pesos, creación de x.° de Setiembre de 1808, s…</t>
  </si>
  <si>
    <t>Calvo, Lorenzo</t>
  </si>
  <si>
    <t>Lorenzo Calvo</t>
  </si>
  <si>
    <t>…chas opiniones :” la que pidió su autor pasara á la comisión. tando cartas de ciudadanos. i. La apoyó el Sr. Martínez de la Rosa, manifestando que A la de Infracciones una quejade D. Lorenzo Calvo de él habia hecho la suya del dia 18 en el mismo sentido, Rozas, director dé la Hacienda pública, contra el Tribunal aunque la'cbmision habia tenido por conveniente suprimir supremo de Justicia. la parte en que exceptuaba expresamente las opiniones po A la or…</t>
  </si>
  <si>
    <t>Calvo, Pascual</t>
  </si>
  <si>
    <t>Pascual Calvo</t>
  </si>
  <si>
    <t>…tenedores que han sido de un vale real de Total. 266 300 pesos, creación de Setiembre de 1809, número 30,024, que salió renovado en cabeza de Fr. Patricio de la Cruz: asimis mo á D. Pascual Calvo, D. Julián de A raso , D. Josef An Los profesores que han formado un establecimiento en tonio Rivas, D. Josef Mato y D. Miguel de Torres, te que se dan lecciones de caligrafía , aritmética, gramática, nedores que han sido de otro vale real de 600 pesos, de la…</t>
  </si>
  <si>
    <t>Calvo, Román Lorenzo</t>
  </si>
  <si>
    <t>Román Lorenzo Calvo</t>
  </si>
  <si>
    <t>Gaceta de Madrid n.º 24</t>
  </si>
  <si>
    <t>…orma, y los que ya lo tuvieren hecho á continuar sus acciones ó promover su curso ante dicho Ilustrísimo señor y escribanía de Cámara del propio Cornejo de la Guerra * í cargo del Sr. D. Román Lorenzo Calvo; con apercibimiento que transcurrido dicho término-’ parará todo perjuicio a los que no do tuvieren verificado. En el tribunal del consulado de Cádiz,- y escribanía de P. Elfas Izquierdo yk Payan , escribano de Cámara honorario dé-.S. M., penden autos de conc…</t>
  </si>
  <si>
    <t>…ombramiento de los consejeros; pero que mente en la’escribanía del juzgado privativo'de' tropas de juzgaba muy disputable la propiedad actual de los mismos; Casa Real, á cargo del Sr. D. Román Lorenzo Calvo, sita por" lo que habiendo las Cortes aprobado que eran propie en la calle de Cedaceros, num. 16 , cuarto 2° ;y á fin de tarios, en cuyo caso creía no tener lugar lo que habia pro ue llegue á noticia de todos-, y tenga efecto dicha prcivi'puesto en la sesión…</t>
  </si>
  <si>
    <t>Calzada</t>
  </si>
  <si>
    <t>…los deros motivos de este oficio , porque no se ocultan á la pene .antecedentes que tengo, Bolivar hostigado por Tas fuerzas de tración de V. E., confirmados con lo que anuncia el coronel Calzada viene al parecer rompiendo por aquí para diri D. Juan Tello en las noticias dadas por el parlamentario y girse á los Llanos, habiendo enviado la emigración y en su asistente: sin embargo, el mismo oficio cree la junta que fermos por la montaña de S. Camilo, y…</t>
  </si>
  <si>
    <t>Cam, Josef Ignacio Alvarez</t>
  </si>
  <si>
    <t>Josef Ignacio Alvarez Cam</t>
  </si>
  <si>
    <t>Gaceta de Madrid n.º 48 (extraordinaria)</t>
  </si>
  <si>
    <t>…iie Vf S. sé sirva.sacarme de dudas coh. lá brevedad posible. Dios guarde i V S.; muchos años; A bordo del: náLvío Numancia 11 de Mar-&gt; zo de i820.=Juan María Viilavicencio. =:Sri D. Josef Ignacio Alvarez Cam pana.” ■ .• -tí ■&gt; ; r!' ; , y;: sr V = . ! '.v.r* ^ . : * 4.® ,*,!Excmo. Sr. : A . las ocho de ésta: mañana un indiscreto . paisano en frente de Jos pabellones de puerta de Tierra disparó un tiro á ún soldado?que iba para el cuartel y: ióqüeyísto por Ja trop…</t>
  </si>
  <si>
    <t>Camacho, Mauro</t>
  </si>
  <si>
    <t>Mauro Camacho</t>
  </si>
  <si>
    <t>…;e se ha bía pasado á los enemigos, el que dispuse entregasen á la infantería qime siguió por Mompaní, continuando yo la dispersión de lós facciosos por íw cerrds del Muerto, y el teniente D. Mauro Camacho por las laderas de Tlacote él altoq sin poder pasar adelante por habérsenos aoabádp enteramente .Utas cabaí-</t>
  </si>
  <si>
    <t>Camacko, Antonio</t>
  </si>
  <si>
    <t>Antonio Camacko</t>
  </si>
  <si>
    <t>…olivar con 13 arcaizadas, término de di del Congreso, y que'advertía que el Gobierno habia toma cha villa. do varias providencias con motivo de que el eclip e de sol Idem idem por D. Antonio Camacko en dicha villa. podría dar motivo para reuniones de gentes que en el día se Un olivar de 575 pies al pago de Peñasrubias, término hacían peligrosas. Que no habia podido desentenderse de de Montoro. «segurarse de un periodista, que probablemente sin ninguna Id…</t>
  </si>
  <si>
    <t>Camarero, Gregorio</t>
  </si>
  <si>
    <t>Gregorio Camarero</t>
  </si>
  <si>
    <t>…Urzante , en 4987 rs. lítico el intendente de aquella provincia D. Lorenzo Otra en S .las, de 3 robos y 3 almudes . término de Ur Perabeles. zante, en S92 rs. Don Miguel Palacio; D. Gregorio Camarero, segundo Otra viña , plantado joven, en .el mismo campo , de 7 alcalde, constitucional; D. Luis Arrabal, D. Santos Aboin robos y 4 almuaes, término del mismo pueblo de Urzante, Coronel, D. Eusebio Iglesias, D- Pedro Espina y D. Josef en 3 91; rs. . . . Perez,…</t>
  </si>
  <si>
    <t>Camba, Andrés García</t>
  </si>
  <si>
    <t>Andrés García Camba</t>
  </si>
  <si>
    <t>…te parte, con fecha del 7, del señor comandante general de la división provisional del egércit-o de Lima Don Rafael de Cevallos, qüe en sustancia dice lo siguiente: ,, El. temerte coronel D. Andrés García Camba entró en Huacho con su escuadrón al amanecer del 6, á pesar de la molestia del camino y del cansan cio de los caballos. Ya algunos buques enemigos habían salido de dicho puerto, y no existían mas que cinco , de los cuales tres dieron la vela á las 11 de la no…</t>
  </si>
  <si>
    <t>Cambronero, Manuel María</t>
  </si>
  <si>
    <t>Manuel María Cambronero</t>
  </si>
  <si>
    <t>…titución de los mayorazgos, examinada histórica y fi Orra ídem en el Gruyere, de 2 fanegas, 7 celemines losóficamente , con un proyecto de ley para su reforma: por y 20 estadales. D. Manuel María Cambronero. Véndese á ó rs. en las librerías Oirá idem en el sitio de Tarayuela de Tordesillanos, de Paz.y de Sojo. de una fanega, 1 x celemines y 6 estadales. Conversaciones entre Cándido y Prudencio sobre el .estado actual de España, por D. Juan Antonio Llórente. Conv…</t>
  </si>
  <si>
    <t>Camero</t>
  </si>
  <si>
    <t>…e regulares se le devolviese su dote, ó se le señalase una pensión de los una exposición de los comendadores del hospital del Rey de bienes del convento. Burgos, presentada por el Sr. Camero, pidiendo no'se les</t>
  </si>
  <si>
    <t>Camiíoaga.-, Nicolás</t>
  </si>
  <si>
    <t>Nicolás Camiíoaga.-</t>
  </si>
  <si>
    <t>…acción del 13 , y se entregaron á D. Manuel González, sobrino del dueño de la hacienda llamada del Conven-» to, por inventario que formó en el mismo dia 13 el capitán de milicias Don Nicolás Camiíoaga.- : w!.! ;• •* • :.á /. ■ 2.0 Que de todo el ganado robado en la hacienda de Potao y sus inme diaciones se interceptó la mayor parte, que se ha vuelto á sus dueños. 3.0 Que no llegan á ocho los negros qué por voluntad ó por fuerza se llevaron. ; : . r ; * i 4.0…</t>
  </si>
  <si>
    <t>Camila, D-Josef</t>
  </si>
  <si>
    <t>D-Josef Camila</t>
  </si>
  <si>
    <t>Gaceta de Madrid n.º 38 (extraordinaria)</t>
  </si>
  <si>
    <t>…plaza para jurar Coiis^tü^ipn. liaJtótíip£piá' de Guardias Alabarderos’ y los dos i batala Parada ; ¡sitió ^destinado para 4Tuüésus foMMCiqraf!»?fe^^áy de ^íábdet, y tb comandante-general D-Josef Camila ja f ¡forma*agorcja$a. pqr las Cortes ¡deii QHffpo ^f^genierp$j, gefes (de todos, ios cuerpos Kropas de. ^u,, xcspeptiyp piando. Formadas testaré’ en cccblijmnay se dirigieron Já pa^fiio, v, desfilaron ’ á priesencíá deSS. MM. v Á'A',, que asistieron aL bal*?…</t>
  </si>
  <si>
    <t>Campana</t>
  </si>
  <si>
    <t>…: «de ¿V?.r E. pronto en. virtud de lo temprano que había salido de aquí, ynccmsejé dicho Sr.í5ÍndÍoo', que venia con el general ¡Ribera, pasasen á verse[ con el iSr. gobernador y general Campana, para qué el! man i tiesto que en nombre de V. E. querían que se diese al publicó fuesehecho por dicho gobernador dévda plazaq á quien compete: ha ido dicho síndico á verse con dicho gobernador y general. ,,Todo queda tranquilo; y por los observadores que env…</t>
  </si>
  <si>
    <t>PDF p. 13</t>
  </si>
  <si>
    <t>…e momento, que son las 11 y media de la mañana, ha roto el fue go la batería de morteros de que llevo hecha mención, dirigiendo sus tiros ¿ la cortadura; y con este motivo paso al general Campana un oficio, de que es copia la adjunta que tengo el honor de incluir a V. E. „Dios guarde á V. E. muchos años. Navio Numancia en la bahía de Cá diz 15 de Marzo de 1820.= Excmo. Sr.= Juan Villav¡cencio.= Excmo. Sr. Secretario interino de Estado y del Despacho d…</t>
  </si>
  <si>
    <t>…*•' j - otras. ' ... ■ v. ^ - ;’,La guarnición y ]él vecindario de Cádiz se mantienen cón bastante ani mosidad; y para evitar; se suscite otra escena-desagradable he autorízadoal general Campana para que embarque el batallón ó batallones que forman el blanco de la ira del pueblo; y si esto se consigue, fácilmente quedará asegura da la tranquilidad. • „La primera división con la caballería y artillería continuará su comisión</t>
  </si>
  <si>
    <t>…he, por lo que seguro á las 11 de ella ine retiré á mi casa. , ,,Al amanecer de hoy fui á bordo del navio de la insignia con el objeto que explica mi oficio número 2.0 dirigido al general Campana, á quien á las ocho y media pasé otro ^ según la copia número 3.0, con motivo de oirse desde el navio fuego de fusilería en la ciudad, y haber dado aviso un bote “que se re tiró del muelle quede las murallas hacían fuegoá los que se hallaban eh aque llas inme…</t>
  </si>
  <si>
    <t>…espondió que la escua-dra estaba conmovida ^ y que.deseaba que luego luego se publicase la Cons titución, y también:que-contaban^con tres batallones de la guarnición. Pre gunté al general Campana sobre el estado de las trepas, y me contestó que no teniái síntomas de novedadesi, y .que-estaba .tranquilá^Prevlne ique sé mantuvieiya en’ sm qu a t te l e s&lt;,: y,asi -se ¡verificó. Salídespuesála plaza de S. Ainoríio.acompañado^de dicho capí tan general y:d…</t>
  </si>
  <si>
    <t>…ben asistir á las conferencias de y en el mismo dia entrará en el egercicio de sus funciones. Troppau son los siguientes: por parte del Austria el prínci 4.a «El mariscal de campo príncipe Campana to pe de Metternich, el barón de Lebzeltern, ministro de mará el mando de gobernador militar de Palermo, y co Austria en S. Petersburgo, el conde dé Mercy y el caba mandante general de la 9.a división militar. = El teniente llero de Gent; por parte de la Rusi…</t>
  </si>
  <si>
    <t>Campana, Josef Ignacio Alvarez</t>
  </si>
  <si>
    <t>Josef Ignacio Alvarez Campana</t>
  </si>
  <si>
    <t>…entario ; lo que manifiesto á V. S. para su inteligencia, y ruego á Dios le guarde muchos.años. Navio Numancia en la bahía de Cádiz 15 de Marzo de 1820.=Juan María Viiiaviceucio.= Señor D. Josef Ignacio Alvarez Campana. = Es copia,” El comandante de las fuerzas navales de la bahía de Cádiz ha dirigido al Señor Secretario del Despacho de Marina el oficio siguiente: „Excmo. Sr.: Por la Real orden que V. E. me comunica con fecha de 7 del corriente quedo enterado del Real decre…</t>
  </si>
  <si>
    <t>Gaceta de Madrid n.º 54 (extraordinaria)</t>
  </si>
  <si>
    <t>…l en gefe del egéreito D. Manuel Freíre que el mariscal de campo D. Francisco Ferraz y el brigadier D. Manuel de Jáuregui pasasen á Cádiz á relevar el primero al mariscal de campo D. Josef Ignacio Alvarez Campana, y el segundo al brigadier D. Alonso Rodríguez V aldes. EN LA IMPRENTA NACIONAL.</t>
  </si>
  <si>
    <t>…ayer han pasado esta mañana á la plaza de Cádiz el mariscal de campo D. Francisco Ferraz y el brigadier D. Manuel de Jáuregui con el objeto de relevar á los de igual clase y grado D. Josef Ignacio Alvarez Campana y D. Alonso Rodríguez Valdés, que se me han presentado y permanecen en este cuartel genera!. En dicha plaza debe haberse jurado esta tarde la Constitución política de la Mo narquía ; y aunque no sé- de oficio si se há verificado, estaba dada la orden para este acto en el…</t>
  </si>
  <si>
    <t>Campanals, Josef Antonio Corominas y</t>
  </si>
  <si>
    <t>Josef Antonio Corominas y Campanals</t>
  </si>
  <si>
    <t>…o, y aligaciones. D. Francisco de Argemir y Viñas de la elevación de cantidades á sus potencias, asi numéricas como algebráicas; de la extracción de raíces, y de las progresiones. D. Josef Antonio Corominas y Campanals, condecorado con la cruz del sitio de Gerona, de los logaritmos. D. Antonio Curulla, de las ecuaciones de primero y segundo grado. En el se gundo dia presidió la academia el Sr. D. Felipe de Amat como decano de ella, y se dio principio al acto por las diserta…</t>
  </si>
  <si>
    <t>Campbell, Duncan</t>
  </si>
  <si>
    <t>Duncan Campbell</t>
  </si>
  <si>
    <t>…cabo de Buena-Esperanza el navio Weymouth, al mando del capitán Turner, y conduce 470 personas en tre hombres, mugeres y muchachos, que van á establecerse en aquella colo nia. El capitán Duncan Campbell, hombre muy emprendedor, se ha embar cado en el mismo buque rcon cierto número de artesanos y labradores. Escriben de Glascow que el invierno actual es el mas frío que se ha sen tido desde el año de 1814. EL Clide está enteramente helado, y pasan por cima car…</t>
  </si>
  <si>
    <t>Campillo, D Manuel</t>
  </si>
  <si>
    <t>D Manuel Campillo</t>
  </si>
  <si>
    <t>…dfc los regimientos provinciales, de que dimano !« prisión del bri gadier D. Y ícente de Y' argas, secretario de dicha inspección, el capitán Don Josef Francisco Domínguez , y el teniente D Manuel Campillo, oficiales em pleados en la misma, copiando V. E el auto que por haberse dirigido el proceso por el tribunal especial de Guerra y Marina, para qué eop arreglo á ía Constitución y las leyes fuese fallado por el juzgado militar de la caoiranía general del c.¡rg…</t>
  </si>
  <si>
    <t>Campo, Manuel Martinez del</t>
  </si>
  <si>
    <t>Manuel Martinez del Campo</t>
  </si>
  <si>
    <t>…ulso saludable , y estimulan las di-posiciones de los jóvenes, encaminándolos á objetos de utilidad pública. Ex ANUNCIOS. pondremos los progresos de estos útiles establecimientos, Don Manuel Martinez del Campo y D. Juan Francisco cuya historia está esencialmente enlazada con los adelanta Marco, auditores de Rota españoles , residentes en Roma, co mientos de la razón humana , formando de este modo una mo testamentarios de D. Mariano Rúiz, español, natural de especie de estadística lite…</t>
  </si>
  <si>
    <t>Campo-Chiaro</t>
  </si>
  <si>
    <t>…París, de muchos Pares , de varios generales, del H nuevo'encargado de negocios delGobkrnode NapoT Jes Mr. Coppola llegó el domingo i esta capital : es cu arzobispo &amp;c. fiado del príncipe Campo-Chiaro, y debe reemplazar al cpm de Ludotf, hasta que llegue el «meo embajador prin NOTICIAS DEL REINO. cipe Clmitile. ! raAticiA. . ■ Madrid JO de Octubre. . S. M. ha despachado hoy con el Sr. secretario dal Paris 30 de Setiembre. S. A.R. la Duquesa deBerry se pose…</t>
  </si>
  <si>
    <t>Campománes, Rodrigo Rodríguez de</t>
  </si>
  <si>
    <t>Rodrigo Rodríguez de Campománes</t>
  </si>
  <si>
    <t>…i subdividirlo. El cornejo de E:tado en su consulta, concep cia ; ios tres primeros promovidos por D. Felipe María de tuando que no eran del momento los medios propuestos por Paz, D. Rodrigo Rodríguez de Campománes, imrques de la Juma provisional , creia que se podría acceder á la fr.anVillagarcía, y por los duques de Tamames. sobre enaje ■jicia y demas que se pedia, todo con calidad de provinar algunas fincas de sus re-pectivas vinculaciones con dife encia imerina. ren…</t>
  </si>
  <si>
    <t>Campos, Juan Bautista de</t>
  </si>
  <si>
    <t>Juan Bautista de Campos</t>
  </si>
  <si>
    <t>…rvar, será castigada con una multa de 10 á 500 Arias, ministro togado y juez de primera instancia en est* duros, ó si no tuviese bienes, con una reclusión de ;un mes corte, contra D. Juan Bautista de Campos, autor’del papel hasta dos años, al prudente arbitrio de los jueces, según las titulado: «Tramoya que pasa entre los taberneros y carnicecircunstancias del caso, perdiendo ademas los empleos, suel «ros, su autor Mátalas callando y’cógelaí al tiento,” recayó d…</t>
  </si>
  <si>
    <t>Campos, Manuel Amonio de</t>
  </si>
  <si>
    <t>Manuel Amonio de Campos</t>
  </si>
  <si>
    <t>…por sí, ó Guercino, de Vanloo, dei Trevisano, del Perugino, Je por personas que tengan poder bastante para percibir en su Carlos Maratte, de Rubcns, de Gerardo Dosvn &amp;c. caso, al Sr. D. Manuel Amonio de Campos, contador del En Genova hay una escuela de sordomudos, dotada por mismo monte pió, que vive calle del Príncipe, números 9 e! Rey con una pensión de &gt;80 rs. y 10; en inteligencia que de no hacerlo les parará grave Los establecimientos de educación para las niñ…</t>
  </si>
  <si>
    <t>Campoy, Diego García y</t>
  </si>
  <si>
    <t>Diego García y Campoy</t>
  </si>
  <si>
    <t>Gaceta del Gobierno n.º 156</t>
  </si>
  <si>
    <t>…ferios, el Duque de Burdeos. aprobado por las Cortes ordinarias del año de 1820 , á la cual se admiten suscripciones en Madrid en la imprenta especial de las VARIEDADES. Cortes de D. Diego García y Campoy , calle de las Rejas , nú mero 2 , donde podrán dirigir los avisos francos de porte , sin Reflexiones de un periódico extranjero. que se adelante su valor hasta el tiempo de la entrega, que se ; Importa saber los usos políticos de un pueblo ignoran-1 avisará…</t>
  </si>
  <si>
    <t>Camps, Josef Ealceíls y</t>
  </si>
  <si>
    <t>Josef Ealceíls y Camps</t>
  </si>
  <si>
    <t>…ión de monedas defectuosas, y persuadi colegio nacional de farmacia de Barcelona en 1.° de Octubre do de que con la publicación de los artículos 1." y 2° de la de 1819 dijo el Dr. D. Josef Ealceíls y Camps. Se hallará de instrucción de 20 de Diciembre de 1791 para el uso de las venta en las librerías de Perez á 3 reales. casas nacionales de moneda en los' cambios, se establecerá la Catecismo universal, preceptos morales y examen de sí mis untíormídad en estos,…</t>
  </si>
  <si>
    <t>Campuzano, Joaquín</t>
  </si>
  <si>
    <t>Joaquín Campuzano</t>
  </si>
  <si>
    <t>…inisterio de Berlín al conde deToreno en lugar de -D. Pascual Vallejo : para el de Rusia en sustitución deD. Luis de Onís á Don Manuel González Salmón: en la de este para Dresde á D. Joaquín Campuzano; y á D. Josef María de Pando, encargado de negocios en Lisboa. El Rey ha repuesto interinamente en los destinos que obtuvieron de gefes políticos á D. Manuel María de Acevedo, que lo fue de la provincia de As turias; al teniente general D..Cayetano Valdés de…</t>
  </si>
  <si>
    <t>Camseca</t>
  </si>
  <si>
    <t>…aprobada á una en el cargamento del místico ingles el Bravo, capitán comisión especial que se acordó nombrar al efecto. Francisco Rochen, á quien por sentencia del supremo tri El Sr. Camseca contradijo el que hubiese motivo para bunal de Justicia se ha mandado devolver el buque con to acriminar, como lo habian hecho algunos Sres. diputados, das sus mercancías y documentos, para que en el preciso la representación del padre general de capuchinos,…</t>
  </si>
  <si>
    <t>Camuñas, Juan</t>
  </si>
  <si>
    <t>Juan Camuñas</t>
  </si>
  <si>
    <t>…. jos bajo el pie actual; y en caso que existan, cual debe ser Un escrito por el coronel y teniente de rey de Albursu constitución, por varios oficiales del fijo de Ceuta. querque D. Juan Camuñas, titulado: Continuación de las Idem sobre el problema que trata de determinar si la ideas para el proyecto de la Constitución militar, que en 3 tranquilidad interior y seguridad de caminos estará á cargo de Febrero remitió á la comisión que entendía en. el mi…</t>
  </si>
  <si>
    <t>Camus</t>
  </si>
  <si>
    <t>…es del benemérito egército es trado electo de la audiencia territorial de Madrid, se halla pañol. •vacante esta plaza, patá-la que se admiten memoriales por No se admitid otra del Sr. Camus pidiendo q e la adi .término de 30 días. Palacio 18 de Agosto de 1820. ción dei Sr. Ramos Arispe sobre misiones , se extienda solo á la América , y no á Filipinas, donde no hay tales cole Lista segunda comprensiva de las fincas consignadas gios de Propaganda…</t>
  </si>
  <si>
    <t>Can, Crespo</t>
  </si>
  <si>
    <t>Crespo Can</t>
  </si>
  <si>
    <t>…berían tenerse en consideración para formarle en lo No se admitió i discusión otra del mismo Sr. Sierra Pamsucesivo. híev, dirigida á que ingresasen en la tesorería general los El Sr. Crespo Can rol la, individuo de la comisión , leyó productos del almanak civil v del depósito Hidrográfico. varias obrervaoiones, que no se hablan podido teñera la vis Se aprobó otra de los Sres. Gidicrr v Marín 1 aliste, en ta cuando se extendió el dictamen, porque la…</t>
  </si>
  <si>
    <t>Cañaba</t>
  </si>
  <si>
    <t>…ente las dos salas de su audiencia de todas las infancias: hayan de reservar "para premio de los militares. la comisión creía se debía observar la ley de 9 de Octubre , -:Otrá del Sr. Cañaba! para que las cárceles se dispongan en todas sus partes. de modo que esten con separación los acusados de los de Se dió cuenta de otro dictamen de la misma comisión tenido:. 7 sobre cinco expedientes promovidos por los Gefies políticos Otra del Sr.. Moreno Gu…</t>
  </si>
  <si>
    <t>…ón ordinaria del 23 de Setiembre. y para los de capitanes en 3©: y re declaró no haber lu Se leyó el acta de la de ayer, y en seguida una expo gar á votar sobre una indicación del Sr. Cañaba!, en que pe sición de varios agraciados con la amnistía del dia 21 , dan dia se sortearan dichos empleos entre los que quisieran com do gracias y ofreciendo sus servicios, de la que las Corres prarlos. quedaron enteradas. Igual resolución recayró sobre otro d…</t>
  </si>
  <si>
    <t>…misma presentaron berían suprimirse estos conventos de redentores, puesto Real, y se le haya conferido la colación." que en el dia ha cesado el objeto de su fundación; y el se El Sr. Cañaba! propuso que después de la palabra mo ñor Zapata añadió que la esperanza de los berberiscos en nacales se añadiera «y demás regulares;" mas conviniendo cobrar las cantidades destinadas para redimir á los españo luego con otra adición del Sr. Calatrava , se ac…</t>
  </si>
  <si>
    <t>Canabal</t>
  </si>
  <si>
    <t>…énes eran los gefes de palacio, anotándose opinó que se hiciera, adviniendo aquella equivocación in en-aquella. voluntaria , que en lo sucesivo se enmendaría. Conviniendo Otra.del Sr. Canabal para que se aumentase la diputa el Sr. Giraldo en que no habia malicia, pero sí una ignoran ción de Ultramar conforme á los datos mas ciertos existen cia muy crasa, por ser en una de las primeras oficinas, y, tes de la población de aquellas provincias, que es…</t>
  </si>
  <si>
    <t>…conceder el trasporte en buques mercio sobre el proyecto presentado por D. Josef Dámaso extrangeros. Ibarrola Echevarría: era esta'de parecer que estaba conce Por el contrario, el Sr. Canabal dijo que senda oponer bido en términos muy vagos, y no merecía ocupar al se á los que habian disentido del dictamen de la comisión, Congreso, ni concederle el término que pide dicho autor. y que era menester tener presente que habia dicho el mi Se leyó el dic…</t>
  </si>
  <si>
    <t>…mar, quen y la manden continuar, con lo cual se atiende A lo di acerca de lo cual pasó A hacer Indicación. cho en el artículo anterior. Se leyó en seguida la que había ofrecido el Sr. Canabal, 3.° «Las mismas Cortes ordinarias de 1814 en su cita para que habiéndose aprobado en la sesión de ayer que do decreto han señalado A cada uno de los Sre'. Infantes pasase A la comí'ion de Legislación el arancel de la secre 15 oS ducados anuales , sobre lo c…</t>
  </si>
  <si>
    <t>…er que el artículo i. del proyecto, en cuanto á la edad, No quería el Sr. Losada que se mudase en nada el ar había tenido presente cuál es la mas apta para el servicio. tículo. El Sr. Canabal pidió, con motivo de que los jor 1.a de 18 años, porque es en la que esta el hombre en es naleros componen una parte muy interesante de la Nación, tado de poder soportar las fatigas, al mismo tiempo que tie que á la palabra jornaleros se agregase la de precar…</t>
  </si>
  <si>
    <t>exposiciones de la diputación de salineros de la ciudad de Se leyó la contestación del Gobierne) á la indicación del S. Ferrando sobre el desestanco de la sal y otros puntos. Sr. Canabal del 5 de Agosto , en que insertaba el oficio del A las de Comercio y Marina reunidas otra exposición decano del supremo tribunal de Justicia con fecha del 9, de varios dueños y capitanes de barco de la provincia de diciendo que desde primeros de Julio último…</t>
  </si>
  <si>
    <t>…os desde el primero 73 hasta Est ¡ vacante la plaza de médico de la villa del Soto de Cameros, en ia provincia de Soria: su dotación es de óoo du e¡ 79, desp.es de cuya lectura el Sr. Canabal dijo, que no cados, con su anejo Treguajantes, pagados de los fondos públi vela que se hiciese mérito de una indicación aprobada del cos por teicios Je año; siéndole permitido al profesor la asis Sr. Sacgsa, relativa a que extendiéndose á U¡tramar estas tenci…</t>
  </si>
  <si>
    <t>…érmino de ocho días, y con esta petición con de 1816 y Noviembre de 818 ; á lo que contestó el Sr. Ca cluyó su discurso. latrava, haciendo presente que la comisión no propon ia El Sr. Canabal solicitó que se leyeran nuevamente las precisamente que fuesen á los arsenales, sino á.cualquiera primeras palabras del artículo, y luego que se quitaran las establecimiento en que pudieran trabajar sin empeorarse. de vagantes v gitanos, dejando solo las de v…</t>
  </si>
  <si>
    <t>…último, doctrinado en las fronteras de Alemania, adonde le sión de Legislación la especial nombrada en este dia. condujo la arbitrariedad, pronunció exhortaciones muy ins Otra del Sr. Canabal: «Propongo que las cárceles se tructivas en los días de las elecciones de las juntas y del dispongan de modo que unas sirvan para los acusados ,y otras ayuntamiento. Este ministro del Altísimo se complace en para los convencidosy se mandaron pasar todas á la…</t>
  </si>
  <si>
    <t>…Sr. secretario del Despacho de Gracia y Justicia con Después que el Sr. Vitorica respondió á algunas obje-, testó que era bien sabida del Gobierno toda la doctrina ver ciones del Sr. Canabal, se aprobó este artículo con una adi-; tida por el Sr. preopinante; pero que no podría este desco cion del Sr. Ramos Arispe, concebida en estos términos; nocer la capitulación vergonzosa que hay que hacer mu «La que comenzará á disfrutar desde el día en que a…</t>
  </si>
  <si>
    <t>…misiones respec Sandino, Canabal y San Juan , contra la resolución de no tivas varios expedientes y recursos, los unos remitidos por haberse admitido á discusión la indicación del Sr. Canabal el ministerib , y los otros hechos directamente á las Cortes. en la sesión ordinaria de ayer sobre sorteo de empleos de la A la comisión de Instrucción pública se mando pasar un milicia rural de la isla de Cuba. plan que presentó el Sr. Vargas, formado de ord…</t>
  </si>
  <si>
    <t>…seguida se aprobó la que se suprimiesen todos los impuestos especiales que exis proposición. ten con destino á las fortificaciones; sobre lo que hizo su Acerca de ia 3.a opinó e! Sr. Canabal, que debiendo indicación. fiarse la defensa de la patria a solos los españoles, no de Después de algunas contestaciones entre los Sres. Azao bían subsistir los regimientos extrangeros, ni aprobarse tam la , Serrallach y Palarea sobre la propo-idon , se aprobó…</t>
  </si>
  <si>
    <t>…tan perjudicial á la Hacienda como se decía por la co al pie de las fábricas ó en los alfolíes, y al tabaco en las misión. aduanas, como se hace con el cacao &amp;c., produciría mu El Sr. Canabal, apoyando á los Sres. preopinantes, ma cho mas que los estancos; que estos solo sirven á los em nifestó ademas que era muy perjudicial á los comerciantes pleados para ser ellos los primeros contrabandistas, para de América el que viniesen á España , y tuviese…</t>
  </si>
  <si>
    <t>…de las Carretas, á recoger el tomo i.°, que sale ador la del Sr. conde de Toreno. nado con un buen retrato del autor, grabado con esmero. En la No se admitió á discusión esta del Sr. Canabal: «Que misma librería se continúa la suscripción á Jos demas tomos á los individuos que deben elegirse de Ultramar sean de dife 16 rs. en rústica, y se irán publicando á la mayor brevedad. rentes provincias, para que no recaiga la elección de muchos Apuntes so…</t>
  </si>
  <si>
    <t>Candía, Antonio</t>
  </si>
  <si>
    <t>Antonio Candía</t>
  </si>
  <si>
    <t>…e sus últimos tenedores, es en la forma siguiente: dos vales dt i 600 pesos de i.° de Mayo de 1808 señalados? con los húmeros 379,495 y 3.89,76$, endosados últimamente en Búrgos á D. Antonio Candía: ¿tros tres vales de á 300 pe sos de la propia creación señalados cotí los números 423,250, 423,251' y 423,252, endosados en esta corte á Mr. Hemet, del comercio de Tolosa de Francia: otro dé 250 pesos de i.° dé Enero de 1809, señalado con el núm. 247,445, en…</t>
  </si>
  <si>
    <t>Canea, Felipe Vázquez</t>
  </si>
  <si>
    <t>Felipe Vázquez Canea</t>
  </si>
  <si>
    <t>…dias. Palacio bilitando á los obispos para conceder las dispamas matrimo 17 de Agosto de 1820. niales ; y otra del Sr. Díaz Morales, pidiendo el a.invento de Por tallecimieoto de D. Felipe Vázquez Canea, mamssueldo de las clases inferiores del benemérito egército es trado electo de la audiencia territorial de Madrid, se halla pañol. •vacante esta plaza, patá-la que se admiten memoriales por No se admitid otra del Sr. Camus pidiendo q e la adi .término de 30…</t>
  </si>
  <si>
    <t>Cañedo</t>
  </si>
  <si>
    <t>…árrocos, supresión- de Existencia en 51 de 'Mayo &gt; Según el estado ¿}ue se dió feligresías, llamadas anejas, y otros puntos análogos ¡ otra al público con fecha de g de Junio. del Sr. Cañedo , .en que pedia se admitiese al Congreso como diputados suplentes por Ultramar á los que lo fuerqn .en las En créditos antiguos................ ............... 7.640,560..25 Cortes anteriores , y los que vinieron posteriormente con po En 173 acciones del banc…</t>
  </si>
  <si>
    <t>…s suspensos de determinadas, ni á si se está ó no en el caso de proponer sus destinos, sin poder volver á obtenerlos. pena alguna, sino para que la comisión indique cuál es el Jíl Sr. Cañedo, sin embargo de que convino en la nu modo mas conveniente de proceder en lo que hace relación lidad de las trataciones, aunque no habia datos para deci á las indemnizaciones. dir de sus efectos, opinó que ;e difiriese"ía discusión por Se aprobó, después de ha…</t>
  </si>
  <si>
    <t>…itadas por el ral , extendiéndose este privilegio hasta los militares; creían Gobierno, y en seguida se leyó la minuta. que el cadete D. Gaspar Aguilera, lo mismo que los demas El Sr. Cañedo instó para que se leyera una proposición militares, quienes por serlo no están destituidos de los de suya, que hacia dias habia presentado en la secretaría, su rechos que concede la Constitución, pudo usar de exte de poniendo ser muy urgente. Despuss de varia…</t>
  </si>
  <si>
    <t>…de re Se leyó el acta de la anterior, á la que se mandó agre- petir contra quien les conviniese. ar el voto particular del Sr. Quintana, contrario al nom- Se leyó una adición del Sr. Cañedo para que el estable ramiento hecho por las Cortes para vocales de la junta de cimiento de jueces de hecho, pedido por el Sr. López (Don Censura de Cataluña. Marcial), en proposición hecha anteriormente, se extienda Se leyó la lista de los individuos nombrados…</t>
  </si>
  <si>
    <t>…xisten de la- pobla ya á las Cortes para su examen. Y en contestación á la ción de aquellas provincias. Real orden de 13 del mes actual, con que nos dirigió V. E. Se leyó otra ael Sr. Cañedo , que fundándose en el ar el citado expediente, lo trasladamos á V. E., á fin de que tículo 109 de la Constitución, pedia al Congreso expi poniéndolo en noticia de S. M., se sírva disponer su cum diese á la mayor brevedad la correspondiente orden , para plimi…</t>
  </si>
  <si>
    <t>…a para que propon- los abusos de la libertad de imprenta. an la pensión que debe asignarse á los jesuítas que naya en Se rtiandó pasar esta proposición del Sr. López enri otra del Sr. Cañedo, relativa á lo misino, á la comisión que detJltramar. No hubo lugar á votar sobre otra del Sr. Rovira des-- be formar los códigos. pues de algunas observaciones que hicieron sobre ella, en la Se leyeron también.por segunda vez las tres proposicio que pedia qu…</t>
  </si>
  <si>
    <t>…allecimiento de D. Antonio Fernandez Salvador, que no hay cuerpos de guardia ni otro modo de atender á la vecino que fue de la misma villa: los que presuman tener de seguridad. El Sr. Cañedo amplió e'tas mismas razones, ex recho á ellos, Jo deducirán en debida forma en el término de poniendo ser bien claro que se oponía a la Constitución este 30 d i as, contados desde la publicación de este aviso; con aper art. 4.0, y pidió que se suprimiera. Til…</t>
  </si>
  <si>
    <t>Cañedo, Juan de Dios</t>
  </si>
  <si>
    <t>Juan de Dios Cañedo</t>
  </si>
  <si>
    <t>…ya despachados de las aduanas habili .. Manifiesto á la América española, ó contestación al mani tadas, todos los puertos y las radas que logran en el dia de fiesto del licenciado D. Juan de Dios Cañedo á la Nación espa esta habilitación. ñola: por D. Manuel Perez¡de Aguayo, natural de la América 6.° «Las disposiciones contenidas en los cinco artículos septentrional. Véndese á 3 rs. en el despacho de la imprenta Na anteriores se entenderán en calidad de por…</t>
  </si>
  <si>
    <t>Canencia, Diego Hernández</t>
  </si>
  <si>
    <t>Diego Hernández Canencia</t>
  </si>
  <si>
    <t>…Siete idetn en el partido de Hervd. el dia señalado 28 de Agosto último, se ha mandado por MADRID. el Excmo. Sr. Gefe político superior se saquen nuevamente Capellanía fundada por D. Diego Hernández Canencia á pública subasta por término de ocho dias mas, contados en Valdemoro. desde esta fecha, señalando su remate, bajo de las propias Una tierra de 4-'- fanegas en el camino de Parla. condiciones anunciadas anteriormente al público, para el Otra idem en donde lla…</t>
  </si>
  <si>
    <t>…cas nuará. ) '_______ secularizadas que se administran por cuenta del Cré dito público Í3~c. ANUNCIOS. Manifiesto que la Junta de Gobierno de Galicia, creadaCapellanía fundada por D. Diego Hernández Canencia por el pueblo en 21 de Febrero de 1820 para restablecer la en Valdemoro. Constitución política de i8ia,hace á la Nación española de sus operaciones y fatigas para el logro de tan grandioso objeto. Una tierra de 4 fanegas en la raya del término de Val- Se hall…</t>
  </si>
  <si>
    <t>Canepa, J. B.</t>
  </si>
  <si>
    <t>J. B. Canepa</t>
  </si>
  <si>
    <t>…. Don pública de Filipinas, Nueva-España, Ha vana y Puerto-Rico. Josef Comitre, 1®. D. Manuel Caballero, 2200. D. Ma nuel de los Ríos, 80. D. Josef Playas, 160. D. Diego Baro, 80. D. J. B. Canepa, 80. La Sra. viuda de Hernán Deseando complacer al público en todos sus ofrecimientos dez, hijo y compañía, i0. D. Josef Martínez, x0. Don los profesores de caligrafía, aritmética, grartiática y ortogra Francisco Xavier Machado y D. Manuel Andrade Silva, 1600…</t>
  </si>
  <si>
    <t>Canga, Felipe Vázquez</t>
  </si>
  <si>
    <t>Felipe Vázquez Canga</t>
  </si>
  <si>
    <t>…Abril de 1814. presentada á S. M. en "Valencia de vuelta de su cau -Santurio, D. Anacleto Fagoaga, D. Francisco Redondo tividad por D. Bernardo Mozo Rosales: acompaña también di y D. Felipe Vázquez Canga; y para las fiscalías á D. Ma cho manifiesto con notas críticas. El estilo claro con que estaa nuel. de Echeverría y D. Antonio Martel. tratados muchos punros de política y de derecho, y lo necesa rio que es fa ilustración en esta materia por el valor que die…</t>
  </si>
  <si>
    <t>Cannbal</t>
  </si>
  <si>
    <t>…sto. beres, repartiendo aquellas con igualdad entre las diferentes Se dio principio leyendo el acta de la anterior. c!aces del Estado, y asegurando el justo disfrute de los pro El Sr. Cannbal pidió que lo acordado en la misma sesión, ductos de su industria. respecto de los aranceles de la secretaría del Consejo de Es Idem 26. tado, se entendiese también con los del tribunal supremo de Un espantoso granizo y una fuerte avenida de aguas Justicia, so…</t>
  </si>
  <si>
    <t>Cano, Juan de Lera y</t>
  </si>
  <si>
    <t>Juan de Lera y Cano</t>
  </si>
  <si>
    <t>…n ia comisión especial acordada ayer para examinar la exposi la situación en que nos hallábamos. Nuestro prelado el limo. ción y actas de la Junta provisional de Madrid se pasaran Sr. D. Juan de Lera y Cano se ha esmerado también en también las dirigidas por las juntas de Cataluña, Aragón, demostrar los verdaderos sentimientos constitucionales que Coruña, Asturias, y cualquiera otras de las restantes, se le le animan en una pastoral, en que se leen las siguiente…</t>
  </si>
  <si>
    <t>Cantera, Josef Antonio</t>
  </si>
  <si>
    <t>Josef Antonio Cantera</t>
  </si>
  <si>
    <t>Gaceta de Madrid n.º 27</t>
  </si>
  <si>
    <t>220</t>
  </si>
  <si>
    <t>….- ' 1 Librito de las cuatro pasiones según los cuatro evangelistas: el ordinario de; la misa para el jueves santo, y las siete meditaciones para visitar los siete monumentos; por D. Josef Antonio Cantera, presbítero, á beneficio de los que no pueden costear la semana santa grande : un tpmo en 8.° Se hallará en la librería de Francés* calle de las Carretas, á 6 rs. / Semana santa y estaciones para el monumento, por D. A. Lafuente. El que los fieles asistan con…</t>
  </si>
  <si>
    <t>Canterac, Josef</t>
  </si>
  <si>
    <t>Josef Canterac</t>
  </si>
  <si>
    <t>…enemigos; y para que V, E,.forme idea, tanto de las ocurrencias, como dfe las noticias adquiridas con respectó á los enemigos ,&lt; le incluyo* el parte origi nal que me ha dado el .brigadier D. Josef Canterac* Dios: guarde á V. EJ muchos años.. Cuartel-generaL en Loote.8,de^AbriLde x8d9»'=Excmp.^Sr¿= Josef de la Serna. = Excmo. Sr* virey, del Perú.” El Sr. brigadier, gefe del estado mayor general 3 al señor general en gefe del egércüo Real. - . - - ^..............…</t>
  </si>
  <si>
    <t>Cantero</t>
  </si>
  <si>
    <t>…/ «toda enseñanza qre costee el Estado , ó que dé alguna preciado en una junta electoral. /* «corporación con autorización del Gobierno, será publica,” Se leyó una proposición del Sr. Cantero, en que refi en lugar del que tenia anteriormente, que deda : «toda en riéndose á un plan de educación pública, formado por la señanza costeada por el E-tado sera pública.” Es a dife universidad dé Salamanca , pedia que lá comisión de Ins- rencia dió lugar á…</t>
  </si>
  <si>
    <t>…abió publicado en un mismo dia en todas partes, opinó que la Sesión del 24 de Julio. alteración hecha por la comisión debía ser sin perjuicio de Se leyó el acta de la anterior. El Sr. Cantero notó que que en los pueblos en que la Constitución se hubiese publi en ella se decía equivocadamente haberse retirado una indi cado antes del dia 9, se observase desdé la publicación lo cación (hecha al tratar del plan de estudios formado por I3 decretado. un…</t>
  </si>
  <si>
    <t>…ngreso el proyecto de ley correspondiente, la cual des radas. pués de declarada indicación, quedó aprobada. Se mandaron archivar las actas de las juntas preparato Se leyó otra del Sr. Cantero, insistiendo en la que ha rias para elecciones de diputados de toda la Península , re bia hecho en la sesión del 23, relativa al plan de estudios de mitidas por el expresado ministro de la Gobernación. la universidad de Salamanca, y pidiendo que se tuviera po…</t>
  </si>
  <si>
    <t>…e. ( caminos y canales) , sin las cuales en vano podremos es Se declaró no haber lugar á votar sobre otra indicación perar felices resultados en ningún ramo de industria y uti del Sr. Cantero , para que los señores de las comisiones de lidad pública.” Marina y .Comercio diesen razón de la notable diferencia El Sr. Martínez de la Rosa, individuo de la comisión que se encuentra entre el reglamento original y el impreso. especial de Libertad de impre…</t>
  </si>
  <si>
    <t>…clase,” conforme habia insinuado el se Tampoco se creyó pertenecia á nadie mas que al Go ñor Vitorica: se puso á votación , y quedó aprobada por bierno decidir lo que proponia el Sr. Cantero en otra indi 68 votos contra í q. cación : «Que se declare no estar comprendidos en el artí Se leyeron también dos indicaciones del Sr. Navas; una culo i.° los comendadores del hospital del Rey, extramu para que al arr. r."* se añadiese; «y de los canónigos r…</t>
  </si>
  <si>
    <t>…Tuy, como tampoco para allanar la dijo, habia sido contra tilas un motivo de acusación injusta, casa de un ciudadano. por no haber entrado en cuenta para esta acusación las cir El Sr. Cantero, como individuo de la comisión , expu cunstancias que rodeaban á la Nación invadida, sosteniendo so que esta se había hallado perpleja en cuanto al escriba un egército de mas de e6o3 hombres, y con unas rentas no ; pero que no le había parecido conveniente pe…</t>
  </si>
  <si>
    <t>…se declarado haber lugarmarla en consideración: en seguida fue admitida ádiscusión; á votar. en la que los Sres. Casaseca, Moreno Guerra y Martel apo Se aprobó otra indicación del Sr. Cantero, en que pe yaron al preopinante, extendiéndose largamente sobre el mal dia se añadiera á la del Sr. Marín Tauste que los repartí-: repartimiento del subsidio,.habiéndose cargado á algunos mientes que se hiciesen en los respectivos obispados se imueblos mucho…</t>
  </si>
  <si>
    <t>…próxima le quieu , ilustrado con notas, y traducido al castellano por Don gislatura de estas' Cortes.” Juan López de Peñalver, acudirán en Madrid á la librería de Se leyó otra del Sr. Cantero, que refundió su autor en Sojo , calle de las Carretas, á recoger el tomo i.°, que sale ador la del Sr. conde de Toreno. nado con un buen retrato del autor, grabado con esmero. En la No se admitió á discusión esta del Sr. Canabal: «Que misma librería se conti…</t>
  </si>
  <si>
    <t>…se admitieron á discusión ias dos indicaciones si coroneles, con la dotación de 12© rs. anuales; lo digo guientes : á V. de Real orden para que circulándolo por su parte á Una del Sr. Cantero, para que continuando la comisión quienes corresponda, dirija V. las instancias de los indi de Diputaciones provinciales sus trabajos bajo la vigilancia viduos que soliciten dichos destinos; en el concepto de que de la Diputación permanente de Cortes, te diri…</t>
  </si>
  <si>
    <t>CantoIIa, Andrés Crespo</t>
  </si>
  <si>
    <t>Andrés Crespo CantoIIa</t>
  </si>
  <si>
    <t>…ro Gómez Becerra de la de Extremadura ; al conde de ViJlafuertes de la de Guipúzcoa; al brigadier D.. Manuel Jáureguí de la de Grana da; á D. Josef Manuel Vadillo de la de Jaén; á D. Andrés Crespo CantoIIa de la de León; á D. Guillermo Montis de la de las islas Baleares; á D. Mi guel Escudero de la de Navarra; á D. Bernardo de. los Ríos de la de Palen— cía; á D. Francisco'Cantero de la de Salaipanca; á D. Josef Qúeipo de la de Segovia ; á D. Josef María Puente…</t>
  </si>
  <si>
    <t>Cantolla, Crespo</t>
  </si>
  <si>
    <t>Crespo Cantolla</t>
  </si>
  <si>
    <t>go y maestro el Sr. Crespo Cantolla, que' habla diferido de Subrié, Sancho, Sierra Pamblev, Caravaño, Vilianue lá comisión, opinó que no debía declararse haber lugar á fa va , ArtieJa , Solanot, Lagrava, Ruiz del Padrón , Muñoz formación de causa, sin que obstase esto á las infracciones Torrero…</t>
  </si>
  <si>
    <t>…, para que uniéndolo á los antecedentes, propusieindividuos; pero la sabia sociedad no admitió á los por rtt con urgencia lo que tuviese por conveniente; y contes dioseros. tó el Sr. Crespo Cantolla que estaba despachado el asunto* Carballi.no 19 de Agosto. y solo faltaba poner en limpio el informe. El pueblo de Carbailino , bien conocido por su patrio Con este motivo se presentaron y leyeron las siguiente» tismo y adhesión al sistema constitucional, que…</t>
  </si>
  <si>
    <t>…debía haberse dicho solamente Alpuente , opiraó que no habia medio entre convertirlos en si habia ó no lugar á la formación de causa; á lo que con hermanos ó ene:inigos. testó el Sr. Crespo Cantolla, que no estaba bastante instrui Manifestó que los creía bastante castigados con ha! erse do para esto el expediente. Con este motivo pidió el señor visto seis años Uejos de su patria, de su familia, bajo un Go Golfín que se leyeran los documentos, y se acordó…</t>
  </si>
  <si>
    <t>…imos , debía declararse haber lugar á la forma por S. M. á dicha ¡unta, y qué reglamentos tenía; por ro ción de cauta. do lo cual pre'enraba, en unión-con el or. Moreno Guerra, El Sr. Crespo Cantolla defendió el dictamen de !a co la indicación siguienre: «Que informe el Gobierno sobre misión, fundándose en que los ex-diputados no fueron los cuál es el carácter y facultades de la junta de censura religio únicos que ocasionaron la ruina de la Constitución,…</t>
  </si>
  <si>
    <t>Capacete, Fernando</t>
  </si>
  <si>
    <t>Fernando Capacete</t>
  </si>
  <si>
    <t>…• ¡! ' ' ’ ■ ■ • ' ' '' v-. j.• ' '•&gt; ' 4.0 „Fxcmq.Sr.: Después que se tranquilizó la guarnición de la plaza de Cádiz, y pude reuniría en sus cuarteles; sé me presentó el coróríel Don Fernando Capacete con una porción dé oficiales , pidiéndome el arrestó defoü(doís los oficiales del cuerpo de Artillería deiaplazá ^ respectó a5que ío^córtsidcraban sospechosos por sus opiniones; El Astado dé efervescencia én^qiié sé hallaban no me dio lugar á entrar en contes…</t>
  </si>
  <si>
    <t>Capaz, Francisco</t>
  </si>
  <si>
    <t>Francisco Capaz</t>
  </si>
  <si>
    <t>Gaceta del Gobierno n.º 123</t>
  </si>
  <si>
    <t>…-taimen. tuida por la siguiente cláusula: «y pagará por vía de multa1 Se mandó pasar á la comisión especial de Regulares una- tres tantos mas del importe del papel.” exposicibn de D. Francisco Capaz, monge cartujo’de Aula La misma comisión ordinaria de Hacienda presentó su Díi, manifestando hallarse imposibilitado, y en la necesi- ' dictamen acerca del repartimiento de los 1 s millones del dad dé-tener que valerse de un mozo 'para' poderse mover, subsidi…</t>
  </si>
  <si>
    <t>Capecelatro</t>
  </si>
  <si>
    <t>…de Nápoles con fecha del 7 dirigió una Justicia: al Sr. Acclavio para el dél Interior ; y para di carra al Parlamento, en la que comunicaba haberle escrito rector de la Marina al Sr. Capecelatro en propiedad: to los Soberanos de Austria, Rusia y 1 rusia , convidándole á dos los demas son interinos. un Congreso en Laib..ch para interponerse como mediador . A vista de semejantes noticias ¿qué resta saber acerca de entre los mencionados Monarcas y la na…</t>
  </si>
  <si>
    <t>Capetillo, Antonio</t>
  </si>
  <si>
    <t>Antonio Capetillo</t>
  </si>
  <si>
    <t>…os y reverendos . obispos no ordenarán á nadie A la comisión de Infracciones de Constitución se man mientras existan religiosos que puedan desempeñar ios ofi dó pasar una queja de D. Antonio Capetillo, administra cios en sus respectivos pueblos. 2.2. Declararán sujetas á sus dor de correos de Valencia, preso en la ciudadela de di respectivos ordinarios A todas las monjas. 23. Sus bienes se cha ciudad de orden del capitán general. declararán nacionales, señ…</t>
  </si>
  <si>
    <t>Capo</t>
  </si>
  <si>
    <t>…egura del sosiego que al fin se digna dis duos que lo han de componer á los príncipes de Metternich pensar al mundo. Plncomiendo este querido Niño á las or.-. y de Hardemberg y al conde Capo d’Istria, por Austria, ciones del Sto. Padre y de toda la Iglesia, y á La amistad •Prusia y Risia. Ño concuerdan las noticias acerca del mi de todos los Soberano:.” nistro que debe enviar la Francia, y hay quien dice será su embajador actual en la corte de Vi…</t>
  </si>
  <si>
    <t>Car, Antonio Bosch y</t>
  </si>
  <si>
    <t>Antonio Bosch y Car</t>
  </si>
  <si>
    <t>122</t>
  </si>
  <si>
    <t>…ibió con el epígrafe ó palabras tomadas de Baglivio: Non opinandum, sed, certo et ostensive sciendum; ñeque dispiitandum, sed ex* periendum quid natura faciat aiit feral, su autor D. Antonio Bosch y Car* dellach, médico en la villa de Brafin, en el campo de Tarragona, socio cor» responsal de este cuerpo. Este profesor en el concurso del año 1803 obtu vo la medalla de oro ofrecida á la mejor descripción de una epidemia acaeci da en España desde el año 1787, p…</t>
  </si>
  <si>
    <t>Car, D</t>
  </si>
  <si>
    <t>D Car</t>
  </si>
  <si>
    <t>…s que hacien de 181 í ; y con las expresiones de este demostró la ofensa do en su informe referencia de las informalidades y falta de que se había hecho al honor y buen nombre del Sr. D Car legalidad con que se había procedido tanto en el restableci los iii ; y que por no haberse observado hs leyes, ni ha miento de los jesuítas, como en la extinción del cabildo de berte dicho al Rey (os antecedentes que había en la mate S. Isidro, proponían á la…</t>
  </si>
  <si>
    <t>Car, Luisa</t>
  </si>
  <si>
    <t>Luisa Car</t>
  </si>
  <si>
    <t>…espondiente á su puntual cumplimiento. = Está Tubricado.=:En Palacios j de Mayo de 1820.^= A D. Manuel 'García Her reros.” 3.0 ,,iIabiendo dado lelrzmente á luz un Niño la Infanta Doña Luisa Car iota, esposa de mi augusto Hermano el Infante D. Francisco de Paula, no lie podido menos de considerar que coincidiendo tan fausto suceso con los primeros pasos de ¡la nueva carrera política que ha emprendido ¡la Nación es pañola, seria-muy propio el distingu…</t>
  </si>
  <si>
    <t>Car, Manuel</t>
  </si>
  <si>
    <t>Manuel Car</t>
  </si>
  <si>
    <t>…as licencias cobrarán guientes: D. Tomas González Carvajal por 112 votos de mensualniente sus haberes por las cajas de sus cuerpos ó por 117 : el conde de Taboada por 103 de 110 : D. Manuel Car las tesorerías de egercito de las provincias en que fijen su rillo por 78 de 126; y en clase de eclesiástico D. Ramón residencia, según mas les acomode.” •Cabrera por 94 de 120. Se aprobaron también los artículos 4.3.° y 6.° Se concedió al Sr. Magariño el per…</t>
  </si>
  <si>
    <t>Car, Pedro</t>
  </si>
  <si>
    <t>Pedro Car</t>
  </si>
  <si>
    <t>Gaceta de Madrid n.º 43 (extraordinaria)</t>
  </si>
  <si>
    <t>…res, mariscal de campó dé los mismos; y los Sres. D. Jpséf Blanco González, intendente y corregidor de esta ciudad; él marques de Viilafranca de Ebro, I&gt;. Joaquín'Diez de Tejada , D. Pedro Car isa, D. Juan Romeo, D. Francis co Barber, D. Joaquín Gómez , D. Vicente Ibañez de*Aoiz , D. Andrés Ma? rin, el barón de Torrefiel y D. Pedro Vidal, regidores del ayuntamiento de la misma; D. Bernardo Segura y D. Pablo Treviño, diputados del común de ella, y-D…</t>
  </si>
  <si>
    <t>Cara, Francisco</t>
  </si>
  <si>
    <t>Francisco Cara</t>
  </si>
  <si>
    <t>…otras peticiones. (Véase ¡a sesión del ¡d.) triótica de Amigos del orden de Madrid, y de otras corpo Habiéndose anunciado que esperaba para jurar el señor raciones y particulares. D. Francisco Cara vano, diputado suplente por Caracas, se Se mandaron pasar al Gobierno para los fines convenien</t>
  </si>
  <si>
    <t>Carabaño</t>
  </si>
  <si>
    <t>…0 dias. para proceder á la prisión de un hombre, sino que lo de Se mandaron agregar al acta de hoy dos votos, aro del terminará la ley 5 pero siendo estas las de Partida , son tan Sr. Carabaño contrario al art. 2.c del dictamen de la-comi amplias que le dejan al juez la facultad de que prenda á sión sobre ladrones, y otro del Sr. Lruriz contrario al sequien quiera: añadiendo ademas, que en esto no creta se hu : gundo punvo propuesto por la misma pa…</t>
  </si>
  <si>
    <t>…e el Gobierno está decidido á satis Se leyó el acta de la anterior, á la que se manda facer los deseos de casi toda la Nación convocando las Cor ron agregar el voto particular del Sr. Carabaño , contra tes, cuya noticia ha causado la mayor satisfacción, por sa rio á la resolución de amnistía á los disidentes de América, ber todos que solamente esta medida puede salvar el reino y el de los Sres. Ramos Arispe, Magariño, Moya, Fagoadel precipicio á qu…</t>
  </si>
  <si>
    <t>Carabaño, Francisco</t>
  </si>
  <si>
    <t>Francisco Carabaño</t>
  </si>
  <si>
    <t>…tra del Sr. Vargas Ponce para que se repartan ciertos Antonio de Moya, por el Perú; D. Josef Sacara, por Goaterrenos, divididos en suertes, á los marineros casados y sol temala, y D. Francisco Carabaño, por Venezuela; y no ad eados retirados, bajo la condición de hacer algunos plantíos mitieron la excusa dada por el Sr. D. Francisco Magariño, de árboles &amp;cc. diputado suplente por Buenos-Aires. Otras siete del Sr. Banqueri, que pidió se tomasen en Se aprobó…</t>
  </si>
  <si>
    <t>…ión á ser propiedad de aquellos vemarcha que seguía el Gobierno, y por la conducta que ob c¡ nos. servaba el consejo de Estado; siendo tan necesaria Aquella Se concedió licencia á D. Francisco Carabaño, diputada circunstancia, que sin ella no podría continuar bien el sis por Venezuela, para pasar á Cádiz á restablecer su salud. tema. Se mandó pasar á las comisiones de Libertad de impren Preguntando en seguida el Sr. conde de Toreno si el ta y segunda de Leg…</t>
  </si>
  <si>
    <t>Caracciolo</t>
  </si>
  <si>
    <t>…ilizar los ánimos, reduciendo sus providen El Sr. Colaneri leyó por segunda vez las proposiciones cias á las medidas políticas que sus intereses y el de sus ve siguientes: 1.a de! Sr. Caracciolo, relativa á un proyecto cinos puedan tener por necesarias como mera precaución. de economía rural: 2.a del Sr. Castagua sobre la actividad Tleñielberg &amp; de Noviembre. en los preparativos de guerra: t.a Jel Sr. l’epé para excitar Se notan grandes movimientos e…</t>
  </si>
  <si>
    <t>Caraveo, Josef Rafael</t>
  </si>
  <si>
    <t>Josef Rafael Caraveo</t>
  </si>
  <si>
    <t>…itan D. Juan Coll, alférez dél segundo regimiento de Reales guar dias de infantería* . En América. El gobierno de la provincia de Mainas, en el nuevo reino de Granada, al teniente coronel D. Josef Rafael Caraveo, sargento mayor que era del fijo dé Campeche i la sargentía mayor del Real fuerte de S, Cárlos de Petóte, en Nueva-España, al capítan D. Narciso Arascót, ayudante de la segunda brigada dé milicias de aquel reino; y la auditoría de guerra del egércfto expedici…</t>
  </si>
  <si>
    <t>Carbia, Fernando de</t>
  </si>
  <si>
    <t>Fernando de Carbia</t>
  </si>
  <si>
    <t>…l desgraciado general Porlier , y co lativo. á que se sentenciase el pleito entre.. D. Francisco de mo tales comprendidos'en su causa,"y pidiendo se les de Herrera y consocios con D. Fernando de Carbia, vecinos clarase dignos de la consideración del Gobierno por los per de Granada , sobre intereses, por una junta de letrados, juicios sufridos á causa de su persecución. como se habian convenido las dos partes. Al Gobierno se pasó una exposición de D. Gil Gut…</t>
  </si>
  <si>
    <t>Carbonell, Josef Estrada y</t>
  </si>
  <si>
    <t>Josef Estrada y Carbonell</t>
  </si>
  <si>
    <t>…o reglas asi numéricas como algebráicas. D. Alberto Boscli y Espinos sobre las cuatro reglas de sumar, restar, multiplicar y partir; fracciones vul gares, decimales y algebráicas. D. Josef Estrada y Carbonell trató de las razo nes y proporciones; de la regla de tres y sus aplicaciones á las de compañías, interes simple y compuesto, y aligaciones. D. Francisco de Argemir y Viñas de la elevación de cantidades á sus potencias, asi numéricas como algebráicas; de la ex…</t>
  </si>
  <si>
    <t>Carbonell, Miguel</t>
  </si>
  <si>
    <t>Miguel Carbonell</t>
  </si>
  <si>
    <t>Gaceta del Gobierno n.º 166</t>
  </si>
  <si>
    <t>…receden. = Por 21 milicianos Para la Península........ 420..... 210 105áusentes accidentalmente, y los demas que no saben escri Para Ultramar............. 600..... 300 *5° bir, el teniente Miguel Carbonell." Para Canarias é islas Baleares..................... 500..... 2*0_ 12 _e VARIEDADES. Se continuará distribuyendo gratis á los suscriptores todos los suplementos que fuere necesario publicar; los cuales desde rusia. La organización eclesiástica de los diverso…</t>
  </si>
  <si>
    <t>Cardado, Felipe</t>
  </si>
  <si>
    <t>Felipe Cardado</t>
  </si>
  <si>
    <t>…as acerca de los negocios de España, Portu cho ingenio.gal y Nápoles; peto que no se Labia traslucido su con Mapa geográfico de los reinos de España y Portugal, grabadotenido. por D. Felipe Cardado. El primoroso grabado , la exactitud de VARIEDADES. las posiciones de los pueblos, y" la precisión con que están marcadas las cordilleras y montañas de toda la Península , ha Nuevo método de hacer vino. Se ha descubierto en cen recomendable este mapa, á pesar…</t>
  </si>
  <si>
    <t>Cardeña, Francisco</t>
  </si>
  <si>
    <t>Francisco Cardeña</t>
  </si>
  <si>
    <t>…divisiones 12 y 15. Las cartas de Augsbur- SECRETARIA DEL CONSEJO DE ESTADO.__ Vacante. go del 29 citan otras de Viena , anunciando que el Gabinete Ultramar. Por fallecimiento de D. Francisco Cardeña austríaco recibiría al nuevo embajador de Ñapóles duque de se halla vacante la canongía que obtenía en la santa iglesia Gallo; pero se advertía que sin embargo hablaba contra los catedral de Guadalajara de Indias, cuyo valor es de 6; 21 sucesos de Nápoles el…</t>
  </si>
  <si>
    <t>Cardenal</t>
  </si>
  <si>
    <t>…nuel Rodríguez Monge, capellán de honor de S. M- en la Real capilla dé Sres. Reyes Nuevos de Toledo, examinador sinodal de este ¡arzobispado, teólogo de cámari, consultor del Emo. Sr. Cardenal arzobispo de dicha ciudad; dedicado por la misma real congregación al Rey nuestro Señor D. Fernando vn , y costeado por tres in dividuos congregantes. Se hallará en la librería de Sojo, calle de las Carretas; en Va lencia en la de Salva y empañía, y en Toledo…</t>
  </si>
  <si>
    <t>Cardito</t>
  </si>
  <si>
    <t>…otección la restablecerá en el distinr guido Jugar que antes ocupo entre las principales plazas, marítimas. Milán 20 de .Enero. Los periódicos de Ñapóles contienen.un. informe del príncipe Cardito, presidente de la comision.de instrucción pública , dirigido á S. M. el Rey de las Dos Sicilias sobre, el estado- actual de los establecimientos de este ramo; del cual resulta que en el año 1815 apenas ascendía el número dé los discí pulos de los colegios y l…</t>
  </si>
  <si>
    <t>Cardona, Vicente Tiller Foix de</t>
  </si>
  <si>
    <t>Vicente Tiller Foix de Cardona</t>
  </si>
  <si>
    <t>…, de Ía Real chancillería de Valladolid, y teniente primero de corregidor de esta muy heroica villa de Madrid, se cita, llama y emplaza a los acreedores á los bienes dimitidos por D. Vicente Tiller Foix de Cardona, y su muger Doña Joaquina Paredes en 13 de Noviembre de 1798 , para que en el preci so término de 20 dias, contados desde la publicación de este anuncio, comparezcan ante dicho señor y escribanía del numero de £&gt;. Juan Antonio de Urraza, por sí • por medio de…</t>
  </si>
  <si>
    <t>Careaga, Domingo</t>
  </si>
  <si>
    <t>Domingo Careaga</t>
  </si>
  <si>
    <t>…do , cabo 1.“ de ídem; la misma jurisdicción , en 330 rs. ■ . .. D. Juan Mancebo, subteniente del i.° de Guardias españo Otra en idem , de S£ robos, jurisdicción de la expre las ; D. Domingo Careaga, capitán graduado de Navarra; sada ciudad de Tudela, en 85b rs. D. Manuel Cisneros, coronel de las Milicias provinciales de .Otra landa en Mosquera y campo Cerezo,de ; robos, Avila; D. Mariano Becenil, teniente coronel graduado de jurisdicción de la referida…</t>
  </si>
  <si>
    <t>Carena, Jacinto</t>
  </si>
  <si>
    <t>Jacinto Carena</t>
  </si>
  <si>
    <t>…ar Otra casa en id., calle de S. Juan Bautista. 811,828. se trasportado, ya al Olimpo , ya á !a Arcadia. Otra casa en id., frente de S. Pedro Mártir. 36,453. Economía rural.----El profesor Jacinto Carena ha leído Otra casa en id., en la cuesta del Cristo de la Luz. 21,532. en la academia de las ciencias de Turin una memoria inte-’ En la provincia de Cádiz, procedentes de mostrencos, resante , en la cual describe dos máquinas para agramar ely cuyos remates se…</t>
  </si>
  <si>
    <t>Carerach, Josef Antonio</t>
  </si>
  <si>
    <t>Josef Antonio Carerach</t>
  </si>
  <si>
    <t>…s, D. Manuel cantes , y muchos barcos pequeños de cabotage. Forner, D. Francisco Coima , D. Ignacio Torres GolobarMarruecos se halla actualmente sin marina. des, D. Josef Aranijo, D. Josef Antonio Carerach y Don Los periódicos alemanes dicen que Ali-Bajá ha recibido Alejo Baulenas. en su egército á algunos oficiales extrangeros; y que habien El objeto de esta reunión y de la formación de la junta do hecho un alistamiento extraordinario, asciende el núme ha sido y es dest…</t>
  </si>
  <si>
    <t>Caria</t>
  </si>
  <si>
    <t>…leve su sucesor, y vuelva de París el mariscal de Ja clemencia:;no-se dignara-permitir que los primeros ins tantes de, la existencia de mi ITenriq ie, de mi querido hijo, de campo príncipe Caria». .11 .... el del hijo de la Francia , sean señalados por un perdón? de 2 ^ de Noviembre ha sido noinhrsito decreto For duque de Gallo lugar»tenieme general en bicilia; y en aque «Disimulad, mi querido tio, la libertad q .e me atrevo á tomar abriéndoos mi cor…</t>
  </si>
  <si>
    <t>Carian</t>
  </si>
  <si>
    <t>…S. A. R. la duque estado contra lo que se estableciere por las Cortes en el plan sa de Yorck murió el dia 6 de Agosto. En Viena habia general de instrucción pública. conseguido el príncipe Carian , nuevo embajador de Ñapó 3.0 «Lo mismo se egecurará con los demas colegios, les, visitar á 8. A. la Archiduquesa-Clementina, esposa deL seminarios y establecimientos literarios que se hallen en iaua- Príncipe Leopoldo de las Dos Sicilias, y tener dos confe-,…</t>
  </si>
  <si>
    <t>…líbica: dos pliegos. Véndeseá jo cuartos en las libre que de Gallo habia sido nombrado embajador á Viena, y rías de Pérez , Villa , Matute y Minutria. de resultas de la vuelta del príncipe Carian se disponía á Apuntes sobre el arresto de los vocales de Cortes. Niím. 3.0 Contiene observaciones sobre La causa de los diputados Dueñas,partir al instante: para la embajada de Londres habia sido Ruiz de Padrón, López Cepero y otros. Sobre la contestaciónnomb…</t>
  </si>
  <si>
    <t>Carian, Prinet de</t>
  </si>
  <si>
    <t>Prinet de Carian</t>
  </si>
  <si>
    <t>…uilidad pública.” llevar á egecucion el tratado de 17 de Diciembre de 1801 entre la Erancia y la Regencia de Argel. ALEMANIA. Anuncian las cartas de Nápoles haber sido nombrado el general Prinet de Carian para la embajada de Vicna, y que Uambnrgo 12 de Julio. ya habia salido de Nápoles para su destino. Se asegura que va á haber una mudanza absoluta en nues Nada se lia vuelto á decir del nombramiento del Prínci tra policía; lo que es muy satisfactorio para los…</t>
  </si>
  <si>
    <t>Cariati</t>
  </si>
  <si>
    <t>…A. dría contribuir á conducirlos. Vuestros votos han sido los precursores de la bondad del Monarca , y he llegado á ser Vierta 26 de Junta* el depositario de vuestra seguridad. El príncipe Cariati, nombrado embajador de Ñapóles «¡Ciudadanos! No habéis colmado de beneficios á un cerca de esta corte, [legó 8qui el día 23. Hasta ahora no ha ingrato. Mis débiles fuerzas se duplican en el día: entrego tenido audiencia ni del príncipe Metternich ni del Em al…</t>
  </si>
  <si>
    <t>…r mas todavía la pública paz y concordia. Viena jo de Julia. • El teniente general comandante en gefe ba dirigido á los generales, oficiales y soldados del egército constitucio El príncipe Cariati tuvo en los dias 26 y 27 dos confe nal la -iguienre proclama: rencias con el príncipe de Metternich. Se asegura que no se «Ya S. M. ha dado la Constitución que reclamaba el le lia querido reconocer en calidad de embajador, porque voto un mime de la nacían, y…</t>
  </si>
  <si>
    <t>…del NOTICIAS DEL REINO. ■Rey de Ñipóles ha llamado la atención pública, y dado '-motivo á algunas inquietudes, que pudieron haberse evitado* Madrid 4 de Setiembre. La comisión del príncipe Cariati se reducía á hacer saber SS. MM. y AA. siguen sin novedad en su important* á este Gobierno la resolución que habia tomado su Soberano salud. de confiar la autoridad Real á su sucesor el Príncipe here S. M. ha despachado hoy con el Sr. secretario del dero , y…</t>
  </si>
  <si>
    <t>Carinen, Ramón Belmint y</t>
  </si>
  <si>
    <t>Ramón Belmint y Carinen</t>
  </si>
  <si>
    <t>…agedia en tres actos , refundida del grie Contestación á algunos problemas, por el subteniente del go y del francés, y acomodada al teatro español por D. Fran regimiento de Murcia D. Ramón Belmint y Carinen. cisco de Paula Diaz. Se hallará á 4 rs. en lo. libren, de Perez. MADRID EN LA IMPRENTA NACIONAL.</t>
  </si>
  <si>
    <t>Cárlés</t>
  </si>
  <si>
    <t>…nas criminales sobre hecho propio”, ha dé recibírlq al soldado Ger-qni-mó Ruiz , á quien está procesando por t&gt;aber herido á un cabo 'primera del regi miento de infantería Infante D. Cárlés; se há servido.S. M.’ resolver/en con formidad de lo expuesto por el tribunal especial de Guerra y Marina en acor dada de 10 de este mes, que se observe rigorosamente el citado artículo de laConstitución en el,caso consu|ta¡do"y demás de esta naturaleza que s…</t>
  </si>
  <si>
    <t>Cárlos</t>
  </si>
  <si>
    <t>…ueva edición de la historia general de España del P. Ma riana, ilustrada con notas históricas y críticas, y tablas cronológicas desde los tiem pos mas antiguos hasta la muerte del Sr. D. Cárlos ur, por el Dr. D. Josef Sabáú y Blanco, canónigo de la santa iglesia metropolitana de Bárgos, é individuo de ll jELeal Academia de la Historia, acudirán á recoger el tomo 13 y pagar el 14, qué saldrá pronto, á la librería de Quirós, calle de Atocha; en Cádiz…</t>
  </si>
  <si>
    <t>Carlos</t>
  </si>
  <si>
    <t>…resarcir ú los perjudicados sin forma de juicio, consultando a S, M. el modo de allanar todos los obstáculos. En 2-9 de Maye de 1815 ad mitió la Condecoración de la'gran cruz del Sr. D. Carlos 111 con que le, hon,r? jó el Soberano: y por otra Real orden de 8 de Setiembre puso S. M. ¿ su cuidado la erección de una escuela gratuita en el barrio de Tríana de Sevilla, con arreglo ¿ un plan que propuso , de cuyo establecimiento Je declaró pro tector. En…</t>
  </si>
  <si>
    <t>…del regimiento caballería del Príncipe: el de gobernador de la de Mon zón al coronel í&gt;. Miguel Ochoa, comandante , i del primer batallón del regi miento de infantería del Infante D. Carlos; y lá sargentía mayor de la plaza de Ibiza al capitan D. Juan Coll, alférez dél segundo regimiento de Reales guar dias de infantería* . En América. El gobierno de la provincia de Mainas, en el nuevo reino de Granada, al teniente coronel D. Josef Rafael Carave…</t>
  </si>
  <si>
    <t>…acreedores á los bienes que han quedado por falle cimiento de D. Josef Mariano de Pou , coronel de los Reales egércitos, agregado úl timamente al regimiento infantería del Infante D. Cárlos, que murió en esta plaza el 2 3 del pasado, cuyo juicio de testamentaría se halla radicado en el juzgado militar de la misma, para que en el término de 40 dias acudan á dicho juzgado á pedir en for ma lo que á su derecho les convenga; con apercibimiento de qu…</t>
  </si>
  <si>
    <t>…icios á que son acreedores por sus virtudes; y Yo, deseáñdo llevar á cábó mis paternales deseos, he venido en mandar; conformándome con él parecer de mi augusto Hermano el Infante D. Cárlos, y de la junta que preside pára tratar de los negocios que la tengo confiados, y conviniendo también con lo que de ailtiguo vos me teneis propuesto ; qué mi Consejo de Estado Se ocupe inmediatamente, y según el objeto de su ins-r titucion, en examinar lá plan…</t>
  </si>
  <si>
    <t>…ueva edición de la historia general de España del P. Ma riana, ilustrada con notas históricas y criticas, y tablas cronológicas desde los tiem pos mas antiguos hasta la muerte del Sr. D. Cárlos m, por el Dr. D. Josef Sabau y Blanco, individuo de la Real academia de la Historia, canónigo de Burgos,, y elec to arcediano de Aliaga de la santa iglesia metropolitana de Zaragoza, acudirán á re coger el tomo 14 y pagar el 1 5, que saldrá pronto, á la Obrer…</t>
  </si>
  <si>
    <t>…orables sucesos del Dos de Mayo dé 1808 eri Mádrid, con todós los anteriores acontecimientos ocurridos en. Aranjuez; prisión del Príncipe dé lá Paz; Abdicación de la cbrbna por el Sr. D. Carlos iv; entrada dél Sti DV Fijrnívn'do Vireir lá capital-; y su proclamación- en- la plaza Mayor de Ma * ■ díid. Esta obra-, compuesta de ocho estampas’en pliego*: de marca mayor, que igual mente- representan las- priacipalés escenas dé- aquel’ memorable y glorio…</t>
  </si>
  <si>
    <t>…pañoles, y nuestro amado Rey y Real Familia, declaran las Cortes que no está obligada la Nación á satisfacer el empréstito hecho por el tesoro público de Francia en el reinado del Sr. D. Carlos iv, y oue suspenden el reconocimiento del que hizo la Holanda en el mismo reina do mientras permanezca agregada á la Francia, ó subyugada por Napoleón y su familia.’* „ Las Cortes generales y extraordinarias, constantes siempre en los principios de justicia y…</t>
  </si>
  <si>
    <t>…eneficiado de la parroquia de Santia go de esta corte; D. Gabriel Perez Calderón, presbítero, capellán en Ja del Obispo de la misma, y Pedro Escolar, cadete del regimiento Infaote Don Cárlos, me han ayyd.ado constantemente para lá percepción , cuenta y en^ treoa de caudales, ¡cobranza y giro de letras, formación de asientos, listas y estados semanales , y la correspondencia que se.ha seguido con todos los reve-</t>
  </si>
  <si>
    <t>740</t>
  </si>
  <si>
    <t>…ero. Se dará razón al cura, párroco de Sta. Cata* lina de Murcia. J ^ ^ Relación histórica del auto general de fe que se celebró en Madrid en el año de 1680 con asistencia del Rey D. Carlos ir, fiel y literalmente reimpresa de la que publicó en el mismo año Josef del Olmo, alcaide y familiar del santo oficio, ayuda de la furriera de ó. M. , y maestro del Buen Retiro y villa de Madrid, Este espec táculo memorable, que duró en la plaza Mayor desde…</t>
  </si>
  <si>
    <t>…eva edición de la Historia general dé España del P. Ma riana /Ilustrada con notas históricas y eríticaSi y tablas cronológicas, desde los tiem pos mas antiguos hasta la muerte del Sr. D. Cárlos in, por él Dr. D. Josef Sábau y Blanco, individuo cíe la Real academia de la Historia, canónigo de Burgos, y electo arcediano de Aliaga de la santa iglesia metropolitana de Zaragoza, acudirán i reco ger el tomo 15 , y pagar él r&lt;5, qué saldrá pronto, á la lib…</t>
  </si>
  <si>
    <t>…ando de este modo una mo testamentarios de D. Mariano Rúiz, español, natural de especie de estadística literaria de los diversos paise» del orbe Valencia', guardajoyas de S. M. el Sr. D. Carlos iv, hacen sa civilizado. Daremos principio por los ber que en dicha ciudad á 4 de Abril del corriente año murió está&amp;os-un'idos De AMERICA. E#te país llama desde el referido D. Mariano, dejando herederas á sus dos hermanas luego la atención del observador; y…</t>
  </si>
  <si>
    <t>…isterio de Hacienda. tercer edicto á pregón al referido Jaime Trovas, señalándole el cuartel que en el día ocupa su citado regimiento en esta «El Rey , enterado de la solicitud de D. Carlos de la plaza , donde deberá presentarse personalmente dentro del ‘Vega, de que se declare no comprendido en el Real decreto término de 10 días, contados desde el io del corriente, pa ¡de 21 de Abril último el sueldo que goza como individuo ra dar sus descargos…</t>
  </si>
  <si>
    <t>…como luego se han mandado suspender las 20 cruces pensionadas de la Real y distinguida orden de estos privilegios, ha habido varias quejas sóbrelos perjuicios mi augusto Abuelo el Sr. D. Carlos tu , que de Dios goza, que se Ies siguen: el ministro remitió el expediente á las las cuales están asignadas para premio de los servicios de Corres para que decidieran ; y la comisión de Hacienda, á estos empleados en la forma siguiente: cuatro para los ofi q…</t>
  </si>
  <si>
    <t>…sen de ert la librería de Paz. solamente de ena ley general los Grandes de España que lo ;mta. l;n la gaceta de ayer, plg. 322 , Kn. 38, donde.dice eran al tiempo de la muerte del Sr. D. Cárlos ai, los cua arzobiíro de Badaceua, léase conde de Barbaceñcf. MADRID. EN LA IMPRENTA NACIONAL.</t>
  </si>
  <si>
    <t>…icio del mundo. sino siempre, ha conocido sus facultades, y' las ha sostenido El Sr. Gareli se levantó para advertir dos equivocaciones con vigor, citó las contestaciones entré el Sr. D. Carlos m que se advertían en el proyecto impreso que se habia repar y la corte de Roma con motivo de la expulsión de los je tido. Una en la colocación que se habia hecho de los artí suítas, añadiendo que nunca titubeó sobre estas mismas fa culos al tiempo de la impr…</t>
  </si>
  <si>
    <t>…Hacienda manifestó que las cédulas Asimismo fueron aprobados los artículos 24 y 25 , que hipotecarias eran de tres clases; unas representativas de la decían asi: deuda que dejó el Sr. Carlos iv al fin de su reinado: otras 24. «La independencia de esta junta, en cuanto al ma dadas por el Gobierno intruso en remuneración á los que le nejo de los fondor, no se opone á que esté, como esta , bajo habían servido; y otras á los dueños de las casas derri…</t>
  </si>
  <si>
    <t>…: 8.° sus cargas y servidumbres: 9.° su pata a! art. 13: «Y también las enagenaciones hechas en producto si fuese de propios ó baldío arbitrado: 1 o.- el mo virtud de la orden del Sr. D. Carlos nf en el año de 1770.” do de dividirle según prescribe el decreto de 4 de Enero: Habiendo dicho el Sr. Ab'arez Guerra que bastaría para ii. las pretcnsiones de militares retirados y cumplidos, y el efecto añadir en el art. ^.u después de las palabras «4 de de…</t>
  </si>
  <si>
    <t>…exactitud y regularidad que previenen las instruccio vedad en su importante salud, á excepción del Sermo. Se nes , y que la prudencia de V. conocerá ser indispensables ñor Infante D. Carlos, que permanece en cama á conse para concluir con acierto la grande obra de nuestra regene cuencia de su resfriado.” ración política. Circular del ministerio de Gracia y Justicia. »La necesidad que obligó á los portugueses á dar este Los señores secretarios de…</t>
  </si>
  <si>
    <t>…1 2 del dia se anunció en la Cámara la venida de tua c dosal, que debe erigirse en Nápoles para honrar la me la Reina ; su comitiva era poco numerosa, porque no sabien-' moria del Sr. D. Carlos ni, Rey de Nápoles, y después do el pueblo que hubiese de ir al Parlamento, no se reunió de España. para acompañarla. S. M. permaneció por espacio de dos ho ras en su cuarto particular sin entraren la sala de los Pares. Nápoles 2 y de Octubre. -----Sesión del…</t>
  </si>
  <si>
    <t>…s de consecuente: y en fin cuando S. M. se dignó darle el últi infantería, En 10 de Octubre de 1770 entró i servir al .Se mo testimonio de su aprecio, mandándole hacer honores ñor D. Carlos tu en clase de page, y en 1777 obtuvo ya fúnebres miliiares, el serio y silencioso marchar de toda la por sus bellas disposiciones y aplicación una compañía del digna oficialidad de su regimiento y de otros, y desús regimiento de infantería de América, hallán…</t>
  </si>
  <si>
    <t>Cárlos'i</t>
  </si>
  <si>
    <t>33</t>
  </si>
  <si>
    <t>…uprimir, y variar algunas leyes, y - añadir otras; mas esta empresa .no tuvo-principio sino en el reinado del Señor D. Fernando el vi , y continuó con alguna lentitud hasta el del Sr. D. Cárlos'i i-i, mi augusto Abuelo, que nombró.-una;, comisión compuesta de minis tros del Co. sejo de l¡-dias, los que ade Untaron sus- trabajos al punto de creer podía publicarse, en el año.de i8o$ :; en uí estado quedó durante la.revohi— i cio¡&gt;; pero restituido al tr…</t>
  </si>
  <si>
    <t>Carlos, Infante Doíi</t>
  </si>
  <si>
    <t>Infante Doíi Carlos</t>
  </si>
  <si>
    <t>…aballería de Ronda comisionó á sos individuos mar ques las Amarillas, actual Secretario de Estado y del Despacho de la Guer ra , D. Fernando Queipo de Llano, secretario del Sermo. Sr. Infante Doíi Carlos , y el coronel D Felipe Lacorte, teniente coronel del Real cuerpo dé Ingenieros, á fin de que tuvieran el honor de felicitar á S. M., y manifestarle su gratitud por haber jurado la Constitución promulgada en Cádiz en 1812; y el primero de ellos dijo:</t>
  </si>
  <si>
    <t>Carlos, Muñoz Torrero</t>
  </si>
  <si>
    <t>Muñoz Torrero Carlos</t>
  </si>
  <si>
    <t>…y en el orden y forma1 para evitar el compromiso de creerse que la patria negaba que establece. Por consiguiente á taita del Sr. Infante Don el agradecimiento á sus defensores. El Sr. Muñoz Torrero Carlos, hermano mayor del Rey, y sus descendientes le manifestó que ni se habia aprobado ni reprobado la propo gítimos , entrará A sucederle en la corona su hermano Don sición , sino únicamente no se había admitido A discusión, Francisco de Paula y su descendencia l…</t>
  </si>
  <si>
    <t>Carlos, Romero Alpüente S.</t>
  </si>
  <si>
    <t>Romero Alpüente S. Carlos</t>
  </si>
  <si>
    <t>…............. ............... 7.640,560..25 Cortes anteriores , y los que vinieron posteriormente con po En 173 acciones del banco nacional de deres de sus provincias; y otra del. Sr. Romero Alpüente S. Carlos..................ó........................ 346,000</t>
  </si>
  <si>
    <t>Carlota, Luisa</t>
  </si>
  <si>
    <t>Luisa Carlota</t>
  </si>
  <si>
    <t>…La causa, y.sentenciará ngársele el que disfruta como ayuda del Real guardamuebles en rebeldía por el Consejo de &lt;3uerra de oficiales por el dedel cuarto de la Serma. Sra. Infanta Doña Luisa Carlota dito que merezca pena mas grave entre el de deserción y el por cuenta de S. A., y no de los fondos nacionales; se hi que le causó la fuga ^haciendo el cotejo de una y otra r&gt;cna, servido S. M. declarar por punto general que el sueldo que sin mas llamarle, por…</t>
  </si>
  <si>
    <t>…,, Por los tratados matrimoniales de S. M. y de A la de Instrucción pública un arre de escribir de Don •SS. AA. las Sermas. Sras. Infantas Doña María Francisca y Vicente Naharro. Doña Luisa Carlota se han señalado para gastos de cámara, A la especial que entiende en el asunto se mandó pa- vestidos y alfileres 6409 rs. vn. A la primera, ííc9 á la íer una proposición del Sr. O-Da/y, relativa á la extinción segunda, y 6009 A la tercera, cuyas cantidades un…</t>
  </si>
  <si>
    <t>Carlotas, Luisa</t>
  </si>
  <si>
    <t>Luisa Carlotas</t>
  </si>
  <si>
    <t>…tiempo que debían nombrar.e comandantes ge matrimoniales á S. M. la Reina y Señoras Infantas Doña nerales á la milicia , como se nombran sus gefes, en lugar" Je María Francisca y-Doña Luisa Carlotas 2«° sí respecto á serlo natos los gobernadores de las plazas. esrar declarado Infante de España D. Carlos Luis, hijo del Después de haber recordado el Sr. i’alarea que no esta Serino. Sr. D. Cirios María, se le habla de asistir con los ba aun aprobado el regl…</t>
  </si>
  <si>
    <t>Carmen, María del</t>
  </si>
  <si>
    <t>María del Carmen</t>
  </si>
  <si>
    <t>9° Los periódicos de Demcrari del i.” de Mayo anuncian administrar sus bienes sin necesidad de tutor, y otro de qre el 21 de Marzo último había pasado á St. Kett una es Doña María del Carmen de la Hoz y Guzman , pidiendo se cuadra francesa, compuesta de 3 fragatas y 2 bergantines. la dé facultad para dejar á su marido una parte de la renta ídem 1de Julio. de su mayorazgo por vía de viudedad. Ayer no se ocuparon las dos Cámaras del Parlamento Se c…</t>
  </si>
  <si>
    <t>Carnavon</t>
  </si>
  <si>
    <t>…despachados á paí ministerio de Seguridad pública, á las órdenes de D. Pedro ses extranjeros para asuntos relativos al proceso déla Reina. Agustín Echavarri. En seguida propu o el lord Carnavon que se preguntase A la misma se pagaron dos oficios del mismo Sr. secre á los abocados de S. M. si en las actuales circunstancias po tario , incluyendo dos listas de las pensiones que gravitan dían continuar su defensa. Mr. Brougham pidió que se sus «obre la…</t>
  </si>
  <si>
    <t>Carnavort</t>
  </si>
  <si>
    <t>…de que el amor, y En seguida se hicieron varias propuestas, que no produje mo el temer es el solido fundamento de ios Gobiernos, par ron resultado alguno. Por la primera pidió el lord Carnavort ticularmente en una época en que la civilización no puede que se añadiese por vía de indicación ai preámbulo del bilí conciliarse con la arbitrariedad. que el haberse negado S. M. la Reina á aceptar !a renta anual Hannóver 28 de Octubre. de libras esterlinas,…</t>
  </si>
  <si>
    <t>Carnero, Antonio</t>
  </si>
  <si>
    <t>Antonio Carnero</t>
  </si>
  <si>
    <t>…has militares por las aspere del gobernador de CumanA, y del parte que á este dió en zas de estos alrededores para acostumbrarse.á todo género el propio dia el capitán de egército D. Antonio Carnero, -de egércicio marcial, y estar prontos al primer •aviso. ¡comandante de la tropa embarcada en el místico Hércu les , acerca de la gloriosa muerte del comandante de las Alacirid x.° de Diciembre. •fuerzas sutiles de barlovento D. Josef Guerrero. De todo re •…</t>
  </si>
  <si>
    <t>Carnor</t>
  </si>
  <si>
    <t>…le tomó declara marchar después á Roma á continuar sus estudios. ción por la cornil ion de Estado. A la especial de Fuerza armada una memoria de Don Escriben de Magdeburgo que el general Carnor,que vi Vicente Lerin y Calvo, individuo del cuerpo de Guardias vía en aquella ciudad, había desaparecido repentinamente; de la Real Persona, sobre reforma de este. y de e-ta fuga, acaecida en 31 de Agosto, quieren algunos Se dio el curso correspondiente á otr…</t>
  </si>
  <si>
    <t>Carnot</t>
  </si>
  <si>
    <t>…go, y gages del convento. Los pretendientes dirigirán sus memoriales al ayunta miento constitucional de Pedroso hasta los 30 dias de publicado este anuncio. Memoria que el célebre general Carnot presentó al Rey de Francia Luis xvm en Julio de 1814. Este precioso escrito, del cual, según el editor francés, se imprimieron y despacharon mas de 6oc&amp; egemplares, se dirige á combatir el poder arbi trario, y á demostrar entre otras cosas Ja absurda, pretens…</t>
  </si>
  <si>
    <t>Caro, Dorí Juan</t>
  </si>
  <si>
    <t>Dorí Juan Caro</t>
  </si>
  <si>
    <t>…que S. M. se decidía á jurar la Constitución, la ma yor parte de las tropas de la guarnición, acompañadas de muchos paisajiqs, á las 12 del día se dirigieron á casá del ExcmÓ; Sr. gobernador Dorí Juan Caro á suplicarle que se tocasen las campana» por la noticia, á que tu vo que acceder , yendo él en persona rodeado de los dichos á mandar que se tocasen en la catedral; después siguieron en conmoción por las calles con vi vas al Res: y á la Constitución , y por ú…</t>
  </si>
  <si>
    <t>Caro, Francisco Xavier</t>
  </si>
  <si>
    <t>Francisco Xavier Caro</t>
  </si>
  <si>
    <t>…esidente del tribunal supremo de Justicia ai consejero de Estado honorario D. Antonio Cano Manuel; y para ministros del mismo tribunal á D. Francisco Nogués, D. Benito Hermosilla, D. Francisco Xavier Caro, D. Francisco Alfonso de Tuero, D, Josef Calatrava, D. Pedro Silves, D. Antonio V ilíaurrutia, D. Ramón Giraldo y Don</t>
  </si>
  <si>
    <t>Caro, Juan</t>
  </si>
  <si>
    <t>Juan Caro</t>
  </si>
  <si>
    <t>…tregará muy en breve á los que gusten sus sef San Juan ; ídem otra del mismo; Ídem D. Vicente Oso- cribir, pagando 20 rs. vn. adelantados. A los que no suscriban rio ; el teniente general D. Juan Caro; el comandante de les costará 28 rs. Se suscribe en Madrid en ¡as librerías de Bar escuadrón D. Luis Casamavor: el coronel y varios oficiales co; en Valencia en la de Beneito; en Barcelona en la de Sierra; dei regimiento de Lusitania; el coronel D. Francisco…</t>
  </si>
  <si>
    <t>Carpió, Luis Montero del</t>
  </si>
  <si>
    <t>Luis Montero del Carpió</t>
  </si>
  <si>
    <t>…ón de Pullas, como heredera de Doña María Josefa de Herrera y Retes; á sus hijos, herederos y sucesores; á ios de Brígida Alvarez; al administrador ó representante del concurso de D. Luis Montero del Carpió, y á todas y cualesquiera personas que se contem plen con derecho ó acción á los bienes deja referida Doña María Josefa, ó de Doti Felipe Zapata, su marido, para que en el término de 30 dias, contados desde esta publicación, acudan al juzgado de dicho señor j…</t>
  </si>
  <si>
    <t>Carraco</t>
  </si>
  <si>
    <t>…los grados que se establecieren, y cuanto pueda pertenecer Eti vista de algunas reflexiones del Sr. Marte! retiró el al arreglo literario, será objeto de reglamentos particulares. Sr. Carraco una indicación que había extendido", y decía; 29. «Igualmente lo será U organización de estas univer-</t>
  </si>
  <si>
    <t>Carranza, Ramón de</t>
  </si>
  <si>
    <t>Ramón de Carranza</t>
  </si>
  <si>
    <t>…ncisco Xavier de Ojeda, del Consejo de S. M. en el supremo de Ha cienda, juez asesor general de la Real casa , y escribanía de Cámara de la jun ta suprema patrimonial del cargo de D. Ramón de Carranza; en el -supuesto</t>
  </si>
  <si>
    <t>Carrasco</t>
  </si>
  <si>
    <t>…” de oiieinas , ni los escribientes de las intendencias;” otra de los Sres. Bernabeu y Zapata, que no se pudo oir: otras dos El Rey se ha servido nombrar capitán general de Ga del Sr. Carrasco »i.a pido que se declare que los monges y licia al marisca! de campo D. Rafael del Riego. demás regulares novicios y profesos que no están ordenados Asimismo se ha servido promover A mariscal de campó in sacris esten exceptuados del servicio de la milicia na…</t>
  </si>
  <si>
    <t>…tr,'«s q ’te 1 tí precedieron. se del aprovechamiento de los ganados trashumantes. El Sr. Navas fijó su atencicj&amp;,(( Isaipa! abra, todos del ar Se leyó la siguiente indicación del Sr. Carrasco: «Que ticulo, porque ademas que nocs^sel áirinoo de la comisión los bueyes de carretería no deben disfrutar de otros pastos el comprender en esra suprema ¡U;* monjas, creía que comunes de los pueblos que los que se conceden á los de no debia tener tanta latit…</t>
  </si>
  <si>
    <t>…. Priego de manifestando este que no tenían gran fuerza las razones ale dicho dia. gadas para excluir los bienes de la orden de S. Juan de Se leyó también por segunda vez otra del Sr. Carrasco, Dios. El Sr. ministro de Gracia y Justicia añadió, contes leída en 16 de este mes, dirigida á que se declarare si los tando al Sr. Cepero, que el Gobierno cuidaría de examinar derechos de tata y posesión se bailaban 6 no,abolidos en los cuáles fuesen bienes…</t>
  </si>
  <si>
    <t>…Todo delito por abuso de la libertad de im á las penas impuestas por las leyes;” se mandó pasar á la prenta produce desafuero, y los delincuentes serán juzgados comisión: otra del Sr. Carrasco al mismo artículo para que por los jueces de hecho y de derecho con arreglo áesta ley.” se impusiera un mes de prisión; no fue admitida : otra del El Sr. Zapata fe opuso á que los eclesiásticos fuesen juz Sr. Navas, pidiendo que en los artículos 14 y 15 se ex…</t>
  </si>
  <si>
    <t>…e suficientemente discutido el paba haberse jurado la Constitución en Puerto-Príncipe, y proyecto de sociedades patrióticas. quedar instalada la junta electoral en Puerto-Rico. El Sr. Carrasco hizo presente que se había extraviado de, Se mandó pasar á la junta suprema de Censura otro ofi la secretaría una representación de los procuradores y sex cio del mismo Sr. secretario ,en que participaba quedar ins meros de Salamanca para que se repartiese á…</t>
  </si>
  <si>
    <t>clon provincial de Granadla, y las proposiciones hechas por El Sr. Carrasco añadió á lo dicho por el Sr. Toreno que los Sres. diputados de la misma provincia, para que se abo juzgaba que no debían de ser de peor condición las propie liese la contribución conocida en aquella provincia con el dades urbanas que las rústicas, para que lo…</t>
  </si>
  <si>
    <t>…e partido, que la diputación proponia sino á derechos de particulares , entre quienes debían divi en el Barco de Avila. dirse, formalizó sobre esto una indicación, que se mandó El Sr. Carrasco manifestó que cuando se dio cuenta de pasar á la comi-ion, sin embargo de haber manifestado el este dictamen pidió se dejase sobre la mesa antes de discu Sr. conde de Toreno que en su concepto se hallaba expre tirse, para que se enterasen los Sres. diputados…</t>
  </si>
  <si>
    <t>Carrasco, Diego</t>
  </si>
  <si>
    <t>Diego Carrasco</t>
  </si>
  <si>
    <t>…completa terminación del encargo qi;o «e le h¡r Diaz Manzanares , tercenista de Toledo ; al Gobierno una conferido, remitan á su presidente el cirujano mayor de loa exposición de D. Diego Carrasco, cura de Villahermosa; egércitos nacionales D. Salvio Illa las memorias, disc.ros, á la comisión de legislación una solicitud de la diputación reglamentos ó apuntes que hayan formado ó tengan á-bíerr provincial de Santander para que se la confirme en provin f…</t>
  </si>
  <si>
    <t>Carrasco, Dioso</t>
  </si>
  <si>
    <t>Dioso Carrasco</t>
  </si>
  <si>
    <t>…íaz, vecino y Yandiola sobre la palabra con que debian denominarse de Fuensanta. los fueros de las referidas provincias, sobre su origen y el A la Eclesiástica , una exposición de D. Dioso Carrasco, de sus impuestos, se mandaron pasar al Gobierno la repre cura párroco de Villahermosa, sobre necesidad de dotar sentación y las proposiciones; y asimismo esta adición del competentemente á los curas, y que todos los sacerdotes Sr. presidente «que se extienda…</t>
  </si>
  <si>
    <t>Carrasco, Josef García</t>
  </si>
  <si>
    <t>Josef García Carrasco</t>
  </si>
  <si>
    <t>9*o su augusto enlace á nombre de fa villa y ayuntamiento de Cáceres sus regido res el Excmo. Sr. duque de Abrantes y de Linares, y el Sr. D. Josef García Carrasco, caballero de la Real y distinguida orden de Cirios m , vecino de dicha villa; habiendo hecho presente el primero en un elocuente discurso la satisfacción que había cabido á dicha villa por tan fausto acontecimiento. S. M. contestó con su afabilidad caracterí…</t>
  </si>
  <si>
    <t>Carrasco, Pablo Lorenzo Largo</t>
  </si>
  <si>
    <t>Pablo Lorenzo Largo Carrasco</t>
  </si>
  <si>
    <t>…progresos y reforma de' pués de una breve dúcusion se acordó qué quedase hasta la los cabildos de las iglesias catedrales y colegiatas, por el doc-_ sesión del dia siguiente. tor D. Pablo Lorenzo Largo Carrasco , canónigo doctoral de la El Sr. Expelerá hizo la indicación siguiente: «Respecto de Cuenca. Véndese á 11 rs. en la librería de Dávila. á que la comisión de Hacienda no tuvo presente en el pré- nota. En la gaceta del lunes 9, col. 5.a, lín. 30, en lugar del p…</t>
  </si>
  <si>
    <t>Carrasco, Saturnino Díaz y D- Eugenio Lázaro</t>
  </si>
  <si>
    <t>Saturnino Díaz y D- Eugenio Lázaro Carrasco</t>
  </si>
  <si>
    <t>…. Dionisio Santos, D. Manuel del Cerro y D. Miguel Rojo. Los de segundad D. Manuel Hernández Alegre, D. Domingo Pleito y D. Francisco de Toro; y los de tercera á D. Julián Quirós, D. Saturnino Díaz y D- Eugenio Lázaro Carrasco. Concluyóse él acto con un breve discurso que pronunció su cura párro co el Lie. D.. Domingo de Buezo y Rojas, en que ademas de dar las gracias por su exactitud y zelo al maestro, manifestó cuan justas y piadosas son las órdenes de nuestro Soberano sobre que…</t>
  </si>
  <si>
    <t>Carrascosa</t>
  </si>
  <si>
    <t>…el general Nugent y de los mi . Sr. Vargas Ponce, dijo que en el corto espacio que Había nistros. mediado habia recibido noticias oficiales de Sácedón , fela- El Gobierno envió al general Carrascosa con una divi• tivas á los acontecimientos de Ñápeles, de las que por no .sion para batir á los descontentos, y publicó que estos mo • haber tenido lugar de enterarse detenidamente no dió más vimientos eran de corta entidad ; pero el 6 sorprendió á •que una li…</t>
  </si>
  <si>
    <t>…=; El general en gefe del egército constitucional = Guiller NOTICIAS DEL REINO. mo Pepe.” Con fecha de 9 de Julio expidió S. A. R. nuevo de Madrid 3 de Agosto. creto, nombrando al general Carrascosa ministro interino de SS. A A., continúan sin la menor novedad en su imporla Guerra; al caballero D. Luis Macedonio ministro inte tante salud.rino de Hacienda; al conde D. Josef Zurlo ministro de Negocios extrangeros, y al caballero D. Rugiero Settimo CORTES.…</t>
  </si>
  <si>
    <t>…primera de estas dos cortes, un Un ingles, que salló de Ñipóles en estos últimos dias, egemplar de su nueva Constitución, formada con el consen ha dicho al pasar por Milán que el general Carrascosa ha timiento de-los Estados del ducado de Brunswick, y pu bía publicado un manifiesto, en el que desenvuelve el plan blicada por orden de 22 de Abril, con arreglo al art. 13 de defensa que ha adoptado el reino de Ñ ipóles para el ca del acta federativa. La Die…</t>
  </si>
  <si>
    <t>Carrasquedo, Josef Martin García</t>
  </si>
  <si>
    <t>Josef Martin García Carrasquedo</t>
  </si>
  <si>
    <t>…................................... iD. Matías Josef de Feria: para una ración de Valladolid de Valencia............................................................ •} Mechoacan á D. Josef Martin García Carrasquedo, medio Barcelona............................ .......................... Par ápeso», racionero de la mi:ma: para otra de la de Djrango á Don Coruña.......................................................... 2.} Agustín Fernandez de S. Vicente; v para una media…</t>
  </si>
  <si>
    <t>Carreras, Luis</t>
  </si>
  <si>
    <t>Luis Carreras</t>
  </si>
  <si>
    <t>…las annas del cg^r;dto, con presencia de los extrae os de patriótica , núm. 29 , impreso en Málaga , en la oficina de.. revista, informes dé.lós gefes, y demas notíe;as que consi D. Luis Carreras,- y remitido para s¡: calificación por el deren necesarias, fortnen con la mayor escrupulosidad rela juez de primera instancia de dicha capital D. Juan Manuelciones exactas de todos los individuos ú quienes comprenda de Moya, á pedimento de D. Alonso Joset Le…</t>
  </si>
  <si>
    <t>…bre de 18 ¿o. ria de tt de Octubre último, vil y examinó el periódico =: Josef Canga Arguelles.” titulado La Confederación patriótica, núm. 40 , impreso en Málaga en la oficina de D. Luis Carreras, y remitido pa SECRETARIA DEL CONSEJO DE ESTADO. ra su calificación por el juez de primera instancia de dicha Cuenca1 del Perú. Por fallecimiento de D. Juan Ma capital D. Juan Manuel de Moya , á petición de D. Jacin nuel Díaz de Avecillas ha quedado vacante l…</t>
  </si>
  <si>
    <t>Carretero, Manuel Esteban</t>
  </si>
  <si>
    <t>Manuel Esteban Carretero</t>
  </si>
  <si>
    <t>…ercio, que todo es amovible y expuesto, olvidando el número de 17, con los cuales salió el misino alcalde y el la verdadera riqueza , que es la territorial; á saber: todos regidor D. Manuel Esteban Carretero. A pesar de las acertadas los predios rústicos y urbanos, sobre cuyos valores, repar disposiciones que tomaron , y de haber logrado casi sorpren tiendo solo un medio por ciento á los de los predios rústi der á los ladrones, favorecidos estos de 13 fragosidad…</t>
  </si>
  <si>
    <t>Carrillo</t>
  </si>
  <si>
    <t>…or el que se abolí &gt; la Inquisición, y de los que es de que los tensan presentes en sus pretensiones respectivas ” tablecen la libertad de la imprenta.” Se concedió licencia al Sr obispo Carrillo para acercar Lo que de Real orden comunico á V. para su inte se al Ge! íerno á tratar de asuntos relativos al restableci ligencia y exacto cumplimiento en Ja parte que le toca. miento del cabildo de S. Isidro. Madrid.,...de Setiembre de 1820. SUPLEMENTO</t>
  </si>
  <si>
    <t>Carrillo, Bernardino</t>
  </si>
  <si>
    <t>Bernardino Carrillo</t>
  </si>
  <si>
    <t>…esta, en la instruc varios derechos que salieron inciertos en la encomienda del ción de los expedientes, en las acordadas y consultas que se título de dicha villa, que se cedió á D. Bernardino Carrillo dirijan á su Real Persona, siga el método que practicaba de Cárdena, por diferentes tierras suyas que se incorpora el extinguido Consejo de la Guerra, y egerza las funciones ron al Real sitio de Aranjuez. (Se continuará.) atribuidas al secretario de dicho ext…</t>
  </si>
  <si>
    <t>Carrón</t>
  </si>
  <si>
    <t>…cado en la conspi do por ¡as Cortes, porque después de profesar rio debían ración. , permanecer en España, sino regresar á su pais, pedias re con lian traído preso á St. Pelage al coronel Carrón , im cediese permiso á su prelado para darles la profesión, y plicado en la conspiración militar; ayer se le tomó declara marchar después á Roma á continuar sus estudios. ción por la cornil ion de Estado. A la especial de Fuerza armada una memoria de Don Escr…</t>
  </si>
  <si>
    <t>Cartagena, Conde de</t>
  </si>
  <si>
    <t>Conde de Cartagena</t>
  </si>
  <si>
    <t>…Jay. = Manuel Vicente de Maya. = Felipe Fermín Paul sz de 182c. Francisco González de Linares. = Doctor Josef Domingo Egido 28 de Setiembre de 1820. »&gt;Sr. D. Pablo Mo Diaz.=Excmo. Sr. Conde de Cartagena." rillo: Mi venerado general: marcha Bauzá en posta con el 1 adjunto pliego de Bolivar, que he abierto y me he entera La junta de gobierno del Banco nacional de S. Car do ; por él sacará V. la consecuencia de como anda esa fa los, en vísta de ¡o determinado p…</t>
  </si>
  <si>
    <t>Carvajal, Tomas González</t>
  </si>
  <si>
    <t>Tomas González Carvajal</t>
  </si>
  <si>
    <t>…co. soliciten dentro del término que fijará el Gobierno.” Quedaron elegidos en primer escrutinio los sugetos si 3.0 «Los oficiales que disfruten estas licencias cobrarán guientes: D. Tomas González Carvajal por 112 votos de mensualniente sus haberes por las cajas de sus cuerpos ó por 117 : el conde de Taboada por 103 de 110 : D. Manuel Car las tesorerías de egercito de las provincias en que fijen su rillo por 78 de 126; y en clase de eclesiástico D. Ramón reside…</t>
  </si>
  <si>
    <t>…hacer la propuesta él mismo ó cual al que acompañaba un plan formado por el director que fue quiera otro diputado; y después de haber mostrado los se de los e.tedios de S. Isidro D. Tomas González Carvajal, ñores ministro de Hacienda y Romero Alpuente, que no proponiendo se adoptase por ahora, ínterin se aprueba el eran estas palabras precisas por ser cosa sabida que pertene general. ce al poder legislativo el dictar los aranceles, se aprobó el La secretaría hi…</t>
  </si>
  <si>
    <t>Carvajal, Tomas Josef González</t>
  </si>
  <si>
    <t>Tomas Josef González Carvajal</t>
  </si>
  <si>
    <t>…ración del duque de Alagon, al teniente general marques de Valparaíso. Estando para concluirse la edición de los últimos tomos de la traducción en pro sa y verso de los Salmos por D. Tomas Josef González Carvajal, se avisa á los subs criptores, á cuya noticia no hubiere llegado este anuncio, que acudan á recogerlos dos primeros publicados en el año anterior, y 4 adelantar el importe de los segun dos , que serán entregados á la mayor brevedad. Compendio cronológico de…</t>
  </si>
  <si>
    <t>Cas</t>
  </si>
  <si>
    <t>…, comunicando el Gobierno las órdenes conA fin de que en el dia no se cargue tampoco.' •vchlen.es para ello. , - &gt; :.¡ Se leyó una proposición déj Sr. Ramos Ari'pe hecha á , '■ El Sr. Cas: ritió en el supuesto de que para hacer el Con las Cortes anteriores para que se designe el tiempo que pue-; greso observar las leyes, debia empezar por observarlas; y dan estar incomunicados los presos, la cual se inundo pasar atendiendo á los muchos y Urgen…</t>
  </si>
  <si>
    <t>Cas, Luis López de</t>
  </si>
  <si>
    <t>Luis López de Cas</t>
  </si>
  <si>
    <t>…sde el di* de este aviso en adelante. Por providencia del Sr. D. Julián de Sojo, juez letrado de primera instancia de esta muy heroica villa, refrendada del escribano de provincia D. Luis López de Cas tro, se ha señalado para una junta, pedida por el Excmo. Sr. duque de Tamames, de sus acreedores el dia 30 del que rige á las nueve de su mañana en una de las salas de la casa dirección del Banco nacional de S. Carlos. Lo que se anuncia al publico para su con…</t>
  </si>
  <si>
    <t>Casa</t>
  </si>
  <si>
    <t>…on sejeros de Castilla y tantos otros empleados en estableci ARTICULO DE OFICIO. mientos que han sido extinguidos'continuasen en ellos. El Rey ha expedido el decreto siguiente í n Sr. Casa seca convino en que la Nación tenia un de Don Fernando vii, por la gracia de Dios, y por recho para valerse en caso de necesidad de los bienes de los la Constitución de la Monarquía española, Rey de las Esmona-torios, y en que rio se trataba mas que de lo per…</t>
  </si>
  <si>
    <t>Casaiós, Antonio</t>
  </si>
  <si>
    <t>Antonio Casaiós</t>
  </si>
  <si>
    <t>…n resultados útiles é inter'e-santes. "■ ' ' ■ ' I *&gt;EI capitán general de Granada dirigió al Rey con fe cha de 14 de Mayo de este año una instancia del capitán retirado en Guadix D. Antonio Casaiós, y otras tres mas, ANUNCIOS. relativas á que no estando derogada la ordenanza general Por providencia dictada en autos de concurso á. bienes deí del egército, según se demuestra en él artículo 250 de lá Sr. conde de Reparaz, se convoca de nuevo á todos los qu…</t>
  </si>
  <si>
    <t>Casamavor, Luis</t>
  </si>
  <si>
    <t>Luis Casamavor</t>
  </si>
  <si>
    <t>…20 rs. vn. adelantados. A los que no suscriban rio ; el teniente general D. Juan Caro; el comandante de les costará 28 rs. Se suscribe en Madrid en ¡as librerías de Bar escuadrón D. Luis Casamavor: el coronel y varios oficiales co; en Valencia en la de Beneito; en Barcelona en la de Sierra; dei regimiento de Lusitania; el coronel D. Francisco Pablo en Zaragoza en la de Yagiie; en Sevilla en la de la viuda da de la Peña ; el teniente coronel D Bartolomé…</t>
  </si>
  <si>
    <t>Casamayor, Juan</t>
  </si>
  <si>
    <t>Juan Casamayor</t>
  </si>
  <si>
    <t>…aminos de España (pues creo. excesiva la de deben preceder á la formación dé' 1a Constitución militar, algunos que nuevamente se han abierio ), mandar á las dí-r presentado por el brigadier D. Juan Casamayor. putaciones provinciales ordenen que cada ayuntamiento en Y al Gobierno para los efectos convenientes una expo su jurisdicción respectiva señale en los caminos el linderosición de Antonio cíe Yébenes , escribano de la provincia' de derecho é izquierdo que Ies…</t>
  </si>
  <si>
    <t>Casaseca</t>
  </si>
  <si>
    <t>…e París 6 de Agosto. unir los eclesiásticos dos beneficios , cuando el uno baste ¿ su Los Sres. Wallard y Bailly, hiladores de algodón en Lila, congrua sustentación; y el otro del Sr. Casaseca, contrario</t>
  </si>
  <si>
    <t>…te, se Dos piezas juntas de 14 robos de tierra de pan traer en declare como una donación hecha por contrato oneroso , y el campo de Traslapuente. como ral ia disfrute;" y otra del Sr. Casaseca, que decía: Cape!huía de Domingo de Luna y Catalina Moretin. «Inmediato sucesor para el goce de la posesión será el que Un olivar de 6 robos, 4 almudes en dicho campo, rió sucedería al tiempo de morir el actual poseedor, y no pre Galochcr, con 95 olivos. cisa…</t>
  </si>
  <si>
    <t>364</t>
  </si>
  <si>
    <t>…de las órdenes religiosas sobre el pro acreditan el espíritu patriótico que los anima: dia en que, yecto de regulares. como siempre, ofrece Cádiz el cuadro mas digno por el en El Sr. Casaseca hizo una indicación para que se leyeran tusiasmo y el orden que en todos sus actos presiden. A las estas representaciones, y se mandó tenerla presente al tiem Jo de la mañana se hallaban formados los batallones, según po de la discusión del asunto. estaba pre…</t>
  </si>
  <si>
    <t>…que no podían menos de lenerse presentes. res. Se ley vi en su totalidad este proyecto, y luego la indi El Sr. Vitorica, después de dar gracias al Sr. Cortés cación hecha por- el Sr. Casaseca, en la que pedia que se por haber sostenido con la solidez de su:r principios el de leyesen íntegras las representaciones dirigidas á las Cortes recho que las Cortes tienen para estas reformas , exclusivas sobre el referido decreto. Siendo estas en muy crecid…</t>
  </si>
  <si>
    <t>…dos egemplnres d¡|&amp;lirobsM laudada Sistema mitido á discusión en la sesión extraordinaria de ayer la in milit ¡r, que para dicho fui habHptmR.cn itidoa su autor, ayu dicación del Sr. Casaseca. dante mayor del regimiento de lyi'rmps,. potr medio del se Se leyó una exposición de varios suaetos agraciados con ñor Moscoso. la amnistía de ayer, en la que daban gracias ai Congreso, y En seguida se pasó á contint% I | dSi'cm-ion del proyec le aseguraban…</t>
  </si>
  <si>
    <t>…ue aprobado con la siguiente adición del se Por último, el Sr. Martel, creyéndose también en la pre ñor Fraile: «No alcanzando la renta y el producto, de la cisión de contestar al Sr. Casaseca, bizo ver que se usaban demanda.” con una equivocación demasiado funesta las palabras de de También se aprobó el art. 1 7 : «si en virtud de los dos recho divino, poniendo el siguiente egemplo: es de derecho artículos anteriores ocurriese alguna duda sobre la…</t>
  </si>
  <si>
    <t>…e podía al presente entrar Después de leida y aprobada el acta de la noche ante en la formación de nuevos arreglos , pues las necesidades rior, se leyó la indicación siguiente del Sr. Casaseca sobre el eran perentorias; por lo que era de sentir que no se acce subsidio: «Omítase la declaración propuesta en el informe diese á la proposición. de la comisión por estas palabras: «declarando las Cortes, Ei Sr. Zapata manifestó que no había sido su intenc…</t>
  </si>
  <si>
    <t>Casaseca, Luis</t>
  </si>
  <si>
    <t>Luis Casaseca</t>
  </si>
  <si>
    <t>…de su diputación provincial, en caso que no haya exa plente por Puerto-Rico, que fueron aprobados, é igual geración en el mérito del invento del labrador de Albalat. mente los del Sr. D. Luis Casaseca, diputado por Zamora. Tolosa 2 de Julio. Se levantaron en seguida dos de los Sres. secretarios para Los habitantes de este pueblo han sido sorprendidos con introducir á dichos diputados en el Congreso, con cuyo el acontecimiento siguiente: á corta distancia d…</t>
  </si>
  <si>
    <t>Casdilo, Gregorio</t>
  </si>
  <si>
    <t>Gregorio Casdilo</t>
  </si>
  <si>
    <t>…ó treta, youga , 2204 años antes de J. C.; la edad de bron la.gaceta , y nuevo plan para el egército español, por el sub ce 1484 años antes de J. C.; y la edad de hierro ; ó cali teniente D. Gregorio Casdilo. youga, contendría después 1004 hasta 764 años antes dé Ideas sobre el reemplazo del egército , publicadas en el J. C. En vez de contar como los individuos de la sociedad núm. 3.° del periódico Asamblea constitucional de Badajoz: 4023 años después del fin del…</t>
  </si>
  <si>
    <t>Casella, Rafael</t>
  </si>
  <si>
    <t>Rafael Casella</t>
  </si>
  <si>
    <t>…nacional ha juzgado que también convenía imprimir laD. Miguel Ladrón de Guevara; el capitán D. Josef Velas- traducción’de esta obra, bien conocida de los sabios, y que pue co; el capitán D. Rafael Casella; D. Ignacio Antonio Ca de ser de un beneficio incalculable para la Nación, Constará de lero ; el brigadier D. Josef Rich ; el mariscal de campo Don 2 tomos en 8.° de buen papel y letra, los que se hallan en prensa, Pedro Toséis Gamez ; ídem D. Josef Bucareli;…</t>
  </si>
  <si>
    <t>Caslrillo</t>
  </si>
  <si>
    <t>…la declaración de cuerpos. Vefiia ál frente dé estas gallardas tropas con su lu no haber lugar á la formación de causa. cido estado mayor el lvxcmo. Sr. mariscal decampo Gaspar El Sr. Caslrillo rom ó Ja palabra para decir que la junta Teixeira de Magallanes y Lacerda , comandante de los egér- dioce-ana de censura, de que había hablado anoche eí Sr. Díaz citos del sur y del norte, el cual, después de hacer en me del Moral, era puramente consultiva pa…</t>
  </si>
  <si>
    <t>Casmilo</t>
  </si>
  <si>
    <t>…no se opongan; y añadió que creia que dica que se la debe mantener aunque quede separada ó fuera esra debia tener lugar en caso de indicarlo las religiosas. de su convento. El Sr. obispo Casmilo dijo, que seria seguramente de Apoyó esto mismo el Sr. Castrilló con el egemplo de 2a misma opinión; pero que «pedia al Congreso procediese una religiosa del convento de la Magdalena, que en otra con pies de plomo, porque es necesario no chocar con las época…</t>
  </si>
  <si>
    <t>Casrlereagh</t>
  </si>
  <si>
    <t>…asaron á verse con la Rei na , la cual Ies dió una audiencia que duró hasta cerca de las cinco. El parte de la Reina, entregado el viernes por Mr. Denman á lord Li verpool, al que lord Casrlereagh hizo alusión la noche antes en la Cámara de los Comunes, solo contenía el aviso siguiente: ,, La Reina, con el dicta men de su abogado y de otros muchos vocales de la Cámara de los Comunes, tiene por conveniente poner en noticia de lord Liverpool ¿ que está p…</t>
  </si>
  <si>
    <t>…gular, y que adoptarían rodos los medios posi evitar toda mala inteligencia habian encargado al duque de bles para protegerla en sus viages ó en el parage de su resi YVeliington y lord Casrlereagh que declarasen que tampoco dencia ; pero que sin embargo no podrían hacerla un reci ellos inducirían al Rey á desviarse de los principios que ha bimiento público, ni presentarla en las cortes extrangeras; bía establecido para arreglar la conducta de tus embaj…</t>
  </si>
  <si>
    <t>Casrriüo</t>
  </si>
  <si>
    <t>…peñarle con mas conocimiento, sin pasar a señalar las pendencia de! Gefe político. penas; cosa agena del proyecto actual. A la especial respectiva, otra de la misma diputación, El Sr. Casrriüo pidió que á las palabras «ociosos v sin sobre quien debe presidir sus sesiones á falta de Gefe políti destino” se añadiese »culpablemente; ” porque en un país en co , y otros particulares. que tan atrasados están ¡a industria y el conrercio, es pre-, A la que…</t>
  </si>
  <si>
    <t>Cassini</t>
  </si>
  <si>
    <t>…alla a que formen entre u una con tratar sin demora de la1 admini'traciones genera! y provin federación semejante á ¡a de Alemania, cuyo gefe seria na cial, que fue apoyada por el Sr. Cassini. Todos los dipu turalmente el Emperador, en calidad de Rey del reino tados fueron de la misma opi, ion, y alglmos' £e levantaron,, Lombardo-véneto. Se trata también de dar á la Confedera nianif.stando que parecía no saber ó no querer e! ministro ción Germánic…</t>
  </si>
  <si>
    <t>Casta</t>
  </si>
  <si>
    <t>…arios dtíi Despacho. Faltando la Diputa ción permanente, que debía presidir á esta primera junta preparatoria , pro puso el Sr. diputado Giraldo que interinamente la presidiese el Sr. Casta ñedo , en atención á su estado y ancianidad; é igualmente que fuesen se cretarios interinos los Sres. Martínez de la Rosa y Clemencin y para co menzar en virtud de esto á la elección de presidente y secretarios; y luego á la de escrutadores, para el nombramie…</t>
  </si>
  <si>
    <t>Castagna</t>
  </si>
  <si>
    <t>…o Con que ha nombrado algunos comisionados para que conferen greso, corriendo á defender la libertad nacional, ó morir. cien con los diputados que forman la segunda comisión de El Sr. Castagna pidió que las tropas se puciecen inme la Cámara; y no tardará en comunicarse al público el rc- diatamente en estado de guerra , y se diese el mando a! ge sulrado de sus deliberaciones. neral Guillermo Pepe; lo cual bastará para calmar los áni Puede asegurarse…</t>
  </si>
  <si>
    <t>Castagua</t>
  </si>
  <si>
    <t>…icas que sus intereses y el de sus ve siguientes: 1.a de! Sr. Caracciolo, relativa á un proyecto cinos puedan tener por necesarias como mera precaución. de economía rural: 2.a del Sr. Castagua sobre la actividad Tleñielberg &amp; de Noviembre. en los preparativos de guerra: t.a Jel Sr. l’epé para excitar Se notan grandes movimientos en las tropas prusianas al poder egecutivo a satisracer ¡os deseos públicos poniendo que guarnecen las plazas del gran du…</t>
  </si>
  <si>
    <t>Castalio</t>
  </si>
  <si>
    <t>…o habian sido igualmente, y se mandaron pasar bre de S. M. este aviso , á fin de que hallándose en esos es á ella. tados algunos nacionales comprendidos en tal disposición, El Sr. obispo Castalio dijo también que le parecia que Jes haga V • E. saber , que cuando quieran está en su ente sonaba mal el principio del juramento de defender la reli ra libertad el restituirse al seno de sus familias. Ñapóles 2$ gión con las armas en la mano; lo que después a…</t>
  </si>
  <si>
    <t>Castañe</t>
  </si>
  <si>
    <t>…y Romero Alpuente. á la opinión del Sr. Romero Alpuente, reservándose pedir Se leyeron por segunda vez los 10 artículos del informe que no se considerase degradado á Porlier ; el Sr. Castañe de la comisión de Legislación sobre vinculaciones y mayo do que conceptuando de rigorosa justicia la indicación del razgos; y tratándose de señalar dia para la discusión, dijo Sr. Cepero, quería se tratase del premio efectivo , no de la el Sr. presidente que…</t>
  </si>
  <si>
    <t>Castañedo</t>
  </si>
  <si>
    <t>…bre Fernando séptimo de Burgos, remitida por ei Gobierno, pero sin habérsela dado relieve en el dosel del trono en que juró; que se pusiese una curso; y habiéndose:indicado por el Sr. Castañedo que exis. lápida con una inscripción correspondiente; que se aprobase tía un expediente sobre segregar la provincia de Santander y llevase á egecncion el proyecto del pintor de Cámara Ma- de la de Burgos, v contestadole el Sr. presidente que 99 tfrazo, que ti…</t>
  </si>
  <si>
    <t>…cien Se leyó otra del Sr. Villa, relativa á que se pidiese una temente discutido por 68 votos contra 66. Sin embargo, nota al Gobierno de lo que se hubiese adelantado en la ins el Sr. Castañedo manifestó tenia entendido que ¡a Junta iba trucción de las leyes fundamentales, y que en lo sucesivo á pasar una exposición al Congreso, y podria dejarse para acrediten los Gefes políticos el cumplimiento de esta obli este caso la calificación del mérito de a…</t>
  </si>
  <si>
    <t>…lendor'de la nobleza , habían encontrado .el mandase observar en todas sus partes el-citado decreta.* verdadero medio de exterminar hasta los nombres de los Impugnó el dictamen el Sr. Castañedo, fundándose en que habian prestado verdaderos servicios á su parria, no no ser regulares los freires, y deduciéndolo de la aptitud permitiendo en cierto modo casarse mas que al solo hijo en que se hallan para obtener prebendas y dignidades’ ecle mayor con exc…</t>
  </si>
  <si>
    <t>…die uieran pretenderlas, y se hallen con méritos para ello, poron á sus objeciones los Stes. conde de Toreno y Cuesta. rán dirigir sus solicitudes dentro del término de un mes, El Sr. Castañedo advirtió "también que se debía atender á contado desde el 38 del corriente. cierta escala para fijar los sueldos, bien que fuese distinta tribunales. en esta clase de empleados. Por fin se declaró discutido , y Por el juez de primera instancia de esta capital…</t>
  </si>
  <si>
    <t>…ción, y á los Se dió cuenta de haberse entregado en la secretaría para que tratan de libertad de imprenta. repartirse entre los Sres. diputados 200 egemplares de la Se concedió al Sr. Castañedo el permiso que pedia para representación hecha al Rey por rodos los gefes de los cuer trasladarse por un mes á Tarancon á restablecer su salud. pos de la g .'ardía Real , guarnición y milicia nacional de Se mandó pasar á la comisión de Infracciones dos repre…</t>
  </si>
  <si>
    <t>…to y pueblo con el decoro y distinción artículos del referido dictamen. correspondientes. Se nombró al Sr. Giraido para la comisión de Gobierno interior de las Cortes en lugar del Sr. Castañedo. NOTICIAS DE LA PENINSULA. No se admitió á discusión una indicación del Sr. Ban queri para que el Gobierno remitiese los documentos origí Cubo (partido de Benavente) 25 de Agosto. nales que hubiese tenido presentes para la liquidación de la En esta aldea , ad…</t>
  </si>
  <si>
    <t>…«En virtud de que por el decreto de las ron la interinidad de los consejeros de Estado los dos pri Corres sobre creación del consejo de E-tado estaba prohibi meros , fundando'e el Sr. Castañedo en la convocatoria o re do á sus individuos el admitir orro empleo del Gobierno, unión del consejo hecha por S. M., sin aprobar el dictamen cualquiera de los que componían dicho cuerpo en el año de la comisión ni el voto particular; y el Sr. Navarro en la de…</t>
  </si>
  <si>
    <t>Castaños, Francisco Xavier</t>
  </si>
  <si>
    <t>Francisco Xavier Castaños</t>
  </si>
  <si>
    <t>…de los siguientes consejeros: D. &gt; Joaquín Blake, decano, D. Pedro/Ágar, D* Gabriel Ciscar* el reverendo en Cristo Padre Cardenal de Borbon * D. Andrés García + Don Martin Garay, D. Francisco Xavier Castaños; D. Josef Mariano Almanza, D- Pedro Cevallos , el marques de Piedrablanca, D. justo.Marta Ibar-Na^ai-* ro, D. Josef Aycinena, D. Antonio Ranz Romanillos, D. Francisco Reque-. na i D. Estéban Varea,' y de los secretarios D. Josef Luyan do y D. JuSnü Madrid Dáv…</t>
  </si>
  <si>
    <t>Gaceta de Madrid n.º 51</t>
  </si>
  <si>
    <t>334</t>
  </si>
  <si>
    <t>….® ,,Excmo. Sr.: Aja una del día del viernes. i,o_del corriente se presen to en la plazuela del palacio del capitán general dé. esta ciudad la mayor par te del. pueblo pidiendo al Sr. D. Francisco Xavier Castaños se publicase la Constitución, y aunque dkho general tenia preparada y anunciada la reunión de una junta compuesta de las autoridades, representantes de las diferentes cor poraciones gremiales y otros su ge tos para verificarlosin embargo creciendoja multitud,…</t>
  </si>
  <si>
    <t>…de esta marcha mien tras circunstancias extraordinarias no obligasen á adoptar otras medidas, y sobre todo hasta aguardar la'resolución del Rey. ,, El cápitan general de egército D. Francisco Xavier Castaños permane ce en esta ciudad, habiéndose mudado del palacio que habitaba por haberme significado él mismo era conveniente en las circunstancias actuales- ,, Tengo la dulce satisfacción de participar á V. E. que en medio de las agitaciones y ocurrencias en los di…</t>
  </si>
  <si>
    <t>…que rezefaba el pueblo, se reconoció justo y prudente acceder á la petición y fun dadas instancias y reclamaciones del mismo pueblo para que saliesen de esta ciudad ei Sr. capitán general D. Francisco Xavier Castaños y algunas otras personas. Se acordó también que se circulase á los corregimientos el oficio preveni do en el acta anterior para que elijan un comifionado, que debe estar aquí el t.° de Abril, á fin de formar la comisión interina que debe permanecer hasta él n…</t>
  </si>
  <si>
    <t>Castaños, Francisco Xavier de</t>
  </si>
  <si>
    <t>Francisco Xavier de Castaños</t>
  </si>
  <si>
    <t>…se presentaron en su casa multitud de personas, tanto militares como paisanos, manifestando unánimemente que era conveniente se arrestase é hiciese salir de esta ciudad al capitán general Don Francisco Xavier de Castaños; y aunque procuré con los mejores medios con ciliar los ánimos del mejor molo posible, se repitieron tanto las' instancias y de tal forma, que fue indispensable determinar su salida, temeroso de mayo res males, que según los ánimos y palabras que se prorumpíe…</t>
  </si>
  <si>
    <t>Castaños, FrañciseojXavier</t>
  </si>
  <si>
    <t>FrañciseojXavier Castaños</t>
  </si>
  <si>
    <t>…por el pueblo de la capitanía general de Cataluña ; que se ha jurado la Constitución’ de la Monarquía española en Barcelona, Tarragona, Gerona y Matará, y ha ber salido el capitán general D. FrañciseojXavier Castaños para Castilla, sin que en punto alguno naya ocurrido desorden y exceso de ninguna especie, an tes Eién reinando eri todos la más grande unión y armonía; y me manda S. M. mañíñesteá V. E., como lo egecuto, que ha merecido su Real agrado íá con ducta óbservadá…</t>
  </si>
  <si>
    <t>Castejon, Juan Antonio de</t>
  </si>
  <si>
    <t>Juan Antonio de Castejon</t>
  </si>
  <si>
    <t>…publicación, comparezcan á legitimar sus créditos y personas en el juzgado de dicho señor y citada escribanía vacante, donde se halla radicada. . : 7 . \ : ' Discurso qiic el tic. D. Juan Antonio de Castejon , presidente de la academia de ambas, jurisprudencias de esta corte, leyó en junta general, celebrada en Ja tarde de 17 de 2$arzo de 18 20. Publícalo la misma corporación v y se hallará en la librería P?z,,rfrente á las gracias de S. Felipe, y en ia de Matute…</t>
  </si>
  <si>
    <t>Castellanos, Juan Alvarez</t>
  </si>
  <si>
    <t>Juan Alvarez Castellanos</t>
  </si>
  <si>
    <t>…erecho de probar, si podian, bo sobre el expediente que se siguió en la extinguida chanque Rastelii habia ofrecido dinero al testigo , se levantó la cillería de Granada entre él y D. Juan Alvarez Castellanos, sesión. cirujano en la misma ciudad. CORTES. La comisión' segunda de Legislación presentó su dicta men para que se accediese á las exposiciones que los extran Sesión extraordinaria de z.° de Noviembre. geros D. Salvador Fonran , D. Juan Betudno, D. Santia En…</t>
  </si>
  <si>
    <t>Castellanos, Pedro</t>
  </si>
  <si>
    <t>Pedro Castellanos</t>
  </si>
  <si>
    <t>…d de impren Preguntando en seguida el Sr. conde de Toreno si el ta y segunda de Legislación reunidas una exposición da Gobierno tenia absoluta confianza en todos los individuos de D. Pedro Castellanos, quejándose de la junta de Censura, ios tribunales, así supremos como subalternos, y si estaba y pidiendo segunda calificación de un papel intitulado El seguro de su adhe-ion á la Constitución, y si no estándolo, amante del bien. se creía autorizado para remo…</t>
  </si>
  <si>
    <t>Castellar, Josef de</t>
  </si>
  <si>
    <t>Josef de Castellar</t>
  </si>
  <si>
    <t>…ón. En seguida el pueblo prorutnpió pidiéndome por aclamación como capitán general, y habiéndome despachado el.Gefe político (qu^ Igualmente aclama ron) el brigadier de ingenieros D. Josef de Castellar, diversos ‘avisos‘ pl pueblo de Arens de Mar donde me hallaba, y, que fueron sucé$ivam£rtté repitiéndose por las instancias egecutivas:,de particulares ry oficíales ,.especialmente!comisio nados , y aun con partida de caballería que debía escoltarme&gt; a fin de…</t>
  </si>
  <si>
    <t>Castellar, Josef del</t>
  </si>
  <si>
    <t>Josef del Castellar</t>
  </si>
  <si>
    <t>…D. Josef Marrón de la provincia de Burgos; á D. Manuel Riva Her-? rera de la de Alava; ai intendente D. Josef Blanco González de la de Aragón; á D. Josef Somoza de la de Avila; al brigadier D. Josef del Castellar de la de Cataluña; á D. Pedro Lainez de la de Córdoba; al brigadier D. Ra món Losada de la de Galicia; á D. Joaquín Montesoro de la de Guadalajara; al brigadier D. Francisco de Paula Osorio de la de la Mancha; al mar ques del Villar de la de Murcia; al tenien…</t>
  </si>
  <si>
    <t>Castelli, Miguel</t>
  </si>
  <si>
    <t>Miguel Castelli</t>
  </si>
  <si>
    <t>…terminado unánimemente, con entera aprobación de S. M., los que se consideren con derecho al concurso de acreedores de usar de un rasgo de beneficencia, que alcanzase á las clases D. Miguel Castelli, individuo que fue de este comercio, para que acudan á formalizarlos con los documentos de comproba mas necesitadas de habitantes de esta henifica villa. ción en el preciso término de cuatro meses; prevenidos que en- A este fin destinó la cantidad de 120© rs,…</t>
  </si>
  <si>
    <t>Castelló, Pedro</t>
  </si>
  <si>
    <t>Pedro Castelló</t>
  </si>
  <si>
    <t>…que les es debida por parte del Estado.” próximo á las diez de la. mañana con una oración inaugural El Sr. Gaseo creyó prematura la cuestión, pues debía facultativa, que leerá el doctor D. Pedro Castelló, catedrá discutirse mas adelante, y en su concepto se había devuelto tico del mismo. á la comisión el presupuesto para que le presentara con el Los sugetos que pretendan matricularse deberán presen pormenor de los gastos, y el coste que tiene á la Nación la t…</t>
  </si>
  <si>
    <t>Castíereagh</t>
  </si>
  <si>
    <t>…do un cordon, y van á tomarse todas las disposiciones acostumbradas en semejantes casos para preservarnos de esta calamidad. G R AN BRETAÑA. x Londres 12 de Diciembre. Contestando lord Castíereagh á la propuesta hecha por Mr. Bennet en la sesión del 9 (1), dijo, que aunque pudiera ser útil nombrar una comisión para el fin indicado, seria peligroso conferirle tan extensas facultades como deseaba el preopinante. Mr. Barring (banquero) opinó, que sin emba…</t>
  </si>
  <si>
    <t>Castiereagh</t>
  </si>
  <si>
    <t>768</t>
  </si>
  <si>
    <t>768 PAISES-BAJOS» á lord Castiereagh separado de un puesto que ha ocupado con tanto honor; pero es falso que dos Soberanos juntos Bruselas ai ele Noviembre» en Troppau hayan manifestada la menor intención de.enr Ya se ha Impreso y distribuido la exposición de los prin trometerse en nuestros nego…</t>
  </si>
  <si>
    <t>Castilla, Alejo</t>
  </si>
  <si>
    <t>Alejo Castilla</t>
  </si>
  <si>
    <t>…del mando del teniente coronel D. Gregorio de Arana desde el 22 hasta el 30 del último Agosto, por el que se impondrá V. E. de la brillante acción que tuvo el alférez de Frontera D. Alejo Castilla con 30 dragones del mismo cuerpo contra ía gavilla de Ortiz en número de 150 hombres; y lo recomiendo, á V- E. á dicho oficial por el buen porte que tuvo, y lo mismo al sargento graduado de alférez D. Santiago Barajas. ,, EI ganado que se les ha tomado *á los…</t>
  </si>
  <si>
    <t>Castillo</t>
  </si>
  <si>
    <t>…hora ha seguido. sentada por D. Nicolás García Tello y Contreras, vecina ',.° «Que aun cuando sea cierto el crédito de 5.507,,'34 de Granada, sobre este ramo. reales que el citado coronel Castillo supone tener contra la A la de División Jel territorio español se pasó una ex Nación , nune.i puede reputarte como indemnización de ios posición del ayuntamiento de la Puebla de Montaivan para perjuicios que acarrearía el admitir su proyecto.;. que se le decl…</t>
  </si>
  <si>
    <t>Castillo'en, Josef del</t>
  </si>
  <si>
    <t>Josef del Castillo'en</t>
  </si>
  <si>
    <t>…l Rey que interinártíente égerza lá jurisdicción eclesiástica castrense el teniente vicario y auditor general-,D. Miguel Olivan en los mismos términos* modo y forma que la egeréró D. Josef del Castillo'en 16 de Diciembre de • 1781 por muerte del cardenal Délgado, y que el mismo Olivan lo ha veriíi- cádo en 7- de Abril de 1806' en lá vacante de D. Antoníno de Sentmanat, y en * las posteriores qué han ocurrido. Lo que de Real orden comunicó á V. par-a su intelig…</t>
  </si>
  <si>
    <t>Castillo, Anastasio García</t>
  </si>
  <si>
    <t>Anastasio García Castillo</t>
  </si>
  <si>
    <t>…solvió no haber lugar á su vo vos ordinarios, que la concederán sin.exigir derecho algu tación. no. 19. Todos los regulares, bien se secularicen ó no, que Se dió cuenta de otra de D. Anastasio García Castillo, dan sujetos á sus respectivos ordinarios; y hallándose en pretendiendo se pidiera al ministerio de Gracia y Justicia el primer caso, se secularizarán conforme á lo dispuesto una causa que pendía en el extinguido consejo de Castilla; en ios artículos anterior…</t>
  </si>
  <si>
    <t>Castillo, Anastasio García del</t>
  </si>
  <si>
    <t>Anastasio García del Castillo</t>
  </si>
  <si>
    <t>…s en Marruecos se gozaba cabal salud. Las calenturas que rei ayuntamientos de los pueblos del reino de'Granada sobre la nan en Rabac no son de consecuencia. conducta observada por D. Anastasio García del Castillo, regente de aquella chanciilería, en tiempo de la dominación CORTES. francesa. ó , .,0 ' j ; • 1 Se dió cuenta del dictamen de la comisión de Hacienda Sesión del d¿ Octubre. -sobre las proposiciones hechas por los Sres. Traver y Mar Se leyó'y aprobó él acta d…</t>
  </si>
  <si>
    <t>…nos y Canales se pasó una copia de las La comisión primera de Legislación presentó su dicta actas de la diputación provincial de Falencia sobre las obras men sobre la solicitud de D. Anastasio García del Castillo que se necesitan hacer en aquella provincia; cuya copia re para que se le reponga en su destino de oidor de Granada. mida el Sr. secretario de la Gobernación de la Península. La comisión, en vista de los servicios patrióticos que este in No hubo lugar á votar…</t>
  </si>
  <si>
    <t>Castillo, Felipe</t>
  </si>
  <si>
    <t>Felipe Castillo</t>
  </si>
  <si>
    <t>…n busca de ganados, las que se me reunieron por la noche trayendo la una, que iba ai cargo del teniente coronel Sánchez , 7 cabezas de ganado; menor , y la del eapitan de Rioverde D. Felipe Castillo 11 de la misma! especie, 14 reses, 4 rebeldes prisioneros, y 10 mugeres y chiquillos; •. . ; . -m ; ,, Repartido el ganado á la tropa, dispuse quetmarcharad 29 el citado te niente coronel D* Epitacio Sánchez con 50intantes~é igual número* de caba llos al pueb…</t>
  </si>
  <si>
    <t>…obligan de jus-: ticia á recomendarlos á V. S., y con particularidad al 'teniente coronel Dos Epitacio Sánchez, á D. Josef de la Luz Nolasco, y al capitán de realistas de Rioverde D. Felipe Castillo. ■ J • • - ,, Dios guarde á V. S. muchos anos. Xichú Julio 30 de 1819 á las cua-, tro de la mañana del 31. = Josef Cristóbal Villaseñor. = Sr. brigadier y co-, mandante general D. Melchor Alvarez.” j Idem 4 de Setiembre. : *'■ Oficio del comandante general br…</t>
  </si>
  <si>
    <t>Castillo, Miguel del</t>
  </si>
  <si>
    <t>Miguel del Castillo</t>
  </si>
  <si>
    <t>…ue quiera hacer oposición á dicha plaza dirigirá su memorial al citada ayuntamiento por el conducto de su síndico procurador general, que se halla autoriza do para.recibirlos. Por D. Miguel del Castillo, vecino y del colegio de Farmacia de esta muy heroi ca villa , se ha acudido ante el Sr. D. Manuel Josef Rubio, del Consejo de S. M., te niente corregidor de la misma, y escribanía del número que egerce D. Antonio Villa y Fernandez, exponiendo que estando cas…</t>
  </si>
  <si>
    <t>Castillo, Pedro Martin del</t>
  </si>
  <si>
    <t>Pedro Martin del Castillo</t>
  </si>
  <si>
    <t>….cusion la siguiente del Sr. Lobato: adjudicados por los Sres.'D. Francisco Rico Cervantes, Don «Que siendo el impuesto del clero incompatible con el ac Cristóbal Romero Hidalgo y D. Pedro Martin del Castillo, tual sistema, pedia, según ei art. 8.“ y 339 de la Constitu censbr el primero, curador el segundo, y secretario el ter ción, que se repartiese en proporción á rodos los ciudada cero de la antigua hermandad de los Santos, fundadora y nos, y que ademas se carg…</t>
  </si>
  <si>
    <t>Castillo, Tadeo Felipe Cortés del Valle y</t>
  </si>
  <si>
    <t>Tadeo Felipe Cortés del Valle y Castillo</t>
  </si>
  <si>
    <t>Gaceta del Gobierno n.º 149</t>
  </si>
  <si>
    <t>…limiento en 13 parte que le toca. Fn las pasadas ocurrencias , huyendo de los franceses de tu* Madrid 23 de Octubre de 1820. pueblo á otro, se extravió la egecutoria de nobleza de D. Tadeo Felipe Cortés del Valle y Castillo, vecino de la villa de 2.a «Para evirnr dudas y encuentros entre los empleados de Oña, en la provincia de Búrgos, despachada por la Real chattla Hacienda pública y las autoridades constituidas, hacien cillería de Valladolid en 4 de Agosto de 1748, refrendada…</t>
  </si>
  <si>
    <t>Castlercagri</t>
  </si>
  <si>
    <t>…etas á su dominio, y les hizo prometer que ob ervariau asunto relativo á la vajilla dé larReina asistió á Ja sesión. religiosamente todas las instituciones útiles que habia fun El lord Castlercagri, luego que supo lá llegada del du dado, de las que somos deudores, dijo, á los blancos que que Decazes á Londres, le envió á decir por lord Clan wivinieron á vivir entre nosotros, y se han establecido en es— lliam que volvería el lunes á la capital, y le seña…</t>
  </si>
  <si>
    <t>Cástlereagh</t>
  </si>
  <si>
    <t>…re &amp;c. Leyé ronse en fin por segunda vez los dos proyectos de ley, y pasaron á la Cámara en junta de comisión u donde se presentará mañana el Informe. CAMARA DB IOS COMUNES. Pidió lord Cástlereagh que se leyese por segunda vez el proyectó sobre las juntas sediciosas. ; ‘ ‘ Mr.Grenfell, individuo de la oposición, declaró que en consecuencia del examen detenido que ha hecho del asunto, v dje las noticias que ha tomado, aprobaría sustancial mente las disp…</t>
  </si>
  <si>
    <t>Castlereagh</t>
  </si>
  <si>
    <t>…ertad debía fomentar aquellas práctieas peli— grosas, declarando estaba dispué'stó'pór‘su parte á no entorpecer la-apro bación de las leyes míe se proponían; Le dio muchas gracias lord Castlereagh, y dÍj¡,o que esperaba :no se tuviese por un abuso de tan favorables disposicio nes fe'Solicitud dé qué en aquélla íiii^ñía sésion se leyese per primera y-según.-da vez la ley sobré los ^etciéió^TnintatéS i lorcuali se acord&lt;i:per .unanimidad de votos. Leyóse…</t>
  </si>
  <si>
    <t>vez la propuesta acordó la Cámara que se imprimiese, y después de pascua se leerá por segunda vez. " , ' i o i i Contestando lord Castlereagh á una pregunta de Mr. Tierney dijo que para el día 30 de este mes probablemente quedarían, concluidos los negocios que mas urgen, y entonces era regular que suspendiese sus sesiones el Parla mento hasta el 10 de Febrero. , Én Liverpool descubrieron unos mucha…</t>
  </si>
  <si>
    <t>Castleréagh</t>
  </si>
  <si>
    <t>…inión de los que re presentan^ 'pódfhí facilitarse mtoho si se dejase á arbitrio del banco haóer es tos pagos en oro ó en plata.- , En medio de una corta pero importante discusión lord Castleréagh. dijo de un modo claro y enérgico que no W pensaba de ninguna manera en alte rar el plan adoptado en la última sesión para volver á hacer gradualmente los "pagos en dinero. ,, Nada , añadió el lord , puede en mi juicio perjudicar mas "á tós 'intereses del com…</t>
  </si>
  <si>
    <t>…las1 tres de la tarde se han reunido las dos Cámaras: El mensage que les ha dirigido el Rey, presentado á la dé los Pares por el conde de Liver pool, y á la de los Comunes por el vizconde Castlereagh, es el siguiente: ,,E1 Rey está bien persuadido de que las Cámaras acompañarán sincera mente á S. M. en el luto y el dolor que la sensible pérdida del Rey su pa dre ha causado asi á S. M. como á la nación toda. ,,Este triste suceso pone al Rey en Ja precisión…</t>
  </si>
  <si>
    <t>…an gentes que discurren por todo el pais exigiendo juramentos ilegales, y deseaba saber el orador si trataba el Gobier no de tomar providencia para restablecer el orden. Respondió lord Castlereagh que efectivamente ofrece en el dia triste aspecto el estado de la Irlanda; pero confiaba que los esfuerzos del Gobierno; de los magistrados y de la poli cía fuesen bastante para restablecer ei orden, sin necesidad de recurrir á la ley de insurrección por lo r…</t>
  </si>
  <si>
    <t>…urter contiene la lista de 162 testigos que deben examinarse en el proceso que-se ha formado sobre Ja conjuración tramada contra los ministros : en el número de aquellos se hallan lord Castlereagh, el conde Harrowby, los vizcondes Palmerston y Chetwind, el canciller del Echiquier y el honorable C. Bathurst. Ayer noche se entregaron á los presos las listas de los testigos, la de los individuos que deben componer la junta de Jurados , y la copia dél acta…</t>
  </si>
  <si>
    <t>…lord John Russel para trasladad á la ciudad no representaaa de Leads el derecho de elección que gozaba la villa de Grampound, excitó discusiones muy largas y muy acaloradas. , El lord Castlereagh manifestó deseos de que la franquicia electiva que perdía esta villa fuese trasladada a.l mas inmediato distrito, y citaba en apo yo de su opinión varios egemplos, indicando al mismo. tiempo. la&lt; posibili dad de que la otra Cámara desechase el proyecto de ley…</t>
  </si>
  <si>
    <t>…sos dados con el fin de perjudicar á su reputación en el concepto de las gentes, cosa que no podría justificarse sino por un juicio en que resul tase convencida.” En seguida pidió lord Castlereagh que se tomara en consideración el men sage del Rey, y respondió á una pregunta que se le había hecho el dia antes acerca de la forma judicial que el Gobierno debía exigir de la Cámara. Djjo que no podía saber las medidas que esta comisión secreta propondría;…</t>
  </si>
  <si>
    <t>Gaceta del Gobierno n.º 5</t>
  </si>
  <si>
    <t>…Rey; 3.0 «Los inspectores , directores de las armas y capitanes y entre los últimos citan ya al Duque de Wellington y al generales, respecto de los cuerpos, compañías ó individuos lord Castlereagh, y por parte de la Reina al conde Firz-i, en quienes egercen estas funciones, dirigirán á este ministe William y al lord Seíton. Añaden haber rehusado este úl rio Una relación sencilla con solo las ciases, nombres y ape timo semejante encargo. llidos de los i…</t>
  </si>
  <si>
    <t>…del * v . ■ * -Rey de Dinamarca,se continúe atravesando los Estados de , Londres 20 de Junto. "t j Haqpover. Mr. Schukmacher esta para partir de la capital El conde de Liverpool y lord Castlereagh presentaron de Dinamarca con dirección al ducado de Schlewig, y pa ayer á las dos Cámaras del *ParIamento los documentos re ra continuar desde allí la operación hasta el cabo de Skagen. lativos á las negociaciones que se han entablado con los abo . La medició…</t>
  </si>
  <si>
    <t>…to. cuerpo de 7 á 8® hombres á Nubia para sujetar á los ma \ Los papeles presentados en la Cámara de los Comunes melucos , y agregar á sus Estados este provincia, de la que por el lord Castlereagh, concernientes á las negociaciones puede sacar dientes de elefante, plumas de avestruz &amp;c. entre SS. MM., son los que siguen: i.® Copia de una carta de la Reina al conde de Liver ALEMANIA. pool, fecha en 10 de Junio, en la que declara S. M. haber dado orden á…</t>
  </si>
  <si>
    <t>…Juen calidad de Reina con los títulos y privilegios que. la nio de 1820. Habiéndose reunido el duque de Wellington pertenecen; y establecida que sea esta basé, dará medios para y lord Castlereagh, nombrados por parte del Rey, con terminar todas las diferencias de un modo satisfactorio á los Sres. Brougham y Dcnman, comisionados por la Reina, entrambas partes. propusieron aquellos, que las personas designadas para hacer 4.J -Respuesta del lord Liverpoo…</t>
  </si>
  <si>
    <t>…o, la co Una corbeta de 20 cañones de á 6. 264,372 383,163 misión nombrada al efecto. _ , Un bergantín de 16 cañones de á 6. 170,792 248,538. En la Cámara de los Comunes manifestó lord Castlereagh La progresión de aumento en los que sentía infinito hubiesen sido inútiles los esfuerzos que gastos de 789 á 815 es como había hecho el Parlamento para transigir amistosamente este sigue:negocio , y añadió después, que habiendo solicitado la Rei En los cascos de…</t>
  </si>
  <si>
    <t>…or Cuenca, para trasladarse áNavamorcuende á con ley, relativos á objetos de administración loca!. En la de los valecer de una.enfermedad que acaba de padecer. Comunes presentó el lord Castlereagh un mensage del Rey, Las Cortes oyeron con agrado, y quedaron enteradas en que se recomienda d esta Cámara que tome las provi de una exposición de la Junta de Galicia noticiando su di dencias necesarias , á fin de que S. M. pueda conceder á sus solución. herma…</t>
  </si>
  <si>
    <t>…de cumplir con las leyes conforme á la propuesta del general Fergusson. del reino, y últimamente gozarán de fuero privilegiado. EL pueblo fue admitido nuevamente á las tribunas, y lord Castlereagh propuso que la discusión sobre el mensage del INGLATERRA. Rey, señalada para la sesión del viernes, se difiriese hasta el 15 de Agosto. Londres 8 de Julio. Me aprovecho, dijo el ministro, de esta ocasión para El lord Castlerengh ha noticiado á la Cámara de lo…</t>
  </si>
  <si>
    <t>…s elec Manheim 7 deJulio. tores, después de haber pagado antes la multa de ic© li Tenemos la satisfacción de anunciar que los asuntos dé bras esterlinas (250© francos); Observaron lord Cástlereagh, Hesse-Darmstadt van tomando un semblante mucho mas Mr. Cánning y otros qtie seria dar nial égempló en niaterid favorable que podía esperarse. Los diputados moderados han de elecciones} por lo que él lord Russel retiró su üioeion. logrado sus deseos. Habiendo…</t>
  </si>
  <si>
    <t>…amiento; que conservasen intactas sus propiedades, y de Francia a la secretaría de Estado, y tuvo su primera que los mantuviesen en posesión de la misma libertad y conferencia con lord Castlereagh, y es muy probable quer mañana sea presentado a S. M. con las ceremonias de estilo.prerogativas de que disfrutaron duranre su reinado. En se-** uida nombró por su sucesor á uno de sus hijos, llamado En el ano de 1818 se extrajeron de Inglaterra para la SLeo-R…</t>
  </si>
  <si>
    <t>242</t>
  </si>
  <si>
    <t>…e Mr. Bassat con pliegos, que se creen destinados para de 1811. Munich. Después de terminada la sesión del consejo, tuvo Al Gobierno una representación de la villa de Jorquera, el lord Castlereagh una conferencia con el embajador de sobre la obligación de cierto caserío á pagar con aquella vi Francia, y en seguida otra con el ministro de los Estados- lla la contribución general. Unidos. A ¡a comisión de División del territorio español una ex FRANCIA. p…</t>
  </si>
  <si>
    <t>…ro.” «AMARA de los comunes.—Sesión del 21 de Agosto. NOTICIAS DEL REINO. Lord John Russell manifestó que deseaba hacer una pre Tarancón gt de Agosto. gunta al lord preopinante (el lord Castlereagh) acerca de Este ayuntamiento constitucional, deseoso de la pública un documenro singular que se liabia esparcido en el público. ilustración, y .ansioso de que tuviesen efecto las benéficas La Cámara había visto coiri admiración los últimos sucesos miras del G…</t>
  </si>
  <si>
    <t>…ca de los suce miten memoriales por término de-yodiass sos de Portugal, y si era cierto que el Gobierno tenia in tención de enviar inmediatamente buques y tropas á aquel reino: el’lord Castlereagh contestó que nada se sabia de ANUNCIOS. ■ ; oficio, y que no podia decir mas sobre acontecimientos tan’ Se halla, vacante la plaza de cirujano de la villa de Malaguinuevos é imperfectamente conocidos. Parece que se trata en üa, partido de Guádálajara, cuya do…</t>
  </si>
  <si>
    <t>…res 24 de Setiembre. los mas favorables sentimientos por la felicidad de la nación, desea tomar á su cargo el bordar las corbatas, y dar de este La respuesta poco satisfactpria de lord Castlereagh á (a modo pruebas manifiestas del interes que la anima en favor pregunta que se le hizo en el Parlamento" sobre el estado de estos valientes defensores de la patria. Por tanto he crei- de nuestras relaciones con Porruga! ha causado ia mayor do deber comunicár…</t>
  </si>
  <si>
    <t>…r la Francia, y hay quien dice será su embajador actual en la corte de Viena; Por Inglaterra irá NOTICIAS DEL REINO. el duque de Welüngton, y aun corren voces de que le acompañará lord Castlereagh; pero que si la situación ac Madrid 17 de Octubre. tual de la Gran-Bretaña exigiese la permanencia de este en S. M. ha despachado hoy con el Sr. secretario del Londres , le remplazará Mr. Canning. Despacho de Marina. ITALIA. CORTES. Lúea 8 de Setiembre. Sesió…</t>
  </si>
  <si>
    <t>…su propuesta de que sir poraciones eclesiásticas por sus respectivos superiores. Los Baker compareciese en la barra. gobernadores y las autoridades supremas del clero católico El lord Castlereagh manifestó que la propuesta del ho tienen obligación de remitir al Gobierno las circulares que norable vocal era extraordinarísima; refutó todas sus aser sobre esta materia hubiesen dirigido- á sus subalternos. ciones, y echó la culpa de los pasquines sedicios…</t>
  </si>
  <si>
    <t>…cional las siguientes aclaraciones hechas por el Gefe político Lisboa 28 de Noviembre. de aquella provincia. 1.a Que los canónigos, como ordena Habiendo manifestado el Gobierno al lord Castlereagh, dos in sacris , están exentos del servicio personal, pero no ministro de Negocios extraneeros de S. M. Británica , todo del pecuniario. 2.a Que los religiosos están exentos de am lo acaecido con respecto á la entrada del lord Bercsford, bos servicios. 3.a Qu…</t>
  </si>
  <si>
    <t>…rpool, Mr. Canning y lord Ilarrotvby, y que el lord Wellington empuñaría la espa ANUNCIOS. Trisagro seráfico para venerar la muy augusta y santa Trida del poder, juntamente con el lord Castlereagh, quien nidad , y ofrecimiento devotísimo de la pasión de Cristo por lashabla triunfado de sus colegas mas moderados, quedando benditas ánimas: por Fr. Eugenio de la Santísima Trinidad, encargado de la diticil comisión de contener las disposicio trinitirio des…</t>
  </si>
  <si>
    <t>…as esperanzas, y se lisonjean de que las diferencias que bierno británico, y que todos' sus votos se reúnen á favor subsisten entre el Austria y Ñapóles se arreglarán amigable del lord Castlereagh para que permanezca al frente del mi mente por medio de negociaciones. nisterio de Negocios extrangeros. Con este motivo dice el Nuremberg 29 de Noviembre. Star: «Los hombres que etT todas las naciones se oponen al Acabamos de recibir hoy mismo cartas particu…</t>
  </si>
  <si>
    <t>…on ser tranquila espectadora de este suceso, y per reciben y despachan correos con mucha frecuencia. Por mitirá las Constituciones alemanas, vecinas por todas parees otra parte el lord Castlereagh acaba de enviar al conti de sus estados hereditarios, primer fundamento de su gran nente al correo Mr. Silvester con pliegos dirigidos al deza? ¿Podrá creerse cosa tan inverosímil? Es pues preciso lord Stewart, nuestro embajador cerca de la corte de convenir…</t>
  </si>
  <si>
    <t>Castlereagji</t>
  </si>
  <si>
    <t>…entre sí sobre un asunto muy delicado. Esta noticia, publi cada por el Briiish-press, se ha repetido por el Statesman, que añade que el lord canciller, el conde 'de Liverpool y el vizconde Castlereagji no nao asistido ni á,Ja corte efe ayer, ni af consejo privado , donde se acordó el dis curso pronunciado por S. M. en la abertura del Parlamento. FRANCIA. ~ París jo de Abril. Un periódico de Marsella da noticias muy tristes acerca del comercio de aquella pla…</t>
  </si>
  <si>
    <t>Castlerengh</t>
  </si>
  <si>
    <t>…l mensage del INGLATERRA. Rey, señalada para la sesión del viernes, se difiriese hasta el 15 de Agosto. Londres 8 de Julio. Me aprovecho, dijo el ministro, de esta ocasión para El lord Castlerengh ha noticiado á la Cámara de los Co no dejar sin respuesta el discurso tan inoportuno é injusto munes que S. M. habia dispuesto se difiriese su coronación pronunciado por uno de los preopinantes: ; habrá quien se para mas adelante. »&gt;F.l objeto de esta disposi…</t>
  </si>
  <si>
    <t>Castri</t>
  </si>
  <si>
    <t>…rles que de las hipotecas , y sí estaban afectas á otras obligaciones, directa ó indirectamente se les coarta su libertad, les con que las hiciesen ahora nulas: á lo que añadió el Sr. Castri— cedan la protección de la autoridad pública, para remover lio que la causa que habría influido en- la desconfianza, pib- todo estorbo en el uso de sus secularizaciones ;■ haciéndolo blica acaso sería mis bien .que la falta de aprobación de las - entender asi…</t>
  </si>
  <si>
    <t>Castriiló</t>
  </si>
  <si>
    <t>…degradan á sí mismos con los delitos, debien rica, arregle según ellos la dotación que deban disfrutar en do ser modelo de todas las virtudes. caso de secu lanzarse.”' . . El Sr. obispo Castriiló dijo que por ningún título era Una adición á esta del Sr Bernabeu para «que se ex su intención que quedasen impunes los delitos de los ecle tienda á las monjas de toda la Nación española que se hallen siásticos , convencido particularmente de que los que sean…</t>
  </si>
  <si>
    <t>Castrillo</t>
  </si>
  <si>
    <t>…s y goce Mercurio de España. Mayo de 1820. Véndese á 4 rs. en el '■de los derechos de ciudadanos. despacho de la imprenta Nacional. Se suscribe en dicho despa Habiendo indicado el Sr. Castrillo que se debería tratar cho, y en Jas provincias en todas las administraciones principa-' con preferencia de los asuntos de mayor importancia,'de la les y agregadas de correos. ' Hacienda , por egemplo, y otros semejantes , pues si se em En virtud de providenci…</t>
  </si>
  <si>
    <t>…¡a* secretaría. cesivos derechos que se llevaban en muchas parres por car Los Sres. Quiroga y Pala rea apoyaron la indicación dél celajes , sala de. cuarteles y Otros semejante . Sr. Castrillo , después de haber expresado'él Sr. presidente Se leyó una adición del Sr. Calderón para que cuando que no abría la sesión muchos dias por no hallarse reunidos hubiese de pasar la propuesta del'Sr. Vilianueva á la comi los diputados necesarios. sión de Legisl…</t>
  </si>
  <si>
    <t>…estado mensual de lo que se adelante en la venta de impropia de un Congreso, y por lo tanto a su parecer las fincas. inútil. Otra del Sr. Ramos Arispe, para que también se que E! Sr. Castrillo tomó la defensa, é hizo ver los motivos men los vales amortizados desde el año de 18 rj hasta hoy, que habia tenido la comisión para dictar aquellas medidas. transcurrido el término que fije la junta del Crédito pú lJrobó en primer lugar que la comisión creia…</t>
  </si>
  <si>
    <t>Castrilló</t>
  </si>
  <si>
    <t>…aunque quede separada ó fuera esra debia tener lugar en caso de indicarlo las religiosas. de su convento. El Sr. obispo Casmilo dijo, que seria seguramente de Apoyó esto mismo el Sr. Castrilló con el egemplo de 2a misma opinión; pero que «pedia al Congreso procediese una religiosa del convento de la Magdalena, que en otra con pies de plomo, porque es necesario no chocar con las época se secularizó, y se obligó al convento á que atendie opiniones de…</t>
  </si>
  <si>
    <t>…odría haberse hecho aun. Aprobada la indicación mencio Se leyeron también dos votos particulares de individuos nada, se determinó que pasara á ia comisión. de la comisión, uno del Sr. Castrillo, que proponía la con La misma habia pre entado Otro dictamen en i.° de Se servación de los conventos de nionges que se juzgaran úti tiembre eñ vista de la memoria de D. Baltasar Zapata so les en las provincias, y que en las reformas interviniese la bre los ga…</t>
  </si>
  <si>
    <t>…8, el cabo primero 8 , el cabo segundo 5, sobre todo que se dejara su organización al Gobierno ó al y el soldado 3 reales y 18 maravedís.” inspector general. Los Sres. Zapata y el obispo Castrillo conceptuaron El Sr. Sancho dijo que por evitar un escollo se caería muy mezquino el aumento que se proponía paTa el soldado, en otro mayor, pues seria una injusticia evidentísima la y pidieron, el primero que fuese á lo menos de medio duro que se baria á much…</t>
  </si>
  <si>
    <t>…talarios, y de hospi tratar de los regulares , habiendo sido necesario .en todos talarios de S. Juan de Dios.” tiempos la licencia de la autoridad civil para establecerse y El Sr. obispo Castrillo leyó después algunas apuntacio fundar sus conventos en los pueblos, y el que la compete nes que habia formado, con el fin de exponer los motivos para suprimir cuando quiera estos mismos conventos; ad que ha tenido la coinísion para establecer su proyecto de v…</t>
  </si>
  <si>
    <t>…ombres , y lo di ante el mismo Gefe político haber pedido su secularización:": fícil que es al Gobierno llevar adelante las reformas. y levantó la sesión el Sr. presidente. El Sr. obispo Castrillo dijo que habia temido que se Sesión del 24 de Setiembre. comprometiese al Gobierno extendiendo los artículos con Se leyó el acta de la ordinaria de ayer, á la que se tanta generalidad; pero que en cuanto al escrúpulo de que mandaron agregar los siguientes vot…</t>
  </si>
  <si>
    <t>…pectivos institutos.” Y temando tratando del modo mas sencillo é ingemoso los puntos mas suspender su votación ha'ta la conclusión del proyecto. interesantes del orden social- El Sr. Castrillo manifestó que la comisión conocía bien Parece que ha habido algunas escaramuzas entre los pahasta dónde se extendían las facultades de la potestad civil lermitanos v los napolitanos que están en Trépani, y q.ie en esta materia , y que la separación de los reg…</t>
  </si>
  <si>
    <t>…ningún modo cor franca del Vierzo sobre la imposibilidad de atender aun á respondían á la Nación. ■ . . ... los gastos mas precises por haber cesado sus arbitrios; otra Rebatió el Sr. Castrillo los tres puntos que abrazaba elde la ¡unta de obras de la ciudad de S. Sebastian sobre los discurso del Sr. Lobato; á saber : él trabajo de los monges, obstáculos que se oponen á ellas, á pesar de hallarse muy la propiedad de'su's bienes, y el destino de esto…</t>
  </si>
  <si>
    <t>…ar á algunos á la unanimidad tículo, no se accedió á la suspenrinn. en la censura , y a'ser elegidos por un magistrado. Tomando nuevamente la palabra el Sr. Calatrava, repi El Sr. obispo Castrillo, después de convenir en la gran tió la imposibilidad en que se hallaba de ceñirse al artículo de utilidad que la libertad de imprenta ha procurado á to en cuesrion por su enlace con la ¡unta de protección , de esta das las naciones que la han adoptado, y de r…</t>
  </si>
  <si>
    <t>…ierno el plan que considerase mas oportuno al efecto, ra ser gran jurado el tener casa abierta. ya por medio de rifas de solares de dicha plaza, ó por otrp: Después de esto el Sr. obispo Castrillo repuso al señor que no gravasen á la Nación. Asi se aprobó. Estrada sobre la conclusión de su discurso, en qué habia Igual resolución recayó sobre otro dictamen de la mis hecho mención de lo que dice D. Alonso el Sabio en la ley ma comision'de Hacienda, en qu…</t>
  </si>
  <si>
    <t>…La apoyaron los Sres. Eche Instrucción pública. varría , Castrillo, Giraldo, Yandioia, Gaseo y Cavaleri, El Sr. ministro de Hacienda remitió á las Cortes una proponiendo ademas el Sr. Castrillo que por si no habia di exposición de varios individuos de las fabricas de cigarros nero para las obras necesarias al efecto, se hiciese una cues establecidas en esta corte sobre que se conserve este esta ta general; y el Sr. Giraldo que para el mismo fin se v…</t>
  </si>
  <si>
    <t>…lguna modificación en los art. 1.’ y 2. y alguna re ción , se acordó por las Cortes su lectura. forma en el 5.0, pidiendo al efecto que se pasara á la comi Concluida esta, dijo el Sr. Castrillo que se oponía á sión de Hacienda un cálculo que había leido sobre el asun que se tomase resolución alguna sobre este particular, por to, á fin de que llamando á los directores del Banco nacio cuanto la comisión Eclesiástica presentaria pronto su tra nal, y co…</t>
  </si>
  <si>
    <t>…ndado en aquella crudádf oficio Te remitiese'para acor jar las Cortes lo conveniente, por D. Gaspar Melchor de Jovellanos. en castigo dé los culpados en este hecho e-candaloro. El Sr. Castrillo .presentó una indicción sobre que se se Los íjres. conde de M tule y Quiroga apoyando al señor ñalase algún emolumento A los fiscales de las-juntas de Cen Ari pe expidieron que el es adío de Andalucía y Galicia era sura, que les sirviese de estímulo para cump…</t>
  </si>
  <si>
    <t>CastriÜo</t>
  </si>
  <si>
    <t>…822. do, Villa, Domínguez. ^Eí-Congreso decretó también lirt censo .general de la po COMISION ECLESIASTICA. blación, sin que se eximan mas que los indios no contri Los Sres. limo. Sr. CastriÜo, limo. Sr. Fráyle, Sres. buyentes.-Creemos que pasará nuestra población de 10 mi Villanueva , Cantero, San Miguel , Muñoz Torrero, Ramos llones de individuo^, y. «jue en su consecuencia se aumen García, Bernabeu , Couto. tará el número de representantes en el…</t>
  </si>
  <si>
    <t>Castro</t>
  </si>
  <si>
    <t>…abados modernamente por célebres grabadores de Pa No solamente elogia el ayuntamiento el buen porte y rís. Su dirección está confiada á un profesor acreditado en este conducta del sargento Castro y su partida en esta ocasión, arte , en unión por ahora de cinco buenos oficiales fundidores de sino que haciendo la debida justicia 3 todo el batallón de aquella capital, hasta que se consiga aumentarla con otros mu milicias, manifiesta lo mucho que sus indi…</t>
  </si>
  <si>
    <t>Castro, Amorfo de</t>
  </si>
  <si>
    <t>Amorfo de Castro</t>
  </si>
  <si>
    <t>…n con el uso de la autoridad , lejos de María Antonia Niño, D. Vicente Fraile, D. Francisco de «extenderla, la debilitan. Se hacen menos poderosos cuando Mata, D. Rafael de Pinos, D. Amorfo de Castro, D. An «quieren &lt;er superiores á las leves , y pierden su poderío drés Montalvo , el Sr. duque del Parque, D- Francisco Xa «perdiendo el amor de ‘lis súbditos.” vier de Aguilar, D. Juan Sánchez, D. Ramón de Pando y Apenas igualaron Demóstenes y Bossuet la elo…</t>
  </si>
  <si>
    <t>Castro, Bernardo'Correa de</t>
  </si>
  <si>
    <t>Bernardo'Correa de Castro</t>
  </si>
  <si>
    <t>Branco; ídem del secretarlo de los negocios de Guerra y ansentado de España con pasaporte, haciendo dimisión de Marina, el coronel Bernardo'Correa de Castro ySepúlveda. su empleo, y gue se Té Babia formado cátisa por la llamada La junta provisional preparatoria de las Cortes se com comisión especial de Estado, y pidiendo que.se le oyese, y.. pone de los siguientes sugetos: el conde de Sampayo; el formase causa an…</t>
  </si>
  <si>
    <t>Castro, Evaristo Perez de</t>
  </si>
  <si>
    <t>Evaristo Perez de Castro</t>
  </si>
  <si>
    <t>…b con que lo ha se «■ vido; y he nombrado para el mencionado Despacito de Marina-á D. Juan J3-1 bat, debiendo seguir encargado de la interinidad del de Estado hasta lá rilegada de D. Evaristo Perez de Castro. Tendreislo entendido, y ib comunica-r reís á quienes corresponda para su debido cumplimiento, Dado en Palacio a 6 de Abril de 1820. —Está rubricado-- A D. Pedro Agustín Girón.” Por providencia del imperial y Real tribunal dé primera instancia civil de Milán…</t>
  </si>
  <si>
    <t>…l congreso dará fin á su s tareas á fines del mes. ' ALEMANIA, '* : . • .. V: . , , Ffambnrgo ji de Abrih Se ha recibido aquí con gran satisfacción la noticia deí nombramiento del Sr. D. Evaristo Perez de Castro para el ministerio de Estado de España, por que en el corto tiempo que lleva de residencia en esta ciudad se ha grangeado el aprecio de cuantos lechan conocido. Son infinitas las gentes que van á darle el parabién , y se trata de obsequiarle con varias funcio…</t>
  </si>
  <si>
    <t>Del senado de Lubeck* ' „ „Ios infrascritos tari tenido la honra de recibir ta nota de 4 del corriente* en la que el Excmo. Sr. D. Evaristo Perez de Castro, ministro de S. M. Ca tólica, se ha servido comunicarles el manifiesto queacaba de publicar S. M. * relativo á haber jurado la Constitución de ,1a Monarquía española promulga da en Cádiz en 1*812 por las Cortes generales y extraordinarias. ,,A1 manifestar los…</t>
  </si>
  <si>
    <t>…lil Sr. Noguera ha sido presentado á S. M. y AA. RR. en calidad de en cargado de Negocios de España por Mr. DeUÍíve^ introductor de embaja dores. Según las cartas de Maguncia, el Sr. D. Evaristo Perez de Castro, primer secretario de Estado del Rey de España, en su via¿¡e de Hambqrgo á Franc fort ha sido recibido en todos los pueblos con las mas finas demostraciones de aprecio por haber contribuido tanto á la formación y establecimiento de la Constitución política de…</t>
  </si>
  <si>
    <t>…guida levantó el Sr. presíden'e la sesión pública á' Rubricado de la Real mano. = En S. Lorenzo a 8 de Octu ia una de la noche para qued ’r las Cortes en secreta. bre de 1820. = A D. Evaristo Perez de Castro.” Sesión ordinaria del de Noviembre. Se abrió la sesión con ia lectura de las actas de las dos nota. En la gaceta del jueves 9, col. 3.% lín. 39, París 7,sesiones ordinaria y extraordinaria de ayer, mandándose: debe ser París 372 agregar á la de esta última u…</t>
  </si>
  <si>
    <t>Castro, Evaristo Pérez de</t>
  </si>
  <si>
    <t>Evaristo Pérez de Castro</t>
  </si>
  <si>
    <t>…reiflo entendido para su cum LITERATURA. plimiento, y dispondréis se imprima, publique y circule.= Está rubricado de la Real mano. = En Palacio á 24 de Octu ARTES. bre de 1S20.eeA D. Evaristo Pérez de Castro. Entre los descubrimientos mecánicos que dan á las ma nufacturas un mérito superior al q¿e pueden recibir de la ma Por el Sr. secretario del Despacho de Gracia y Justicia no del hombre, aplicada, inmediatamente á la obra, me se ha comunicado al de Estado los…</t>
  </si>
  <si>
    <t>Castro, Francisco' Sánchez de</t>
  </si>
  <si>
    <t>Francisco' Sánchez de Castro</t>
  </si>
  <si>
    <t>…de Reales Guardias de infantería. con la adición del Sr. Ramonet «i una persona de su con Se declaró no haber lugar á votar sobre una exposición fianza aunque no sea letrado.” de D. Francisco' Sánchez de Castro, del gremio y claustro Se dió cuenta de otro dictamen de la comisión primera de la universidad de Santiago, sobre sustituir la enseñanza de Legislación sobre la proposición del Sr. Moreno G erra, de derecho natural a la del romano. para que se permitiese volv…</t>
  </si>
  <si>
    <t>Castro, Joaquín de</t>
  </si>
  <si>
    <t>Joaquín de Castro</t>
  </si>
  <si>
    <t>…ones y memorias que hay en esta M. H. villa, asi de las Resolución á los problemas de la juiva consultiva, di que era patrono el Consejo Real ,como de las que están ba rigida' por D. Joaquín de Castro desde Barcelona. jo el patronato de otros cuerpos ó personas particulares, Un interrogatorio de la junta del primer regimiento de riel objeto de su fundación, estado de sus rentas y fondos Guardias de infantería robre su organización. existentes, para que en…</t>
  </si>
  <si>
    <t>Castro, Josef Manuel de Souza y</t>
  </si>
  <si>
    <t>Josef Manuel de Souza y Castro</t>
  </si>
  <si>
    <t>…s Cortes se han servido autorizar a! Gobierno para ra, quedaron encargados de! departamento de Negocios del que pueda conceder á los oficiales su retiro con el tercio del reino el diputado Josef Manuel de Souza y Castro, y del sueldo de la infantería del egércíto á los 15 años de servi de Negocios extrangeros el vice-presidente Antonio de Sil— cio, con la mitad á los 20, con los dos tercios á los 25, y veira l’into de Fonseca. con el todo á los 30. Sabemos que el Gobierno es…</t>
  </si>
  <si>
    <t>Castro, Luis López de</t>
  </si>
  <si>
    <t>Luis López de Castro</t>
  </si>
  <si>
    <t>…añana. Por providencia del Sr. D. Josef López del Pan, del Consejo de S. M. , alcalde decano de su Real Casa y Corte refrendada del escribano de provincia y comisiones; de U misma D. Luis López de Castro» se ha mandado citar» llamar y emplazar por</t>
  </si>
  <si>
    <t>…campo D. Fernando Gómez ele Butrón. , J * Por providencia del Sr. 0. Julián Sojo, juez de primera instancia, dada en y del corriente, y* refrendada- por el escribano de provincia D. Luis López de Castro, se han mandado sacar i pública subasta por término de 30 dias un pedazo de ttertat labrantía en,el término dc.Húmera, propia del concurso de D. Jiían Manteles, cu-1 ya figura es un polígono- irregular, que á saliente linda con cierras de dicha villa,i. medio…</t>
  </si>
  <si>
    <t>Castro, Perez de</t>
  </si>
  <si>
    <t>Perez de Castro</t>
  </si>
  <si>
    <t>…peridad del Monarca y de sus fieles súbditos. Las contestaciones de dichas Ciudades son las siguientes: Del senado de Hamburgo. * " ■ ‘ v ,,E1 Senado se apresura á dar gracias, al caballero Perez de Castro, mi nistro de España, por la comunicación que.acaba de hacerle de haber acep tado S. M. Católica la Constitución decretada por las Cortes del reino de Es paña, según lo expresa S. M. en su manifiesto del io de Marzo. ,, En la nota que el ministro dé.España ha…</t>
  </si>
  <si>
    <t>…rdida que cualquiera podia uniones. El papel que se da á la prenda ha ‘ido escrito ocu-r nacer.' ................... pando tiempo y cuidado , ha sido corregido, y aun des Luego el Sr. Perez de Castro dijo, apoyando al Sr. Ar pués de impreso se ha vuelto á- leer nuevamente, con lo guelles, que el Gobierno estaba en la firme persuasión de que se da lugar á la reflexión ; .y todavía ‘U‘ efectos son. mas que podría impedir que se trastornase el orden público…</t>
  </si>
  <si>
    <t>Castro-, Josef de</t>
  </si>
  <si>
    <t>Josef de Castro-</t>
  </si>
  <si>
    <t>…lMós'eapitanés Francisco Zára^ey Julián labrera: alféreces Vicenta Ckma y¡ Migué! Avila : soídádo! ry.f ’ ^ . •' * p w - i . .Pp Í-' ■ n¡. ;¡: . : - • ‘ ¡ ; . Parkle argento mayor D. Josef de Castro- f P p . ’„Excmo. Sr. *. Acompaño á- V? Er respetuosamente la relación dé lós 5n—' dividuos préséntadó!‘ á: ía Real gracia dél indulto i que sé lés frá cbncedidd^ ínterin V. ^ siló tletle á bieñy sé digna aprobarlos, y mandarles éx-pedir CV Lista de mditltados…</t>
  </si>
  <si>
    <t>Cataian, Josef María</t>
  </si>
  <si>
    <t>Josef María Cataian</t>
  </si>
  <si>
    <t>…en que cesase todo litigio y querella , publicándose en la Ga ceta , en el Diario, en el Constitucional y en el Conservador la siguiente de claración que voluntariamente ha hecho D. Josef María Cataian , á saber: Que si puso en las citadas listas interinas al brigadier D. Juan Salcedo, fue por ha llarse colocada, su declaración al núin. 28 del rollo; pero que estando esta con cebida en los términos que se han expresado por ambas partes én el mirri. 357 del…</t>
  </si>
  <si>
    <t>Catalani</t>
  </si>
  <si>
    <t>…s, á alejarse de Ñapó ciudadanos de todas clases á presentar exposiciones sobre los les para evitar el furor del pueblo. Ahora que se halla en abusos de la administración: 9.a del Sr. Catalani, que pi Víena , se asegura que acaba de presentar en el consejo áu dió» la reclamación hecha por el príncipe de Caste'cícala en lico de la guerra un recurso pidiendo se le dé mando en el Taris, y que se le abra un juicio sobre su conducta. egéroiro de Italia.…</t>
  </si>
  <si>
    <t>Catalina, María</t>
  </si>
  <si>
    <t>María Catalina</t>
  </si>
  <si>
    <t>…para el arreglo de asignaturas Un cortijo de tierra de pan sembrar, término de la vi y nuevo orden de estudio en la jurisprudencia civil y ca lla de Alcaudete, qje tiene arrendado Doña María Catalina nónica , que será necesario para la rebaja de los dos años Gallardo en rema fija anual de 6200 reales. de carrera, y nuevas materias que deben estudiarse en esta Idem una huerta llamada del Alcázar, situada dentro facultad. 6.5 Continuarán por anora todas las…</t>
  </si>
  <si>
    <t>Cataluña, Censura de</t>
  </si>
  <si>
    <t>Censura de Cataluña</t>
  </si>
  <si>
    <t>…ario al nom- Se leyó una adición del Sr. Cañedo para que el estable ramiento hecho por las Cortes para vocales de la junta de cimiento de jueces de hecho, pedido por el Sr. López (Don Censura de Cataluña. Marcial), en proposición hecha anteriormente, se extienda Se leyó la lista de los individuos nombrados para la co al juicio previo de si ha lugar á la formación de causa. misión extraordinaria de Legislación, acordada ayer á pro Se leyó por segunda vez una p…</t>
  </si>
  <si>
    <t>Catarineu, Esteban</t>
  </si>
  <si>
    <t>Esteban Catarineu</t>
  </si>
  <si>
    <t>…de corregidor de ésta muy heroica villa, refrendada dé D. Donato Nunez, escribano del n,ííme(ro deda misma, se ha señalado.paradla celebración de una juntageneral de acreedores.de D. Esteban Catarineu, vecino y del coilVércid'én ésta corte, el día 5 de Marzo próximo., á las,nueve en punto de su. mañana, ehlá pósáda de di cho señor juez. Lo que se.hace saber, á fin de que los que se contemplen como tales concurran á ella por sí ó por medio de apoderados com…</t>
  </si>
  <si>
    <t>Cataseca</t>
  </si>
  <si>
    <t>…to de la misma orden mas inmediato, y se ción ; cuál la disciplina de los concilios de España; y des trasladará á vivir en él; pero en el pueblo donde no haya pués , impugnando al Sr. Cataseca, dijo, que ningún cano mas que un convento subsistirá, si llega á tener 12 religio nista había reconocido ni usado el matrimonio espiritual sos ordenados in sairis.” mas que entre los obispos y su iglesia, llamada la esposa El art. 16 decia: «Si la comunidad…</t>
  </si>
  <si>
    <t>Cathcart</t>
  </si>
  <si>
    <t>20 pitan del bergantín angto-americano el Macedonio , socolor de ser de pro cedencia española. ■ Hace algún tiempo se decía,que lord Cathcart á su vuelta de Pefersburgo seria portador de un tratado de comercio ajustado entre la Gran Bretaña y la Rusia igualmente ventajoso á entrambos, países^ El, mencionado lord ha llega-í do ya á Bruselas. ' a ' : ¡ . FRANCIA. Taris 17 de Diciembre, Con motivo de…</t>
  </si>
  <si>
    <t>Catnus</t>
  </si>
  <si>
    <t>…os co se opti«o el Mv-Priego á que se admitiera á discu ion por misiones la .dificultad'dé realizarse en el e tado actual de nuestras fa Se concedí i la licencia que solicitaba el Sr. Catnus y brica y diminución de brazos para ellas; siguieron algunas Herrera para acercarse al Gobierno á tratar de asuntos da contestaciones, y por último puesta á votación por partas, su provincia; y se levantóla sesión.</t>
  </si>
  <si>
    <t>Cattaneo</t>
  </si>
  <si>
    <t>…nia y Ferrara, que han sufrido daños con aquella costurera; pero sin embargo no se atrevió á con motivo de la piedra. asegurarlo bajo juramento. En el contra-interrogatorio que El caballero Cattaneo, ministro de Nápoles cerca de la le hizo el procurador general incurrió esre testigo en varias Santa Sede, ha hecho una visita á todos los cardenales de su Contradicciones. nación que se hallan en Roma, para saber si están dispues Concluida su declaración, se…</t>
  </si>
  <si>
    <t>Cattlereagr</t>
  </si>
  <si>
    <t>…) una grande unanimidad entre los periodistas, des ton , reemplazara en 'a embalada de Viena al lord Stewart, mintiendo todo lo que se ha dicho acerca de proyectos for hermano del lord Cattlereagr. mados en Troppau, con ei objeto Je hacer modificaciones Los periodistas franceses imitan, aunque por otros' mo en la actual organización de la Confederación germánica. tivos. a los de Londres: continuamen.e se atacan unos á También es fabo el rumor acerca de…</t>
  </si>
  <si>
    <t>Caturla, Francisco</t>
  </si>
  <si>
    <t>Francisco Caturla</t>
  </si>
  <si>
    <t>…ciudada de expósitos, fundada y dotada por D. N. Revilla. nos; y concluyó pidiendo que volviese el dictamen A la A la de Organización de’fuerza armada una exposición comisión. de D. Francisco Caturla, para que A los tenientes coroneles En el mismo sentido se explicaron los Sres. Solana y La agregados en servicio activo , y graduados" de coroneles, se Santa, reconociendo el derecho de asociación en Jos naises les abone el sueldo de 24CJ rs. que les corresp…</t>
  </si>
  <si>
    <t>Cauto</t>
  </si>
  <si>
    <t>…ían ser cuatro o solo dos. los escrutadores que debieran nombrarse, se acordó que no fuesen mas que, dos; y hecha la votación, resultaron electos, el Sr. Travev por 72 votos, y ef Sr. Cauto por 62. El Sr. secretario Martínez de la Rosa leyó’ Mego la lista dé todos los; Sres. diputados, y por ella se fueron presentando á Jía&lt; mesa del Sr. presiden te, á. quien entregó cadar uno sus poderes. El limo. Sr. obispo* electo, de Va— lladolid de Meehoaca…</t>
  </si>
  <si>
    <t>Cava</t>
  </si>
  <si>
    <t>…antes que se leyera-le reformó del to sobre rebajar á los pueblos una pacte de la contri de este modo: «El nombramiento de oficiales Je compañía, bución general. Habiendo hecho el Sr. Cava le ri esta adi sargentos y cabos se hará por elección de los individuos ción : ,,Que al contribuyente que se hallase en este caso ( de de ellas, ¿i -pluralidad absoluta de votos &amp;c.la cual se haber pagado íntegra su cuota ) se le indemnice de lo que aprobó de…</t>
  </si>
  <si>
    <t>Cava'cri</t>
  </si>
  <si>
    <t>…an antes de esta última casa por su decidido amor á las nuevas instituciones. Se época." mandó pasar esta solicitud con recomendación al Gobierno. El mismo curso se dió á esta del Sr. Cava'cri : «Que se Conformándose las Cortes con el dictamen Je 1a comi añada al artículo 8.c si será libre Ja extracción de todo ga sión de Poderes, aprobaron los de los Srcc. Zayas y Beni nado, excepto el ganado merino.” tez, y los de D Antonio Modesto del Valle , di…</t>
  </si>
  <si>
    <t>Cavaleri</t>
  </si>
  <si>
    <t>…entendiéndose que debía sión de Legislación. "bacetse la iirtpiresioir dél presupuesto genera!, Se dio enema de una exposición del alcalde segundo de Sé'leyó'úná" proposiciori del Sr. Cavaleri para que en Síg:ien?a, pidiendo que las Cortes declarasen si pudo 6^ no Ja suspensión de los efectos de cunlq- iera ley se guarden y intervenir como escribano en la aprehensión de un indivi [observen todas las formalidades y trámites oue previene la duo que d…</t>
  </si>
  <si>
    <t>j66 Aprobado el dictamen de la comisión se leyó una indi Constitución de la Monarquía española, Rey de las Españas, cación del Sr. Cavaleri, para que en atención a que las per i todos los que las presentes vieren y entendieren , sabed: sonas á quienes se les han concedido los derechos de ciu Que las Cortes han decretado lo siguiente: dadanos por las razones de equidad y de política, no han, «Las…</t>
  </si>
  <si>
    <t>…particularmente este año en los cesantes, que podrán suceaerles, no se les reputará em que los presupuestos estaban ya aprobados. pleados con derechos á sueldos y jubilaciones. El Sr. Cavaleri reprodujo algunas observaciones del señor 9.0 «Se moderarán los precios de los tabacos, según sus Moreno Guerra, manifestando ademas que era muy perjudi clases, hasta el punto de dejar sin esperanzas de ganancia cial el que quedando libre en América el cultiv…</t>
  </si>
  <si>
    <t>…odian suprimirse ni modi justicia, haciendo pagar á los vecinos de los pueblos por lo ficarse. que consumían los forasteros. Recordó el Sr. López (D. Marcial) que cuando se pre El Sr. Cavaleri manifestó que las observaciones del se sentó en el mes de Julio la proposición sobre diezmos fue ñor preopinante no eran del momento, y que supuesto que el primero que se opuso á que se admitiese á discusión; por habia de haber contribución directa, creía que…</t>
  </si>
  <si>
    <t>…te reintegrar á la'te Gobierno pará quitar y poner todos los magistrados que le sorería del importe de esta última panida, de que sedeí- pareciese. carga el subsidio del clero. El Sr. Cavaleri fue dé parecer que se debían formar cau 3, »Que cuando los contribuyentes, eclesiásticos", reque sas para separar á los magistrados; medio constitucional, y ridos primera y segunda vez por la junta apostólica , ó el mas obvio en su concepto. cuerpos colectore…</t>
  </si>
  <si>
    <t>…dsus comisionados ra en adelante se reducirán todos al 5 por ico, aumentan en las provincias." * do ó disminuyendo los capitales respectivamente, para que Se leyó la siguiente del Sr. Cavaleri: «Que en lugar de</t>
  </si>
  <si>
    <t>…erencia quedaba á los créditos con olidados , aunque fuese sitio la mas perfecta salud.” por término de solo un año, y no se admitió á discusión. Previas algunas observaciones del Sr. Cavaleri, contesta El P.ey hi expedido el decreto siguiente: das por el Sr. Sierra Pambley , se aprobó el art. 11 , que Don femando v 11 por la gracia de Dios, y por la Cons decía asi: titución de la Monarquía española, Rey de las España?, 11. «Los dueños de vales y d…</t>
  </si>
  <si>
    <t>…; hacer mucho comercio con aquellos Estados, j No es bien numerario en vez de dárielo en especie, y. de la proposicion&gt; extraño que en Alemania se propongan y adopten tales me del Sr. Cavaleri para que sé hiciese extensiva esta determi didas, cuando los ingleses se preparan á renunciar á su an nación á todas las demas raciones que se daban en especie: tigua política, proponiendo en el Parlamento un informe la comisión opinaba que se procediese al e…</t>
  </si>
  <si>
    <t>…Yandiola. que se lleve á efecto su organización según reglamento.'' Lo Se mandó también pasar á la comisión la indicación del que participo á V. de Real orden para su inteligencia Sr. Cavaleri, que quedó suspensa en la sesión del 30 de Oc y efectos correspondientes. Madrid 13 de Octubre de 1S20. tubre ( Z Ó.1SC ). El Sr. Romero Alpuente retiró la siguiente por ser igual En la madrugada del 26 de Octubre anterior ha dado á la del Sr. Yandiola, á las…</t>
  </si>
  <si>
    <t>…mismo tiempo pueda quedar satisfecha toda la deuda Una casa en Madrid, calle de la Inquisición, núme nacional." ro 2 5, manz. 522, perteneciente á dicho tribunal, tasad# Otra del Sr. Cavaleri, dirigida á que en el caso de que en 1 i 2,885 rs. vn. los arbitrios destinados á pagar los intereses de la deuda Otra casa en idem, calle de Panaderos, núm. 23, man consolidada no produjesen lo suficiente para pagarlos en di zana 470, de la misma pertenencia…</t>
  </si>
  <si>
    <t>Cavendish, Jorge</t>
  </si>
  <si>
    <t>Jorge Cavendish</t>
  </si>
  <si>
    <t>…o sucesivamente la necesi bril.lante en las casas de los duques de Devonshire y Glo- dad de establecerlo paraiií. ¿Qué pueblos salvages hubieran cester, de la princesa Sofia y del lord Jorge Cavendish ; las trabajado con mas razón, justicia y buen éxito? ( Se con cuites presentaban un gran contraste con la obscuridad de tinua rá.) algunas otras casas vecinas.—En Francia seguían las elec ciones ; y por el departamento del Sena han sido nombrados ios Sres. O…</t>
  </si>
  <si>
    <t>Cavero, Manuel</t>
  </si>
  <si>
    <t>Manuel Cavero</t>
  </si>
  <si>
    <t>…moria relativa á este ramo, presentada por to , levantó la de esta noche. D. Josef Luyando. A la segunda de Legislación se mandó pasar una expo Sesión del £T de Octubre. sición de D. Manuel Cavero, acerca de que c! año de id 1 3 Después de leída y aprobada el acta de! dia anterior , se hallaba con los empleos de tasador y repartidor de plei Sr. Díaz del Moral dió cuenta de la solicitud de un cate tos de la audiencia de Castilla la Nueva, de cuvos dos d…</t>
  </si>
  <si>
    <t>Caye</t>
  </si>
  <si>
    <t>…o han hecho acreedores 2l aprecio público. ducción de algarrobas extrangeras, ó se aumenten los dere chos de importación. NOTICIAS DEL REINO. Se dió cuenta de una felicitación del general D. Caye tano Valdés, en que hacia pre ente el estado de España, Cádiz 9 de Agosto. la que se mandó pasar á la comisión de Agricultura, des Por cartas de Veracruz se sabe que las primeras noti - pués de haberla recibido las Cortes con agrado; V de una cías de los feli…</t>
  </si>
  <si>
    <t>Ce</t>
  </si>
  <si>
    <t>…uero, y yesen los tres grados, y en los 21 y 22 las penas corres pidió que volviese á la comisión á fin de reformarlo; pero pondientes; tampoco se admitió: otra del Sr. Montoy» el Sr. Ce puro se opuso, diciendo todo lo contrario que el para que se estableciesen juntas subalternas de protección Sr. Zapata, y juzgando que ningún artículo estaba puesto en todas las capitales de provincias de Ultramar; y la del con mas tino y prudencia que este;…</t>
  </si>
  <si>
    <t>Cea, Antonio</t>
  </si>
  <si>
    <t>Antonio Cea</t>
  </si>
  <si>
    <t>…a SI son ciertas las noticias, el capitán Parry ha inverna dura , Aragón y Castilla la Vieja á ios mariscales de cam do á 482 millas geográficas al Oeste del estrecho de Lancas po D. Antonio Cea, D. Manuel de Velasco, D. Rafael del ter, y á 280 millas al N. Oeste del rio de Copper-Mine. Riego , ayudante de campo de S. M., y D. Carlos Espi Este punto dista del cabo de Hielo (Giace), término de la nosa ; y gobernadores de las plazas de Malaga y Sanlúca…</t>
  </si>
  <si>
    <t>Celada, Fernando</t>
  </si>
  <si>
    <t>Fernando Celada</t>
  </si>
  <si>
    <t>…de tierra en varios parti rá , como en la España de Europa: viva el Rey , viva la dos en la huerta de Molina. Hacion y viva la Constitución. Portobelo 20 de Junio de Idem idem de D. Fernando Celada. 1820. = Josef Hernández Santa Cruz.” De 10 á 12 de idem de tierra en el pago de riego nue vo , jurisdicción de Cotillas. Nueve taullas de tierra, partido de la Judía, jurisdic No habiéndose verificado los remates de los almanaques ción de la villa de Cotilla…</t>
  </si>
  <si>
    <t>Celada, Manuel</t>
  </si>
  <si>
    <t>Manuel Celada</t>
  </si>
  <si>
    <t>…, núm. 393,094; á D. Francisco Antonio Enderica de otro de 300 pesos de Mayo de dicho año, ó la puerta del reino. Este es el origen del título de Subli núm. 474,635. Otro ídem de D. Manuel Celada , número me Puerta, que la corre otomana toma en todos los actos 467,391. Otro de 300 pesos de Setiembre de 808, mím. 38,451, públicos. Se ha dicho que esta expresión era reí.: ti va á Ja á favor de D. Josef Guzman. Otro á D. Manuel López Ñoñez, de puerta del…</t>
  </si>
  <si>
    <t>Cepera</t>
  </si>
  <si>
    <t>…a que al contestar al oficio no se di Henares, felicitando á las Cortes: el Sr. Vargas Ponce pi jera simplemente que las Cortes quedaban enteradas, sino dió que la proposición del Sr. Cepera en la última sesión, que se expresara el aprecio que habían merecido el zelo'y dirigida á que no se admitiesen felicitaciones, fuese exten prudencia de sus procedimientos, y de.los consejos dados siva á las que viniesen por escrito, bastando que consta al Rey…</t>
  </si>
  <si>
    <t>…s Cortes , en la toridad militar, obligando tí la milicia nacional á que depo apertura de estas, para repartir á los Sres. diputados; y ha site las armas en lugar determinado." El Sr. Cepera mani biendo indicado el Sr. Giraldo que debería incluirse la con festó que debía reformarse la exprerion instancia de Pam testación que dieron las Cortes , dijo otro Sr. diputado que plona , sustituyendo instancia de la milicia nacional de tenia entendido no…</t>
  </si>
  <si>
    <t>…la jesuítas; y el Sr. Espiga dijo que S. M. habia mostrado subsistencia de los hospitales. Con lo que se declaró suficien recibirlo con agrado. temente discutido, y se aprobó. El Sr. Cepera hizo presente al Congreso que aquella Se leyó y admitió una indicación del Sr. Puigblanch, misma mañana se habia presentado á la secretaría el presi que decia: »en atención á que los capellanes de honor go dente de ia juma del Monte pío á entregar un oficio q…</t>
  </si>
  <si>
    <t>…condición que este bienes vinculados , deberá hacerlo con la intervención del otro-heredero transversal. sucesor inmediaro. La comí-ion con el fin de compensar al sucesor inme El Sr. Cepera, después de probar con varios egemplos diato de este derecho legal de que se ve privado, deja al que sentada una ley general, pueden á continuación poner padre la facultad de hacer mejoras á sus hijos; pero estas se las excepciones que el legislador crea nece…</t>
  </si>
  <si>
    <t>…a en el segundo caso, la hubiera preientado ya-srt manos de un extrangero si sobreviniesen trastornos políticos Congreso. en la Europa; fuera de que debía ser poco ventajoso el El Sr. Cepera, bajo el supuesto de hallarse ya decidi concepto que formaran las demás naciones de una, que ha das algunas cuestiones, y ser anticipadas otras de las que se biendo gastado 7® millones en la guerra de la independen roponian en la discusión , pidió se ciñera e…</t>
  </si>
  <si>
    <t>Ceperb</t>
  </si>
  <si>
    <t>/"O *1 Sr. Ceperb que.ho-se proponían gracias, sino el cumplí- de hablar algunos Sres. sobre-sí deberían ó noídan.gracias .í nJiéjnto de ofertas hechas para dar la libertad A la Patria. la junta, recordó el Sr. Ceperoque tampoco sé había eeeSe leyó una proposición del Sr. jCcp…</t>
  </si>
  <si>
    <t>Cepero</t>
  </si>
  <si>
    <t>…ento siguiente: á corta distancia del pueblo motivo pidió el Sr. Navas que se quitase la barra; y habien habían colocado algunos cazadores bajo de tierra una tram do contestado el Sr. Cepero que no había en el reglamentó pa para coger lobos: al ir á reconocerla se encontraron den ningún artículo acerca desemejante distinción , peculiar solo tro de ella con un tigre; lo que causó tanto mayor sorpresa del Rey, entraron á jurar y tomaron asiento los…</t>
  </si>
  <si>
    <t>…e'taha pendiente en la secretaría. Se acordó que se dicho decreto, ó tenia carácter de tal, se hizo presente por pasará al Gobierno la división de los de las provincias de el Sr. secretario Cepero que conforme al reglamento no se León y Guadalajara, que estaba ya aprobada por las Cor podía hacer rna' que leer la proposición sin discutirla , lo tes , para que se pusiera en egecucion; y á la comisión de que deberia verificarse al tiempo señalado. Legisla…</t>
  </si>
  <si>
    <t>…bras de muera la Constitu Se levó por seminda vez, se admitió á di'cusion, y se ción en el acto mismo de estarse colocando la lípida cons aprobó como indicación la.proposición del Sr. Cepero, re titucional. = Vista. = Fallamos que debemos confirmar y confirmamos la sentencia definitiva pronunciada en 1 2 delativa á noe no se admitiesen felicitaciones al Congreso sino Mayo por el juez de primera in'iaricia D. Julián de So¡o,por escri o. por la que…</t>
  </si>
  <si>
    <t>…o que do en los seminarios, universidades y colegios se observara, debía estar satisfecho de que nada se habia omitido. no asi en los conventos, por lo que debía también mandár El Sr. Cepero manifestó que no habia sido una arbitra selo expresamente á estos; y después de haber contestado á riedad de la secretaría el añadir en el oficio: «el estado de estas objeciones los Sres. Marvel y García Page, y de haber las causas de Zaragoza, Burgos &amp;c; ’ p…</t>
  </si>
  <si>
    <t>…ándose en que la Nación se habia tenido presente la memoria del secretario de Ultramar para puesto en posesión de un derecho que nadie pudo quitarle, dar el dictamen . contestó el Sr. Cepero que asi se decia en y que seria un espectáculo bien triste el que vieran las Cor el principio del informe. tes si su primer decreto en el ramo de Hacienda fuese re El Sr. Yandiola contestó también que al ministerio de ducir á tina gran cantidad del pueblo que…</t>
  </si>
  <si>
    <t>…s presupuestos pasados por los respectivos secreta-' rios del Despacho, y presentados por el de Hacienda; y no SECRETARIA DEL CONSEJO DE ESTADO. se admitió á discusión. Anunció el Sr. Cepero dos expedientes señalados para el &gt; - Cruadalajara de Indias. La plaza de regente de la despacho del lunes, uno sobre división de partidos, y otro audiencia de Guadalajara, en Nueva-Galicia, está vacante por sobre habilitación de un menor para administrar sus…</t>
  </si>
  <si>
    <t>1i6 dictamen del Gobierno; á lo que contestó el Sr. Cepero de no poder concurrir con ellos á ningún mercado; y asi que los informes que este había tomado eran tantos y tan opinaban que deberían tomarse las medidas siguientes: 1.* eficaces, que seria de la mayor utilidad que los Sres. dipu Que los diezmos desde el año…</t>
  </si>
  <si>
    <t>…esto para que informadas las Cortes de lo votación nominal, á petición del Sr. Bahamonde, por ioo que hubiese en el particular, se pudiesen hacer proporciones. votos contra 8. El Sr. Cepero y el Sr. vice-preridente dijeron que el Go El Sr. Muñoz Torrero pidió que se haciera constar en bierno habia pasado á las Cortes las noticias que reñía so-</t>
  </si>
  <si>
    <t>…rvicio de los bajeles, acentúes y hospita rizar á las monjas, fuese también extensivo á los fraile'. les de Marina , ó podrá hacerse este servicio con mayor ven Se aprobó otra del Sr. Cepero, relativa á q”e se pasen á taja y economía por otros eclesiásticos que solo se admitan la comisión las indicaciones aprobadas por las Cortes y de- cuando sean necesarios? mas presentadas en este dia, para que forme un proyecto 25. Si se conceptúa ntil un cuer…</t>
  </si>
  <si>
    <t>…o creia no haber lugar á la aprobación del articulo. nes , una del Sr. Banqueri, y otra del Sr. García (D. Antonio). Otro señor diputado recordó la necesidad de que se Preguntó el Sr. Cepero si se concedía al Sr. diputado adopte esta medida para no dejar abandonadas á muchas Sandino permiso para tratar con el Gobierno. Deseando sa gentes, que acudiendo á los hospitales, y viendo se les ne ber cuál era el objeto, dijo que lo declararía en sesión s…</t>
  </si>
  <si>
    <t>…s el apoyo del débil, sión de Poderes, los de los diputados por las islas Baleares y el baluarte contra la oprerion. D. Ramón Despuig, conde de Montenegro, y D, Guiller Sig i &gt; el Sr. Cepero, y tomando por único regulador mo Moral. de su conducta y de &lt;us opiniones á su conciencia, dijo, Se leyó el dictamen de la comisión de Hacienda sobre q e después de mirado c fidadosamenre el expediente encon la cesión hecha por S. M. en 30 de Mayo último de…</t>
  </si>
  <si>
    <t>…sentaron Caro, Argaiz, Cabalen, Fondevila, Cepeda y Moscoso, dos indicaciones relativas á esto mismo. y resolvieron las Cortes se pasasen á ella todos los papeles Decía asi la del Sr. Cepero: «supuesto que los comerciantes existentes de dicha Junta provisional. que acopiaron harinas y granos, en virtud de permiso del Igualmente se leyeron las de las dos comisiones de Le Gobierno, sufren gran perjuicio en no dejarles concluir sus gislación , la pr…</t>
  </si>
  <si>
    <t>…nstituciones, proponia lo siguiente: «A los pueblos rio .• la resolución ae no haber 1 gar á votar sobre la indi que en el dia 10 del próximo mes cié Setiembre hayan sa cación del Sr. Cepero. tisfecho las dos terceras partes del tercio ( de la contribu Se nombró para la comisión de Legidacion, en lugar ción general), que se vencerá en fin del actual, se Ies exi del Sr. presidente, al Sr. Morague;; para la de Poderes, en ma ¿el pago de la otra ter…</t>
  </si>
  <si>
    <t>…de sacarse la que reemplace el son aptos para las armas; pero también se debe atender á egércíto permanente. que los jornaleros no tienen otro medio que su trabajo para Quería el Sr. Cepero que se pusiera en este art ículo , en acudir á su subsistencia , y si hay algunos que teniendo bue vez de todos los españoles, todo ciudadano español en el nos jornales podrían servir, los mas se hallan imposibilita egerciclo de sus derechos; porque siendo el…</t>
  </si>
  <si>
    <t>…erse volun cia de Granada , quien pone A continuación su firma para tariamente se los admita al honroso servicio de la milicia que sea reconocida.” nacionaly esta otra adición del Sr. Cepero «no siendo Lo que de Real orden comunico á V. E. para su inte incompatible con el cumplimiento de sus deberes.” ligencia, y A fin de que se sirva disponer se publique en la Tampoco se aprobaron otras indicaciones del Sr. Janer, gaceta del Gobierno. Palacio 9…</t>
  </si>
  <si>
    <t>…mas batallones se denominaran i.°, 2.- ¿kc. , y Al continuar la di cusion sobre el proyecto de la mili las compañías de cada uno seguirán el mismo orden numé cia nacional, dijo el Sr. Cepero que se habían presentado rico ; riendo aquellos y estas iguales en un todo, sin pre dos indicaciones relativas al art. 2.0 discutido en la sesión ferencia ni distinción.” anterior, y por consiguiente debían leerse antes de entrar en Art t 2. «Los cuerpos de m…</t>
  </si>
  <si>
    <t>…do casarse mas que al solo hijo en que se hallan para obtener prebendas y dignidades’ ecle mayor con exclusión de los otros. Por fin,,después de ha siásticas de rodas clases; y el Sr. Cepero manifestó que de- berse detenido la comisión en explicar por menor y con bian repararse como regulares secularizados, y con facultad la mayor circunspección todos los perjuicios ó bienes que como estos para elegir y ser elegidos. Pero habiendo expre podrían s…</t>
  </si>
  <si>
    <t>…en que decia que la milicia nacional no tas reflexiones los Sres. Cepero, Florez Estrada y Freiré, deberá hacer guardia á ninguna persona por distinguida se aprobó la adición del Sr. Cepero; se dijo que pasara á la -y graduada.que sea, y sí solo dar ordenanza al gefe de su comisión para que refundiese este artículo. Se levantó la se cuerpo, añadió la comjsion: ,, siempre que fuese comandante sión á la una y media, para quedar en secreta, de su b…</t>
  </si>
  <si>
    <t>…ones provincia dicado Roca ha ofrecido descubrir canteras de muy supe les al Sr. Ochoa. rior calidad en Murcia, y en otros parages del mediodía Se leyó la siguiente indicación del Sr. Cepero : «sin per de nuestra Península. Es de creer que el Gobierno, zeloso de juicio de ¡o que las Cortes tengan á bien resolver, según in los progresos de las artes, no desatenderá esta proposición; formare la comisión de Premios, dígase al Gobierno que se la cual…</t>
  </si>
  <si>
    <t>…añe de la comisión de Legislación sobre vinculaciones y mayo do que conceptuando de rigorosa justicia la indicación del razgos; y tratándose de señalar dia para la discusión, dijo Sr. Cepero, quería se tratase del premio efectivo , no de la el Sr. presidente que cuando se hubiese impreso y reparti viudedad; y el Sr. Sánchez Salvador que pedia tuviera de do el dictamen á los Sres. diputados, entonces se podría recho la viuda a todos los ascensos q…</t>
  </si>
  <si>
    <t>…de las Torres, sobre que. te ponga'-un &gt; cura • tinteceJainteh ■ párroco cít ella. • ■ ' ' Para los que nó lleven 12 años de servicio se esta- Se leyó la siguiente indicación del Sr. Cepero: «que con blecerí (nía escala de progresión, comparada con la regla arreglo al art. 5.” del decreto de 4 aelirrero de -iííiy, se establecida en el artículo 3.® para los que tengan mas sueldq recuerde á las dos secretarias de la Gobernación la.couve1- de-12S r…</t>
  </si>
  <si>
    <t>…ad , por ser cosa del mayor interes. lo sucesivo otro compromiso, dijo que presentaría mañana Se ley ó por tercera vez, y se señaló para mañana la una proposición mejorando la del Sr. Cepero, para que no discusión del tercer proyecto de ley presentado por la co hagan ¡amas las Cortes felicitaciones personales á nadie, ni misión para el exterminio de malhechores ; y se levantó la español ni extrangero, sino á la sagrada é inviolable Per sesión. so…</t>
  </si>
  <si>
    <t>…ho de hacer una cosa, que imponer bia suprimirse la voz de «descubrimiento,” dejando solo la obligación de hacerla. «para su persecución, arresto y castigo” en las últimas pala El Sr. Cepero dijo que hallaba el artículo arreglado exac bras; ú lo que le contestó el Sr. Martinez de la Rosa. tamente á la Constitución , pues que esta misma prescribe El Sr. Lasanta apoyó este segundo artículo, y el señor á todos los españoles el ser benéficos; y que u…</t>
  </si>
  <si>
    <t>…hor modo debemos ser sumamente circunspectos y rigorosos tó á que se tomasen todas cuantas ¡nedidas fuesen posibles. para no traspasar los límites señalados en la Constitución, El Sr. Cepero recordó que este era un asunto que se ha pues vendría á destruirse por se misma base el edificio social. llaba fuera de las atribuciones de las Cortes, y que pertene Me es doloroso, continuó el orador hablando del ter cía al poder egecutivo exclusivamente. Di…</t>
  </si>
  <si>
    <t>’c8 - . cera v se dejó sobre la mesa para señalar día. luntad se acuérde el artículo que se deba insertar en la ga • Iil Sr. Cepero hizo presente que entre sus papeles parti ceta del Gobierno y en los demas periódicos que determine, culares habia encontrado uno relativo al arreglo de la bi- dejando copia fehaciente de él en este proceso, y expidien ■flílrotecn de las Cortes; el cual A ins…</t>
  </si>
  <si>
    <t>…prelados eclesiásticos-se arreglen en la prohiBiblioteca á los Sres. Giraldo, Desprat y Liñan, y para la icion -de libros al artículo 2.0 del decreto de 22 de Febre del Diario al Sr. Cepero. ro de 1813, por el que se abolió la Inquisición, y á los Se dió cuenta de haberse entregado en la secretaría para que tratan de libertad de imprenta. repartirse entre los Sres. diputados 200 egemplares de la Se concedió al Sr. Castañedo el permiso que pedia…</t>
  </si>
  <si>
    <t>…ia fiar en que no tuviese enemigos el sistema Por ultimo, sentando que se conocia que no todos se conformaban con claró no haber iugar A votar. Se leyó la siguiente indicación del Sr. Cepero: «Que esta opinión general por las exposiciones dirigida* a! Con páse A la misma comisión para ;ti examen el expediente for greso contra la abolición de mayorazgos, se orificó en et mado sobre la Constitución secreta de que hablaron los pe dictamen de la comi…</t>
  </si>
  <si>
    <t>…undir por la aprobación de las leyes, debian ser re .petados, y se con las del Gobierno sus ideas sobre esta materia. pensar que se haría una injusticia faltando á la intención El Sr. Cepero, ciñéndose solo á examinar si se estaba ó de los fundadores, quitando su propiedad á los actuales no en el caso de aprobar el artículo propuesto por la comi poseedores, y antes de adquirirla i los herederos á quie sión , probó ser nece'ario que las Cortes no…</t>
  </si>
  <si>
    <t>…de deudas de particula y.° «El oficial que no se presente en el término perento res contra la Francia. rio que se le señale cuando le toque ser ascendido, ó en Se aprobó esta del Sr. Cepero: «Dísace al Gobierno, cualquier otro caso que el Gobierno se lo mande, recibirá que oyendo á las diputaciones provinciales de Cádiz v Se su retiro con arreglo á los reglamentos vigentes, ó que se villa , proponga á las Cortes un proyecto para formar un formen…</t>
  </si>
  <si>
    <t>…ículo en su totalidad. hablado en la dticusion Luego se presentaron algunas indicaciones, que no fue Luego dijo. apoyando en todas sus partes el artículo pri ron admitidas. La del Sr. Cepero, que presentó ayeruna mero. que no se debía extraviar la cuestión de este; y que del Sr. Martínez de la Rosa para que las Cortes se sirvieran si se esperaba para la abolición de los mayorazgos á que no declarar si la aprobación del primer artículo impedía pon…</t>
  </si>
  <si>
    <t>…oncederles los derechos de ciu ayer del dictamen de la comisión de Premios, se empezó dadanos . con declaración de que no por esto se entiende con la lectura de una indicación del Sr. Cepero, q e de que quedan rehabiatados ni con derecho á reclamar los eracía : «Que las Cortes declaren benemérito en grado heroico picos, condecoraciones, gracias, puesto'ó mercedes que al general Acevedo;” la cual fue aprobada. obtenían al tiempo de decidirte á tom…</t>
  </si>
  <si>
    <t>…a nueva Hizo notar por fin que. sin haberlo pedido vsin una ga elección iba en aumento, por decirlos?!, la confianza. rantía de su arrepentimiento, vendrían a ser ciudadanos es El Sr. Cepero principió su discurso con la ohservacion pañoles, á disponer de (a felicidad y destino de los pueblos, de que tres dias antes habia el Congreso concedido una am y á ocupar acaso aquellos asientos en el ano n , sin em nistía general y completa á los disidentes…</t>
  </si>
  <si>
    <t>…íticas; y pidió se oyese sobre este punto al Go do no tomar parte en la discusión por ser seglar,«y por ha bierno. ber tantos y tan ilustrados eclesiásticos en el Congreso, sin El Sr. Cepero convino con el Sr. Ochoa en ser conse embargo viendo lo mucho que se ha disputado sobre traer cuencia un artículo de otro ; pero recordó que en la repre para esta ley bulas de Roma, no podia menos de decir que sentación impresa del general de S. Francisco, re…</t>
  </si>
  <si>
    <t>…acerca del elector de la isla del Hierro,, medidas y providencias que tuviese por convenientes." cuyos gastos deberían ser de cuenta del presidente de la Apoyó e-ta indicación el Sr. Cepero , creyendo era su junta electoral y escrutadores; opinando ademas que se die mamente necesario se tomase alguna providencia sobre el se una reala general para los casos de empate, y que se particular ; y el Sr. Y^itorica dijo que las Cortes no debian adoptase…</t>
  </si>
  <si>
    <t>…s de otras reflexiones, ¿qué mas po minos. bres, dijo, que una nación cargada coi» 14® millones de Se mandaron pasar á las comisiones correspondientes de deuda? otros recursos. El Sr. Cepero apoyó al Sr. Priego, haciendo tam A la de Caminos y Canales se acordó- que pasara una bién presente que algunos de los bienes que poseían las indicación del Sr. Desprat, y otros Sres. diputados sobre comunidades no los tenían en propiedad, sino en mera constr…</t>
  </si>
  <si>
    <t>…se proponía, deshizo la equivocación de su preopi Se mandó pasar á la comisión de Regulares la siguiente nante , respecto á las dotaciones de los cónsules, manifes indicación del Sr. Cepero: «Que los monacales regu’atando que algunos las gozaban mucho mayores, siendo el res, freires de las cuatro órdenes militares, de S. J ian de menor número las de 1 2® reales. Jerusalen y demas suprimidas que no esten ordenado-- in El Sr. Moreno G..erra dijo,…</t>
  </si>
  <si>
    <t>…de sido privados del destino último por adictos á la Constitu 50 á 6o años, aunque no hayan llegado a esta edad.” ción , se llama por este aviso á los que cobran sus haberes en El Sr. Cepero recordó, y se volvió á leer la indicación la misma tesorería general , á fin de que se presenten con que habia hecho en la sesión del 27 (vea.se) &gt; la que apo los documentos insinuados para hacerles la liquidación com yada por los Sres. Calatrava, Sancho y Mu…</t>
  </si>
  <si>
    <t>…aprobado. ideas de grandes propiedades , superioridades sociales, Se leyó una adición del Sr. Gareli á la indicación del mayorazgos, y otras instituciones desechadas por nuestras Sr. Cepero ( véase la sesión de ayer), que decía asi: «Se costumbres y por el e'píritu del siglo. Aquellos insultan rehabilitan civilmeate para la testamentifaccion activa y pa con grosería á los hombres estimados de toda la Francia, y siva á todos los individuos compre…</t>
  </si>
  <si>
    <t>…itos y devora función de iglesia, en que el reverendo cura pár ae la Isla serían los mas sediciosos del mundo. roco, sugeto distinguido por sus virtudes verdaderamente Hizo ver el Sr. Cepero las funestas consecuencias que po evangélicas y por su acendrado patriotismo , pronunció un dría ocasionar tal adición, aunque propuesta con intención discurso, en que al lado de las eternas verdades de nuestra recta, siendo ademas superflua, pues se halla la…</t>
  </si>
  <si>
    <t>…a de las faculta estado con el nombre de obligaciones evenruales, deduci des del secretario del Despacho para variarla. dos los descuentos del monte pió, 4 por 100 é inválidos, El Sr. Cepero hizo ver que la planta actual estaba arre 97.286,908 rs. glada á las bases aprobadas por las Cortes; y considerando 17. «Se decretan de consiguiente para cubrir el presu la cuestión bajo dos aspectos, uno de economía y otro de puesto de la Gue: a del presente…</t>
  </si>
  <si>
    <t>…" sobre el que la mera presidencia ; por todo lo cual pido á las Cortes cual se declaró no haber lugar á votar. que aprueben este medio adoptado por la comisión, como Sustituyó el Sr. Cepero al artículo esta indicación: «Que el mas conveniente en las circunstancias en que se halla la el número de jurados sea triple del de regidores.” Nación.” La apoyaron los Sres. Ezpeleta y Moreno Guerra; pero El Sr. Golfín, apoyando al Sr. Medrano, fue de pare…</t>
  </si>
  <si>
    <t>…os los medios que estuviesen á su al Hacienda. cance; y por último quedó aprobada la indicación , añadién A la misma se mandaron pasar el plan de la dirección dose, á petición dei Sr. Cepero , al final estas palabras: i&gt;y de la Hacienda nacional, aprobado por S. M. , y el expe ventilación.” diente instruido, en vista de lo expuesto por el ministro Se aprobó también la siguiente del Sr. Yandioia: »»Díde la corte de Berlin acerca de que en toda ¡a…</t>
  </si>
  <si>
    <t>…e todo cargo del administrador, con la intervención que previene' dispongan las Cortes lo que j «zguen mas conveniente.” ei artículo anterior, el dinero que produzcan, y el que El Sr. Cepero hizo la indicación siguiente : «Que me provenga de otras pertenencias de la renta , entre en dere diante haber quedado reducido el subsidio á la mitad , esta chura en las tesorerías de las provincias con la misma ínter—recayese solamente sobre los diezmos, y…</t>
  </si>
  <si>
    <t>48o proposición del Sr. Cepero, hecha y aprobada en el año 14, calificada de insuficiente para conservar la libertad; pero para que se acuñase una medalla en memoria de haber con analizando luego los elementos constitutivos del sistema que tribuido la España á la caida de Napoleón, y al re…</t>
  </si>
  <si>
    <t>Ceperó</t>
  </si>
  <si>
    <t>NOTICIAS DEL REINO. El Sr. presidente nombró para la comisión Eclesiástica en lugar del Sr. Cortés *ál Sr. Ceperó; y para formar la Esá Madrid 1% de Octubre. pedal, que debia entender en la reforma, del reglamento de S. M. ha despachado hoy con los Sres. secretarios del Cortes, á los Sres. Muñoz Torrero, conde de Toreno, Var Despacho de- la Gobernación de la Península y…</t>
  </si>
  <si>
    <t>El Sr. Cepero manifestó que siendo una de las víctimas go y complicado de la causa, y conviniendo cón-el Sr. Mar mas perseguidas por los 69 ex-diputados, no podría cul tínez de la Rosa en'que no se verja el fin del procero. - pársele de parcialidad; que en los primeros dia…</t>
  </si>
  <si>
    <t>…daron pasar á la comisión las dos indicaciones si tamiento de la ciudad de Huesca, presentadas por el señor guientes. Cabrero , una sobre que se la eximiese del pago de cierta Del Sr. Cepero: «El cura ó prelado de la iglesia en que contribución , y otra relativa á suministros. se predique el sermón, ó se pronuncie el discurso , hará la Se leyó por tercera vez el dictamen de la comisión de denuncia á la autoridad civil desde que tenga noticia del…</t>
  </si>
  <si>
    <t>…umentos importantes para mayor ilus chores se pasó una exposición de varios ciudadanos de Je tración del asunto: por D. Luis de Onís , nTinistro plenipoten rez , presentada por el Sr. Cepero, manifestando haber ciario que fue de aquella república , y actual embajador de S. M. en la corte de Nápoies: un tomo en 4.“ marquida, de buen papelaprehendido dos ladrones in fr iganli, y quejándose de que é impresión. Véndese en el despacho de la imprenta N…</t>
  </si>
  <si>
    <t>…lidades; y sin dárseles mas que ocho días nación de la Península. Todos convinieron en ío difícil y precisos para probar sus excepciones en el modo que pre espinoso del asunto. El Sr. Cepero pidió que la comisión viene el artículo 14 de dicho Real decreto, serán destina presentara el dictamen de manera que los que desgraciada dos por via de corrección á las casas de esta clase, ó á las mente tenían que dectdlr en im 'a&amp;unti» tan desagradable y de…</t>
  </si>
  <si>
    <t>…ió se leyera por segunda vez la propo mas pueden producir. sición que tenia hecha sobre amnistía, con cuyo motive» ti Sr. Navas, creyendo que se presentaban dos cuestio reclamó el Sr. Cepero la que presentó acerca del mismo nes, una si los magistrados eran interinos, y otra si aunque asunto en la sesión de de Julio. Leída la del primero, en no lo fuesen podrían las Cortes declararlos interinos por ia la que comprendía ios dos extremos de amnistía…</t>
  </si>
  <si>
    <t>…de rigurosa escala; por lo cual. opinaba debía la santa iglesia de Avila sobre pluralidad de beneficios ecledeclararse que no se podia efectuar la citada traslación. siáticos. El Sr. Cepero, apoyando al Sr. Sancho, dijo que era A la comisión de Comercio se mandó pasar la exposi abrir una puerta á pretensiones indefinidas, pues con pre ción de los ebanistas de Bilbao, presentada por el se texto de traslación podria suceder que un obispo cualquier…</t>
  </si>
  <si>
    <t>…s correspondientes, dividiéndolas en tres clases, y mo pidió el mismo Sr. diputado. dando cuatro oficiales y dos escribientes á las de primera; Se leyó la siguiente indicación del Sr. Cepero: «Aten tres oficiales y dos escribientes á las de segunda, y dos ofi diendo á que la mala construcción del salón de las sesiones ciales con dos escribientes á las de tercera. no permite que sé oigan los Sres. diputados, y menos que A la de Diputaciones provin…</t>
  </si>
  <si>
    <t>…-ion del Sr. Arispe, susti sanos de Morrazo el &gt; i de Febrero último. .Después de al tuyéndola al dictamen de la comisión. guna dreusion sé mandó pasar á la comisión de Guerra. El Sr. Cepero apoyó ¡-¿lamente !a indicación de! se El Sr. sderetario de Marina remitió u-.a consulta sobre ñor Arispe, añadiendo que el hecho de que se trataba era si el decreto de las Corres acerca de matrículas compren cierto-, y por lo tanto debía castigarse A los infr…</t>
  </si>
  <si>
    <t>…;que debía correr explosivamente á car pedido el Sr..Rey, se desaprobó la indicación. go del observatorio de Madrid la formación y venta del ci- No se admitió á discusión esta del Sr. Cepero: «Que se .tado almanak civil para toda la Península. prohiba la entrada de algodón y seda en rama ínterin no Se dió cuenta.de un dictamen dé la comisión especial se consuma el total de primeras materias de esta clase que de Caminos y Canales, en que proponía…</t>
  </si>
  <si>
    <t>Cepero, López</t>
  </si>
  <si>
    <t>López Cepero</t>
  </si>
  <si>
    <t>…l se se debia procurar acortar en algún modo los términos pre ñor Couto por 87 votos de 140 , cesando en este cargo el venidos por la ley' en el art. 4.-', para no dar lugar á qne Sr. López Cepero. se concluyera la legislatura sin haber podido resolver en esta Habiendo tomado posesión [os expresados señores, leyó materia. Apoyó esto el Sr. Palarea, con cuyo motivo, des el Sr. Vitorica el dictamen de la comisión especial, nom pués de una breve discusión…</t>
  </si>
  <si>
    <t>Cepero, Manuel López</t>
  </si>
  <si>
    <t>Manuel López Cepero</t>
  </si>
  <si>
    <t>…. Sánchez Salvador hizo la observación que de re presidente . vice-presidertte . V del mas antiguo délos se mitas de la invasión de los franceses se habian vendido mu cretarios el Sr. D. Manuel López Cepero , han sido elegi chos baldíos; cuya indicación seria conveniente que se hi dos : pata presidente el Sr. Conde de Toreno , diputado por ciera al Gobierno , para que no se defraudara de esta parte la provincia cíe Asturias: para vice-pre&gt;¡dente el Sr. D. Joá aq…</t>
  </si>
  <si>
    <t>Ceperoque</t>
  </si>
  <si>
    <t>…proponían gracias, sino el cumplí- de hablar algunos Sres. sobre-sí deberían ó noídan.gracias .í nJiéjnto de ofertas hechas para dar la libertad A la Patria. la junta, recordó el Sr. Ceperoque tampoco sé había eeeSe leyó una proposición del Sr. jCcpero., en que pedia curado con la-de Madrid, cuyos méritos no eran -inferio que, según los principios de la sana política, se concediese res; y se resolvió que se hiciera mención cruel Diario de Cor amnis…</t>
  </si>
  <si>
    <t>Cer, Pedro García</t>
  </si>
  <si>
    <t>Pedro García Cer</t>
  </si>
  <si>
    <t>…las tropas del mando de Fuerte-Real, y empeñadas por lo's sordo-mudos D. Ezequiel Escovedo, vfó que no le quedaban en Sans-Souci mas que sus guar D. Juan Arroyos, D. Josef Masip, D. Pedro García Cer dias de corps, sin serle posible ya reunir otro egército ni vino, D. Antonio Melgares, D. Ramón. Calvo y D. Jo huir, se tiró un pistoletazo al corazón. ’ sef Martínez. • Asi acabó su vida el hombre mas cruel, y que no tiene Concluido éste período, siguió él d…</t>
  </si>
  <si>
    <t>Ceresa</t>
  </si>
  <si>
    <t>…del, Piamonte ha publicado un decreto de S. M. el Rey de Cerdena, mandando formar una junta consultiva de legislación, compuesta del abogado Gloria, del caballero Montiglio y del conde Ceresa,ia cual debe tra tar sin interrupción de presentar JaS mejoras que puedan hacerse en la legisla ción de aquel país. En el decreto delBLéylseda por motivo de esta resolución las grandes mudanzas que han ocurrido en el orden político de 50 años á esta parte, ‘l…</t>
  </si>
  <si>
    <t>Cerro, Manuel del</t>
  </si>
  <si>
    <t>Manuel del Cerro</t>
  </si>
  <si>
    <t>…do bajo la enseñanza del referido maestro. ' En seguida se adjudicaron premios según el mérito de los aspirantes por el orden siguiente: los de primera clase á D. Dionisio Santos, D. Manuel del Cerro y D. Miguel Rojo. Los de segundad D. Manuel Hernández Alegre, D. Domingo Pleito y D. Francisco de Toro; y los de tercera á D. Julián Quirós, D. Saturnino Díaz y D- Eugenio Lázaro Carrasco. Concluyóse él acto con un breve discurso que pronunció su cura párro co el Lie. D.. Dom…</t>
  </si>
  <si>
    <t>Ceruti, Florencio</t>
  </si>
  <si>
    <t>Florencio Ceruti</t>
  </si>
  <si>
    <t>…uy recomendable y útil á los que Memoria en que se contc'tan algunos problemas de los .deseen instruirse en la.topografía de aqtieL reino. Se halla de ven publicados, remitida por D. Florencio Ceruti, teniente co ta en las librerías de Ranz, calle déla Cru2;, de Villa, plazuela ronel mayor de caballería de Sagunto, y escrita en unión de Sto. Domingo;'de Minutria, calle de Toledo, y.on casi ríe con la oficialidad de dicho cuerpo. D. Santiago Palacios, fren…</t>
  </si>
  <si>
    <t>Cervantes, Francisco Rico</t>
  </si>
  <si>
    <t>Francisco Rico Cervantes</t>
  </si>
  <si>
    <t>…menes se pasó á votar , y no se aprob 5. cretos de los dias 17, 18 y 19 anteriores les habían sido No se admitió á di.cusion la siguiente del Sr. Lobato: adjudicados por los Sres.'D. Francisco Rico Cervantes, Don «Que siendo el impuesto del clero incompatible con el ac Cristóbal Romero Hidalgo y D. Pedro Martin del Castillo, tual sistema, pedia, según ei art. 8.“ y 339 de la Constitu censbr el primero, curador el segundo, y secretario el ter ción, que se repartie…</t>
  </si>
  <si>
    <t>Cesare, Josef de</t>
  </si>
  <si>
    <t>Josef de Cesare</t>
  </si>
  <si>
    <t>…no pro-J lobre su suerte. visión til ha escrito al cónsul'británico , asegurándole que las Ñapóles 12 de Setiembre. ..y propiedades inglesas serán respetadas y protegidas. Nada in Don Josef de Cesare, uno de los redactores del periódi dica por ahora ideas hostiles contra los ingleses, habiéndose co La voce del Secólo , ha sido nombrado pot. Real de</t>
  </si>
  <si>
    <t>Cetrero</t>
  </si>
  <si>
    <t>…a todo ; que después de cuan la comisión , probando del mismo modo que en nada se to se habia dicho contra los males que ella produce en lo oponía á la Constitución; á lo que et- Sr. Cetrero contestó moral , en lo económico y en lo político de un Estado, ha que en ninguna manera habia pen-a Jo en inculparla, y soio bía sido contraria al misino fin que se habían propuesto sus sí pedido una explicación á sus duda'. fundadores y sostenedores; á sabe…</t>
  </si>
  <si>
    <t>Cevallos</t>
  </si>
  <si>
    <t>…os cargos de la acusación, opinaba que debia El Sr. Arispe tomó la palabra , y manifestó que era muy mandarse á la ¡unta nacional del Crédito público repusie justo lo que pedia el Sr. Cevallos ; v que aunque no había se al referido Coronado en dicho empleo de contador de sido extensiva .1 las provincias de América la gracia que so maestrazgos, exigiéndole nuevas lianzas, si las que tenia da licitaba este, lo que á su parecer era extraño, pedia se p…</t>
  </si>
  <si>
    <t>Cevallos, Josef</t>
  </si>
  <si>
    <t>Josef Cevallos</t>
  </si>
  <si>
    <t>…se paga brar diputación provincial independiente de la de otra pro eu Barcelona. vincia. Se recibió con agrado un plan de establecimiento de mi Se dió cuenta de una exposición de D. Josef Cevallos, licia nacional presentado por un olicial del ege'rcito. brigadier de los ejércitos nacionales, en la que hacia pre Se aprobó el dictamen de la comisión de Hacienda , ia sente que habiendo pasado algunos años en America pe que habiendo examinado el expediente…</t>
  </si>
  <si>
    <t>Cevallos, Josef Matías de</t>
  </si>
  <si>
    <t>Josef Matías de Cevallos</t>
  </si>
  <si>
    <t>…igo y Sánchez, se cita y lianva por edictos a todos los que pretendan tener derecho á los bienes de la testamentaría de respondiente salga en público el Gefe político dé esta capi D. Josef Matías de Cevallos, como parientes dentro del cuarto tal , acompañado de todo el ayuntamiento, de la casa en grado por línea paterna y materna de consanguinidad, para que donde se junta ordinariamente, y pasando á la déla Pana en el término preciso de 30 días, contados desde el…</t>
  </si>
  <si>
    <t>Cevallos, Pedro</t>
  </si>
  <si>
    <t>Pedro Cevallos</t>
  </si>
  <si>
    <t>…Í...M j-. - ■ . ■ ■ &gt;., • ' .. : ; .Los plenipotenciarios de*los estados de la Confederación Germánica tuvie ron ayer la novena conferencia. En el mismo dia el.embajador de España D. Pedro Cevallos &gt; con motivo del matrimonio de su Soberano, dio un magnífico baile, que honraron con su presencia la Emperatriz, ¡el Príñcipe Imperial, el Archiduque Carlos y la Princesa su esposa1, y todos ios. Archiduques que se hallan en esta ciudad; y asií.la hrillantéz…</t>
  </si>
  <si>
    <t>Cevallos, Rafael de</t>
  </si>
  <si>
    <t>Rafael de Cevallos</t>
  </si>
  <si>
    <t>…PAÑA. Lima 10 de Abril. ■i &gt; ... El Excmo. Sr. yirey ha recibido el siguiente parte, con fecha del 7, del señor comandante general de la división provisional del egércit-o de Lima Don Rafael de Cevallos, qüe en sustancia dice lo siguiente: ,, El. temerte coronel D. Andrés García Camba entró en Huacho con su escuadrón al amanecer del 6, á pesar de la molestia del camino y del cansan cio de los caballos. Ya algunos buques enemigos habían salido de dicho puerto…</t>
  </si>
  <si>
    <t>Cha, Juan</t>
  </si>
  <si>
    <t>Juan Cha</t>
  </si>
  <si>
    <t>…, que eran solo cación que la junta provincial de Censura de Avila hizo de los de evitar la precipitación, y que se refutan las asombro un impreso titulado Perico y Pendang.t, de D. Juan Cha sas desgracias que ya se han verificado de ahorcar algunos cón , canónigo de aquella catedral, reducido á que se debía inocentes', y ademas que este seña el medio por donde po calificar segunda vez el citado impreso , y á este fin comu dría exigirse á los mag…</t>
  </si>
  <si>
    <t>Cha, Nicolás</t>
  </si>
  <si>
    <t>Nicolás Cha</t>
  </si>
  <si>
    <t>…nada en la de Martínez Aguilar. D. Josef Rubio; los gefes y oficiales del regimiento déla Manifiesto de la junta provisional á las Cortes: papel inte Reina, segundo de ligeros; el brigadier D. Nicolás Cha resante, en que aquella corporación, verdaderamente patrió cón; el teniente coronel D. Ramón de Foja, y el capitán tica en su formación, en su destino, en stis sentimientos y en D. Josef María Aíinpi. todas sus operaciones, da razón á la representación nacion…</t>
  </si>
  <si>
    <t>Chabiehet</t>
  </si>
  <si>
    <t>…mitad de tiernrso oye almrs a-ica l,.,n„_z con el beneplácito deS. M. el Emperador, funda una de es en la librería déla viuda de Ramos, á 20 rs. en pasta. tas escuelas en casa del señor Chabiehet, con-ejero titular, y Continuación del catálogo de las mejure r estampas ¿;ue se hallan previene por el presente aviso que la admisión de los alum de venta en la calcografía de la inte renta Nacional. nos se verificará bajo las condiciones siguientes. ESTAMPA…</t>
  </si>
  <si>
    <t>Chacón, Juan</t>
  </si>
  <si>
    <t>Juan Chacón</t>
  </si>
  <si>
    <t>…rosario; el miserere glosado; documentps para las personas de todos .estados; medi taciones para todos los dias del mes &amp;c. sacado de la sagrada escritura y santos p$-j dres , por D. Juan Chacón,. canónigo de la 9anta iglesia catedral ,de Avila, y predi cador Je $. M. Se hallará á 8 rs. en la imprenta dej&gt;ávila, cíiilé de Barrionueyp,,./ ¿n las librerías de Sojó, callé de las Carretas, dé Novillo, calle de la Concejppiqn Gerónima, y de Villa. plazuel…</t>
  </si>
  <si>
    <t>Chacón, Nicolás</t>
  </si>
  <si>
    <t>Nicolás Chacón</t>
  </si>
  <si>
    <t>…as ligeras las manda un griego llamado Odyssei les , y un banquete que dió el coronel brigadier de caballe (Ulises), hombre tan conocido por sus robos como por sus ría de Numancia D. Nicolás Chacón, de 150 cubiertos. talentos militares. El mas temible antagonista de Ali es el El dia 13 se celebró misa solemne en la catedral, con Bajá de Scútari, que tiene un buen ege'rcito de ’íS hom asistencia del capitán general &gt;r Excmo. ayuntamiento y bres, y solo r…</t>
  </si>
  <si>
    <t>Chambelán</t>
  </si>
  <si>
    <t>…Cámara de los Comunes, relativa á una información sobre el actual estado del reino, de diferente modo que la qué se hizo en la última sesión. Se .han pasado oficios circulares al lord Chambelán, y otros, á fin de que dispongan todo lo necesario para la coronación de S. M. Idem 7. Ayer se celebró en la fonda de la Corona y el Ancla el triunfo de sir Francisco Burdett y de Mr. Hobhouse, elegidos representantes para el Par lamento prójimo por la ciudad…</t>
  </si>
  <si>
    <t>Chatwiud</t>
  </si>
  <si>
    <t>…dos del Estado, las individuos ,del Consejo privado del difunto, &gt;Rey, y gran número de nobles y diputados.de ambas Cámaras. Habiéndose declarado S. M. sucesor del difunto Rey, el vizconde Chatwiud, secretario del Consejo, recibió el juramento de pleito homenage de todas las personas obligadas á prestarle, y en seguida ie prestó él por su parte en manos de Mr. Balier. Después celebró S. M. un Consejo privado, en el cual hizo prestar puevo juramento á to…</t>
  </si>
  <si>
    <t>Chaves, Pedro Alcántara de</t>
  </si>
  <si>
    <t>Pedro Alcántara de Chaves</t>
  </si>
  <si>
    <t>…muy heroica villa, refrendada del escribano de su número D. Martin Santin y Vázquez, se ha mandado hacer saber por este periódico que la junta de acreedores á la testamentaría del Sr. D. Pedro Alcántara de Chaves, conde que fue de Noblejas, acordada para los días 3 y 4 de Abril próximo venidero r se ha de ce lebrar en la posada de dicho señor juez, que la tiene en la calle del Duque de Alba, numero 27.</t>
  </si>
  <si>
    <t>Chicharro, Salvador</t>
  </si>
  <si>
    <t>Salvador Chicharro</t>
  </si>
  <si>
    <t>…instalación de los ayuntamientos ; y no puede tancia de Madrid, en el que decia que estando entendien en tan corto tiempo introducirse fácilmente ¡a parcialidad do en un asunto de D. Salvador Chicharro, necesitaba que entre sugetos qne han merecido la confianza pública , pues informase el Sr. D. Antonio Perez Costa, diputado, por lo ya se sabe que la elección pende del arbitrio de los pueblos: que pedia á las Cortes te le concediese licencia para ello ; y i…</t>
  </si>
  <si>
    <t>Church</t>
  </si>
  <si>
    <t>…no. Sr. Naselli asegura que las tropas dieron prue religiosas, partió S. E., dejando en la casa del senado al te bas de amor y fidelidad ú la patria y al Rev, de valor y de niente general Church , al brigadier Cogli.ore y otros. El humanidad, virtude que adornan a! militar, y que har:n general Church, extrangero, en un acceso, á lo menos in eternamente deplorable la suerte de tantos valientes que lian sensato , arrancí del pecho de un pacífico ciudad…</t>
  </si>
  <si>
    <t>Churruca, Josef</t>
  </si>
  <si>
    <t>Josef Churruca</t>
  </si>
  <si>
    <t>…ón paración, como existe ya en algunas, llamid-i la sala de de Cortes, dice: ,, abogado de la villa del Montijo : ’ léase: Audiencias, en donde se podrían poner los d tenidos. »■&gt; D. Josef Churruca , abogado y propietario de Motrico en No se admitieron á discusión -las dos indicaciones del Guipúzcoa.” MADRID EN LA IMPRENTA NACIONAL.</t>
  </si>
  <si>
    <t>Churruca, Julián</t>
  </si>
  <si>
    <t>Julián Churruca</t>
  </si>
  <si>
    <t>…iones que se propondrán en el Parlamento. Al expediente de vinculaciones se mandaron unir unas Art. 11. «Nuestro secretario de Estado, ministró de ideas relativas á este objeto de D. Julián Churruca, vecino Negocios interiores, queda encargado de la egecucion del de Motrico. presente decreto.=: Nápoles 22 de Julio de 1820. = Fran A (a comisión de Hacienda una representación de los cisco, lugar-teniente general. = El Secretario de Estado, corredores de ca…</t>
  </si>
  <si>
    <t>Cid</t>
  </si>
  <si>
    <t>…rcio una exposición de D. Pedro Giroud El Sr. secretario de la Gobernación de la Península, fun de Villcte, director de la fabrica de papel pintado de Ma dándose en la opinión del Sr. Cid, manifestó ios perjuicios drid, pidiendo se prohíba la entrada del extranjero. que se seguirian al servicio público de que los productos de A la segunda de Legislación una duda de D. Alejandro la renta de correos entrasen en ¡a tesorería general , pues Fernan…</t>
  </si>
  <si>
    <t>Cid, Josef Ramírez</t>
  </si>
  <si>
    <t>Josef Ramírez Cid</t>
  </si>
  <si>
    <t>…o sobre el abuso que se nota de que algunos y Justicia sobre la duda que ocurría acerca de si podía ser barcos mercanies c rgaban aceites y otros géneros con de vir de obstáculo á D. Josef Ramírez Cid la calidad de di rechos moJcndos, llevándolos á vender á Gibraltar y putado para ser trasladado de la audiencia de Aragón á la puertos de Portugal. de Madrid, como proponía el consejo de Estado, en vista</t>
  </si>
  <si>
    <t>Cid, Josef Ramirez y</t>
  </si>
  <si>
    <t>Josef Ramirez y Cid</t>
  </si>
  <si>
    <t>…eral de campanas y salva de artillería, cqn un solemne la que habían sido elegidos los mismos que anteriormente; á TV Deurr, cantándose ademas himnos patriótico-religíosos. saber, D. Josef Ramirez y Cid, D. Ramón Ramcnet , Don El ayuntamiento ofreció 12 dotes de ¿50 ducados á Qtras Gabriel Ugarte y Alegría, y para suplente D. León Gil tantas doncellas sorteadas entre las aspirantes; y por la tar Muñoz, el segundo por unanimidad de votos, faltando á de leyó e…</t>
  </si>
  <si>
    <t>Cid, Ramírez</t>
  </si>
  <si>
    <t>Ramírez Cid</t>
  </si>
  <si>
    <t>…nciones patrióticas, que se entona voto particular del Sr. Dolarea, contrario á la resolución ron por algunos jovenes, y en la segunda por medio de la tomada con la indicación del Sr. Ramírez Cid, sobre má música militar del regimiento caballería de Alcántara, á que ximum de magistrados cesantes de los consejos suprimidos. asistió un numeroso concurso de ciudadanos de todas clase* A la comisión ordinaria de Hacienda’ se mandó pasar</t>
  </si>
  <si>
    <t>…do rá la cuenta por mayor de la misma manera. precediendo del de Icis dignos generales Porlier y Lacy. el peso y cata de las piezas que se consideren suficientes, A Se concedió al Sr. Ramírez Cid el permiso que solici fin de asegurarse de que no se han mezclado maliciosamente taba para informar en un expediente sobre hechos de que se con monedas fuertes para cubrir con el exceso de edas las hallaba enterado; y se levantó la se.ion. faltas de otras; pe…</t>
  </si>
  <si>
    <t>…a que la nivíese presente. general y otras autoridades de Cataluña. Las Cortes queda Leido el dictamen de la comisión sobre la ren.a de cor ron enterada^. reos, tomó la palabra el Sr. Ramírez Cid, manifestando A la comisión de Hacienda se mandó pasar una instan que su opinión era que se pusiese esta renta i ¡a disposición cia de Doña N. Peral, remitida por el ministerio de aquel del ministro de la Gobernación de la Península, para que ramo, para que s…</t>
  </si>
  <si>
    <t>…reopinantes en cuanto al da el Gobierno , asi de pólvora como de salitre ¿finado, que corto aumento del déficit. haga falta al cuerpo de artillería para las labores de la fabri El Sr. Ramírez Cid pidió- se preguntase si estaba sufi ca de Murcia , y .se prohibe la entrada de pólvora extrangeráá cientemente disentido ; y habiéndose' declarado que no , se 4-° ' «Las demas están ya en libertad de la manera que continuó la discusión. pueden es tarjo/1,. Op…</t>
  </si>
  <si>
    <t>…taba ó. no el empréstito , si costaba po co ó mucho, y si podía subrogarse en otro; con lo cual no ,. tro dias. .... se hubieran alterado; los ánimos. Pero convencidos ya de la El Sr. Ramírez Cid volvió á suscitar la discusión, di</t>
  </si>
  <si>
    <t>Cid, Ramirez</t>
  </si>
  <si>
    <t>Ramirez Cid</t>
  </si>
  <si>
    <t>…la comisión de instrucción pública se pasaron dos ex posiciones de la diputación provincial y del ayuntamiento de Valladolid sobre enseñanza pública , presentadas por el ANUNCIOS. Sr. Ramirez Cid. Se mandó agregar al expediente de la compañía de Gua Memoria sobre las negociaciones entre España y los Estadosdalquivir una exposición de la misma, presentada por el se Unidos de América, que dieron motivo al tratado de iSip, ñor Priego. con una noticia sob…</t>
  </si>
  <si>
    <t>…sión opusieron algunos Sres. diputa nombrarlos el Gobierno. dos ; por lo cual mandó hacer la pregunta de si obstaba ó A lo expuesto por el Sr. Sierra Pambley añadió el señor no al Sr. Ramírez Cid la calidad de diputado para'ser nom ministro de Hacienda , que la experiencia habia acreditado brado para la plaza que proponía el consejo de Estado. la necesidad de consultar continuamente en los asuntos gu Hecha que fue, se declaró por 78 votos contra 46 qu…</t>
  </si>
  <si>
    <t>Cíe</t>
  </si>
  <si>
    <t>…año de 181 4, á reservar su proceso af tribunal de Cortes J y leyó tá cópta Retís 4 de Julio. de un.oficio oel Gefe político de Sevilla,.-relativo á (as' preHabiendo exhortado el Sr. Cíe fe político de Cataluña al caucíonesique había tomado para .asegurar iatdranquilrdad clero secular y regular de Barcelona á qite contribuyesen, pública en aquella capital, amenazada por las instigacio según sus facultades, á costear el vestuario de la milicia…</t>
  </si>
  <si>
    <t>Cieinencin</t>
  </si>
  <si>
    <t>…, para que no se alterase acaso Ademas de! Sr. Mattel, nombrado ayer para la comi con una resolución aislada la armonía que debiera tener «4 sión de Beneficencia, se nombró hoy al Sr. Cieinencin. sistema general, y asi se aprobó. # Leyó el Sr. Caiatrava el dictamen deja .comisión Je Le be aprobó igualmente otro dictamen de la comisión de gislación sobre el expediente promovida .acerca de las vin Leci'iacion, dado en vista de un rec ir-o ilel alcalde…</t>
  </si>
  <si>
    <t>Cienfuegos, Josef</t>
  </si>
  <si>
    <t>Josef Cienfuegos</t>
  </si>
  <si>
    <t>…rado para componerla en las clases de director y subdirector según sü antigüedad al teniente general de la ■armada nacional D. Julián da Retamosa, y al de igual clase del egército Don Josef Cienfuegos , ambos ministros cesantes del extinguido Consejo supremo •de la Guerra ; y para la de gobernadores al teniente general-de egército Don Manuel Zappino, al ministro togado, también cesante como esté y los dos anteriores de dicho Consejo extinguido, D. Narciso…</t>
  </si>
  <si>
    <t>Cigala, Bartolomé</t>
  </si>
  <si>
    <t>Bartolomé Cigala</t>
  </si>
  <si>
    <t>…4 dicha casa acuda arite 5. S. por- la mencionada escribanía^ dentro del término de 30 días, contados desde 18 del corriente» \jue se admitirá la-que sfe hiciere siendo arreglada. D. Bartolomé Cigala,;natuialJde ías;tsU^de Cá_nari.a]i!faltectá abintcslató en el estado de soltereen el año de, ipr&amp;7;én la yilla y injsion dei&gt;. Lui^Sjliampic© ¿¡juríisdicción de Panuco» en Nueva-España/Sus padres fueron, D. JosefaAn¡tonjq Cigala y Pona Bernarda Junie?:, natur…</t>
  </si>
  <si>
    <t>CÍhambetañ</t>
  </si>
  <si>
    <t>…s del lord canciller y de los jueces 32,9*5; id^m, d,e los ministros y cónsules en países extrangeros 226,910; 5déhr dé operarios y proveedores de la- Casa Real 3°9»000 5 ídem del lord CÍhambetañ y otros principales empleados dé la corona 147,700; ídem dfe pensiones concedidas por leyes del Parlamento á diferentes personas 136,00c; ídem de los comisarios dé lia tesorería-y'del canciller del Eckiquier 13,822* y peí;'gastos imprevistos 26,000* * ; Hd Mó…</t>
  </si>
  <si>
    <t>Ciini</t>
  </si>
  <si>
    <t>…que hubo esta nota el príncipe Cimitíle, El conde de Golowkin, embajador de Rusia en Viena, salió de Viena para volverse á Nápoles.” comunicó el día 9 la declaración siguiente al príncipe Ciini* Está ya decidido que las conferencias de los Soberanos tile, encargado por la corte de Ñapóles de una comisión se verificarán en Troppau. extraordinaria cerca dei Emperador Alejandro. Este docu ídem 23. mento pertenece á la historia de los grandes acontecimi…</t>
  </si>
  <si>
    <t>CiJ, Ramírez</t>
  </si>
  <si>
    <t>Ramírez CiJ</t>
  </si>
  <si>
    <t>…tró la preferencia de los jurados que se proponían sobre los Nación , para que las Cortes los tuvieren en consideración. que existian con el nombre de juntas de censura, enume El Sr. Ramírez CiJ presentó á nombre de la universi rando los inconvenientes y defectos de estar. Colocó entré dad de Valladolid una representación para que las Cortes ellos el haberse de nombrar individuos de clare. privilegiada, se sirviesen acordar el que no se ¡a removiese;…</t>
  </si>
  <si>
    <t>Cimitíle</t>
  </si>
  <si>
    <t>…en Italia cor autoridad superior establecida en Nápoles por la fuerza de rería algún peligro, en atención a las actuales circunstancias. las armas. Recibida que hubo esta nota el príncipe Cimitíle, El conde de Golowkin, embajador de Rusia en Viena, salió de Viena para volverse á Nápoles.” comunicó el día 9 la declaración siguiente al príncipe Ciini* Está ya decidido que las conferencias de los Soberanos tile, encargado por la corte de Ñapóles de una co…</t>
  </si>
  <si>
    <t>Cimitile</t>
  </si>
  <si>
    <t>…imprenta -con las convenientes restricciones ; de la res Eti' Londres siguen dirigiendo exposiciones al Rey y ponsabilidad de los ministros, y de una ley que prefije ¡a Reina. Ei príncipe Cimitile, embajador napolitano» había lista civil: declarando ademas que nauie seria molestado por llegado A aquella capital; y se decía haberte íormado en sus opiniones políticas. Propone que le acompañen cuatro in Haití una república bajo la presidencia del general…</t>
  </si>
  <si>
    <t>Címitilíe</t>
  </si>
  <si>
    <t>Gaceta del Gobierno n.º 188</t>
  </si>
  <si>
    <t>…cordia que tan abiertamente detesta. «Así es que este espíritu turbulento no ha detenido el Londres 15 de Diciembre. Impulso que'dirige á la Francia hacia su prosperidad, pues .El príncipe Címitilíe, nuevo embajador de Ñapóles, ha con respecto á su estado interior hemos visto coronados llegado á esta capital; y nuestros políticos están observando con los resultados mas felices los esfuerzos de su laboriosa atentamente cuál será la conducta de nuestra cor…</t>
  </si>
  <si>
    <t>Cir</t>
  </si>
  <si>
    <t>…aber sido escru leyes .promulgadas por las Cortes reunidas en siglos anterio tador en la de parroquia; y pedia se declarase no com res, y el informe que dió la sala de alcaldes ai Sr. D. Cir prendidos en la privación del voto en las elecciones á los ios iv en el año Hoj , asi como las observaciones hechas en ireí res de las Ordenes militares. La comisión, en el concep el dado sobre la ley agraria por D. Gaspar de Jovellanos; todo to de ser estos…</t>
  </si>
  <si>
    <t>Circular</t>
  </si>
  <si>
    <t>…de ser excluidos de las elecciones de ayunta ARTJCUtO DE OFICIO. miento, y algunas proposiciones del diputado Pelegnn, re lativas fil fomentó de la ganadería trashumante. Hizo el Sr. Circular del ministerio de la Guerra. Yandiolá la reflexión de que e! Congreso no se hallaba con El Sr. Secretario del Despacho de Hacienda me dice las luces necesarias sobre estos expedientes del año 814, pa con fecha de 17 del corriente lo siguiente: ra entrar en di…</t>
  </si>
  <si>
    <t>Circular, Joscf Canga Arguelle'.’'</t>
  </si>
  <si>
    <t>Joscf Canga Arguelle'.’' Circular</t>
  </si>
  <si>
    <t>…generosas virtudes como ciadadano. y dispondrás se imprima, publique y circtile.rrErtá rubri cado de la &amp;.ea] mano. = En Palacio h 23 de Novíembr* NOTICIAS DEL REINO. de 1820. = A D. Joscf Canga Arguelle'.’' Circular def ministerio de la Gobernación Je la Península. Cddiz 21 de Noviembre. El Sr. secretarlo del Despacho d# la Guerra en 10 del En la gaceta de Caracas del 20 de Setiembre se lee lo actual me dice ¡o que sigue:</t>
  </si>
  <si>
    <t>Círdoba, Francisco de</t>
  </si>
  <si>
    <t>Francisco de Círdoba</t>
  </si>
  <si>
    <t>…opusieron A este artículo los Sres. Lorertzaña y Va— A propuesta de la comisión segunda de Legislación se dillo , opinando el primero que debía señalarse al fabrican habilitaron A D. Francisco de Círdoba lbarrola dos cursos te cierto derecho por cada fanega, y permitirle después de filosofía paitados en un solo año, sc-gun habia solicitado. vender libremente ti quien quisiere: y el segundo qne se El Sr. Qiiiroca, individuo de la comisión de Milicias ponía en…</t>
  </si>
  <si>
    <t>Cirios</t>
  </si>
  <si>
    <t>…n del Sr. Michelena pa arreglo á lo prevenido en la ya citada instrucción de 23 de ra que se ponga en estos términos: »Ios 300© ducados sean Junio de 1813. para los Sres. Infantes D. Cirios y D. Francisco de Paula. ,,Y de Real orden lo comunico á V. acompañando los Esta decisión del Congreso ocasionó nuevamente algunas expedientes de esa provincia que van expresados en la ad contestaciones entre los referidos Sres. Calatrava y Toreno junta nota, á fin de que por parte…</t>
  </si>
  <si>
    <t>…cia; la precipitación con que se CORTES. arrancó á S. M. el Real decreto de 29 de Mayo de id tí, y el poco detoro con que se trataba la digna memoria del Sesión del f r de Agosta. Sr. D. Cirios ni , y la de las beneméritas persona» que in Leída el acta de ia anterior, manifestó el Sr. conde de tervinieron co la expulsión, sip excluir á la Santidad de</t>
  </si>
  <si>
    <t>…ndividuales, de los cuales se habla con exten za , Jo'ef López, coronel comandante. = Por el regimiento sión, y singularmente del de la libertad de imprenta: 12. de la del Infante D. Cirios, Manuel O-Doy le, coronel coman violación de las Constituciones; y al fin se ha colocado el her dante. = Por el cuerpo de Inválidos, Vicente María Val- moso tratado de las reacciones políticas , y de los medios de evi cárcel, coronel comandante. = Por la Mili…</t>
  </si>
  <si>
    <t>Cis-, Juan Sánchez</t>
  </si>
  <si>
    <t>Juan Sánchez Cis-</t>
  </si>
  <si>
    <t>…lares, ni es- fue recibida con agrado, y se mandó pasarla la comisión tan comprendidos en el decreto de 14 de Junio de iSi;; especial de Fuerza armada. y y de otra en que pedia el brigadier D. Juan Sánchez Cis- El Sr. Cepero hizo esta indicación: «atendiendo á que neros que se pidiese al ministerio de la Guerra un expe los derechos impuestos sobre el oro y plata que viene de diente relativo á confirmación de grados concedidos por el América labrada ó en barra producen sol…</t>
  </si>
  <si>
    <t>Ciscar</t>
  </si>
  <si>
    <t>…sraban sacadas de mas considere út’les vrteceriren la autorización de la&gt; Corres.” las contratas originales, $-■ declaró no haber lugar á vorar. Se leyó la demerite indicación del Sr. Ciscar: «Que la Se mandó pasar á la comisión donde existían los ante cantidad ó partida destinada pa'ct pagar les sueldos v da cedentes otra indicación del Sr Cabalen" para que no hubie mas goces de la oficialidad é individuos de ¡a armada na se contratas de ninguna…</t>
  </si>
  <si>
    <t>…ente, sa ábolírse las medias anatas de los empleados. Votado por cando el Sr. Calatrava 43 votos, el Sr. Cano Manuel 19 , el. partes este dictamen, quedó aprobado en su totalidad. Sr. Ciscar 60, y el Sr. Sancho 12; y no habiendo ■ reunido El Sr. Ezpeleta hizo las dos indicaciones siguientes: ninguno de ellos la mitad mas uno, se procedió á segunda 1. a «Que el Gobierno no pueda obligar á la saca de tí votación , y salió nombrado presidente el Sr.…</t>
  </si>
  <si>
    <t>Ciscar, Gabriel de</t>
  </si>
  <si>
    <t>Gabriel de Ciscar</t>
  </si>
  <si>
    <t>…s distin necesiten hacer ó componer en dichos caminos. guidos méritos y servicios del gefe de escuadra de la arma 3.0 Sacar á pública subasta por contrata estas obras, da nacional D. Gabriel de Ciscar, y del capitán de navio cuya construcción debe-pertenecer la primera vez al Go de la misma D. Pedro Agar, ambos consejeros de Esta bierno, y-darlas al mejor postor, bajo cánones , peages ó do, ha tenido á bien el Rey conceder al primero el ascen pontazgos.(2)…</t>
  </si>
  <si>
    <t>Cisneros, Guillermo de Vargas Ximenez de</t>
  </si>
  <si>
    <t>Guillermo de Vargas Ximenez de Cisneros</t>
  </si>
  <si>
    <t>…n á ella por sí ó por medio de apoderados competentemente autorizados; con prevención que no lo haciendo les parará el perjuicio que haya lugar. En virtud de providencia del limo. Sr. D. Guillermo de Vargas Ximenez de Cisneros, del Consejo y,"Cámara de S. M. en el Real y supremo de la Guerra, y como tal juez efe los autos dé intervención y testamentaría del Exchio. Sr. conde de GUm.es, capitán general que fue de los Reales egércitos de S. M., se cita llama y emplaza á todos y cada…</t>
  </si>
  <si>
    <t>Cisneros, Juan Sánchez</t>
  </si>
  <si>
    <t>Juan Sánchez Cisneros</t>
  </si>
  <si>
    <t>…vincia. oratorio dd Salvador, quedando tanto estos como el cabil A la especia! de Fuerza armada, una memoria del briga do en los mismos términos en que se hallaban cuando ocu dier D. Juan Sánchez Cisneros sobre el estado y número de paban sus re; pecúvas casas antes que vinieran los jesuítas. los oficiales generales del egérci.o; y un plan de organiza i3. Se devolverán al Crédito público todos los demas ción de este por D. Andrés de Mendoza. bienes que antes a…</t>
  </si>
  <si>
    <t>mismo; otra del brigadier D. Juan Sánchez Cisneros pará Se aprobó un informe de la comisión Eclesiástica so que se recomiende al Gobierno la concesión de un premio bre la solicitud de los curas de cuatro villas de la provincia á los valientes defensores de Sagunto. _ . . de -Salamanca "que han sufrido descala…</t>
  </si>
  <si>
    <t>Cisneros, Manuel</t>
  </si>
  <si>
    <t>Manuel Cisneros</t>
  </si>
  <si>
    <t>…ubteniente del i.° de Guardias españo Otra en idem , de S£ robos, jurisdicción de la expre las ; D. Domingo Careaga, capitán graduado de Navarra; sada ciudad de Tudela, en 85b rs. D. Manuel Cisneros, coronel de las Milicias provinciales de .Otra landa en Mosquera y campo Cerezo,de ; robos, Avila; D. Mariano Becenil, teniente coronel graduado de jurisdicción de la referida ciudad de Tudela , en iQ rs. idein ; D. Antonio Rodríguez*^ teniente de idem ; D. A…</t>
  </si>
  <si>
    <t>Clan</t>
  </si>
  <si>
    <t>…es útiles que habia fun El lord Castlercagri, luego que supo lá llegada del du dado, de las que somos deudores, dijo, á los blancos que que Decazes á Londres, le envió á decir por lord Clan wivinieron á vivir entre nosotros, y se han establecido en es— lliam que volvería el lunes á la capital, y le señaló la horai en que le recibiría. Ayer á las dos fue el nuevo embajadorios países. Les encargó que los tratasen con el mayor mi ramiento; que cons…</t>
  </si>
  <si>
    <t>Clavijo, Manuel</t>
  </si>
  <si>
    <t>Manuel Clavijo</t>
  </si>
  <si>
    <t>…nes, dejando el tiempo restante para A la misma de Infracciones se mandó pasar una repre tratar efe los asuntos. Se recordó por el Sr. Subrié que Habia sentación hecha á nombre de D. Manuel Clavijo, capitán sido ya leida en otra sesión; y habiendo contestado el se agregado al estado mayor de Valencia , quejándose de las ñor Freire que no se habia decidido nada sobre ello, é in cometidas en la prisión que sufria, y pidiendo se le forme sistiendo en que s…</t>
  </si>
  <si>
    <t>Clemen</t>
  </si>
  <si>
    <t>…al', con referen Criminal y de Comercio, propusiese á las Cortes lo demas cia ai suceso del. juramento,de o de este mes ; y después que j uzgase útil para completarlos; y otra del Sr. Clemen de algunas ghjecione'déi biy Bprdú , se acordó, que pasase á cia para que en nue-tra legislación se suprima la pena de la referida comí-ion especial de-bellas artes. pre-idio , sustituyéndose el establecimiento de las casa; de Ad.-pi mo por segunda, vez. ce l…</t>
  </si>
  <si>
    <t>Clemencia</t>
  </si>
  <si>
    <t>…elección formal del presidente y de dos secretarios para las. juntas preparatorias: en diversas, votaciones quedaron, electos:: para presidente el Sr* Castaaieda por 102 yotosj el Sr. Clemencia para secretario, por 80; y el Sr.. Martínez de la. Rosa para lo mismo por 125:. Finalizada una corta discusión sobre si deberían ser cuatro o solo dos. los escrutadores que debieran nombrarse, se acordó que no fuesen mas que, dos; y hecha la votación, resulta…</t>
  </si>
  <si>
    <t>…as en 10 de Enero las dos lugar del Sr. Codes, al Sr. Azaola, y para la Diplomática, terceras partes del tercio qte vencerá en fin de Diciembre en lugar del Sr. Diaz del Moral, al Sr. Clemencia. de este año.” Se mandaron archivar los egemplares remitidos por el El Sr. Ochoa graduó de injusto y poco decoroso al Go ministro de la Gobernación de los decretos expedidos por la bierno , tamo el dictamen de la comisión , como la propo secretaría de su carg…</t>
  </si>
  <si>
    <t>Clemencia, Diego</t>
  </si>
  <si>
    <t>Diego Clemencia</t>
  </si>
  <si>
    <t>…papeles, que ya están imprimiéndose, mañana de noy, acompañada-de un. .ayuda de- Cámara. se distribuirán mañana á los individuos de esta Cámara; Hallándose allí á la sazón el Sr.,.D. Diego Clemencia, uno y en su consecuencia creo dé irii obligación hacer' la pro de los diputados de la Junta preparatoria de Corres, y puesta de suspender hasta entonces las discusiones sobré el . inspector arquitecto D. Antonio Erar, tuvieron la- hon el mensage de S. M., á…</t>
  </si>
  <si>
    <t>Clemencin</t>
  </si>
  <si>
    <t>…existan, proponga los cho un cómputo de los arbitrios necesarios para extinguir la que fallen para completarlas. deuda de la Nación, y satisfacer las cargas de justicia, no se El Sr. Clemencin retiró la suya , leída por primera vez destinen á la recompensa de los militares los terrenos baldíos en el mismo dia, que tenia por objeto abolir la pena de y de propios, mediante estar designados estos en la memo presidio , por su mucha analogía con la pres…</t>
  </si>
  <si>
    <t>…observa religiosamente." crutinio el Sr. Vadillo para více-presidente por 97 , y el Sr. Diaz del Moral por 103 para secretario; saliendo de es G razalema 31 de Julio. te cargo el Sr. Clemencin, Deseando el ayuntamiento constitucional de esta villa Se oyó con particular satisfacción que SS. MM. conti que el divino Espíritu se dignase iluminar al augusto Con nuaban con perlecta salud, según el parte comunicado por greso nacional, acordó é hizo se cel…</t>
  </si>
  <si>
    <t>Clemencin, Diego</t>
  </si>
  <si>
    <t>Diego Clemencin</t>
  </si>
  <si>
    <t>…ibrería de la viuda Alonso, frente á S. Felipe el Real. EIógio\dé la. Reída Cató Ijca D;qpa Isabel . leído én la última junta pública qué celebró lá acadénsiá de lá Historia y por D. Diego Clemencin, su individuo de nú mero. Sé hallará en la librería dé Sójn, callé de; las Carretás; donde también se ven-* den las demas obras de la misma academia. i ■■i .i!., ■■ ■ , ,„i¡ r, .—:—:-----------------!— ------------------------------------- --------------- ■ '…</t>
  </si>
  <si>
    <t>…¡2Ual eia-.e ó caso con impedimento oculto otra se re presidente, vice-presidentc, y del mas antiguo de sus secre probo también del Sr. Freire: «que se exprese que se excep tarios D. Diego Clemencin, han sido nombrados para pre túan de la milicia nacional los abogados.” sidente el Sr. D. Ramón Giraldo, diputado por la provin Se aprobaron la siguiente adición del Sr. Villanueva: «que cia de la Mancha; para vice-presidente el Sr. D. Josef Ma se exceptúen l…</t>
  </si>
  <si>
    <t>Cliurch</t>
  </si>
  <si>
    <t>…militar, había presenciado las diligencias por e-pació de hora y me para investigar la conducta del lugar-teniente Naselli y la dia, se retiró acompañada de Lady Ana Hamilton. del general Cliurch. El testigo, aunque convino en que estaba encargado de En Catana, igualmente que en casi todas las ciudades preparar los baños, dijo que no se acordaba si habia en de Sicilia, fue recibida con extraordinario regocijo la noticia ellos dos cuartos. Después de h…</t>
  </si>
  <si>
    <t>Cllment, Josef</t>
  </si>
  <si>
    <t>Josef Cllment</t>
  </si>
  <si>
    <t>…son las cereales. Se vende en lá librería de Fazyfrettte á las .gradas; de S. Felipe el Real, y de VilláreaÍ¿ calle ¡de las Carretas, á 6 realéi. Pláticas;dominicales que el limo. Sr. D. Josef Cllment, obispo ,de Barcelona, predicó en la iglesia parroquial de S. Bartolomé de la ciudad de Valencia, de que fue párroco. Tercera edición en tres tomos encuadernados en do§ volúmenes. Se hallarán en lá libretía.de .la viuda de Quiroga, cajl? dejas, Carretas , y e…</t>
  </si>
  <si>
    <t>Cnlatrava</t>
  </si>
  <si>
    <t>…un régimen ab descendientes, la que se mandó pasar á la comisión de Có soluto y arbitrario como el de Constantinopla. digo civil; y la otra del colegio de primeras letras de Ma El Sr. Cnlatrava, después de recordar sus opiniones drid acerca de c-tablecimtento de academias, que se mandó bien conocidas, y su entusiasmo por la libertad, dijo que pasar a la de Instrucción pública. no se oponía, ni le habia pasado por la imaginación tratar A ia que entie…</t>
  </si>
  <si>
    <t>Co, Josef Ramírez y</t>
  </si>
  <si>
    <t>Josef Ramírez y Co</t>
  </si>
  <si>
    <t>…to acontecimiento. S. M. contestó con su afabilidad característica, manifestando el aprecio que le merecían tan leales sentimientos. El dia 20 del mismo, el conde de Castroponce y D. Josef Ramírez y Co tes , regidores perpetuos de la ciudad de Paleada ¡ tuvieron el honor de cuoit plimentar á S M por su feliz matrimonio á nombre de dicha ciudad ; y el primero pronunció el discurso siguiente: ,, Señor: El ayuntamiento de la muy antigua y famosa ciudad de Pate…</t>
  </si>
  <si>
    <t>Cobo, Bartolomé Muñoz</t>
  </si>
  <si>
    <t>Bartolomé Muñoz Cobo</t>
  </si>
  <si>
    <t>…pies, y el otro de que se decretara que el Gobierno estaba autorizado para po 430 , en el término de Montoro. ner en práctica la ley de Partida contra las asonadas. Idem idem por D. Bartolomé Muñoz Cobo en la villa También retiró otra el Sr. Gutiérrez de Acuña para que del Rio. no se permitiera ninguna reunión numerosa en la plaza de Un lagar al pago del Charco del Novillo, término de palacio, ni en ninguna otra plaza ó calle. Montoro, con 422 olivos, viña é…</t>
  </si>
  <si>
    <t>Cochrane</t>
  </si>
  <si>
    <t>…nto de HacienjÉh, importa el capital de los bancos existentes en la república, incluso el desgobierno, 125 millones de pesos fuertes, f Con fecha ele-6 de Octubre último participa lord Cochrane al gobierno disidente de Chile el mal éxito de su segunda expedición contra el puerto del. Callao; atribuyéndolo á la mala calidad de los cohetes incendiarios. ‘ FRANCIA. París 26 de Marzo, ’ El jjgercicio público que se celebró anteayer en el establecimiento…</t>
  </si>
  <si>
    <t>el 27; en el que, así portnar como por tierra, nos hallábamos ya prepara dos a recibirlos. Componíase su escuadra de la Q-Higgins, con la insignia del almirante Cochrane, el navio S. Martin de 64 cánones de 18 y 12, el Ldutarp de $0 de Í8, la Independencia de 36 de á 12 , tres bergantines, la fragata Victoria armada de brulot, y con otra de trasporte; y la nuestra de las fragatas Esmeralda, Venganza , corbeta Sebastiana y ber…</t>
  </si>
  <si>
    <t>…el poco fondo subit hasta Buenos-Aires, que es mi rado como el cuartel general de la estación ..Sospechan algunos que la escua dra estújencargada: de observar ios movimieñtos del almirante Cochrane ; sin embargó la conducta de .este parece muyi amistosa con respecto á los ingleses, y) se .asegura que el Gobierno chileno desea' estar en buena armonía con la Gran Bretaña; , A /FRANCIA. ■ i, i l *■ ¡ París 8 de Mayó'. Hah&gt; sido .arrestados ren Insptúck dos…</t>
  </si>
  <si>
    <t>…Palermo^ dicen haber sido Junio i y las de Pernambuco de! 20. Las'noticias que había muy exagerados , y que solo ha habido tres victima? tacriñ- de Chile, eran que la escuadra del lord Cochrane se- hallaba cadas por el ciego furor dé los facciosos, y que estos;son én muy mal estado, y que sus mejores buques estaban ca sicilianos; á saber*, los príncipes Gáttolica y Acei, y San- si enteramente inservibles, habiéndose visto obligado á tre za, oficial…</t>
  </si>
  <si>
    <t>…al noticia de haber escrito el famoso Majocci una carta á la virey del Perú, su fecha 20 de Febrero último, intentó el Reina de Inglaterra, y que en ella le confesaba su perjurio: lord Cochrane hacer un desembarco en aquella isla ; pero que Mr. Denman estaba recibiendo á aquel miserable su fue rechazado por las tropas del Rey con pérdida de la mi confesión de contrición: que con efecto la Reina había ido tad de gente que salró en tierra. el día io a…</t>
  </si>
  <si>
    <t>Cochraue</t>
  </si>
  <si>
    <t>…pa recer algunos otros á pedimento fiscal. ; Idem 22. Un paquebote que ha llegado aquí desde el Brasil trae la noticia de haber se frustrado completamente el ataque proyectado por lord Cochraue contra.el Callao de Lima* * ■ • / ... . . . i.. . • . r.Idem 2$. ¿ -3' Por cartas que se han recibido de la Reina con fecha de Roma á 28 de Febrero y 6 de Marzo se sabe que ha resuelto S. M. volverse á Inglaterra, manifestando, sus deseos de que se envíen ¡ a…</t>
  </si>
  <si>
    <t>Cockrane</t>
  </si>
  <si>
    <t>…n él espacio de tres años han fallecido 367 esclavos. ■ Los^pe^iódicos de Nueva- Yorck de fecha 18 de Octubre hablan con la mayor indignación de las piraterías que está cometiendo lord Cockrane en los mares del Sur, y sobre todo con motiva de5haber robado 142® duros al ca-</t>
  </si>
  <si>
    <t>Codes</t>
  </si>
  <si>
    <t>…lo cual se excusaba con especiosidades, y concluyendo' no con preferencia todas las medidas convenientes. con estas palabras: „Sírvase V. E. hacer presente á S. M. A petición del Sr. Codes se mandó agregar la comisión estos mis sentimientos, con los que venero y observo su de de Agricultura á las de Guerra y Hacienda , para informar creto , aunque por las razones expuestas no puedo en con en el expediente de bagages. ciencia cumplimentarle;” pr…</t>
  </si>
  <si>
    <t>…ma ¿el pago de la otra tercera parte ; y lo mismo se en lugar del mismo, al Sr. Huerta; para la de Hacienda, en tenderá con los que tengan pagadas en 10 de Enero las dos lugar del Sr. Codes, al Sr. Azaola, y para la Diplomática, terceras partes del tercio qte vencerá en fin de Diciembre en lugar del Sr. Diaz del Moral, al Sr. Clemencia. de este año.” Se mandaron archivar los egemplares remitidos por el El Sr. Ochoa graduó de injusto y poco decor…</t>
  </si>
  <si>
    <t>Codes, Simón de</t>
  </si>
  <si>
    <t>Simón de Codes</t>
  </si>
  <si>
    <t>…e Asturias acerca de aquel estable Iglesia. Parece que debe emanciparse de la servidumbre ex- cimiento. trangera, siguiendo aquel principio de la Constitución, que Se mandó dar al Sr. D. Simón de Codes, diputado que dice: «Que la Nación española no es ni puede ser patrimo ha sido por la provincia de Toledo, la certificación que pe jí nio de ninguna familia ni persona.” Continuó el orador dia del dia de su presentación en el ministerio, y de los manifestando…</t>
  </si>
  <si>
    <t>…iguiente serán estos puestos in lix Denche, primer suplente por la provincia de Toledo, mediatamente en libertad , cualquiera que sea el estado de llamado á las Cortes en lugar de D. Simón de Codes, raa- su; causas, y lo mismo los que por estar ya sentenciados se nitestando que por las mismas causas que este te halla im hallen cumpliendo sus condenas; regresando libremente ¡os posibilitado de egercer el cargo de diputado. q te quieran á sus respectivas…</t>
  </si>
  <si>
    <t>Codorniu, Manuel</t>
  </si>
  <si>
    <t>Manuel Codorniu</t>
  </si>
  <si>
    <t>…iencia del citado señor juez de , Cádiz. Historia de la salvácion del egército expedicionario de Ultramar delafiebre ainarilla, y medios de evitar sps estragos en lo sucesivo: por D. Manuel Codorniu, pri mer médico de dicho egército Scc.Vuñ tomo7 en 8.? Estaobrita,. que acaba dé .merel eer la aprobación de los sabios profesores médicos despreocupados de lá primera cla se, se Káce interesante no soló á los facultativos, sino también á lós gefés militares…</t>
  </si>
  <si>
    <t>Coehrane</t>
  </si>
  <si>
    <t>…unto que entró en Huacho ¿el comandante geiieral, se le presentaron dos de los desertores enemigos, y le Aseguraron había muchos en las inmedia ciones, lo que hace creer que si el lord Coehrane continúa haciendo desem barcos en la costa ,-je, verá al, fin precisado á abandonar algunos buques, por falta de tripulación. Ya llegan á 50 ios desertores'suyos que tenemos eñ Lima. Anteayer han entrado 33, todos desnudos, sin zapatos, y en fin en un estado…</t>
  </si>
  <si>
    <t>…s dos embarcaciones r que igualmente sa lieron de Plimouth ; y se asegura que el objeto de esta expedición es vigilar los movimientos de la escuadra de los insurgentes mandada por lord Coehrane; Resulta de la nota de los presos que hubo en la cárcel de Newgate el año de r8r9, con especificación de la naturaleza de sus crímenes, y de los cas tigo? que se les impusieron, formada para presentarla al Parlamento, que el número total de los presos fue de…</t>
  </si>
  <si>
    <t>Cogli.ore</t>
  </si>
  <si>
    <t>…ura que las tropas dieron prue religiosas, partió S. E., dejando en la casa del senado al te bas de amor y fidelidad ú la patria y al Rev, de valor y de niente general Church , al brigadier Cogli.ore y otros. El humanidad, virtude que adornan a! militar, y que har:n general Church, extrangero, en un acceso, á lo menos in eternamente deplorable la suerte de tantos valientes que lian sensato , arrancí del pecho de un pacífico ciudadano la in sido vicúmas de…</t>
  </si>
  <si>
    <t>Coglitore</t>
  </si>
  <si>
    <t>…vicúmas de \n insensato furor, empleado en el mismo signia amarilla, y c ta fue la señal de una conmoción gene dia en que los buenos sicilianos se regocijaban por haber re ral. El general Coglitore aconsejó a su concolega que se sal cobrado su libertad. Deseamos dar á conocer los nombres vara. ¡Infeliz! lil mismo se vió herido con dos golpes diri de los oficiales que se han disting ido en e cenas tan acia gidos contra el general Church , quien abandonó…</t>
  </si>
  <si>
    <t>Coima, Francisco</t>
  </si>
  <si>
    <t>Francisco Coima</t>
  </si>
  <si>
    <t>…erapio San— gefes ni marinería. Tiene ademas unas 30 embarcaciones mer gertnan, D. Francisco Cortés, D. Juan Pons, D. Manuel cantes , y muchos barcos pequeños de cabotage. Forner, D. Francisco Coima , D. Ignacio Torres GolobarMarruecos se halla actualmente sin marina. des, D. Josef Aranijo, D. Josef Antonio Carerach y Don Los periódicos alemanes dicen que Ali-Bajá ha recibido Alejo Baulenas. en su egército á algunos oficiales extrangeros; y que habien El…</t>
  </si>
  <si>
    <t>Colaneri</t>
  </si>
  <si>
    <t>…0 indivi causa de antemano, haciendo borrar de la liturgia el nom duos sentenciados por los tribunales, que pedían ser admi bre de S. M. tidos ai servicio militar. FRANCIA. El Sr. secretario Colaneri manifestó que un anónimo había remitido á la comisión 4.a nueve egempíares de una París 1,7 de Noviembre. memoria, en la cuál promete revelar un crédito del Esta Ayer tuvieron la honra de a'isrír á la corte de S. M. do de cerca de seis millones de ducados, pr…</t>
  </si>
  <si>
    <t>…para Treviso. há sobre la pretendida anarquía en el reino de Ñapóles, N.ipytes 27 de Octubre.----Sesión del di 1 23. acaben de tranquilizar los ánimos, reduciendo sus providen El Sr. Colaneri leyó por segunda vez las proposiciones cias á las medidas políticas que sus intereses y el de sus ve siguientes: 1.a de! Sr. Caracciolo, relativa á un proyecto cinos puedan tener por necesarias como mera precaución. de economía rural: 2.a del Sr. Castagua sob…</t>
  </si>
  <si>
    <t>…n actual con los principios constitucionales, tomando versidad en cuerpo piensa venir á implorar la protección por normados reglamentos de España. del Rey. En seguida dio parte el secretario Colaneri de un infor FRANCIA. me de! ministro de la justicia sobre los presos por opinio nes, que lo fueron en los primeros dias de la reforma poli- Pa ris 11 de Diciembre. tica, y de una carta, en la cual enviaba una copia de la que E11 virtud de las reflexiones hech…</t>
  </si>
  <si>
    <t>Colchester</t>
  </si>
  <si>
    <t>…girán á S. A. R. , quien podrá modificar Jas le tro plenipotenciario de S. M. Británica, ha presentado hoy yes, si el bien público lo exigiere, hasta la época en que se á S. M. al lord Colchester, al almirante Sir E. Moore, co convoque el Parlamento. mandante de la escuadra inglesa del Mediterráneo, y á va 8.° ,,Se restablecerán las armas y las efigies del Rey. rios oficiales ingleses de marina. 9.0 ,, Se echará un velo sobre lo pasado, aun con res pe…</t>
  </si>
  <si>
    <t>Coletta</t>
  </si>
  <si>
    <t>…relaciones dictadas por la injusta par trado de primera instancia de esta M. li. villa, de 4 del corrien te, dada por la escribanía vacante del número que sirvió Don cialidad. El general Coletta es uno de los primeros ofi Miguel Gonzalo, se ha mandado citar y emplazar, como por ciales napolitanos, que se ha distinguido siempre por sus mu el presente se hace, á D. Valentín Calvo Antón , itltin-.o tenechos conocimientos, franqueza y honradez. Ha escrit…</t>
  </si>
  <si>
    <t>Coletti</t>
  </si>
  <si>
    <t>…bligaciones más ministros acerca de las mudanzas acaecidas en los tres que tienen sobre sí los expresados oficiales paises del mediodía de Europa está concebida, según di Pidió el Sr. Coletti que el ministro de Hacienda presen cen, en términos muy pacíficos. tase sus cuentas con claridad para que pudiese conocerse el motivo de no ser suficientes las rentas actuales , sin embar PAISES — B A J O S. go de que en el decenio bastaban para mantener 6c©…</t>
  </si>
  <si>
    <t>Colinas, Gerónimo</t>
  </si>
  <si>
    <t>Gerónimo Colinas</t>
  </si>
  <si>
    <t>…y C haves, «arreglar el uso de la autoridad, cuando emana de ella ; la Doña Ana Diaz, Doña Matilde Pertuza, D. Joset Benitez, «autoridad no es 3’a un yugo para tos súbditos , sino D. Gerónimo Colinas, el Sr. Conde de Motezuma, D. San «una regla que los dirige. Los hombres se reputan libres tiago Martin, D. Tadeo Sánchez de Escanden, D. Juan de «cuando solo los gobierna la ley. La sumisión los hace feliDios Trillo, D. Pedro López, D. Castor del Amo, el se…</t>
  </si>
  <si>
    <t>Coll, Jaime</t>
  </si>
  <si>
    <t>Jaime Coll</t>
  </si>
  <si>
    <t>…se han publicado basta ahora, pues no sola de t.° de Setiembre de 1815, núm. 5084, que salió■ encabeza mente contiene los discursos que se insertaron en diferentes do en nombre de D. Jaime Coll á D. Joaquin Fontanills, Don periódicos sino también otros que no habiéndose prenunciado Juan Oñoz, D. R. de Llordella, D. Beraardino de Ereña, gl en la tribuna, se imprimieron particularmente por el autor. comisionado principal del Crédito público en.Cádiz D…</t>
  </si>
  <si>
    <t>Coll, Juan</t>
  </si>
  <si>
    <t>Juan Coll</t>
  </si>
  <si>
    <t>…e Mon zón al coronel í&gt;. Miguel Ochoa, comandante , i del primer batallón del regi miento de infantería del Infante D. Carlos; y lá sargentía mayor de la plaza de Ibiza al capitan D. Juan Coll, alférez dél segundo regimiento de Reales guar dias de infantería* . En América. El gobierno de la provincia de Mainas, en el nuevo reino de Granada, al teniente coronel D. Josef Rafael Caraveo, sargento mayor que era del fijo dé Campeche i la sargentía mayor…</t>
  </si>
  <si>
    <t>Collera</t>
  </si>
  <si>
    <t>…nel mayor, y accidental comandante del cuerpo, por si que de Calabria y el Príncipe de Salerno, acompañados del y todo él.eeBernardo de Mendieta." minbrro de Guerra y del teniente general Collera, habían JDel teniente coronel, gefes y oficiales y demas clases re'-a Jo revi'ta el dia 20 en el muelle á 4 regimientos de in del regimiento caballería de EoYbon , pd de ¡titea. fantería cada uno de 1400 plazas, los cuales debían embar «Señor: el venturoso di…</t>
  </si>
  <si>
    <t>Colleta</t>
  </si>
  <si>
    <t>…de María, está en feros,'rusia eny Viena.el teniente general de Krusemark, enviado de Marsalla.al__ Está parafrenteembarcarsede una partidacon direcciónde revoltosos.á Sícilia^el general Colleta, que ha sido nombrado gene.al en gete de aquel BAViERA. egército, y va á reemplazar al general D. Florestano Pepé. Ya ha vuelto á restablecerse el orden en la ci dad de Augsburgo jo de Octubre. Bronti, donde algunos facciosos levantaron el estandarte de El Re…</t>
  </si>
  <si>
    <t>Colleta, Donato</t>
  </si>
  <si>
    <t>Donato Colleta</t>
  </si>
  <si>
    <t>…autorizadas por el Gobierno, para que la D. Pascual Borrelli, presidente ; D. Josef Laghezza, se muchedumbre aprenda á eludir la sujeción de la ley, y cretario general; consejeros D. Donato Colleta, D. Luis para que arrebatada por un movimiento inconsiderado , de Siniscalchí , el barón D. Josef Nanni, y el abate D. Do genere en el desorden. Se sugerirán prisiones arbitrarias con mingo Minichini. , , tra individuos mal puestos en la opinión pública , par…</t>
  </si>
  <si>
    <t>Colon, Félix</t>
  </si>
  <si>
    <t>Félix Colon</t>
  </si>
  <si>
    <t>…jado, sin necesidad bre de 1816 fue promovido á teniente general de los eger- de ella'procederá el juez ó tribunal que haya dado la sen citos. En ellos no se olvidará el nombre de D. Félix Colon tencia de muerteá egecutarla en la persona del reo, hacién mientras duren el amor al orden y á la disciplina , el zelo dolo llevar en habito laical, y cubierta la cabeza ó corona or la observancia délas leyes, la lealtad, la fidelidad al con un gorro negro. 6…</t>
  </si>
  <si>
    <t>Colón, Josef</t>
  </si>
  <si>
    <t>Josef Colón</t>
  </si>
  <si>
    <t>…ceda en las elecciones con tanta exactitudescrupulosidad y circunspección como exige un asunto de tanta importancia y trascendencia. ..i n ? ¡ 7 El Rey se ha servido rehabilitar á D. Josef Colón , decano del extinguido Consejo y Cámara dé Castilla» én él goce de los honores del Consejo de Estado que le fuerori concedidos pdrs la Regencia deí reino en 30 de Marzo de iéio, y confirmados por las Cortes generales y extraordinarias, como justarecompensa d…</t>
  </si>
  <si>
    <t>Comándame</t>
  </si>
  <si>
    <t>…- estados separados, distinguiendo' lo entregado por haberés - mero de buques sospechosos, como tiene noticias éste señor vencidos desde l.° de Julio y por atrasos, conforme á ios coronel Comándame del cordon de sanidad ; lo que sí fue- respectivos modelos qué señalan los números desdé el i.° ■ re asi, harían mucho daño á nuestro comercio, respecto -á :al s.° lo disimulado de estos búqUes, qué por no llevar artillería 2. a De las Cantidades qué no deben…</t>
  </si>
  <si>
    <t>Comandante</t>
  </si>
  <si>
    <t>…éis, que siempre estaba interceptando el camino de San luán del Rio, compuesta de 26 bandidos, había pasado en la ftoche para la hacienda de la Torre. Inmediatamente me separé del capitán Comandante Don Vicente Filisola, y marché para dicha Torre á ver si tenia noticia por don* de estos malvados se habian encaminado. Con efecto, luego que entré en tierra de la Torre me fue á alcanzar un amigo, y me dijo que ya )a gavilla había pasado con una porción de ganado mayor á las tre…</t>
  </si>
  <si>
    <t>…os citados vuel van á S. Fernando lo mas pronto posible , sin recibir el menor daño. Dios guarde á V. S. muchos años. Navio Numancia 11 de Marzo de 1820.==Juan María ViUaviceneio.=Sr. Comandante general de la cuarta división?* y ‘ '■ 6.* Excmo. Sr.: Estos dias 'últimos no he tenido tiempo para dar parte á V. E. de lo ocurrido en ellos; pero nada ha habido contrario al orden, y me he ocupado ¿n dar disposiciones á fin de que no sé altére eh cuanto de…</t>
  </si>
  <si>
    <t>Con, Jñavier Joaquín de</t>
  </si>
  <si>
    <t>Jñavier Joaquín de Con</t>
  </si>
  <si>
    <t>…pacíficas y amistosas. reos y librerías de las provincias. ARTICULO DE OFICIO. nota. E11 la gaceta de 11 de Octubre, col. g.*, lín. ag , di* ce D. Francisco de Bustamante , léase D. Jñavier Joaquín de Con fecha 30 del corriente desde el Real sitio de S. Lo Buitamante. renzo dice el Sr. secretario de Marina al Sr. secretario de la OTRA. En la gaceta de ayer, col. 6.a, lín. 34, después di la G obernacion de la Península lo que sigue: palabra término , añádase; s…</t>
  </si>
  <si>
    <t>Concluida, Antonio Mar</t>
  </si>
  <si>
    <t>Antonio Mar Concluida</t>
  </si>
  <si>
    <t>…es en tantos vivas y aclamaciones, que apenas para organización de los cuerpos de milicias provinciales. se percibía ya el sonido de aquel'a*. A la de Guerra unas observaciones de D. Antonio Mar Concluida esta ceremonia, se trasladáronlas autoridades tínez sobre la decadencia de las fortificaciones, y-medios de y el pueblo á la iglesia parroquial, donde se cantó misa conssrvarlas. y le Deum en acción de gracias al Altísimo por tan feliz A las reunidas que enti…</t>
  </si>
  <si>
    <t>Conde, Jaime García</t>
  </si>
  <si>
    <t>Jaime García Conde</t>
  </si>
  <si>
    <t>…e lo mas hermoso que se puede ver. En su hablar »He dado cuenta al Rey de la causa formada á petición es muy templado, modesto y sabio: hombre de singular be del mariscal de campo D. Jaime García Conde por la ren lleza , que excede á todos los hijos de los hombres.” dición de la plaza de Lérida, ocurrida el 7 de Mayo de Si este documento no es apócrifo, debe considerarse co 18to, y con presencia de cuanto en ella resulta, como de mo uno de los mas preciosos…</t>
  </si>
  <si>
    <t>Conde, Juan García</t>
  </si>
  <si>
    <t>Juan García Conde</t>
  </si>
  <si>
    <t>…udad ^de Tortosa en el principado de Cataluña, el coronel e intendente de egército Don, Ionacio Garciny, ministro jubilado del Consejo Real de. las Ordenes, y el mariscal de campo D. Juan García Conde, comandante del tercer batallón, del primer regimiento de Reales guardias Españolas; y el primero dijo á S. M..i ,, Señor: La, ciudad de Tortosa, en el principado de Cataluña, .esclarecí—, da por la fe y religión que conserva de Sus mayores, y por la antigüed…</t>
  </si>
  <si>
    <t>Congosto, Josef</t>
  </si>
  <si>
    <t>Josef Congosto</t>
  </si>
  <si>
    <t>…ue le administró el cirujano titular en presencia del padre del feto , y este dio señales de vida; por espació de mas de i o minutos. A las seis hotás de su nacimiento se presentó D. Josef Congosto, cirujano de Co llado Viilalba, y en compañía de dicho titular reconoció el expresado mons truo. • ■* -• ' Madrid 26 de Abril. *; i; Eri eí sórtéo de la lotería moderna nacionaf celebrádo’el dia 24 del corriértté salieron sorteados cóívlós premios mayores lós…</t>
  </si>
  <si>
    <t>Congreso, Romero Alpuen-</t>
  </si>
  <si>
    <t>Romero Alpuen- Congreso</t>
  </si>
  <si>
    <t>…scusión ; y el señor anunciar esta especie de desconfianza ; habiéndole hecho ver presidente dijo que pues la intención de la comisión y del el desenvolvimiento de las razones del Sr. Romero Alpuen- Congreso habia sido no comprender á los militares, lo ten te , que se iba á minar el empréstito , observando claramen drían presente en su caso. te , que tratándose de nuevas condiciones de los prestamis Tampoco se admitieron á discusión las indicaciones si tas, y med…</t>
  </si>
  <si>
    <t>Conlitorc</t>
  </si>
  <si>
    <t>…as actas de la junta conducta cosa que fuese contraria A la decencia. provisional. El comandante de la pinza de Paie.mo es el Después de este testigo fue llamado Pietro Puchi, apo general Conlitorc: el de Marma es el cu-allerc Vdlguarnera; derado del gran mesón de Trie re, donde la Princesa y y el de arribeña el coronel Pcrauni, que cn.i tornando un re Bérgami e-tuvieron seis días; y dijo que habiendo inirado gimiento de artilleros. La ¡un'a de Hacienda…</t>
  </si>
  <si>
    <t>Consálvi</t>
  </si>
  <si>
    <t>…obra. TI&amp;ÜE; InsprMk :gc&amp;de&amp;ici?mkrÁ% • ;; Tas ultimas cartas que :se han recibido! dé Italia - contienen las síguífente» BOticias: , ■■■:■ - ' -j - ■ ífv:' •. --V;;:- ::•! ,, El cardenal Consálvi. .&gt; i secretar io de Astado, está indispuesto de algan tiempo á esta parte, y aun se aseguraba que había caído enfermo de peligro; pero esta última circunstancia no e&amp; cierta , porque hasta ahora no ha presenta-do ningún Viésgd el estada de &amp; Ema.cLó, que sí…</t>
  </si>
  <si>
    <t>Consalvi</t>
  </si>
  <si>
    <t>Gaceta de Madrid n.º 39</t>
  </si>
  <si>
    <t>…ma, y que no se puede determinar todavía la época, en qué volverán á principiarse de nuevo. Parece no obstanre que en ti caso de adoptarse el arreglo provisional, propuesto por el cardenal Consalvi a los ministros de los Soberanos protestantes de la Alemania meridional y oc cidental, se propondrá igual arreglo provisional á los ministros de Prpsia y Hannóver. ITALIA. Ñapóles &lt;T de Febrero. Ha conseguido Mr. Humphry Davy desarrollar perfectamente los man…</t>
  </si>
  <si>
    <t>…sura religiosa diocesana de esta heroica • S. S.., las tropas napolitanas entrarían en.ellos -pasando las .villa ha calificado unánimemente de injuriosa al dogma y fronteras; y el cardenal Consalvi había contestado que el á todos los libros santos, por contener un conjunto horro .Papa no consentida nunca en que se viólase la neutralidad roso de heregías, ó reproducir las de todos los siglos, y &lt;de sus Estados;: y- que se. opondría á ello hasta con las;…</t>
  </si>
  <si>
    <t>ConsaUvi</t>
  </si>
  <si>
    <t>…ido." Los elec ALEMAHIA- tores demuestran con su conducta que saben apreciar roda la Heidelb-trg 18 de Setiembre. extensión de sus deberes; y conocen que la suerte de la Frat'y El cardenal ConsaUvi ha dirigido una nueva nota ai cía y de su libertad (pues la Francia no puede existir ya' Congreso eclesiástico; y en ella, después de repetir quería sino libre) dependen'de la prudencia y del tino con qué corte de Roma desea d ncerament* terminar este, negoci…</t>
  </si>
  <si>
    <t>Constañti, Juana</t>
  </si>
  <si>
    <t>Juana Constañti</t>
  </si>
  <si>
    <t>…que se les permita introducir en la Penín cultivadores de café de aquel país. sula lós cargamentos de 5 3 buques que habían salido para A la especial de Hacienda ia exposición de Doña Juana Constañti nopla, - Odesa y Alejandría, antes del decreto de cié Luque, vecina de Málaga, pidiendo se la conceda una las Cortes prohibiendo la introducción de granos. La comi pensión en atención A su numerosa familia,.y para reinte sión opinaos que debia accedersé á la…</t>
  </si>
  <si>
    <t>Constantino</t>
  </si>
  <si>
    <t>…n Berlin que vuelve á confiarse á Mr. de Bulow el ministerio de Hacienda. „ _ ■ El dia 2 ) de Diciembre último salió en posta de Petersburgo, para restituir le á Varsovia, el gran duque Constantino. ~ Escriben de Burdeos con fecha de 14 del corriente que sin embargo del *ot y de la templanza del tiempo que se había, experimentado por algunos dias, volvió á “helar el 13 de este mes, y en los hielos del Garona han enca llado las embarcaciones mas inmediat…</t>
  </si>
  <si>
    <t>Constitución</t>
  </si>
  <si>
    <t>…una con el mismo, sin necesidad de previo permtsodel gefe ó supe tradicción expresa entre el artículo propuesto y el de la rior respectivo. Igual autoridad tendrá para este fin el juez Constitución , porque esta quiere que los españoles sean li ordinario respecto á las personas eclesiásticas y militares, bres, y que no renuncien á su libertad , sino en aquellos ca que los jueces militares y eclesiásticos respecto a las de los sos mas precisos para la co…</t>
  </si>
  <si>
    <t>…ecreto siguiente: sia con las mismas ceremonias que cuando el Rey asi-tió la Don Fernando vir por la gracia de Dios y por la última vez á dicha iglesia. Ocho lores, entre ellos el duque Constitución de la Monarquía española, Rey de las Espa- de Clarence, hermano del Rey , habian protestado ya con ñas, á todos los que las presentes vieren y entendieren sa tra la resolución de retirar el biil\ v se observaba que este bed: Que las Cortes han decretado, y No…</t>
  </si>
  <si>
    <t>Continuó</t>
  </si>
  <si>
    <t>…las ideas, concluyo, que tengo sobre este extrangeros, sin embargo de lo cual ninguno de los prime asunto. ros se habia presentado. El Sr. conde de Toreno desvaneció las dudas del señor Continuó hablando á favor del empréstito , recordando preopinante en cuanto á la buena fe de las casas de que se la insolvencia del Gobierno , y la necesidad de atender á trataba. Manifestó en seguida lo perjudicial que sería adop una multitud de obligaciones pendient…</t>
  </si>
  <si>
    <t>Continuó, Ignacio Ma</t>
  </si>
  <si>
    <t>Ignacio Ma Continuó</t>
  </si>
  <si>
    <t>…r. presidente añadió que se dijera haberse recibido tes remitidos por la secretaría de Gracia y Justicia con in los egemplares con aprecio. forme del Gobierno ; promovidos uno por D. Ignacio Ma Continuó el Sr. Golfín elogiando á los cuerpos de la ría de Ortega, vecino de Ubeda^; otro por Doña Rosalía guarnición , especialmente por su conducta en los días 6 y 7; López de Cárdenas , vecina de Montoro; otro por D. Pe el Sr. Gaseo recordó la patriótica y virtuos…</t>
  </si>
  <si>
    <t>Continuó, Mar</t>
  </si>
  <si>
    <t>Mar Continuó</t>
  </si>
  <si>
    <t>…bienes de la Inquisición.” Se pasó á la vo mitad de los jurados por el ayuntamiento, y la otra mitad tación , y quedó aprobada. por la diputación provincial; á lo que conrestó el Sr. Mar Continuó después la discusión pendiente del proyecto tínez de la Rosa, insistiendo en los principios que habia de libertad de imprenta, leyéndose el art. 32, que dice asi: sentado. Art. 32. «Estos jueces de hecho serán elegidos anual Siguió la discusión entre varios S…</t>
  </si>
  <si>
    <t>Continuó, Tornas García</t>
  </si>
  <si>
    <t>Tornas García Continuó</t>
  </si>
  <si>
    <t>…. putaba por órdenes diferentes aquellas cuyos religiosos te Asimismo' fue aprobado otro de la misma comisión,' nían diferentes trages y estatutos. acerca de la representación del brigadier D. Tornas García Continuó después el Sr. Martel manifestando la necesi Vicenre, en que manifestaba sus méritos y servicios patrió dad de que se tuviesen presentes todas las dificultades que ticos; en la que observaba la comisión que nada pedia el in pbdrian oponer los religiosos al cu…</t>
  </si>
  <si>
    <t>Continuú</t>
  </si>
  <si>
    <t>…erderse un momento cuando Península , y empezó manifesiando la si.uacion delicadísima se trataba de la salvación de la patriaen que ponía al Gobierno el zelo que había excitado al señor Continuú el ministro asegurando la delicada si uacion Solanot á sentar su proposición. Es absolutamente imposi en que habia puesto al Gobierno la propuesta hecha, y que ble, dijo, asegurar al Congreo que no se está en el caso que en la historia de los Gobiernos repres…</t>
  </si>
  <si>
    <t>Contreras, Gregorio de</t>
  </si>
  <si>
    <t>Gregorio de Contreras</t>
  </si>
  <si>
    <t>…de mucho paso y comunicación con las provincias internas del reino: tiene facultativos de medicina, cirugía, botica, y otros empleados públicosEl secretario del mismo ayuntamiento D. Gregorio de Contreras está en cargado-de seguir la correspondencia, y dar instrucciones á los sugetos que quieran, concurrir al objeto que se propone la villaSe necesitan sustitutos, para cátedras de latinidad de mayores y medianos en Ja. universidad de Osma: su dotación es de 4SI…</t>
  </si>
  <si>
    <t>Contreras, Juan Sencn de</t>
  </si>
  <si>
    <t>Juan Sencn de Contreras</t>
  </si>
  <si>
    <t>…tiempo á V. M. el mas sincero y reverente homenage de su amor y obediencia.” El mismo di? tuvieron la honra, de, felicitar á SS. MM. á nombre de la ciudad de Sigíienza el iixcmo. Sr. D. Juan Sencn de Contreras, teniente ge-&gt; neral de los Reales egércitos, gran cruz de la Real y militar orden de S. Her— mgnegifdo &amp;c. y D. Ramón Barbaza, alférez de Reales guardias Españolas,, con el discurso que pronunció el primero en los términos siguientes i</t>
  </si>
  <si>
    <t>Contreras, Nicolás García Tello y</t>
  </si>
  <si>
    <t>Nicolás García Tello y Contreras</t>
  </si>
  <si>
    <t>…e gunda ciase en la orden de S. Fernando.. enteramente á los principios económico-pohikos que hasta A la comisión de Hacienda se pasó una memoria pre ahora ha seguido. sentada por D. Nicolás García Tello y Contreras, vecina ',.° «Que aun cuando sea cierto el crédito de 5.507,,'34 de Granada, sobre este ramo. reales que el citado coronel Castillo supone tener contra la A la de División Jel territorio español se pasó una ex Nación , nune.i puede reputarte como indemnizació…</t>
  </si>
  <si>
    <t>Conza, Diego</t>
  </si>
  <si>
    <t>Diego Conza</t>
  </si>
  <si>
    <t>Por tanto mandamos á todos los tribunales, justicia?, D. Diego Conza, administrador general de aduana de la gefes, gobernadores y demas autoridades, asi civiles co provincia deQuerétaro, en el reino de México, concedién mo militares y eclesiásticas, de cualquiera clase y dignidad, dole al mismo tiempo los honores de oficial Re…</t>
  </si>
  <si>
    <t>Cook, Juan B.</t>
  </si>
  <si>
    <t>Juan B. Cook</t>
  </si>
  <si>
    <t>…e M. bajo cuyo supuesto, y para la mayor comodidad del público, Cali, 3 20. El cónsul de Portugal D. J. H. Parral, 5 00. han establecido la enseñanza en uno de los mejores parages D. Juan B. Cook, cónsul de los griegos, 320. D. Horario de esta villa; y para arreglar horas y precios tendrán" la Sprague, 320. D. D. Duplessír, 80. Los Sres. Gibbs Casson bondad los que quieran emplearles, de dejar sus señas en la y compañía, 320. D. J. B., 40. D. Tomas Sm…</t>
  </si>
  <si>
    <t>Coopmans</t>
  </si>
  <si>
    <t>…erador.de. Rusia, no retarde mucho la vuelta á sus Waithmann propuso que se hiciese una representación al Estados. . , Rey para suplicarle que apartase pata siempre de su pre ——El caballero Coopmans, encargado de Negocios de Di sencia á los ministros que le han dado tan malos consejos en namarca, acaba de escribir desmintiendo formalmente al la causa de la Reina., y que por su conducta han compro-: Correo francés, que había anunciado que un correo venido…</t>
  </si>
  <si>
    <t>COqvino</t>
  </si>
  <si>
    <t>…lland. j* • Lord Holland..óbseryo no obstante que no daba su voto como resultado de admiración por las providencias del último Parlamento , que según él no ha hecho daño. El noble lord COqvino en que se habión verificado mejo ras sensibles en el estado del reino; pero que no podía atribuirse á la acción dé las últimas leyes contra las que se reservaba'hablar. ; :, ' En la Cámara de los Comunes observó .Mr. Burdett que ctfbs veces se daba af iso del…</t>
  </si>
  <si>
    <t>Cor</t>
  </si>
  <si>
    <t>…e ofrezcan pública y so y no podría verlos el Congreso tan pronto. El Sr. Lamina lemnemente á dar igual egcmplo á toda la Nación, que no añadió, haber sido hecha la indicación del Sr. Cor e? á podra menos de seguirle, pues tanto interesa a la indinaría consecuencia de que se dijo que A ia comisión de Guerra y prosperidad nacional y á la salud pública, pariicular- no se le encargaba nada. El Sr. Corres creyó no tenia que inenro en las actuales…</t>
  </si>
  <si>
    <t>Cór, Joaquin Díaz de</t>
  </si>
  <si>
    <t>Joaquin Díaz de Cór</t>
  </si>
  <si>
    <t>…odos los que tienen A su cargo riano Gil , del comercio de Barcelona , presentado por el se pudiera en vista de ellos hacer la regulación exacta del Sr. Yandiola, y una memoria de D. Joaquin Díaz de Cór mas ó el menos que A cada objeto se puede destinar. Muy doba sobre Crédito público y formación de un banco justo creyó que ;e aprobara este dictamen si se quería; pero nacional. le parecía mas propio y conveniente dejar esta aprobación A la especial de Fuerza…</t>
  </si>
  <si>
    <t>Cor, Raimundo Fon y</t>
  </si>
  <si>
    <t>Raimundo Fon y Cor</t>
  </si>
  <si>
    <t>210 artes de esta ciudad et día 9 del corriente, el Dr. D. Raimundo Fon y Cor*net, catedrático del Real colegio de farmacia de $. Victoriano, socio nume rario^de dicha Real academia &amp;c., leyó un discurro sobré la naturaleza, pro piedades y utilidades del metal estaño. •-,* &gt; En la primera .parte de su discurso hizo la descripción de la…</t>
  </si>
  <si>
    <t>Coraminas</t>
  </si>
  <si>
    <t>…za de la Constitución terminación de suplicar al Príncipe que me exonere de rodó de esta corte. cargo, y me considere como de cuartel con mi antiguo Quedó aprobada una adición del Sr. Coraminas á lo apro grado de teniente genera!; pero dispuesto á combatir por la bado ayer sobre el uso del papel sellado, para que lo dis causa común á la primera voz de guerra. Mi existencia está puesto respectó á las letras de cambio se entienda sin per íntimamente u…</t>
  </si>
  <si>
    <t>Corbellini, Santiago Greppi y Santiago</t>
  </si>
  <si>
    <t>Santiago Greppi y Santiago Corbellini</t>
  </si>
  <si>
    <t>…herencia, bien sea por el testamento ó por otro título, que deben probarlo en debida forma ante el .mismo tribunal provincial de Como, con citación de los señores testamenta rios conde Santiago Greppi y Santiago Corbellini^ ambos de Milán, ;antesdel 9 dé Julio del presente .año ; con apercibimiento de que no habiéndolo ve rificado para dicho dia perderán su derecho, no obstante cualquier noticia o aviso particular que anteriormente hayan comunicado á los referidos señorestestam…</t>
  </si>
  <si>
    <t>Corbellíni, Santiago Greppi y Santiago</t>
  </si>
  <si>
    <t>Santiago Greppi y Santiago Corbellíni</t>
  </si>
  <si>
    <t>…a herencia, bien sea por el testamento ó por otro título, que deben probarlo en debida forma ante el mismo tribunal provincial de Como, con citación de los señores testamenta rios conde Santiago Greppi y Santiago Corbellíni, ambos de Milán, antes del 9 de Julio del presente año; con apercibimiento dé que no habiéndolo ve rificado para dicho dia, perderán su derecho , no obstante cualquier noticia ó aviso particular que anteriormente hayan comunicado, á los referidos señores test…</t>
  </si>
  <si>
    <t>Corbesy, Miguel</t>
  </si>
  <si>
    <t>Miguel Corbesy</t>
  </si>
  <si>
    <t>…ta Real determinación se circule á todas las audiencias decencia. D. Mariano Gutiérrez, D. Manuel Pardo, Don y diputaciones provinciales, y sé inserte ademas en la Manuel Martin, D. Miguel Corbesy , D. Agustín Pelaez, gaceta del Gobierno; en la inteligencia .de que cualquiera D. Antonio Gutiérrez, el ya nombrado Navarro, D. Ma solicitud que sobre este punto se dirija directamente al mi nuel Colon y D.Tomas Gil, que realizaron lo expuesto, de nisterio q…</t>
  </si>
  <si>
    <t>Córdoba, Joaquin Diaz de</t>
  </si>
  <si>
    <t>Joaquin Diaz de Córdoba</t>
  </si>
  <si>
    <t>…ies en el rostro. estado de las misiones, el extravío de muchos de sus in A la comisión ordinaria de Hacienda un apéndice de dividuos por el mal método que las gobierna, y la poca D. Joaquin Diaz de Córdoba á su memoria sobre la for necesidad que hay de que pasen á ellas religiosos europeos. mación de un banco del Cre'dito nacional, y una exposi Indicó los varios objetos con que suelen estos embar ción de la junta del Crédito público, hecha en vista del carse pa…</t>
  </si>
  <si>
    <t>Coro, Juan Pedro</t>
  </si>
  <si>
    <t>Juan Pedro Coro</t>
  </si>
  <si>
    <t>…s estaban comprendidos en postuma del general D. Antonio Escaño sobre dicho objeto; otros artículos posteriores, y que habia tenido presente que y una memoria del capitán de navio D. Juan Pedro Coro las leyes les' prohíben la cuestación para la redención de nado, que también se habían parado á las Comisiones. cautivos. Se acordó suspender hasta la discusión del plan general El Sr. Casaseca quería qué en asunto de esta importan de estudios la resolución d…</t>
  </si>
  <si>
    <t>Coro-, Fermín</t>
  </si>
  <si>
    <t>Fermín Coro-</t>
  </si>
  <si>
    <t>…de los cuales el ayuntamientos de la Guardia y otras quince villas sobre los primero decia : «para proceder á la prisión de cualquiera e:exorbitantes derechos del vino; y otra de D. Fermín Coro- pañol, previa siempre la información sumaria del hecho, r &gt; fe ado, vecino de Villanueva de la Serena, sobre que se exi se necesita que esta produzca una prueba plena ni semiplena ja la responsabilidad á quien corresponda por su separación del delito, ni de q…</t>
  </si>
  <si>
    <t>Corominas</t>
  </si>
  <si>
    <t>…venia, lo primero de que su primer esta sión sobre las siete rentillas habia quedado pendiente la si blecimiento fue en el año 1810 por el Gobierno intruso, guiente indicación del Sr. Corominas: »Que .i los fabrican y de que los malévolos esparcieron que las Cortes de Cá tes de alumbre se les facilite el azufre ai precio de coste y diz seguían en un todo y por todo las máximas de aquel cosras al pie de las minas, y que se haga lo mismo con el Gobier…</t>
  </si>
  <si>
    <t>Corominas, Antonio</t>
  </si>
  <si>
    <t>Antonio Corominas</t>
  </si>
  <si>
    <t>…en el or den que sigue: El mismo D. Antonio Curulla explicó las definiciones de Iá geometría, y disertó sobre las propiedades del círculo y de las líneas que en él se consideran. D. Antonio Corominas sobre las proporciones de líneas y figuras. D. Francisco de Ai gemir sobre la geometría práctica. D. Josef Estra-</t>
  </si>
  <si>
    <t>Coronado, Juan Perez</t>
  </si>
  <si>
    <t>Juan Perez Coronado</t>
  </si>
  <si>
    <t>…por N. Plaza. Se leyó el acta de la de ayer, á la que se mandó agre Quedaron enteradas las Cortes de una exposición de gar el voto particular de los Sres. Navarro y Martínez, con D. Juan Perez Coronado, capitán de navio, sobre la uti trario á la resol- cion del artículo segundo del proyecto de lidad de las matrículas de mar. ley sobre vinculaciones. Se mandó pasar á la comisión donde existen los antece Quedaron las Cortes enteradas, y se mandaron repartir d…</t>
  </si>
  <si>
    <t>Coronel</t>
  </si>
  <si>
    <t>…naturaleza de su comidon: 2.a porque en los sobredichos Real remitió al Excmo. Sr. general en gefe un parte dado dos papeles no se dan á la juma los títulos que en ella re por el teniente Coronel D. Manuel Matute , en que le comu conoce unánimemente la Nación , no siendo compatible con nica la acción empeñada en el paseo Real de Nutrías con una la dignidad de la junta provisoria, ni tampoco con el de partida de 100 rebeldes; los que fueron derrotados, dejan coro de lo…</t>
  </si>
  <si>
    <t>Coronel, Ciraspar</t>
  </si>
  <si>
    <t>Ciraspar Coronel</t>
  </si>
  <si>
    <t>…ro dictamen de la co dito público trc. misión de Libertad de imprenta, relativo á los casos en que debe declarare que haya lugar á una segunda calificación; Capellanía fundada por D. Ciraspar Coronel. dado con motivo de la exposición que dirigió A las Cortes Doscientas diez medias de tierra blanca en Sienes. Ja junta provincial de Censura de Murcia. Idem idem de Doña Gerónima Bar cero. Se aprobi otro dictamen de la misma comisión, presen Treinta y tres id…</t>
  </si>
  <si>
    <t>Corradi, Juan</t>
  </si>
  <si>
    <t>Juan Corradi</t>
  </si>
  <si>
    <t>…referidas plazas. Los pretendien Artillería , D. Gregorio Picón. tes se presentarán al redactor primero del Diario de Corte* Proyecto de reglamento para los regimientos provincia D. Juan Corradi para que les señale el día en que deberán les, por el teniente coronel de egército y capitán de grana hacer Ja expresada prueba. deros provinciales de Mondoñedo D. Josef María Padriñan y Quirós. (Se continuará■) Un ciudadano español, vecino de esta corte, que…</t>
  </si>
  <si>
    <t>…ejon de Ardoz habia despreciado y Se leyó la minuta de decreto sobre soctecxes 'jatriódesatendido las órdenes del Rey. ticas. Las Cortes quedaron enteradas, y mandaron repartir en D. Juan Corradi, redactor primero del Diario de Cor tre los Sres. diputados los egemplares del decreto de aran tes, presentó á las mismas 180 egemplares de la 'ueva edi celes, expedido por ei ministerio de Hacienda. ción aumentada de su Catecismo político arrex'sdo a la A la…</t>
  </si>
  <si>
    <t>…tes que todo decre'o que no exchivese cla-am -n- Et redactor primero de! diario de las actas y discusio te A Ultramar, se entendiese que comprendía tanto A Ultra nes de las Cortes D. Juan Corradi present í a -as mismas mar cr ino á la Península. para su biblioteca dos egempinres de su Prontuario crono - F! Sr. Rehira manifestó que no era necesaria e^ta expre lógico -Je la historia de España para instrucción de ia ju sión . por cuanto se sabia que ¡os…</t>
  </si>
  <si>
    <t>Corral, Feliciano del</t>
  </si>
  <si>
    <t>Feliciano del Corral</t>
  </si>
  <si>
    <t>Gaceta del Gobierno n.º 178</t>
  </si>
  <si>
    <t>…a que según el espíritu y literal contesto de nistro.togado, y juez de primera instancia de esta M. II. villa, dicho decreto, resuelva y determine todas las dudas que dictada ante D. Feliciano del Corral, escribano de su juzgado, puedan ocurrir en el asunto, formando y comunicando á se manda citar y emplazar á D. Lorenzo Hernán I.opez, últi ¡os Gefes de las provincias un plan uniforme de instruc mo tenedor de seis vales reales de 150 pesos, creación de t.° de…</t>
  </si>
  <si>
    <t>Corral, Feliciano.del</t>
  </si>
  <si>
    <t>Feliciano.del Corral</t>
  </si>
  <si>
    <t>…de lá suprema Asamblea de la orden de Carlos ni, y en virtud de providencia del Sr. D. josef Martínez Moscosovjuez de primera ir.star.cia de esta muy heioica villa, refrendada de D. Feliciano.del Corral, su escribano de número, ,se cita., llama y emplaza 4 D. Melchor de Urra, D. Antonio (^onsez Villaboa, Don Joaquiq;txaniza de Vitoria, D. Josef Antonio Arriba, D. Diego Gastambide, Don Termin Antonio Arriaga, D. Antonio Lázaro y Pozo, D. Pablo González, Don F…</t>
  </si>
  <si>
    <t>Corral, Hipólito del</t>
  </si>
  <si>
    <t>Hipólito del Corral</t>
  </si>
  <si>
    <t>…, por vía de donación ó limosna, ó con Un trabajo igual presentado por el comandante de arti cualquier otro título que estime conveniente, compense á llería de la plaza de Santoña D. Hipólito del Corral. estos piadosos establecimientos: que se entreguen inmediata Ideas soore la administración de justicia, por D. Ra mente por el cokcror general de E-polios del caudal exis món Belmint Carmen, subteniente del regimiento de Murcia. tente en su tesorería 60® rs,…</t>
  </si>
  <si>
    <t>Correa, Ramón</t>
  </si>
  <si>
    <t>Ramón Correa</t>
  </si>
  <si>
    <t>…ta de esta capital. chores. Se leyó el artículo primero. «Cuartel general de Valencia 12 de Mayo de 1820.= t.° Todos pueden , con arreglo á la Constitución, arres Pablo Morillo. = Sr. D. Ramón Correa." tar y conducir á la presencia del juez al delincuente en fraganti j y todo el que pueda está obligado, sin distinción NOTICIAS DE LA PENINSULA. nlguna, á arrestarle &lt;5 á auxiliar’eficazmenre para su arresto, bajo responsabilidad. Madrid 3 de Setiembre. El S…</t>
  </si>
  <si>
    <t>Corres</t>
  </si>
  <si>
    <t>…le, pues tanto interesa a la indinaría consecuencia de que se dijo que A ia comisión de Guerra y prosperidad nacional y á la salud pública, pariicular- no se le encargaba nada. El Sr. Corres creyó no tenia que inenro en las actuales circunstancias." añadir, habiendo respondido en favor de su proposición Deqtues de apovar la proposición el Sr. Janer entre otras los Sres. Sánchez Salvador y Lasan-a. y por fin pregunr li coms en el egcmplo dado por…</t>
  </si>
  <si>
    <t>Corres, Miguel de</t>
  </si>
  <si>
    <t>Miguel de Corres</t>
  </si>
  <si>
    <t>…. 'M. del número de la misma D. Tomas María Manrique, se cita, llama y emplaza por término de 15 dias á D. Próspero XínieHallándose vacante una plaza de medico de la Real Fa nez , D. Miguel de Corres, D. Josef Calvo , D. Pantaleon Ruiz, milia por fallecimiento de D. Pedro Irigoyen , y teniendo y demas últimos tenedores é interesados en 5 vales Beales, resuelto S. M. que los citados destinos se provean por opo los tres de 300 pesos, creación de x.° de Seti…</t>
  </si>
  <si>
    <t>Córsini, Luis</t>
  </si>
  <si>
    <t>Luis Córsini</t>
  </si>
  <si>
    <t>…De Real orden lo traslado á V. para su inteligencia y Ensayo sobre la organización reformativa del egército efectos correspondientes. Palacio 25 de Agosto de 1820. de tierra, por D. Luis Córsini, alférez del regimiento de ca ballería de Aígarbe. ( Se continuará.) 4» Se han recibido periódicos de Nápolcs, cuyas noticias ANUNCIOS. alcanzan hasta el 12 de Agosto inclusive. El Gobierno na Observaciones del C. Vern..., sobre la apología del altar y polita…</t>
  </si>
  <si>
    <t>Corta, Cayetano</t>
  </si>
  <si>
    <t>Cayetano Corta</t>
  </si>
  <si>
    <t>…a el sustento de los habitantes de la capital. raimiento do i ni unte ría Principessa, á sus oficiales, á su Se necesita anualmente para criar y mantener este nú dignísimo gofo el coronel D. Cayetano Corta, de cuya con- mero de animales al pie de 2000 leguas cuadradas de tier ducta, actividad, ínteres por mantener el orden y tranqui ra cultivables; para producir el trigo y demas granos nece lidad pública, que logró conservar tan felizmente ety tan sarios al con…</t>
  </si>
  <si>
    <t>Cortas, Miguel Calleja Blanco</t>
  </si>
  <si>
    <t>Miguel Calleja Blanco Cortas</t>
  </si>
  <si>
    <t>…o intento resucitar las an ras letras, que no habia arreglada en los términos propios ticuadas fórmulas del feudalismo , ni un vano simulacro de de ella; y. habiéndola conliad:* á D. Miguel Calleja Blanco Cortas. Todos os unisteis para someteros á las condiciones para que como maestro examinado.y aprobado ¡a dirigiese, fundamentales que acordaseis. Volviendo momentáneamen llegó* ei caro de que á muy pocos meses todos les niños que te v por una ficción política al est…</t>
  </si>
  <si>
    <t>Corté</t>
  </si>
  <si>
    <t>…ha todos han obtenido otros destinos contra lo prevenido en Ja bía adoptado. Constitución , renunciando por el hecho mismo á su derecho Reprodujo la cuestión de la legitimidad el Sr. Corté*, y de consejeros. Que por consiguiente siendo las circunstancias a recién dolé de menos momento el número de los que deextraordinarias, debía de tomarse una medida extraordina Sian nombrarse, se decidió en lo demas por el dictamen de ria, y no entrar en proc…</t>
  </si>
  <si>
    <t>Corte's</t>
  </si>
  <si>
    <t>…en la masa ge roga, se mandó pasar con recomendación al Gobierno. neral del tesoro, y eran aplicables al objeto en cuestión. La comisión primera de Leghlacion , habiendo exami El Sr. Corte's llamó la atención hacia los jornaleros, nado el expediente de purificación de D. Francisco Perez que acaso quedarían sin trabajo en este invierno. del Ribero, opinaba que debia ser rehabilitado, y devol Continuaron la discusión los Sres. Azaola, Palarea y ver…</t>
  </si>
  <si>
    <t>Corté-</t>
  </si>
  <si>
    <t>…s, 6 cabos primeros , 6 segundos, 2 tambores y un pito.” nal solo es para los casos en que aq :e!la no lucre suficiente. Se reformó el art. 8.’, que estaba en el reglamento con El Sr. Corté- oh ervó que i n gran ni mero de las fun cebido en estos términos: «Donde hubiere tuerza compe ciones de recocí jo eran religiosas; y siendo e=tas bastante tente se formará tina ó ina- compañías, con una escuadra ó frecuentes, debían ertnr exceptuados de asist…</t>
  </si>
  <si>
    <t>Cortés</t>
  </si>
  <si>
    <t>66</t>
  </si>
  <si>
    <t>…habauB» fijado la pregun Después de estas y otras observaciones que hicieron va ta ei autor de la proposición ene,tos términos, á saber: ,,si rios eclesiásticos, y entre ellos el Sr. Cortés, quien dijo debería tener carácter de ley , ó ser un decreto declaratorio convendría, sin embargo de todo, que no se les excluyese de ¡as Corres”, se aprobó esto último. En seguida se admi por una formal declaración, pues las provincias les habían tió á discu…</t>
  </si>
  <si>
    <t>…olícitas para que no El Sr. Vitorica terminó la discusión proponiendo, que se las mortificase á ¡as monjas. tanto esta indicación del Sr. Lobato como la del Sr. Mar Luego habló el Sr. Cortés, é hizo presente que la indica tínez de la Rosa, se pasase á la comisión Eclesiástica, lo ción def Sr. Gaseo no solo era conveniente, sino que está que efectivamente se aprobó. fundada en ¡a Constitución de la Monarquía española i que Se hizo presente que est…</t>
  </si>
  <si>
    <t>…no chos de entrada á las dos terceras partes de la cuota que tener empleo, oficio ni modo de vivir conocido, dijo el ahora se designa en las tarifas ó reglamentos que rigen en la Sr. Cortés que algunos existen en la sociedad, que sin poder actualidadno fueron admitidas a dheusion. ser calificados por vagos ni hombres de mala conducta, vi Se aprobó otra del Sr. Díaz Morales , concebida en estos ven sirviendo de carga á sus familias , y quedarían…</t>
  </si>
  <si>
    <t>…parecido justo atropellar á unos si la Compañía hubiera existido acompañándola e! valor y ancianos venerables. la fuerza , no hubiera habido Constitución, ni estaría sen Pidió el Sr. Cortés que se añadiera al artículo la prohi tado el Rey constitucional en su trono. Refutó el voto bición de que no habiten muchos en un mismo pueblo. particular del Sr. conde de Maulé, y concluyó opinando Se aprobó , pa'ando á votar este artículo 2.0 ue se debía ap…</t>
  </si>
  <si>
    <t>…ncluido, y no las monjas en la época de la dominación francesa, y apo~ se ha presentado por no estar puesto en limpio. derádose de sus rentas, conoció al lin que no podía conti El Sr. Cortés advirtió que la comisión no tendría incon nuar de este modo. veniente en que se estableciera esta cátedra, puesto que has El Sr. Sancho dijo que no mudaba en nada su proyecto, ta el año que viene no se podrá poner en planta el nuevo y que la comisión y las Co…</t>
  </si>
  <si>
    <t>…r primera vez la siguiente proposición del se probablemente se hallarla impreso ya; el Sr. Navas, qce ñor Vargas Poncc: «Pido que unidas las dos comisiones podría no e-tar aun: el Sr. Cortés, que por punto general de Legislación y.Guerra, propongan medios para que obe debía imprimirse por separado, y repartirse £ los ¿i puado» decida la Constisucion , no se enerve la disciplina ini!i:ar todo proyecto de ley ; y el Sr. Gisbcrr propuso un medio, en…</t>
  </si>
  <si>
    <t>…M. para que dé el primero el patriótico y po monet, con el diario de Cortes del día jo en la nv«io, ü deroso egcmplo de no ve-tir en adelante sino paños y ropas la indicación del Sr. Cortés, que se aprob é aquel dia decp-es de nuestra fabricas, ni usar de mas artefactos exrrangeros de la suya, la de'truia en algún modo; pues que observaba q.:e de lo? indispensables que no se trabajan en España: que no se habían re mido aun las dos comí-iones de…</t>
  </si>
  <si>
    <t>…l que pueda está obligado, sin distinción NOTICIAS DE LA PENINSULA. nlguna, á arrestarle &lt;5 á auxiliar’eficazmenre para su arresto, bajo responsabilidad. Madrid 3 de Setiembre. El Sr. Cortés fue de opíníon que debia ponerse el ar tículo segundo antes que el primero, por estar expresado SS. MM. y AA. siguen sin novedad en su importante aquel con mas generalidad, y que debia añadirse «en cuan salud. to la ley no les exima”, porque los eclesiásticos…</t>
  </si>
  <si>
    <t>…stuvieren con sus con cualquiera otro destino, con tal que residan en ellos cuerpos, destino ó comisión militar.” seis meses antes de las elecciones. Otra Jei Sr. Ezpeleta para El Sr. Cortés se opuso al artículo, apoyándose en que que la comisión tenga presente que la declaración dejas ca no todos los ciudadanos españoles gozan por entero los de lidades necesarias para ser tenidos por vecinos y residentes, rechos de tales, sin dejar poroso de ser…</t>
  </si>
  <si>
    <t>…es sobre este asunto , á cuyo para que después de la palabra «respetar” se pusiera «y obe fin vuelva á la comisión;” y la 2.a para que se añadiesen al decer;” porque, como dijo el Sr. Cortés, entre las ieyec esc art. 4.0 estas otras: «Por ahora ha'ta la resolución definiti pañolas es una la intolerancia de cultos; y no se podría va de las Cortes sobre la trashumacion.” prestar este asilo á los extrangeros no católicos que no pue Después de haber…</t>
  </si>
  <si>
    <t>…de ley para la reforma de regula que no podían menos de lenerse presentes. res. Se ley vi en su totalidad este proyecto, y luego la indi El Sr. Vitorica, después de dar gracias al Sr. Cortés cación hecha por- el Sr. Casaseca, en la que pedia que se por haber sostenido con la solidez de su:r principios el de leyesen íntegras las representaciones dirigidas á las Cortes recho que las Cortes tienen para estas reformas , exclusivas sobre el referido d…</t>
  </si>
  <si>
    <t>…proyec re que no se hallan incluidos en los monasterios de canóni to de reforma de regulares. gos profesos de S. Agustín los canónigos de la catedral de Se leyó una indicación del Sr. Cortés, en que pedia de Pamplona, que profesan mitigada esta regla, y también los cretasen las Cortes que de cada instituto monástico quedase de la colegiata de Ronces-Valles. que se hallan en ¡cual ca por ahora una casa en España para que se reuniesen los so.” El S…</t>
  </si>
  <si>
    <t>…a que bastase á desatar el vínculo de los vo contrario á la resolución sobre no admitir á discusión la in tos; sin embargo, en cuanto al de sujeción de los religiosos dicación del Sr. Cortés: otro de los Sres. Lecumberri y á sus provinciales, podria hacerse una comparación con el Ramírez Cid, contrario á lo acordado acerca de los artí que hace voto de vivir en una casa, que si esta se le quema culos 8.° y 9.^ dd proyecto sobre regulares; y otro d…</t>
  </si>
  <si>
    <t>…,,La comisión nada mas hace que poner un artículo muy juicioso para evitar disputas, q :e hartos vaivenes^ha sutri— FRANCIA. do este edificio sin que le causemos otros nuevos.” El Sr. Cortés probó con los cánonescon la disciplina P.-i ris I f de Setiembre. de la Iclesia primitiva, y con la Constitución de la misma, fundada por Jesucristo, que los regulares de todas clases y Según los periódicos de Nueva Yorck se ha hecho un sexos habian estado su…</t>
  </si>
  <si>
    <t>…n, que fue aprobada, para que se encargarse á la aprobada esta indicación. No se admitió tampoco á discu misma comisión presentar el proyecto de decreto que juz sión esta otra del Sr. Cortés: »Que las Corres obliguen á gare conveniente acerca de la última parte de su dictamen los capuchinos i observar su regla según la formó S. Fran cisco,” lo cual , sec;un dijo , seria un triunfo contra el gene sobre elecciones. Para la comisión de Caminos y Can…</t>
  </si>
  <si>
    <t>…n ■ 21. «Si de las comunidades religiosas de ambos sexos vió ayer otra indicación del Sr. Martínez de la Rosa, una que deben subsistir resultasen algunas con rentas superiores del Sr. Cortés, en la que, en a'encion á que no.existe regla á las precisas para su decente subsistencia y demas atencio mento ninguno para la formación de las juntas parroquia nes de su instituto , se aplicarán también al Crédito público les en las elecciones á diputados á…</t>
  </si>
  <si>
    <t>…en su conducta privada, y mancillen Granada , Martinica, Jamaica , Guadalupe , la Trinidad, la su honor ó reputación.” Ilavana, Puerto-Rico, y al ministro de S. M. cerca de los El Sr. Cortés creyó que seria mas exacto decir: «máxi Estados-Unidos, incluyéndoles la proclama dirigida a los mas ó doctrinas dirigidas á quitar á la religión católica el emigrados de Costa-firme, en que les convida á que se res título de religión del Estado," en lugar de…</t>
  </si>
  <si>
    <t>…iduo de la comisión ^ manifestó debía ha esta ley: de todo lo que dedujo que no era necesaria 1a acla cerse, añadiendo después de la palabra «tramadas” estas: ración pedida por el Sr. Cortés. ■«por cualquiera persona.” Puesto á votación por partes el artículo, quedó aproba Se mandó pasar á la comisión la siguiente indicación do en su totalidad. del Sr. Sandino: «Que se añada al art. 3c3 que del mismo El Sr. Zapata hizo la siguiente adición: »Que…</t>
  </si>
  <si>
    <t>…s.” El Sr. Tapia, individuo de la comisión, para evitar que Se admitió y se mandó pasar á la comisión una adición se anticipase la cuestión de los jurados, que no correspondía del Sr. Cortés al arr. 17, que decía: «Se calificarán de obs hasta el txr. 7, propuso se suprimieran Jas palabran «jueces cenas las' obras que ofendan á la moral pública ó buenas de hecho de que se tratará después,” discutiéndose lo res costumbres.” tante del artículo ; en…</t>
  </si>
  <si>
    <t>…tomo primero del tratado de Policía pública, ráneos, sobre lo que pasó á hacer una indicación. y otros dos de Observaciones acerca de la diferencia entre la Entre tanto propuso el Sr. Cortés que se mandase remi estadística, economía política y aritmética política, jun tir á la biblioteca de Cortes la de un colegio mayor que ci tamente con una exposición para, que las Cortes se dignasen tó, por ser de las comunidades suprimidas: y cuya biblio reci…</t>
  </si>
  <si>
    <t>…tos. tor la segunda para volver á presentarla mas adelante; des Finalmente se hizo la elección de secretario. y- á la ter pués de lo cual se levantó la sesión. t cera recayó en el Sr. Cortés, sacando 74 votos. Sesión ordinaria del p de Octubre» Concluida la elección, se continuó ladiscusion pendiente Leída y aprobada el acta de ia anterior, el Sr. Janee sobre el dictamen de la comisión de Hacienda. manifestó que en la gaceta de este dia habia lei…</t>
  </si>
  <si>
    <t>…al plares de sus obras de matemáticas; y se acordó que pasa Gobierno para que oyera proposiciones.” sen á la biblioteca. El Sr. Alvarez Guerra, analizando el empréstito de que El Sr. Cortés expuso que habiéndose dado cuenta en se trataba, presentó el punto de vista bajo que debia consi una de las sesiones anteriores de un escrito remitido por la derarse, refutando los argumentos con que la mala fe y la diputación provincial de Galicia . con el t…</t>
  </si>
  <si>
    <t>NOTICIAS DEL REINO. El Sr. presidente nombró para la comisión Eclesiástica en lugar del Sr. Cortés *ál Sr. Ceperó; y para formar la Esá Madrid 1% de Octubre. pedal, que debia entender en la reforma, del reglamento de S. M. ha despachado hoy con los Sres. secretarios del Cortes, á los Sres. Muñoz Torrero, conde de Toreno, Var Despacho de- la Gobernación de…</t>
  </si>
  <si>
    <t>519</t>
  </si>
  <si>
    <t>…mismas penas señaladas en los arríenlos a.0. 4.0 ley de infracciones de Constírvcion , leyendo lá indicación y í.°se aplicarán en sus cacos respectivos cuando alguna siguiente del Sr. Cortés en adición abare»,4á’: «Pido que ft = - persona de palabra ó por escrito propagase máximas ó doc-</t>
  </si>
  <si>
    <t>…del Despocho ó cualquiera otro perteneciente á las rentas eclesiásticas.” para entregar al Sr. presidente de las Cortes el discurso qu* No se admitió á discusión la siguiente del Sr. Cortés: con arreglo al artículo 123 de la Constitución se debia leec «Que se autorice al Gobierno para que del fondo de diez en el acto de cerrarse las sesiones. mos de la provincia de Madrid se dote competentemente á En seguida se leyeron los artículos 119, Í20, t2…</t>
  </si>
  <si>
    <t>Cortes, Conformándose las</t>
  </si>
  <si>
    <t>Conformándose las Cortes</t>
  </si>
  <si>
    <t>…-disposición á 'todos-tós pueblos que se hallasen en Se promovió una discusión sobre este artículo y ios res el mismo caso. tantes que tratan de la sal, entre los Sres. Martínez ('Don Conformándose las Cortes con el dictamen de ¡a comi Xavxr), Revira , Ochoa y La.Riva , oponiéndose .i ellos, y sión segunda de Legislación, concedieron carta de ciudada particularmente á la restricción de que se obligase á los fa no A D. Pedro Loridon , natural de los Países-Bajos ,…</t>
  </si>
  <si>
    <t>Cortes, Fernando Agrícola Oyeron las</t>
  </si>
  <si>
    <t>Fernando Agrícola Oyeron las Cortes</t>
  </si>
  <si>
    <t>…. te sobre que á la de este nombre se la declarase provincia, Pre&lt;entó la comL-ion de Agricultura su dictamen sobre independiente de Valencia. la solicitud que la habían parado de D. Fernando Agrícola Oyeron las Cortes con agrado'varias felicitaciones, para poder construir y vender un alambique de su inven mandando hacer mención de ellas en el diario y acta. ción, del que la comisión no había podido formar una idea, Se leyeron por primera vez las proposiciones siguientes: e…</t>
  </si>
  <si>
    <t>Cortés, Fran del Moral y</t>
  </si>
  <si>
    <t>Fran del Moral y Cortés</t>
  </si>
  <si>
    <t>…robación de las Se aprobó el dictamen dado por la comisión de Comer dos últimas partes del proyecto de ley; y de los Sres. Díaz cio en vista de la solicitud del conde del Asalto y D. Fran del Moral y Cortés, contrario á la última parte del ar cisco Bucheli, para que se continuase el privilegio concedi ticulo 3.0, en la que se dice «sin excluir la de suspensión do al difunto marques de Echandía de exportar frutos del de las reuniones.” país en buque extrangero co…</t>
  </si>
  <si>
    <t>Cortés, Francisco</t>
  </si>
  <si>
    <t>Francisco Cortés</t>
  </si>
  <si>
    <t>…cañoneras, y'varias galeras y cañoneras viejas; pero sin Goninma, D. Juan Rull, D. Jaime Bosch, D. Serapio San— gefes ni marinería. Tiene ademas unas 30 embarcaciones mer gertnan, D. Francisco Cortés, D. Juan Pons, D. Manuel cantes , y muchos barcos pequeños de cabotage. Forner, D. Francisco Coima , D. Ignacio Torres GolobarMarruecos se halla actualmente sin marina. des, D. Josef Aranijo, D. Josef Antonio Carerach y Don Los periódicos alemanes dicen que A…</t>
  </si>
  <si>
    <t>Cortés, Joaquin</t>
  </si>
  <si>
    <t>Joaquin Cortés</t>
  </si>
  <si>
    <t>…ez, y demas guardias que de la misma en 16 de Octubre-de r816 contra el teniente salieron de esta corte á reunirse con el egército de la Isla, coronel del regimiento de Chinchilla D. Joaquin Cortés, en que opinaba , para que su suerte se fije de una vez, que acusado de cobardía en varias acciones de guerra, y de haber se dijera por el correspondiente ministerio, queS. M. podria introducido la indisciplina é insubordinación , criticando las servirse dest…</t>
  </si>
  <si>
    <t>Cortés, Juan Martin</t>
  </si>
  <si>
    <t>Juan Martin Cortés</t>
  </si>
  <si>
    <t>…e en la librería de Francés ,\callc de las Carretas, y en la dé Castillo, frente á las gradas de S. Felipe. A los españoles: verdades sin ton ni sofi; pfro llaman la atención. Ppr D. Juan Martin Cortés, soldado nacional. Se vendé á.3 rs. en las librerías de Paz y Dávila, calle Mayor. Dos estampas que representan parte de la historia del coronel D. Nicolás dé Santiago y Rotalde. Se hallarán, al precio de real y medio cada una en negro y tres ilu minadas, en…</t>
  </si>
  <si>
    <t>Cortes, Las</t>
  </si>
  <si>
    <t>Las Cortes</t>
  </si>
  <si>
    <t>…r. Couto rias , remitido por el Sr. secretario de la Gobernación de la por 85 votos de tío : todos en primer escrutinio. Península. Para la elección del séptimo diputado obtuvo el señor Las Cortes oyeron con particular agrado el oficio del Moscoso 7 7 votos de 109, como peninsular; y el Sr. Pino, Sr. secretario de la Gobernación de la Península, en que como ultramarino, 81 de 112; y habiéndose procedido al ponía en noticia de las Cortes que SS. MM. y A…</t>
  </si>
  <si>
    <t>Cortes, Luis Sánchez</t>
  </si>
  <si>
    <t>Luis Sánchez Cortes</t>
  </si>
  <si>
    <t>…terado S. M. , se ha servido ñía de infantería y un tercio de otra de caballería. Fue acceder á lo propuesto por la Diputación permanente de elegido por su comaadante el ciudadano D. Luis Sánchez Cortes.” Nieto , muy amante de las nuevas instituciones , y perse De Real orden lo comunico á V. para su conocimiento guido por ellas en el año de 1814. El domingo 12 de No y el de la Diputación provincial, y demas efectos consi viembre próximo pasó la milicia á la…</t>
  </si>
  <si>
    <t>Cortés, Miguel</t>
  </si>
  <si>
    <t>Miguel Cortés</t>
  </si>
  <si>
    <t>…s españoles ultramarinos, mientras en ellos D. Juan Marta Moscoso, que lo es p&gt;or la de Galicia, y no se halle establecido el uso del papel sellado para este ar para secretario el Sr. D. Miguel Cortés, diputado por la ticuló,’deberá ponerle la aceptación ó visto bueno en el provincia de Aragón, quien pone á continuación su firma del sello que en la Península correspondería á la cantidad de para que sea reconocida.” la letra. Lo que de Real orden traslado á…</t>
  </si>
  <si>
    <t>Cortes, Recibieron las</t>
  </si>
  <si>
    <t>Recibieron las Cortes</t>
  </si>
  <si>
    <t>…e ayer sobre sorteo de empleos de la A la comisión de Instrucción pública se mando pasar un milicia rural de la isla de Cuba. plan que presentó el Sr. Vargas, formado de orden del Sr. Recibieron las Cortes con agrado, y mandaron pasar á £&gt;. Carlos m por una junta de que habia sido individuo di su biblioteca , seis egemplares de los documentos dirigidos á cho Sr.diputado, sobre la educación literaria, tísica y moral. la comisión de causas de Estado en el año de…</t>
  </si>
  <si>
    <t>CORTES, Rugiero Settimo</t>
  </si>
  <si>
    <t>Rugiero Settimo CORTES</t>
  </si>
  <si>
    <t>…in la menor novedad en su imporla Guerra; al caballero D. Luis Macedonio ministro inte tante salud.rino de Hacienda; al conde D. Josef Zurlo ministro de Negocios extrangeros, y al caballero D. Rugiero Settimo CORTES. ministro de Marina. ' En el mismo dia 9 se publicó otro decreto, creando una Sesión del 3 de Agosto. Junta provisional de r &lt; personas, y nombrando para ella Se leyó el acta de la sesión anterior; á la que se man al teniente general D. Josef Parisi; al cabal…</t>
  </si>
  <si>
    <t>Cortes, Sierra las</t>
  </si>
  <si>
    <t>Sierra las Cortes</t>
  </si>
  <si>
    <t>…esta honrosa partidos por este concepto, sobre la que se les asignase por declaración, y que ademas se dé conocimiento del asunto á la contribución de los 150 millones, deshizo el Sr. Sierra las Cortes por proceder del año 1810 el alcance de 202,177 Pambley esta equivocación, manifestando que erea última reales y 22 mrs. ya citado, á fin de que acuerden lo que tu no se repartía en los pueblos en que se debían exigir, como vieren por conveniente acerca de su…</t>
  </si>
  <si>
    <t>Coruña</t>
  </si>
  <si>
    <t>…hoacan á D. Josef Martin García Carrasquedo, medio Barcelona............................ .......................... Par ápeso», racionero de la mi:ma: para otra de la de Djrango á Don Coruña.......................................................... 2.} Agustín Fernandez de S. Vicente; v para una media ración Santiago......................................................... 2 b de la de Santiago .de Cuba A D. Francisco de Paula-Por— Bilbao........…</t>
  </si>
  <si>
    <t>Corvero, Manuel</t>
  </si>
  <si>
    <t>Manuel Corvero</t>
  </si>
  <si>
    <t>…uis da una de las que se secularicen disfrutará asimismo too de Silva , D. Juan Josef de Costa, D.,Simón Cohén, Don ducados de pensión anuales.” Juan Grima, D. Sebastian Martínez, D. Manuel Corvero, Aprobado este artículo se suspendió la discusión sobre I). Carlos Whiring, Macnal Myddleton y compañía , D. F. este proyecto , y se leyó una indicación del Sr. San Miguel Peverelly y compañía, y D. F. Sivori, todos vecinos y del para que pasando A una comisi…</t>
  </si>
  <si>
    <t>Cos</t>
  </si>
  <si>
    <t>…rta distancia se tusiasmo por la independencia de aquella isla, y que tenia conciben de las cosas son el producto de los colores con 3S hombres bien provistos , se ha entregado al coronel Cos ue (as pintan los sírganos de la opinión pública, pvestanta, según aparece de un parte que este ha dirigido al prín o fe uno de los amigos de nuestra causa á las voces de los cipe de Scaletta ; y Plaza, Vezzíni, Terranova, Leonfor- ministeriales ó de la polic…</t>
  </si>
  <si>
    <t>Cos, Francisco</t>
  </si>
  <si>
    <t>Francisco Cos</t>
  </si>
  <si>
    <t>…a, relativo á que habiendo las Cortes virtud del examen de las representaciunes de los facultativos señalado sobre los fondos públicos el premio de una casa D. Agustin de Arias v: D. Francisco Cos, vecinos de Bar en-Málaga y tincas que produjesen 82» rs. de renta anual celona, y del colegio de cirugía-médica de S. Carlos de esta en favor de D. Pablo López, conocido por el Cojo de corte. La comisión , en vista de estas representaciones, de Al ilaca ; y…</t>
  </si>
  <si>
    <t>Cosío</t>
  </si>
  <si>
    <t>…as de la Penín Para la de Ultramar los Sres. Ligarte (D. Agustín), Pino, sula. Yandiola , O-Dalí, Moreno Guerra, Zayas, Ramos Arispe, A la de Premios se pasó una representación de Doña Cosío y-Fagoaga. Teresa Aguilar, viuda de D. N. Estrada, vecino de Gra Para la de Infracciones los Sres. González Allende. Fuignada , manifestando las persecuciones que sufrió su marido blanch, Vecino, Quintana, Canabal, Bahamonde , Lo re ci por adicto al sistema c…</t>
  </si>
  <si>
    <t>Cosío, Diego</t>
  </si>
  <si>
    <t>Diego Cosío</t>
  </si>
  <si>
    <t>…adete del mismo cuerpo, por haberle preso sin la alcalde, juez de primera instancia, y electores de la misma; previa calificación de los dos números 1.' y 2.- publicados y otra de D. Diego Cosío, sargento mayor agregado al re con el fin de rectificar la opinión, que empezaba a estraviargimiento de Burgos, contra el capitán general de Castilla la se, sobre los sucesos acaecidos en el cuartel la noche del 8 Vieja, que le habia hecho salir de Valladolid…</t>
  </si>
  <si>
    <t>Cosme</t>
  </si>
  <si>
    <t>…ráfica ó grabado en pie para la resolución de las Cortes los expedientes acerca de dra. A su regreso presentó sus ensayos en clicha arte á va la prisión del general Elío , y de su secretario D. Cosme rias academias , y obtuvo contestaciones satisfactoriaspor sus Teresa. adelantamientos , en particular de la academia de S. Fernan Se mandó pasar con urgencia á la comisión de Infrac do ; la cual, deseosa de poder extender este ramo de indus ciones de Constit…</t>
  </si>
  <si>
    <t>…acienda.__ Vacante. Resolución de los mismos problemas , por los capitanes Se halla vacante la administración tesorería de Cruzada del batallón ligero i.° de Voluntarios de Aragón D. Cosme de ia diócesis de Calahorra, cuyo premio de maravedí en Martínez Ubago y D. Simón Araguas, en unión con los ofi sumario está regulado en 17,600 rs. anuales; y su fianza ciales del mismo cuerpo. es de 2Óo0 reales. Disertación sobre los mismos problemas, por el…</t>
  </si>
  <si>
    <t>Costa</t>
  </si>
  <si>
    <t>…einar en España la descenden ta , Yandiola , Sierra Pambley, Oohoa , Moscoso, Magariño, cia de Bonaparte. . Clemencin y Cepero. Esto dió motivo al Sr. Vitorica para Se concedió al Sr. Costa el permiso que pidió por me hacer la proposición de que se nombrase una comisión que dio de una. exposición, pata pasar á Miradores de la Sierra con la mayor brevedad extendiese un ceremonial del modo á restablecer su salud, • de conducirse las diputaciones q…</t>
  </si>
  <si>
    <t>Costa, Antonio Perez</t>
  </si>
  <si>
    <t>Antonio Perez Costa</t>
  </si>
  <si>
    <t>…orto tiempo introducirse fácilmente ¡a parcialidad do en un asunto de D. Salvador Chicharro, necesitaba que entre sugetos qne han merecido la confianza pública , pues informase el Sr. D. Antonio Perez Costa, diputado, por lo ya se sabe que la elección pende del arbitrio de los pueblos: que pedia á las Cortes te le concediese licencia para ello ; y insisto pues en que en la época presente no puede hacerse el asi se hizo. nombramiento ae jueces de hecho mas á sati…</t>
  </si>
  <si>
    <t>Costa, Juan Josef de</t>
  </si>
  <si>
    <t>Juan Josef de Costa</t>
  </si>
  <si>
    <t>…ambién A los conventos y comunidades de religiosas, y ca yor D. Ventura Fort, se cita y emplaza á D. Josef Luis da una de las que se secularicen disfrutará asimismo too de Silva , D. Juan Josef de Costa, D.,Simón Cohén, Don ducados de pensión anuales.” Juan Grima, D. Sebastian Martínez, D. Manuel Corvero, Aprobado este artículo se suspendió la discusión sobre I). Carlos Whiring, Macnal Myddleton y compañía , D. F. este proyecto , y se leyó una indicación del…</t>
  </si>
  <si>
    <t>Costa, Perez</t>
  </si>
  <si>
    <t>Perez Costa</t>
  </si>
  <si>
    <t>…GLATERRA. daron agregar los votos particulares de los Sres. Banquevi y Ramírez Cid , contrarios á la resolución tomada en la pri lóndres ti de Agosto. mera indicación hecha por el Sr. Perez Costa, sobre si exis Los habitantes de Norclvhiclds han dirigido una expo te ó no en propiedad el Consejo de Estado. sición .i la Reina, y S. M. ha respondido lo siguiente: A la comisión primera de Legi-lacion se mandaron pasar «Una venganza implacable, bajo la for…</t>
  </si>
  <si>
    <t>…bia verificarse por escrito; con cuyo motivo el señor Se mandó pasar á la comisión ordinaria de Hacienda Gutiérrez de Acuña pasó á escribir una indicación, egecuuna indicación del Sr. Perez Costa, dirigida á que los tando lo mismo el Sr. Romero Alpuente. consejeros de Estado gocen de su sueldo entero sin sujeción Entretanto se dió cuenta de un oficio del secretario de á la ley del máximum. . _ r Hacienda sobre las medidas convenientes para consolidar…</t>
  </si>
  <si>
    <t>…a general: otra del de ponerla en egecucion, porque los que son enemigos del Sr. Ezpeleta para que se quitaran en el articulo las palabras de bienes raices y estables : cuatro del Sr. Perez Costa ; ysistema lo serán eternamente. Kt Sr. Virorica fue de parecer que en el estado en que cinco del Sr. Banqueri para que se señalara el máximum y se hallaba la discusión se debía tratar tan solo de cuál era mínimum de las que pudiesen subsistir. el camino que…</t>
  </si>
  <si>
    <t>…da «venta ó cualquiera otra de esta clase.” suceder." Admitida á discusión, no hubo lugar á votar aserca de Art. 6.° Nadie podrá en lo sucesivo, aunque sea por una indicación dei Sr. Perez Costa para que se declarase si via de mejora, ni por otro título ni pretexto ,, fundar mayo Ja mitad de los bienes que se reserva para el sucesor de las razgo, fideicomiso, patronato, capellanía, obra pía ni vin vinculaciones queda responsable á las deudas del pose…</t>
  </si>
  <si>
    <t>…ayudante mayor de elección de representantes como en todo lo demas proce cirugía de ejército. deréis como corresponde. Y siendo cierro que los pueblos Se aprobó una indicación del Sr. Perez Costa, relariva han hecho grandes gastos, y sufrido Infinitas vejaciones con á que se pub inue en un decreto especial ¡o acordado ayer moiivo de la guerra última, como también que es la volun acerca de ¡a que hizo el Sr. Bahamonde con respecto al tad del mismo Seño…</t>
  </si>
  <si>
    <t>…do , y ha Altísimo. Las fiestas que se hacen con este motivo durarán cer que dos de los eclesiásticos fuesen americanos; y las todavía algunos dias. del 2 5 de Agosto hecha por el Sr. Perez Costa para decla rar que los actuales consejeros son interinos. La comisión , en INGLATERRA. vista de todas las proposiciones, y en atención a! estado de la Nación, especialmente de varias provincias disidentes de Londres jo de Setiembre. Ultramar , proponía que po…</t>
  </si>
  <si>
    <t>…blaciones grandes.- Después de- alguna discusión se mandó Se acordó tener por proposiciones leídas por primera pasará la comisión con otra del Sr- López (D. Marcial), vez tres del Sr. Perez Costa, dirigidas la una a facultar al reducida á que la comisión especial nombrada para extin Rey para pudiese emplear en comisión á la tercera par ción de malhechores presentara á la mayor brevedad su dic te de consejeros de Estado en los destinos, que designaba,…</t>
  </si>
  <si>
    <t>Costilla, Josef Cafranga y</t>
  </si>
  <si>
    <t>Josef Cafranga y Costilla</t>
  </si>
  <si>
    <t>…lhombre de Cámara de S. Mí con egérckió &amp;c.# y los Sres. D. Miguel de Gordon., caballero de la orden de, Santiago , dej Con-, sejo de S. M. y secretario de la Cámara de Castilla , D. Josef Cafranga y Costilla, caballero pensionado de la Real y distinguida orden de Carlos Jir,. del Consejo «de S. M., gentilhombre de Cámara con entrada, y oficial mayor de la secretaría de Estado y del Despacho de Gracia y Justicia, y D. Joaquirtf María de Ferrer , caballero de la Re…</t>
  </si>
  <si>
    <t>Couro</t>
  </si>
  <si>
    <t>…se man al teniente general D. Josef Parisi; al caballero D/ Melchor daron agregar los votos particulares de los Síes. Castrülo, Deifico; al teniente general D. Florestano Pepe; al barón Couro, Espiga, Villanueva, Navas, García Page, DolaD. David Winspeare, y al caballero D. Jacinto Mart"cci, á rea, Lecumberri, Martínez Cid, Ca aseca, Gareli y Liáan, fin de que reunidos en comisión presentasen una lista de otras contrarios á ia resolución tomada so…</t>
  </si>
  <si>
    <t>Coute</t>
  </si>
  <si>
    <t>212</t>
  </si>
  <si>
    <t>…los Sres. Coute Her manos de Lisboa, dadas en Bayona de Francia á la orden de Josef Liagre. Estas le tras son falsas, pues no existe en circulación ninguna letra sacada por dicho señor Coute con fecha, de Bayona; y'ademas que la verdadera firma particular de dicho se ñor es Tomas Coute, y no Tomas Coute Freres. Ignorándose el paradero de D. Josef de la Serna y Ha9tfa, vecino de esta corte, se le cita, llama y emplaza por el presente, para que en…</t>
  </si>
  <si>
    <t>Couto</t>
  </si>
  <si>
    <t>…para la de Política sobre perdón dé ciertas cantidades á los alcaldes de Ceren iugar del mismo al Sr. Martínez de la Rosa; para la de cedilfa. Ultramar al Sr. Fagoaga en lugar del Sr. Couto; para la Quedaron las Cortes ¡enteradas de los egemplares remi Eclesiástica al Sr. Ramos Arispe en lugar del mismo ; para tidos por el ministerio de la Gobernación de la Real orden la de Bellas artes á los Sres. Priego y Cepero; para la de ara que los prelado…</t>
  </si>
  <si>
    <t>…e debia conf.-rinar con lo indicación sobre estadística, siendo asi que fue aprobada y acordado por el anterior alcalde de Corte D. Manuel Fer pasada A la comisión de Hacienda. El Sr. Couto dijo que nandez de Gambqf,., y por el vicario eclesiástico de Ma se enmendaría el acta, con lo que quedó aprobada. drid, que declararon .absuelto al referido canónigo, y libre Las Cortes quedaron enteradas, y mandaron repartir de todo cargo ; v en consecuenci…</t>
  </si>
  <si>
    <t>…, maní-, Despacho de la Guerra. festando las dudas que tiene acerca de si puede ó no ser juez de primera instancia D. Josef Ponce de León, por tener CORTES. causa pendiente. - *El Sr. Couto hizo presente que en la secretaría existian Sesión ordinaria del t&lt;S de Octubre. varios expedientes, que habiendo pasado á la comisión de' Leída y aprobada el acta de la sesión de ayer, se mandó Recompensas de los que sufrieron por la patria, habían si pacar…</t>
  </si>
  <si>
    <t>…etarios;” y se declaró para cubrir estos gastos. que no seria nominal la votación , como se habia pedido. De Real orden lo comunico á V. para su inteligencia Habiendo reclamado el Sr. Couto que votara el Sr. pre y cumplimiento Madrid T2 de Octubre de 1820. sidente , el. cual no lo verificaba por delicadeza , manifestó este que no lo egecutaba por las razones que habia hecho SECRETARIA DEL CONSEJO DE ESTADO. presentes á la comisión, y habia tenid…</t>
  </si>
  <si>
    <t>…comisión de Diputaciones provinciales se pasó el cho por 62 votos de 112. expediente de división de partidos de la provincia de Cana La sexta de diputado ultramarino recayó en el Sr. Couto rias , remitido por el Sr. secretario de la Gobernación de la por 85 votos de tío : todos en primer escrutinio. Península. Para la elección del séptimo diputado obtuvo el señor Las Cortes oyeron con particular agrado el oficio del Moscoso 7 7 votos de 109, co…</t>
  </si>
  <si>
    <t>Couto, Josef María</t>
  </si>
  <si>
    <t>Josef María Couto</t>
  </si>
  <si>
    <t>…Joá aquellos á quienes verdaderamente pertenecen. sef María Calatrava , qne lo es por la de Ext rema Jura ; y El Sr. Gateo dijo con este motivo que cuando se ve para secretario el Sr. D. Josef María Couto , diputado su-</t>
  </si>
  <si>
    <t>…rú;Don cho algunas tentativas, rodas ellas se han mirado con indife Vicente Sancho, diputado por la provincia de Valencia; rencia por la poca ventaja que prometían sus resultados. D. Josef María Couto, suplente por el vireínato de Méxi- Los ingleses han aplicado á la prensa la acción de su máqui co , y D. Josef María Moscoso, diputado por ía provincia na de vapor, y por este medio se imprimen de algunos años de Galicia ; y en clase de suplentes a D. Fernan…</t>
  </si>
  <si>
    <t>Cpr.tés</t>
  </si>
  <si>
    <t>…la Nación, por consecuencia sujetar á la aprobación del Congreso lo y se mantuviese la paz y buena inteligencia con todas las que diabia de estamparse en el libro.. potencias. El Sr. Cpr.tés nizp la observación de que la indicación Siguió el de la Gobernación , dando cuqnta muy por me apoyada por el Sr. Moscoso cuando se leyó el proyecto de nor en otra memoria del estado de los diversos ramos del contestación al Rey, no habia sido dirigida á nega…</t>
  </si>
  <si>
    <t>Cprbeliini, Santiago Greppi y Santiago</t>
  </si>
  <si>
    <t>Santiago Greppi y Santiago Cprbeliini</t>
  </si>
  <si>
    <t>…en sea por e^ testamento ,d por pt;ro* título, q,uei debatí;.piíqharló en debida forma ante el mismo, tribunal: provincial de Como;,; con qha£iqn-de Jos señores testamenta &lt;* ríos conde Santiago Greppi y Santiago Cprbeliini;, pmbos de Milán, antes del 9 de Julio5 del presente año ; con apercibijqaiento de que;no.habiéndolo ve rificado para dicho día perderán su derecho , np obstante cualquier noticia ó aviso particular que anteriormente hayan comunicado á los referidos señores t…</t>
  </si>
  <si>
    <t>Crees</t>
  </si>
  <si>
    <t>…Gobierno una prolija exposición de cuanto se juzga para la de Sabinas al cardenal Arezo : para la de Tarrago conducente para mejorar tan útil establecimiento , y no se na al limo. Sr. Crees, obispo de Menorca: para la de B01- duda que atenderá esta justa solicitud. En el ínterin el direc go-San-Sepolcro á D. Manuel Tacruasi, canónigo de Flo tor, el administrador, el zelosísimo médico y demas em rencia: para la de Bayona al limo. Sr. Astros, obis…</t>
  </si>
  <si>
    <t>Cres</t>
  </si>
  <si>
    <t>…éla maderas que empleó el easreito de la Isla, cuya instancia Rosa y Priego. remitía el ministerio de Hacienda para que se acordase una Se leyó por primera vez una proposición del Sr. Cres medida genera!. po, semejante á la que hizo ayer el Sr. Zubia, sobre ios ar A la segunda de Legislación una exposición remitida rendamientos de casas. por el ministerio de Gracia y Justicia de un comerciante La‘ Corres quedaron enteradas de un oficio del Sr.…</t>
  </si>
  <si>
    <t>Crespo, Antonia</t>
  </si>
  <si>
    <t>Antonia Crespo</t>
  </si>
  <si>
    <t>…primera vez el proyecto que presentaba sobre esté asunto. Se accedió á la instancia remitida por el ministerio de Se procedió á la discusión del proyecto de ley sobre Hacienda de Doña Antonia Crespo, viuda de Antonio Ali- vinculaciones, dando principio con la lectura de la siguien ces, una de las víctimas del 2 de Mayo, en que solicitaba te adición del Sr. Bahamonde al art. 2.0: «Pero si no lo que la pensión que disfrutaba por esta razón sobre los fon fu…</t>
  </si>
  <si>
    <t>Crespo, Josef Alvarez</t>
  </si>
  <si>
    <t>Josef Alvarez Crespo</t>
  </si>
  <si>
    <t>…Continuaron la discusión el ir. Gollin apoyando .a in de esta provincia sobre cierta dispensa para recibirse de abo dicación, y el Sr. Martínez de la Rosa, individuo de ¡a co gado D. Josef Alvarez Crespo. mí ion, ampliando las reflexiones del Sr. Fraile. Por ulti A las de Comercio é Industria una exposición de ¡os mo, puesta á votación, no se aprobó por j j votos con maestros carpinteros y ebanistas de Cádiz sobre q ;e se tra -fe. prohiba la introducción de m…</t>
  </si>
  <si>
    <t>Crespo, Rafael Josef</t>
  </si>
  <si>
    <t>Rafael Josef Crespo</t>
  </si>
  <si>
    <t>…en irseextinguiendoconforme vayan va tados particulares. Véndese en la librería de Paz cando, á cuyo fin no se proveerán nuevamente en tiempo de Fábulas morales y literarias , por D. Rafael Josef Crespo, cate •paz como hasta aquí ; quedando la citada Real orden de 25 drático de leves en la universidad literaria de Zaragoza: un to .1 lade Abril de 1812 en toda su fuerza y vigor, para ponerla en mo en 8P, adornado con tres viñetas finas. Véndete á ¡ : rs. egec…</t>
  </si>
  <si>
    <t>Creyó, Moreno Guerra</t>
  </si>
  <si>
    <t>Moreno Guerra Creyó</t>
  </si>
  <si>
    <t>…on algu que la Nación se hallaba en el caso de pedir á todos algún nos hombres que lian envejecido en su servicio. sacrificio, estando tan falta de riqueza, y le parecía una co E! Sr. Moreno Guerra Creyó que se podían examinar sa muy ¡una. las cosas y los hechos sin calificar las personas; pero se • Se opu'o el Sr. Lobato, diciendo que los Sres. de la co oponía á que se diera sueldo alguno á [os cesantes de los misión debieran haber tenido presente lo que dis…</t>
  </si>
  <si>
    <t>Cris-</t>
  </si>
  <si>
    <t>…sueldo, como Murcia 8 de Octubre. se ha hecho con los subalternos del egércíto. El ayuntamiento constitucional de la villa de Bouéte_ A la de Agricultura se pasó una exposición de D. Cris- ' participa á este Gefe político el buen espíritu de que se hallan toba! Vicente de Mugica para que se le concedan 40Ó fa animados los vecinos de la expresada villa,.dando las ma negas de tierra en las islas Canarias, en atención á los per-: yores pruebas de…</t>
  </si>
  <si>
    <t>Crisíóbnl'VHhiseñor, FX.J'cfsef</t>
  </si>
  <si>
    <t>FX.J'cfsef Crisíóbnl'VHhiseñor</t>
  </si>
  <si>
    <t>' ‘: 'F arte' del coronel y comandante FX.J'cfsef Crisíóbnl'VHhiseñor. ^ ,, A las ocho de la noche del i.° recibí*un oficio del comandante del des; tacamento de la Noria teniente D. Tiburcio Gañas, en que me ¡decía-que el : rebérde Borja‘don la gavilla de Jalpa se hallaba en el puerUKde Üosa en espera . del cabecilla-Ortiz , al…</t>
  </si>
  <si>
    <t>Cristina</t>
  </si>
  <si>
    <t>…ugusta Familia le liará oir con placer que está próximo á concluirse el matrimonio entre el Infante ARTICULO DE OFICIO. — D. Miguel, hijo segundo de S. M. Fidelísima, y la Infanta Doña Cristina, hija de nuestro Príncipe teniente-general El Rey ha expedido el decreto siguiente: del reino. Correspondiendo al Parlamento por los artículos Don Fernando vn por la gracia de Dios y por !a 208 y aró de la Constitución el aprobar este contrato, y Constitución…</t>
  </si>
  <si>
    <t>Crivel.l, Frarnciico</t>
  </si>
  <si>
    <t>Frarnciico Crivel.l</t>
  </si>
  <si>
    <t>…idéih.......... En ídem. ,. .-ni 6968.,, &gt; 1000 ídem*... * En Rada|Oz« 28119■ 1000, ídem,......... ¡f,ñ Aiádnci. : / Los Metamorfóseos ó trasformaciones de Ovidio, traducidos por D. Frarnciico Crivel.l, y adornados con 140 estampas y 1 i viñetas. Esta óhta/.que-se publícó;por suscripción , y se suspendió pqjj Jos /trastornos ocurridos ,se ha concluido ahqra/jfto- curando el mayor esmero / tafltoiém la Hermosura 4e stís láminas como én sk -Ümji&amp;cV A ' . J ■…</t>
  </si>
  <si>
    <t>Crivell, Francisco</t>
  </si>
  <si>
    <t>Francisco Crivell</t>
  </si>
  <si>
    <t>…Carlota Robustiana Martínez, hija de D. Rafael, teniente del sexto batallón de Marina, muerto en el campo del honor. Los Metamorfóseos ó trasformaCiones de Ovidio, traducidos por D. Francisco Crivell, y adornados con 140 estampas y 11 Viñetas. Esta obra, que se publicó por suscripción , y se suspendió por los trastornos ocurridos, se ha concluido ahora, pro curando el mayor esmero, tanto ©ñ la hermosura de sus láminas como en su impre sión. Bien sabido es…</t>
  </si>
  <si>
    <t>Cronzalez, María Teresa</t>
  </si>
  <si>
    <t>María Teresa Cronzalez</t>
  </si>
  <si>
    <t>…lla y Fernandez , por parte de Doña Isabel Verdejo y otros hermanos y sobri-nos de Doña Micaela Verdejo, de estado soltera, natural de esta corte, hija legítima de D. Nicolás y de Doña María Teresa Cronzalez, que falleció en esta corte en 30 de Abril de 1819 , solicitando se les decláre heredero^ abinttstato de lá misma , se Ka mandado emplazar á los otros sus parientes que se crean con derecho á ser tale* herederos abíntestato para que en ef término de 20 días ,…</t>
  </si>
  <si>
    <t>Crozat, Josef</t>
  </si>
  <si>
    <t>Josef Crozat</t>
  </si>
  <si>
    <t>…. de menor cuantía no contestados............... 6&gt; mandado citar, llamar y emplazar, como por el presente se Id. de matrimonios no conformes é injurias I1 cita, llama y emplaza á D. Josef Crozat, D. Segismundo Mo 23J rro, IX Juan Bautista Codevilla, D. Miguel Alvarez y Don Carlos Dcflbntanes , tenedores que han sido de un vale real de Total. 266 300 pesos, creación de Setiembre de 1809, número 30,024, que salió renovado en cabeza de Fr. Patricio de l…</t>
  </si>
  <si>
    <t>Crúmondo, Mo</t>
  </si>
  <si>
    <t>Mo Crúmondo</t>
  </si>
  <si>
    <t>…de de Santa Cruz dónela, y ecribir-e los nombres con Ierras de oro - -ra de Múdela ; otra de Martin Alonso de Robles contra el de eterna memoria de la grarítud nacional.” Otra de! Sr. Mo Crúmondo, y otra de Jacinto Montones contra el de To reno Guerra: »Oue la coinhion de Premios proponga los ba rrn. medios de reintegrará los perseguidos por of.cto= la Cons Se leyó por segunda vez el proyecto de ley sobre liber titución, particularmente respecto á las…</t>
  </si>
  <si>
    <t>Cruz, Ruiz la Gran</t>
  </si>
  <si>
    <t>Ruiz la Gran Cruz</t>
  </si>
  <si>
    <t>…ese cional del teniente general D. Juan O-Donojú , y en parti necesarias. cular los contraidos últimamente, se ha servido concederle No fue admitida á discusión una indicación del Sr. Ruiz la Gran Cruz de ia Real y distinguida orden española de d(d Prado, para que sin embargo de lo prevenido en el art. 10 Carlos m. se les permita á los escolapios dar hábitos, en razón de su conocida utilidad; ni tampoco otra del Sr. Rey , para que S. M. ha nombrado capitán…</t>
  </si>
  <si>
    <t>Cruzada</t>
  </si>
  <si>
    <t>…España y Ultramar. me de la de Farmacia, se sirvió S. M. conceder en 2c de q.° Quinta parte de la limosna de la sonta bula de la Abril de 1817 privilegio cxeEsivo, según la ley, A Don Cruzada. Antonio Fernandez , pensionado de mérito per í. M., para ic. La mitad de las vacantes de las mitras de España y elaborar y vender el jarabe pectoral corroborante que ha in Ultramar. ventado para c. rar las toses pertinaces , corroborar el pul 11. Una anualid…</t>
  </si>
  <si>
    <t>Ctemencin</t>
  </si>
  <si>
    <t>…puesto su firma entera; y añadía que había' tomado ■el fin de evitar que pudiesen ser recusados; á lo que con todas las medidas para que no se repitiera én 'lo sucesivo'. testó el Sr. Ctemencin que no se iba á nombrar un tribu Las Corres quedaron enteradas y satisfechas dé haber sido nal para juzgar á los 69 diputados de las Corres de 1814, una equivocación. ^ sino para las causas que ocurrieseh en lo sucesivo. Se leyó por segunda vez la proposición…</t>
  </si>
  <si>
    <t>Ctiar, Antonio</t>
  </si>
  <si>
    <t>Antonio Ctiar</t>
  </si>
  <si>
    <t>322</t>
  </si>
  <si>
    <t>…con quienes este celebre contratas para aquellos ramo5.’* ue viniera el suplente de la provincia de Cuenca en lugar Se leyó el dictamen de la comhion de Premios Jado en d difunto D. Antonio Ctiar ero. ví«ta de la representación de D. Pablo López , conocido co Se leyeron cuatro minutas de decretos que deben pasar munmente con el nombre del Coja de Malaga, en el que</t>
  </si>
  <si>
    <t>Cuar</t>
  </si>
  <si>
    <t>…ertad de la consuelo de que se le reuniese su esposa, cuyo elogio hizo imprenta'. Pretender una ampliación de esto, solo.puede ser el Sr. García Page; quien presentó la muerte del Sr. Cuar en. el caso de estar vacilante la Constitución , ó no bien tero como una consecuencia precisa de sus trabajos y perse marcada la libertad, que es acaso lo que ha legitimado ta cución , de su viage de vuelta á la Península, y de su zelo les instituciones en In…</t>
  </si>
  <si>
    <t>Cuar.cro, Antonio</t>
  </si>
  <si>
    <t>Antonio Cuar.cro</t>
  </si>
  <si>
    <t>…in preceder las formalidades sar á los que han padecido por la patria , concedieron á la establecidas por las leves, ni permitirán que asi en las cau viuda del diputado por Cuenca D. Antonio Cuar.cro ia pen sas de esta especie como cu ¡as demas se proceda por co sión vitalicia de 6© rs. anuales, y á su hija la de 4O. misión ninguna, sino solo por el tribunal competente, de Se aprobó igualmente el de la de Instrucción pública, terminado con anterioridad po…</t>
  </si>
  <si>
    <t>Cuartera, Antonio</t>
  </si>
  <si>
    <t>Antonio Cuartera</t>
  </si>
  <si>
    <t>…acultad para dejar á su marido una parte de la renta ídem 1de Julio. de su mayorazgo por vía de viudedad. Ayer no se ocuparon las dos Cámaras del Parlamento Se concedió permiso al Sr. D. Antonio Cuartera, dipu mas q -e en leer y discutir varias peticiones y proyectos de tado por Cuenca, para trasladarse áNavamorcuende á con ley, relativos á objetos de administración loca!. En la de los valecer de una.enfermedad que acaba de padecer. Comunes presentó el lord C…</t>
  </si>
  <si>
    <t>…ta noche; y levantó la sesión pública para entrar en Se aprobaron, como proponía la comisión de Poderes, secreta. los del Sr. diputado suplérite por Cuenca , llamado por muerte de D. Antonio Cuartera, diputado propietario por la misma provincia. ANUNCIOS. La comisión de Milicias racionales presentó su dictamen Compendio dé matemáticas puras y mixtas, por D. Josef acerca de la consulta hecha por el gefe de la milicia nacio Mariano Vallejo: dos toifios en 8…</t>
  </si>
  <si>
    <t>Cuartero</t>
  </si>
  <si>
    <t>…poyadas en la libertad sancionada por mia de Cádiz. Continuó recordando al Congreso las virtu la Constitución ; pero la libertad de vigilar y examinar la des cívicas y morales del Sr. Cuartero, y la persecución que conducta de todos y cualesquiera individuos del poder le en 1814 padeció por su decisión en favor del sistema cons gislativo, egecutivo ó judicial está dispuesta en la misma titucional, y de que se libró fugándose á Francia, con Constitu…</t>
  </si>
  <si>
    <t>Cuartero, Antonio</t>
  </si>
  <si>
    <t>Antonio Cuartero</t>
  </si>
  <si>
    <t>…ían , y en todas elias no he encontrado; vestigio ni memo Casas de Escalona le habia participado el fallecimiento de ria alguna de la existencia política de otras reuniones, que ó D. Antonio Cuartero ,. diputado á las Cortes actuales por Ja extraordinaria de las Cortes en los casos señalados por ln la provincia de Cuenca, sucedido én aquel pueblo. ley, ó la diputación permanente de estas. Lejos de esto En seguida se leyó la siguiente indicación del Sr. Ga…</t>
  </si>
  <si>
    <t>Cubells, Mariano</t>
  </si>
  <si>
    <t>Mariano Cubells</t>
  </si>
  <si>
    <t>…e: Vigodet, Ja entereza de la Diputación permanente de Cor «Habiendo examinado las Cortes el expediente de Don tes, y el denodado amor de los heroicos Madrileñas al Marcos Orive y D. Mariano Cubells, en solicitud de que sagrado Código regenerador de España, han hecho harto se les habilite un curso de filosofía moral como si fuera ga patente la inutilidad de los planes de ios enemigos de la tran nado en tiempo hábil, el cual nos remitió V. E. con fe quili…</t>
  </si>
  <si>
    <t>Cuberías, Juan</t>
  </si>
  <si>
    <t>Juan Cuberías</t>
  </si>
  <si>
    <t>…tiempo lo dirá. méritos de este en su hija. Se pasó á la comisión ordinaria de Hacienda un oficio FKAftCIA. del ministro de Gracia y'-Justicia, en que participaba que la viuda de D. Juan Cuberías, portero que fue de la secre París 18 de Setiembre. taría del Consejo de Estado, habla acudido á S. M. para Alaunos periódicas se admiran de ..las siniestras noticias que se la continuase pagando ia viudedad de zoo ducados. que han circulado, y del desasosieg…</t>
  </si>
  <si>
    <t>Cucalón</t>
  </si>
  <si>
    <t>…a, y se dirigieron,para el norte. El coronel Salinas marchó para Huaura á reunir caballerías que condu jesen alguna tropa del Infante, que había quedado;en Ghancay; y ;el teniente coronel Cucalón debía marchar también á las cuatro de la tarde con el obje to de informarse de la conducta, que parece ser tan depravada, de los habi tantes de ese pueblo. ■„ Al punto que entró en Huacho ¿el comandante geiieral, se le presentaron dos de los desertores enemig…</t>
  </si>
  <si>
    <t>Cuchar, Juan María</t>
  </si>
  <si>
    <t>Juan María Cuchar</t>
  </si>
  <si>
    <t>…monásticas, su sujeción á la autoridad ordinaria primera de Legislación, en vista del expediente de purifi eclesiástica ; el principio de los privilegios concedidos; el cación de D. Juan María Cuchar, gobernador de Montilla,' daño que habian causado á la autoridad episcopal; los pri en tiempo del intruso, reducido á que las Cortes rehabili vilegios de los jueces conservadores, y lo sucedido en Amé tasen al expresado Cuellar, conforme á lo que en su expe r…</t>
  </si>
  <si>
    <t>Cuellar, Ramón de Milla</t>
  </si>
  <si>
    <t>Ramón de Milla Cuellar</t>
  </si>
  <si>
    <t>…mo de la colección , á las librerías de Escantilla y ta muy heroica villa, por la escribanía del número que ser de Amposta, donde se seguirá admitiendo suscripciones hasta r.° via D. Ramón de Milla Cuellar, á los cuales estaba unida una de Diciembre próximo; época en que estando concluida la obra, escritura de 8o9 rs. de capital, impuestos sobre la renta queda por consiguiente cerrada la suscripción en Madrid; am del tabaco al siete por ciento por las vidas del…</t>
  </si>
  <si>
    <t>Cuervo, Tiburcib Perez</t>
  </si>
  <si>
    <t>Tiburcib Perez Cuervo</t>
  </si>
  <si>
    <t>…ta de S. Bernardo, señalada con el núm. 36 de la manz. 290, que tiene de sitio 3578§ pies cuadrados, tasada en 16 del presente por el arquitecto de la Real academia de S. Fernando D. Tiburcib Perez Cuervo en la cantidad de 228,0/3 rs. vn., con inclusión de la dotación de medio cuartillo de agua que disfruta, sin mas carga que la de farol y serenos; y pa ra su remate está señalado el dia 7 de Marzo próximo, á las 12 de su mañana, en la audiencia de S. S. Quien…</t>
  </si>
  <si>
    <t>Cuesta</t>
  </si>
  <si>
    <t>…tanto lo mas á propósito el expedir Gobernación de la Península lo que sigue: patentes de corso y mercancía. »&gt;S. M. ha tomado hoy el segundo baño, de que expe Habló en seguida el Sr. Cuesta, é hizo observar que el rimenta buen efecto, y continúa felizmente con buena sa ínteres de los comerciantes es el primero que se debe con lud, igualmente que su augusta Esposa.” sultar, y que nada sirve que nuestra marina ;e halle en este ó en el otro estado,…</t>
  </si>
  <si>
    <t>…nía á la deliberación de las Cortes diez jardo seria hacer excepción en un decreto reconocido, ccuhó artículos, en que refundiendo todos estos principios, se ley, añadiendo con el Sr. Cuesta que’son- religiosos sujetos mande que en lo sucesivo queden suprimidos todos los ma á su orden, y no. secularizados, aun estando dedicadas al yorazgos , vínculos, fideicomisos, patronatos, y cualquiera ministerio parroquial, se aprobó el dictamen de la comisi…</t>
  </si>
  <si>
    <t>…da tienen un derecho. Ademas, que si le tienen todos á que se do añadir á instancias del Sr. Ramos Arispe la adición del respete su libertad , del mismo modo deben todos concurrir Sr. Cuesta «cuando sean interpelados por ellas” en los tér á privar de la suya á cualquiera que comete un crimen. Di minos siguientes: jo también que era necesario ir acostumbrando .1 todos los Art. 2.0 «Todos sin distinción alguna están obligados, ciudadanos á mirar co…</t>
  </si>
  <si>
    <t>…emejante concesión por ahora la política de los Sres. diputados atendían solo .1 tas personas Je quie ni la justicia. res se trataba, y no A lo importante de la discusión. Hizo Ei Sr. Cuesta dijo, que jamas cierra clase de empleados ver que el ministerio, con el mayor inicio y sabiduría, ha puede abandonar los puestos en que el pueblo ios ha colo bía presentado su dictamen á la comisión, y que la mayo cado sin faltar A su obligación, sea cual lue…</t>
  </si>
  <si>
    <t>…o objeto era demostrar que asi las razones de políti mas de la generosidad de las Cortes. ca como las de conveniencia pública estaban, á favor de la Habiéndose juzgado ofendido el Sr. Cuesta con, algunas amnistía, como propone la mayoría de la comisión. No he de las objecionaes con qve le había impugnado e! Sr. Martí mudado de dictamen ; pero habiendo oido ayer sentar cier nez de la Rosa en la primera parte de su discurso , repro tos principios,…</t>
  </si>
  <si>
    <t>…udiendo señalar la comisión las que hu que soio excederían de ellas cuando quisiesen tratar de me biesen de quedar. terse á examinar si eran buenos ó malos sus institutos, cosa El Sr. Cuesta , individuo de la comisión , se extendió en que no pertenece sino á la autoridad eclesiástica. explicar las razones que habia tenido esta para proponer la En cuanto á ios monasterios opinó también qtie podrian supresión absoluta , cuya opinión habia sido V er…</t>
  </si>
  <si>
    <t>…entaría en algunas ocasiones Page expuso que se había tomado por término medio la para salvar todos los inconvenientes. congrua de 100 ducados en la diferencia que se observaba El Sr. Cuesta hizo ver que no se trataba de un punto por lo general, contestando á las observaciones de los seño variable, sino sujeto á leyes fijas como lo estaba la religión res Zapata y Lorenzana. Dice el arr. «La Nación dará 100 de Jesucristo; y que en el concilio de T…</t>
  </si>
  <si>
    <t>…dia esta, repartidos á los pueblos, se redujesen ¿125 millones, de la que justamente se habia adquirido el Congreso. refundiéndose en esta rebaja la tercera parte que por reso El Sr. Cuesta rebatió las reflexiones de su preopinante, lución de 13 de Agosto habían condonado las Cortes á los demostrando lo absurdo de la consecuencia que habia dedu pueblos que realizasen en todo Setiembre el tercio de fin de cido, esto es, que porque habia sufrido e…</t>
  </si>
  <si>
    <t>…los que se habían aprovechado del tér á los importantes servicios del exponente, y la pérdida que mino prefijado. había sufrido de todos sus bieues por su adhesión, al sistema. El Sr. Cuesta expreso su admiración de que se quisiera</t>
  </si>
  <si>
    <t>…r una contribución de productos fijos, y ceder al Rey, ya que no fuesen loí 3'c^concedidos por la bula de mismo tiempo á la ley de la necesidad, concluyó confor S. S., y en que el Sr. Cuesta, individuo de la comisión, y mándose con el dictamen de la comisión. el Sr. ministro de Hacienda manifestaron las causas que Dijo el Sr. Gaseo que la contribución general del año 17 habia para esta rebaja; se aprobó como se proponía. no excedía á las fuerzas…</t>
  </si>
  <si>
    <t>…ue beneficiaría á los mismos que se trataba de chantre que obtenía en la misma , cuya renta es de 3© ¡de profeger con ella. pesos. Se admiten memoriales por término de 30 días. El Sr. Cuesta, sin embarco de no haberse hallado pre sente á toda ia dkcucion, dijo que la contribución que por las leyes prohibitivas se suponía cargada sobre lps consumi Habiendo dado cuenta al Rey el Gefe político interino de dores para favorecer á los artistas, no era…</t>
  </si>
  <si>
    <t>…ara hacer frente á los inmensos se mandó volver á la comisión el 27. productos de la propiedad territorial. I.cido el 28 , el Sr. secretario de Hacienda manifestó que Rectificó el Sr. Cuesta ¡a equivocación padecida por su el patrimonio Real de Valencia consistía en varios derechos, preopinante en llamar al crédito y á los metales signos re tales como los de herbages,ei pantano de Alicante, el ter presentativos de la riqueza , cuando á lo mas pod…</t>
  </si>
  <si>
    <t>Cuevas, Aquilina de</t>
  </si>
  <si>
    <t>Aquilina de Cuevas</t>
  </si>
  <si>
    <t>…te, para que dentro del preciso 150 pesos de igual creación, y números 155,617, y 214,187, y perentorio término de 60 dias , contados desde esta publi que se hallan reclamados por Doña Aquilina de Cuevas, veci cación , se presenten á firmar la referida oposición c-n casa de na de ia villa de Morata, para que por sí, ó por medio de pro TX Vicente Martinez, primer médico de Cámara del Rey, curador con poder bastante, dentro del expresado término com y presídeme…</t>
  </si>
  <si>
    <t>Cuevas, Juan Antonio</t>
  </si>
  <si>
    <t>Juan Antonio Cuevas</t>
  </si>
  <si>
    <t>…a, el R. P. prior del insi nuado convento, y los señores marqueses de Auñon, en junta celebrada el día 18 del corriente, se cita, llama y emplaza por ultimo y perentorio término á D. Juan Antonio Cuevas, presbítero, y capellán de la capellanía fundada en la parroquia de S. Sebastian de esta muy heroica villa, y á D. Juan Miguel de Robles, capellán de la capellanía fundada en el convento de S. Felipe el Real de la referida muy heroi ca villa; cuyas fundacione…</t>
  </si>
  <si>
    <t>Curtís, W.</t>
  </si>
  <si>
    <t>W. Curtís</t>
  </si>
  <si>
    <t>…e Londres para la Cámara de los Comunes tiene muy exasperadas la facción de los llamados reformadores radicales. Han reunido el mayor número de votos el copiercjante Mr.Wolson, el caballero W. Curtís y el lord corregidor:-el 4.? lugar se le. disputan entreoí los tres candidatos radicales Wood, Thorpe y Waithman. .. . La asamblea electoral de Westminster parece haber asegurado la elección en favor cíe sir Francis Burdett y de Mr. Hobhouse, que acaba de sal…</t>
  </si>
  <si>
    <t>Curulla, Antonio</t>
  </si>
  <si>
    <t>Antonio Curulla</t>
  </si>
  <si>
    <t>…éricas como algebráicas; de la extracción de raíces, y de las progresiones. D. Josef Antonio Corominas y Campanals, condecorado con la cruz del sitio de Gerona, de los logaritmos. D. Antonio Curulla, de las ecuaciones de primero y segundo grado. En el se gundo dia presidió la academia el Sr. D. Felipe de Amat como decano de ella, y se dio principio al acto por las disertaciones de los alumnos en el or den que sigue: El mismo D. Antonio Curulla explicó la…</t>
  </si>
  <si>
    <t>Cusa-Pon.ejos, Marques Je</t>
  </si>
  <si>
    <t>Marques Je Cusa-Pon.ejos</t>
  </si>
  <si>
    <t>…s príncipes y los grandes no son sino los -hombres cisco de Bior, el Sr. marques de S. Martin, D. Pablo Ca del pueblo; 3’ ti lejos de ser los protectores de su debilidad brero, el Sr. Marques Je Cusa-Pon.ejos, la Sra. Duquesa de los grandes y los ministros de los Reyes, ton solo tus opre Frías y D. Josef &gt;anz •. sores; ti solo son unos (broces tuiores que despojan á sus Tienen la satisfacción de anunciar al heroico pueblo de pupilos, los clamores del pobre y del o…</t>
  </si>
  <si>
    <t>Cuuipoy, Diego</t>
  </si>
  <si>
    <t>Diego Cuuipoy</t>
  </si>
  <si>
    <t>…on del Diario de Cortes presentó su dictamen Jas Cortes de _p del corriente, sancionado por S. M. sobre la propuesta de D. Ledro Rea!, diciendo que se ha bía hecho ya contrata con D. Diego Cuuipoy , a razón de MAESTRA ZOOS. 12 'maravedises el pliego: que este tenia ademas á su tavor el haber impreso el tomo i.” de Diarios y las actas de las De la contadurí t de Oca fia. Dos dehesas llamadas Cortes, sin que estas hayan hecho desembolso alguno. La Carras…</t>
  </si>
  <si>
    <t>Cuvilio, Joaquín del</t>
  </si>
  <si>
    <t>Joaquín del Cuvilio</t>
  </si>
  <si>
    <t>170</t>
  </si>
  <si>
    <t>…ercio esta blecidas por el Real tribunal del Consulado , que dieron principio en el de Enero del año pasado de 1819. Los alumnos de la clase de matemáticas t&gt;. Gaspar del Cuvillo, D. Joaquín del Cuvilio, D. Simón La val le, D. Josef Izquierdo y D. Andrés María Molina fueron examinados en el primer dia de Aritmética teórica y práctica desde el sistema de numeración hasta los núme ros denominados; y los alumnos dé la clase de comercio D. Pedro Viterí, D. Ambro…</t>
  </si>
  <si>
    <t>Czernichetl</t>
  </si>
  <si>
    <t>…én el príncipe Vv'olkonsRey el príncipe de Ilardemberg que su presencia era abso ky, el conde Ouvvarof, el príncipe Menzikoit , el conde lutamente indispensable. Olkarowsl; v y el príncipe Czernichetl; pero estos últimos, Por lo demás parece fuera de toda duda que los asuntos incluso el principe Wolkonsky, no toman parte alguna en que se están ventilando en Troppau influirán extraordina las negociaciones ni en las conferencias diplomáticas. riamente en la…</t>
  </si>
  <si>
    <t>D, Domingo Poza</t>
  </si>
  <si>
    <t>Domingo Poza D</t>
  </si>
  <si>
    <t>…rechos que les están señalados al tiempo de También se aprobó el dictamen de la misma comisión verificar igual introducción en las capitales, para evitar la sobre el expediente de D. Domingo Poza D.ivalos para propagación de su venta clandestina , con notable daño de ¡a enagenar algunos bienes vinculados, remitido por el secreta hacienda pública y de las fábricas nacionales; para lo cual, rio ele Gracia y Justicia, el cual estaba reducido á que se quitán…</t>
  </si>
  <si>
    <t>D, F. M.</t>
  </si>
  <si>
    <t>F. M. D</t>
  </si>
  <si>
    <t>…M. por segunda vez 60. Núm. 699. Uno que ha pasado la epidemia 40. Núm. 700. D. M* F. 6. Núm. 701. El limo. Sr. deán y cabildo de la santa iglesia cate dral de Jaén 4®. Núm. 702. D. F. M. D. 60. Núm. 703. D. L. F., pres4 bítero, 200. Núm 704. Ei Excmo. é limo. Sr. arzobispo de Valencia 12®. Núm. 705 . D. J. M. 200. Núm. 706. La Excma. Sra. C. de C. i®. Núme** ro 707. El ilustre Sr. deán y cabildo de la colegiata de Medinaceli 280. Nú-»* mero 708.…</t>
  </si>
  <si>
    <t>D, Francisco Valdés y</t>
  </si>
  <si>
    <t>Francisco Valdés y D</t>
  </si>
  <si>
    <t>…todas armas, exceptuando la artillería é ingenieros, formado una junta, compuesta del limo. Sr. obispo Auxiliar; á propuesta del inspector respectivo se distribuyan por las Sres. D. Francisco Valdés y D, Tomas Estrada, individuos provincias, y existan en sus capitales ó puntos de aquella del Real cuerpo de Guardias de la Persona del Rey ; del donde mas les convenga, dándoles sus destinos á consulta Excmo. Sr. conde de Oñate y Sr. conde de Noblejas, indi de l…</t>
  </si>
  <si>
    <t>D, IX Pabló Cabrero y</t>
  </si>
  <si>
    <t>IX Pabló Cabrero y D</t>
  </si>
  <si>
    <t>…Be Andalucía* cúya limósiáé no ha pódido récaudárse haitS éf' ia del presente mes.. Manuel 'O^fiotlfe^^Biénte c^óiéb del fcíjUnitfit I 13.11 te -coronélD. I&gt;.‘Carlos*- el teniente coronel IX Pabló Cabrero y D.. Banoiome Lozano* depositario dé Pénas de Cámara de Guerra y Marina* concibieron este piadoso»</t>
  </si>
  <si>
    <t>D, Josef</t>
  </si>
  <si>
    <t>Josef D</t>
  </si>
  <si>
    <t>…l marques de Cerralbo , los duques del Infantado, Se aprobó el dictamen de la comisión de Agricultura Montemar , Medinaceli, conde de Ahamira, y duq- e de Visobre la exposición de D. Josef D ímaso Ibarrola y Echevar llahermosa , que componen la junta prorectora de la ense ría , que proponía el modo de allanar los cerros, cuestas y ñanza mutua , presentaron 12 egemplares de la obra de Lanmontes en España, y ponerlos en estado de cultivo antes de c…</t>
  </si>
  <si>
    <t>D, Josef Blanco y</t>
  </si>
  <si>
    <t>Josef Blanco y D</t>
  </si>
  <si>
    <t>…dero de Juan Antonio Garaña, vecino de Linares, que salió de la Carolina el ano de 1809, empleado, en el almacén de víveres de la tercera* división del egército, siendo comisarios D. Josef Blanco y D, Antonio Na dal, tenga la bondad de avisarlo á María Luisa Mayor, su esposa, residente én la villa de Bailen. Perspectiva del carro de triunfo fúnebre en que el cuerpo nacional de Artillería condujo el dia 2 de Mayo de 1814 desde su parque en&lt; Madrid á la igl…</t>
  </si>
  <si>
    <t>D, Josef Canterac y</t>
  </si>
  <si>
    <t>Josef Canterac y D</t>
  </si>
  <si>
    <t>…al eti gefe del egército del . alto Per n el siguiente parte, ; , : ; ’ ; ,,Excmo. Sr.: Consecuente á lo que manifesté á V. E. en mi oficio nú mero 925, han:obrado los brigadieres D. Josef Canterac y D.: Pedro Antonio de Olañeta , y mi ayudante de campo el teniente coronel D&gt;. Antonio Orte ga ; y de las operaciones,de estos resulta entraron en Jujuyglos dos primeros ef2Ó del pasado sin oposicionypues las; partidas que encontraron de gauchos, que vieron desde…</t>
  </si>
  <si>
    <t>D, Luis González y</t>
  </si>
  <si>
    <t>Luis González y D</t>
  </si>
  <si>
    <t>…JBobadas la' oficinas del establecimiento. dfila, D. Diego Moreno, D. Migual Francisco Aspiroz, Don Otra idem en la calle de Jacometrezo, núm. 2, manza Miguel Antonio de la Torre, D. Luis González y D llenrina 3; ; ; cuyas fincas son las únicas de que hasta el día ha que Abeglie, últimos tenedores, el primero de tres vales rea les de 300 pesos, creación de i.° de Mayo de 1ÍJ08, númerosdado conocimiento la contaduría de Temporalidades. ■435,516, 471,847,485…</t>
  </si>
  <si>
    <t>D, T.</t>
  </si>
  <si>
    <t>T. D</t>
  </si>
  <si>
    <t>5* -negas de trigo, consignadas en las tercias de Don Benito. Núm. 714. El limo, Sr- deán y cabildo de la catedral de Oviedo 3®. Num. 71 ¡y» D. T. D. 6a. Núm. 716. Ei limo» Sr. obispo de Barbastro 300. Núm. 717. Doña J, G. 100, Núm. 718. Doña N. G. 100. Núm. 719. El limo. Sr. deán y cabildó de la catedral de Lérida 640. Núm. 720. Los gefes, oficiales y tropa del cuerpo de inválidos de Madrid, en unión con…</t>
  </si>
  <si>
    <t>Dacre</t>
  </si>
  <si>
    <t>…sus consejeros, acerca del objeto: que} la Princesa de Jírascmska * tomado el titulo de de su solici ud.”. r ' • Princesa Romanow , que es de la casa de Rusia. En seguida propuso lord Dacre que se llamase a-.lor Idem 2 4. abogados de la Reina : y ert efecto '¿.presentaron en la bar Mr. Memminger, de Stutgardt, ha publicado nn plan ra en calidad de tales los .Sres. Brougham. Dentnati y. Jolui. ■yV'ijUams, y en calidad de procurador Mr. Vizai'd..…</t>
  </si>
  <si>
    <t>…abogados sean oidos Petersburgo 14 de Junio. «en la barra para exponer sus reclamaciones.” Muy pronto quedará establecida la comunicación entre Después que se leyó esta petición. lord Dacre propuso esta capital y Moscow, por medio de diligencias que an que se admitiesen en la barra á los abogados de la Reina. darán el camino (208 leguas) en 96 horas. Se cree que la El lord canciller y el lord Liverpool trataron de probar empresa no será menos út…</t>
  </si>
  <si>
    <t>…de sus propios súbditos, ya metidos en locas empresas con vantó el lord Liverpool; pero inmediatamente hizo lo mis tra los paises comarcanos, sin fe en los tratados, sin pru mo el lord Dacre con un papel en la mano, que se sabia dencia en los proyectos, y por lo común sin valor en la contorna una prctes:a de la Reina. Gritaron en el salón guerra. Se puede formar una idea de estos descendientes de que se oyese al lord Liverpool; y tomando este la…</t>
  </si>
  <si>
    <t>678</t>
  </si>
  <si>
    <t>…rotesta no podía brán comunicado otras potencias á la corte de Roma, y admitirse como tal, sino como una mera exposición. parece aproximarse ya el momento en que deberán verifi El lord Dacre contestó que no se oponía á que aquel carse grandes y decisivos acontecimientos. documento se admitiese bajo esta última forma, si no podía Se asegura que se han señalado ya las columnas en que serlo de otro modo. deberá dividirse el egército austríaco de Ita…</t>
  </si>
  <si>
    <t>Daineto, Juan</t>
  </si>
  <si>
    <t>Juan Daineto</t>
  </si>
  <si>
    <t>…e Palma, en Mallorca, el Excmo. Sr. _D. Josef María de Alós, secretario inte rino de Estado y. de los despachos de Guerra y de Marina, y regidor perpe tuo de aquella ciudad , y el Sr. D. Juan Daineto , sumiller de cortina de S. M. y canónigo de aquella santa iglesia; hablando el .primero en los términos si guientes „ Señor: El ayuntamiento de la ciudad de Palma, capital del reino de; Mallorca, nos ha honrado con la agradable cómisio'n de manifestar á V. M…</t>
  </si>
  <si>
    <t>Dallaway</t>
  </si>
  <si>
    <t>…Setiembre de 808, mím. 38,451, públicos. Se ha dicho que esta expresión era reí.: ti va á Ja á favor de D. Josef Guzman. Otro á D. Manuel López Ñoñez, de puerta del serrallo, y el doctor Dallaway confirma esta 300 pesos de Setiembre de 808 , núm. 36,386, y el último de Opinión, diciendo que esta puerta se parece á un baluarte. 600 pesos de Setiembre de 809, núin. n,6oo, áO. Joaquin de Pero aunque en todo el oriente la puerta de un palacio Barcena; y á…</t>
  </si>
  <si>
    <t>Dam</t>
  </si>
  <si>
    <t>…spital de’S. Juan pasado elSund 25 0 barco; mercantes. Otras cartas anuncian de Dios. —— Quedaron enfermos en Octubre 93 , 2 'de elloí que los papeles qué se hallaron en poder del profesor Dam de la epidemia: han entrado en Noviembre 138; todos de pe contienen cotas sumamente criminales, por egéniplo, enfermedades comunes: han carado 130, entre- el'os los 2 el plan de armar á todos los trabajadores, y poner en li de epidemia: lían muerto 2; , y que…</t>
  </si>
  <si>
    <t>Dámaso, Josef</t>
  </si>
  <si>
    <t>Josef Dámaso</t>
  </si>
  <si>
    <t>…tar de evitar los males que pu Se aprobó igualmente el informe de la comisión de Co dieran sobrevenirnos de conceder el trasporte en buques mercio sobre el proyecto presentado por D. Josef Dámaso extrangeros. Ibarrola Echevarría: era esta'de parecer que estaba conce Por el contrario, el Sr. Canabal dijo que senda oponer bido en términos muy vagos, y no merecía ocupar al se á los que habian disentido del dictamen de la comisión, Congreso, ni concederle…</t>
  </si>
  <si>
    <t>Dampe</t>
  </si>
  <si>
    <t>…travagante , y que luz para no ver que el régimen constitucional es el grito de todos los pueblos civilizados, y que nuestra nación solici nineuna otra persona los ha apoyado. «El doctor Dampe, que estaba al frente de algunos hom tándolo de su Rey se ha manifestado al nivel de la civiliza bres turbulentos, la mayor parte artesanos, y cuya manta ción europea y de las luces del siglo , honrando de este mo era la de hacer el autor de autor de constitu…</t>
  </si>
  <si>
    <t>Dañero</t>
  </si>
  <si>
    <t>…jo que experimentaban: y presentándose el egército de permaneciendo en él, pero solo hasta su muerte, el actual ca lante del palacio Real, se confundían los aplausos de viva pitán general Dañero. S. A. R. con fecha dei 12 le contestó, el Rey, viva la Constituí ion, que tanto ja tropa como el mostrándole que sus sentimientos eran conformes á lo mismo pal anage, y la misma augusta Familia, no cesaban de expre que le indicaba. sar. Todo era júbilo y ale…</t>
  </si>
  <si>
    <t>Daoiz, Tomas Moreno y</t>
  </si>
  <si>
    <t>Tomas Moreno y Daoiz</t>
  </si>
  <si>
    <t>…réis se imprima, publique y circule. = L. deBorbon, car-; denal de Scála, arzobispo de Toledo , presidente.= Pedro de Agar. = Gabriel Ciscar. = En Palacio á 14 de Marzo de 1814.=A D. Tomas Moreno y Daoiz.; i Circular del ministerio de Guerra. &lt; Por resolución de 18 de Marzo último tuvo á bien S. M. ratificar la orden de las Cortes generales y extraordinarias del reino de 27 de Agosto de 1811, prohibiendo absolutamente por puntó general la concesión de grados…</t>
  </si>
  <si>
    <t>DarHngton</t>
  </si>
  <si>
    <t>…rmes á su opinión las medidas propuestas3 por los ministréis y éstába' pronto á probar por su parte ambos proyectos de ley, los ctiáles fueron defendidos por él lord canciller, el conde DarHngton, el marques de Buckingham, lord Strathmore &amp;c. Leyé ronse en fin por segunda vez los dos proyectos de ley, y pasaron á la Cámara en junta de comisión u donde se presentará mañana el Informe. CAMARA DB IOS COMUNES. Pidió lord Cástlereagh que se leyese por segu…</t>
  </si>
  <si>
    <t>Darnley</t>
  </si>
  <si>
    <t>…l eameiro innumerable de .0* o tro* victos . que con dtsrinEn la sesión de ayer de la Cámara de los Lores presen to. nombres y d- traces- rniü an .bajo lar. bandera* de aque tó el conde Darnley algunas observaciones sobre la marina; llos, h yen despavorido*, y se .atropellan confu*amen*e á y ‘egun ellas se están construyendo 1'7 buques de guerra, las puertas del averno, para precipitarse en las negra* nr z— y hay y" en estado de «ervicio. morras de…</t>
  </si>
  <si>
    <t>Daschouts, Francisco Chavert y Dona Margarita</t>
  </si>
  <si>
    <t>Francisco Chavert y Dona Margarita Daschouts</t>
  </si>
  <si>
    <t>…respondencia para las.provincias de Ultramar , se da este aviso al público pasa su gobierno. -—:——■•■■■ ■ -------■■ ■ 1—7-r--------------------- :----------------------------------Don Francisco Chavert y Dona Margarita Daschouts sil franceses, qué estuvieron avencidados en esta capital hasta et año de 1812, seguían pleito por el juzgado*que entoñees deSpádhaba D. León de Sagasta, y escribanía numeraria de Don Francisco Xa-res Maldonado., sobre pago de una cantidad que Jes debía D. Fr…</t>
  </si>
  <si>
    <t>Daveton</t>
  </si>
  <si>
    <t>…n ción de entregarse á la piratería, ó de apoderarse de algunos barcos pequeños, y de dar la vela para la América meridional. Una carta de Ellora de 26 de Setiembre anuncia que el coronel Daveton había marchado desde Hidrabad con un cuerpo de tropas de infantería, caba llería y artillería para atacar al Killadar de Kurmillalr, que se hallaba en in surrección contra el: Gobierno de la compañía. Xa caballería y los flanqueadores se habían adelantado pát…</t>
  </si>
  <si>
    <t>Dávila, Atanasio</t>
  </si>
  <si>
    <t>Atanasio Dávila</t>
  </si>
  <si>
    <t>…l de licenciado en leyes en universidad aprobada. Por en las librerías de D. Juan zVntonio Barbolla, calle de Toledo; resolución de las mismas lo comunicamos á V. E. para en la de D. Atanasio Dávila, calle de las Cañetas; en la de que se sirva dar cuenta á S. M., y demas efectos consi D. Pablo Villa, plazuela de Sto. Domingo,y en la de D. Josef guientes.” Brun, frente de las Covachuelas, para que los interesados acu De Real orden la traslado á V. para su…</t>
  </si>
  <si>
    <t>Dávila, Juan de Madrid</t>
  </si>
  <si>
    <t>Juan de Madrid Dávila</t>
  </si>
  <si>
    <t>…y dispondréis su cumplimiento. Palacio 20 de Mar zo de 1820. = A D. Anjqpio González Salmoru” r Por el ministerio de Gracia y Justicia se dijo al secretario del Consejo de Estado D. Juan de Madrid Dávila, con fecha,de 20 de este mes, ser la vo luntad de S. M. que el dia siguiente 21 á las diez y media de su mañana se re uniesen todos los consejaros de Estado existentes en, esta, corte para que. jura sen en .sus Reales manos la Constitución política de la Mona…</t>
  </si>
  <si>
    <t>Dávila, JuSnü Madrid</t>
  </si>
  <si>
    <t>JuSnü Madrid Dávila</t>
  </si>
  <si>
    <t>…Piedrablanca, D. justo.Marta Ibar-Na^ai-* ro, D. Josef Aycinena, D. Antonio Ranz Romanillos, D. Francisco Reque-. na i D. Estéban Varea,' y de los secretarios D. Josef Luyan do y D. JuSnü Madrid Dávila. Asimismo he creído conveniente declarar que ios individuos, que han compuesto el Consejo de Estado hasta et di a 9 del presente tilesea&lt; que juré Yo la referida Constitución , quedan en la clase de jubilados, con el goce de todos los honores y sueldos que di…</t>
  </si>
  <si>
    <t>Daza, Benito Fernandez</t>
  </si>
  <si>
    <t>Benito Fernandez Daza</t>
  </si>
  <si>
    <t>…putarse todos los que pertenezcan á los fondos de propios para el de Cáceres á D. Josef de Vírt : para el de Castuerx y arbitrios, pósitos y otros cualesquiera ramos de los pue á D. Benito Fernandez Daza : para el de Fuente de Cantos blos , como también todo lo correspondiente á las remas de á D. Carlos Jacinto ‘ de Cea y Aballé : para el de Herrera la Hacienda nacional y Crédito público; y que los deudo de la Serena á D. Antonio Machado y Montano: para el re…</t>
  </si>
  <si>
    <t>De'lico, Melchor</t>
  </si>
  <si>
    <t>Melchor De'lico</t>
  </si>
  <si>
    <t>…o de repente cuando debía aparecer mas formidable y ma- fino. Sr. cardenal Josef Firao; Alejo l’elliccia , presbítero; gestuosa. Al vigor nacional, á aquel valor heroico que ha el caballero Melchor De'lico;Tito Berni, abogado; el caba bía asombrado al mundo sucedieron una indiferencia y una llero Pedro Antonio Ruggieri, abogado; el caballero Mateo apatía, que desfiguraron enteramente la Nación. En el reina Galdi ; Cesar Ginessau , comerciante. Y para suplentes…</t>
  </si>
  <si>
    <t>Decaze</t>
  </si>
  <si>
    <t>405</t>
  </si>
  <si>
    <t>…una extraordinaria semejanza con Cários xii, y usa el mismo peinado con*’ que se hizo retratar a quel» Príncipe. Idem 2y. i .u* -d; Corre la voz de haber Ilamadoc! Rey á París ai duque Decaze. Dícese que la ciudad, dé Ginebra y sus alrededores debían incorporarse al territorio sardo,¡cuya, noticia ha esparcidlo la*mayor consternación» en aquella ciudad. Parece cierto qué ño irá yá .ái España el marquen de Latour Du-Pirr. Escriben de las fronteras…</t>
  </si>
  <si>
    <t>Décazes</t>
  </si>
  <si>
    <t>…SÍA. ...... INGLATERRA. Petersburgo 50 de Junio. Algunas cartas de Peterpawlowsk ( Kaintschatka), de Londres lÚ de Julio. fecha de xo de Noviembre de 1819, dicen que Jammeamea, El duque Décazes, embajador de Francia, fue recibido Rey de las islas de Sandwich, murió en el inc de .Marzo á su desembarco en Do'uvres con una drtincion particular del mismo año, y refieren sobre el caso varias particulari por sir Tomas Mantell, corregidor de aquella ciudad…</t>
  </si>
  <si>
    <t>Decía, Plácido Fé</t>
  </si>
  <si>
    <t>Plácido Fé Decía</t>
  </si>
  <si>
    <t>…sbí parte pacificadas, y hayan reconocido sus habitantes y Ju tero D. Juan Benjumea. rado la Constitución política de la Monarquía española." A la de Poderes una representación de D. Plácido Fé Decía el 2."»Por consiguiente serán estos puestos in lix Denche, primer suplente por la provincia de Toledo, mediatamente en libertad , cualquiera que sea el estado de llamado á las Cortes en lugar de D. Simón de Codes, raa- su; causas, y lo mismo los que por estar…</t>
  </si>
  <si>
    <t>Decrés</t>
  </si>
  <si>
    <t>…te asunto la Inglaterra , á la que se inclina á ex anunciándole las mudanzas políticas de su reino. cluir de sus secretos la alianza europea. Hay tres poten Ha muerto el almirante duque Decrés de resultas de cias que á sí mismas se ilaman las tres grandes poten las heridas que recibió cuando fue atacado en su casa por cias de la Europa oriental, y que también por sí mis varios malhecho;es. Su ayuda de cámara, que se arrojó por mas se han constituid…</t>
  </si>
  <si>
    <t>Deeguez, Antonio González</t>
  </si>
  <si>
    <t>Antonio González Deeguez</t>
  </si>
  <si>
    <t>…: convendría saber la Opinión de los magistrados En la mañana del 31 se celebró una mi:a solemne, sobre este particular. Dicen también que estos estatutos no y el Sr. cura párroco D. Antonio González Deeguez pro son aplicables al caso presente, porque suponen que el adul nunció un excelente discurso , en que demostró los beneficios terio ha sido cometido en país extraño. Esta cuestión debe que nos ha dispensado la Providencia en proporcionarnos 13 someterse tambi…</t>
  </si>
  <si>
    <t>Delaquella, Francisco</t>
  </si>
  <si>
    <t>Francisco Delaquella</t>
  </si>
  <si>
    <t>…ya existentes , y donde dice: „y otro sobre el modo de-realizar un empréstitoque el mismo Crédito público satisfaga á los acreedores de ” de tí millones de rs.," léase: „y otro de D. Francisco Delaquella lo q c legítimamente se les esté debiendo por capita &gt;i gado sobre el modo de realizar un empréstito de tí millones les y réditos ; quiere í&gt;. M. que todas Jas existencias proce de pesos fuertes. MADRID EN LA IMPRENTA NACIONAL.</t>
  </si>
  <si>
    <t>Delefieux</t>
  </si>
  <si>
    <t>…giesen por su representante en la Cámara de los Comunes. , Los empleados en la aduana de Dublin han detenido un barco cargado de tropas, que iban á reunirse al cuerpo que manda el general Delefieux en la América del Sur. No cabe duda en que egecutará con el mayor rigor en está ocasión el acta del Parlamento, , que pronuncia severas penas contra los agentes de este tráfico de hombres, y el dueño del barco será condenado ál pago de una umita de .50 libras…</t>
  </si>
  <si>
    <t>Délgado</t>
  </si>
  <si>
    <t>…rense el teniente vicario y auditor general-,D. Miguel Olivan en los mismos términos* modo y forma que la egeréró D. Josef del Castillo'en 16 de Diciembre de • 1781 por muerte del cardenal Délgado, y que el mismo Olivan lo ha veriíi- cádo en 7- de Abril de 1806' en lá vacante de D. Antoníno de Sentmanat, y en * las posteriores qué han ocurrido. Lo que de Real orden comunicó á V. par-a su inteligencia y gobierno. Palacio 12 de Febrero de 1820. El 17 dé…</t>
  </si>
  <si>
    <t>Delgado, Francisco</t>
  </si>
  <si>
    <t>Francisco Delgado</t>
  </si>
  <si>
    <t>…misión compuesta de militares y eclesiás Se mandaron pasar á las comisiones reunidas de Guerra ticos , que averigüe los productos y caudales procedentes y Hacienda dos memorias de D. Francisco Delgado; una de mandas forzosas y fondos píos, establecidos por la ley sobre empleos de comisarios Ordenadores y de Guerra . y de i8ti, para socorrer á los beneméritos militares inutili otra piara arreglo del cuerpo político y administrativo dd zados en defensa de la…</t>
  </si>
  <si>
    <t>Delgado, Pedro</t>
  </si>
  <si>
    <t>Pedro Delgado</t>
  </si>
  <si>
    <t>…ife hacia Margarita, Caños de Orinoco gastos de la villa de Madrid, y medio de extinguir los derechos y Guarapiche, á destruir y hostilizar los apostaderos, bu de sus,puertas: por D. Pedro Delgado, brigadier, ingeniero ques y costas del enemigo en dichos puntos, que era el ob hidráulico, y regidor constitucional de Madrid. Véndeseá 6 ra. jeto de su comisión ; á los ocho días de su salida se puso en en la librería de Ramírez. los del Orinoco; el 3 de Ma…</t>
  </si>
  <si>
    <t>Denche</t>
  </si>
  <si>
    <t>…de la Península y de Ultramar. D. Plácido Félix Denche, primer suplente de la provincia de Toledo, llamado á las Cortes en lugar de D Simón de CORTES. Codes, opinaba que el citado Sr. Denche se hallaba como su antecesor en el caso del art. 90 de la Constitución, y que Sesión del 20 de Setiembre, en su consecuencia debia llamarse al segundo suplente; y Se leyó el acta de la ordinaria de ayer, á la que se otro en que proponía la aprobación de los p…</t>
  </si>
  <si>
    <t>Denche, Plácido Félix</t>
  </si>
  <si>
    <t>Plácido Félix Denche</t>
  </si>
  <si>
    <t>…comisión de S. M. ha despachado hoy con los Sres. secretarios del Poderes, uno en que habiendo examinado la exposición de Despacho de la Gobernación de la Península y de Ultramar. D. Plácido Félix Denche, primer suplente de la provincia de Toledo, llamado á las Cortes en lugar de D Simón de CORTES. Codes, opinaba que el citado Sr. Denche se hallaba como su antecesor en el caso del art. 90 de la Constitución, y que Sesión del 20 de Setiembre, en su consecuenci…</t>
  </si>
  <si>
    <t>…e aquellos religiosos, [ó jxjr cualquier.-hítulo-lei gundo diputado suplente por Toledo , llamado -en lugar del pertenezcan, y no estuvieren ya 'destinados al servicio: pú primero D. Plácido Félix Denche. blico ; remitiendo al Gobierno los índices originales,ry -cui-v Se dió cuenta de un oficio del juez de primera instancia dando de su conservación hasta que las Cortes retuélvafa so de esta corte D. Julián Díaz de Yela, en que daba parte bre este punto' lo qu…</t>
  </si>
  <si>
    <t>Dentici</t>
  </si>
  <si>
    <t>…otivo se ha acreditado, ^ general estihuacioa quei d'ts&amp;uta .eíñ todo ef puebla -• ,, Antes de que cayese enfermo el cardenal Consálvi terminó las negocia ciones pendientes con el príncipe Dentici,.'director de aduanas, de -Nápoíés, relativas ai sistema de aduanas de los dos países limítrofes. • , „ La extraordinaria baja en el precio de' los granos y la abundancia del trigo han puestaá un crecido ótímer?» de cóntribuyeútes;'de los estados de,las Dos S…</t>
  </si>
  <si>
    <t>Deov, Igna</t>
  </si>
  <si>
    <t>Igna Deov</t>
  </si>
  <si>
    <t>…tiva á noe no se admitiesen felicitaciones al Congreso sino Mayo por el juez de primera in'iaricia D. Julián de So¡o,por escri o. por la que dijo que debia absolver y ah'olvifi al D. Igna Deov e« de admitida á discusión la proposición hecha cio Sánchez Fernandez de toda culpa y cargo; y que a finpor el Sr.' Martínez de la Rosa en el dia 12 , pidiendo se de ocurrir á Ucuracioa de sa demencia, evitar el escándaloabriese discusión acerca de los medios…</t>
  </si>
  <si>
    <t>Des-', Secretario del</t>
  </si>
  <si>
    <t>Secretario del Des-'</t>
  </si>
  <si>
    <t>…guen sin novedad en su importante de un gefe ó ministro de Estado, como se usa en otras salud. muchas naciones de Europa. Es sabido que en 1818 mani S. M. ha despachado hoy con el Sr. Secretario del Des-' festó la Dieta sueca estos deseos, y que entonces solicitó pacho de Marina. del Rey que suprimiese todos los empleos inútiles, y ñora- ■ Circular del ministerio de la Guerra. brase una junta que se encargara de establecer las bases de nConvencido el Rey de lo…</t>
  </si>
  <si>
    <t>Despacho, Gutiérrez del</t>
  </si>
  <si>
    <t>Gutiérrez del Despacho</t>
  </si>
  <si>
    <t>…que para hacer el entenderse de este asunto ; y concluyó diciendo que se de debido uso del artó 226 de la Constitución los secre-arios bia tomar en consideración la indicación del Sr. Gutiérrez del Despacho exhíban las órdenes y resoluciones que hayan Acuña, y que iba á hacer otra para que los secretarlos del dado sobre el particular." Despacho diesen cuenta de sus operaciones. El Sr. Freire apoyó esta indicación; pero el Sr. CaEl Sr. Vitorica dijo que no solo d…</t>
  </si>
  <si>
    <t>Despacho, Secretario del</t>
  </si>
  <si>
    <t>Secretario del Despacho</t>
  </si>
  <si>
    <t>Gaceta de Madrid n.º 49 (extraordinaria)</t>
  </si>
  <si>
    <t>…cmo.. .Sr,.Secretario interino de Estado y del. Despacho de Marina'.” " " . 2.0 Por el parte de ayer dirigí á V. E. ía exposición que sigue: ,, Exorno. Sr.: Con esta fecha digo al Sr. Secretario del Despacho univer sal de Gracia y Justicia lo siguiente: Excmo. Sr.: ,,Se ha conseguido que ef batallón de Guias salga de Cádiz, pues hoy desembarcó en este ciudad , y sin entrar en ella se le hizo seguir á la de Xerez, donde hay otras tropas que po drán contener esta.…</t>
  </si>
  <si>
    <t>…s-, guarde á V»* JE, muchos años. Cuartel general def Puerto de Santa « María ,2 o de Marzo de. titeo. ^Excmo. Sr.=Manuel Fréire,=s Excmo'. Señor . ministro de la Guerra.” .■ „ El Sr. Secretario del Despacho de la Guerra ha recibido del capitán ge neral interino de Andalucía D. Juan O-Do’noju el parte siguiente ; „ Capitanía general de Andalucía: Excmo. Sr. ; Enterado' dé la Real orden que én ¿b de! corriente ha tenido V. E. á bien comunicarme en sus dos oficios…</t>
  </si>
  <si>
    <t>…de ios caudales per tenecí, ntes á*la Nación. Comunicólo á V. de Real orden para Su debido cumplimiento. Madrid 2 de Mayo de 1820.” * • ■, ’ En oficio dé 10 del corriente dice el Sr. Secretario del Despacho de la Guerra al capitán general de esta provincia lo que sigue: ' -„ hxemo. Sr.: He dado cuenta al Rey del oficio de V. E. de 5 del cor riente , con el que remite la causa formada por Real orden de 7 de Diciembre úl timo para la averiguación del autor y cómpl…</t>
  </si>
  <si>
    <t>647</t>
  </si>
  <si>
    <t>…o&gt; con, todo el. lleno de su autoridad. De Real orden lo , comunicóla V. ' para 'su Inteligencia'.'y.cumplimiento? ene la; parte que le cor responde.. Madrid; de Mayo de 1820.” Al Sr. Secretario del Despacho dé* la Guerra dice el Sr. Secretario interino dél. Despacho de Estado* con fecha n de Mayo lo siguiente: ,, Atendiendo el Rey á las instancias que le ha hecho el embajador de* S;. M;. Cristianísima, y queriendo ademas señalar la- fausta época del resta blecim…</t>
  </si>
  <si>
    <t>…presen tó el Sr. Villanueva. Circular del ministerio de la Guerra. Se mandó igualmente pasar á la comisión de Hacienda varias consultas de la Regencia sobre establecimiento de El Sr. Secretario del Despacho de la Gobernación de ayuntamientos en'Cataluña , Galicia y otras provincias, in la Península con fecha de 17 del corriente me dice ió formadas por lo respectivo á la primera; á las de Legislación que sigue: y Agricultura, reunidas las proposiciones del diputa…</t>
  </si>
  <si>
    <t>…ecie ? : í ° ; Por qué circunstancias ó defectos deberán sepaCon fecha de 30 de Julio, desde la villa de Sacedon , dice rarse los individuos de este cuerpo que no se conceptúen el Sr. Secretario del Despacho de .Estado al Sr. Secretario de útiles, ó se crean perjudiciales en él? {Se continuará.) la Gobernación de la Península lo que sigue: «S. M. continúa felizmente los Daños, y con. la Reina El colegio de Santiago, que se titulaba de Bilbao, por disfruta perfect…</t>
  </si>
  <si>
    <t>Despnes, Qui-</t>
  </si>
  <si>
    <t>Qui- Despnes</t>
  </si>
  <si>
    <t>…el 30 de Agosto, como también otrotar los rumores esparcidos por la maledicencia y la envidia; artículo mas que presentaba la misma. la misma á quien se debian las voces de que el general Qui- Despnes de esto el Sr. conde deToreno pidió á los se roga pretendía la Grandeza de España, er Toison de Oro cretarios que se sirvieran comunicar este reglamento á la y la dehesa de la Alcudia. Por esta causa, y para evitar en mayor brevedad , por ser cosa del mayor i…</t>
  </si>
  <si>
    <t>Desprat</t>
  </si>
  <si>
    <t>…ecursos. El Sr. Cepero apoyó al Sr. Priego, haciendo tam A la de Caminos y Canales se acordó- que pasara una bién presente que algunos de los bienes que poseían las indicación del Sr. Desprat, y otros Sres. diputados sobre comunidades no los tenían en propiedad, sino en mera construcción de varios caminos. administración, ó como un depósito para distribuir sus Se leyó por segunda vez la proposición del Sr. Navas, fondos. leída por primera en 20 de…</t>
  </si>
  <si>
    <t>…ibunal de Justicia.” cantidad de numerario que'salia para Roma. Se leyó, y no fue admitida á discusión, otra indipacioti Apoyó esto mismo el "Sr. secretario de la Gobernación, del Sr. Desprat para «que no $e proceda á extracción nin é hizo al mismo tiempo los elogios debidos á la memoria guna sin previa discusión en el.Congreso.” del'Sr. Azara, á lo cual el Sr. Vargas Ponce dijo, que Se procedió á la discusión /del informe de la comisión habiendo…</t>
  </si>
  <si>
    <t>…da contestó al Sr. ministro de Ultra cho de prehosrada , ie continúe dicho derecho. mar, manifestando que los comerciantes ingleses no estaban Se mandó agregar al acta el voto del Sr. Desprat, con nada gustosos con los privilegios de la compañía de la In trario á, lo resuelto sobre sociedades patrióticas en la sesión dia , y que no perdian ocasión de expresar su poco afecto á de ayer; y se mandó volver á los Sres. Gaseo, Vadillo, ellos; que ademas…</t>
  </si>
  <si>
    <t>…sjíralogía y de la química, opinó que de ningún modo debían 'mil lü i man o , esto' es j su espmtuaRaatí^fnmonalidacT.” reunirse las dos enseñanzas en un solo profesor como pro El Sr. Desprat hizo la indicación siguiente: «Que en toponía la comisión^, y que debían separarse; uniéndose por : das las mtiversidades;'destjaad«5\á 1* seguida enseñanza se otra parte la, agricultura con la botánica , por sen auxiliar,. i estáhtezdja unajgátedéa d?*J.rieg…</t>
  </si>
  <si>
    <t>Después</t>
  </si>
  <si>
    <t>…es atendiese si eran junta de gobierno de la compañía de Filipinas para que no dignos, antes bien era justo hacer observar la ley. se supriman sus privilegios, remitida por el Sr. secretario Después de hablar el Sr. Yandiola en el. mismo sentido de Hacienda. que él Sr. Toreno, manifestó el Sr. Sancho su deseo de que A la de Infracciones de Constitución se pasó una expo dijese expresamente el Gobierno si conceptuaba de precisa sición, del alcalde de. Orop…</t>
  </si>
  <si>
    <t>…la quina el amargor sin que de justicia criminal de Inglaterra, y del espíritu del Gobierno pierda en nada su -jirtud. ingles : escrita en francés por Mr. Cottu , y traducida por Don Después de bien molida y cernida una libra de quina B. F. C. Se hallará en la librería de Orea y de Hurtado. MADRID EN LA IMPRENTA NACIONAL.</t>
  </si>
  <si>
    <t>Despuich, Ramón</t>
  </si>
  <si>
    <t>Ramón Despuich</t>
  </si>
  <si>
    <t>…ación con medios , por los que se hubiera puntos principales sobre fomento de agricultura é industria. podido extender algo tnas en algunos ramos. A la de Poderes los de los Sres. D. Ramón Despuich, El Sr. conde de Toreno recordó A las Cortes que esro lo conde de Montenegro, y D. Guillermo Moral, diputados A habían ya desaprobado anteriormente, porque cierta clase Cortes por las islas Baleares. de gastos es indispensable pagarlos , sea como fuese , aun…</t>
  </si>
  <si>
    <t>Despuig, Ramón</t>
  </si>
  <si>
    <t>Ramón Despuig</t>
  </si>
  <si>
    <t>…orme al dictamen de la comi que dems rían un esta ocasión que es el apoyo del débil, sión de Poderes, los de los diputados por las islas Baleares y el baluarte contra la oprerion. D. Ramón Despuig, conde de Montenegro, y D, Guiller Sig i &gt; el Sr. Cepero, y tomando por único regulador mo Moral. de su conducta y de &lt;us opiniones á su conciencia, dijo, Se leyó el dictamen de la comisión de Hacienda sobre q e después de mirado c fidadosamenre el expediente…</t>
  </si>
  <si>
    <t>Desvalls, Juan</t>
  </si>
  <si>
    <t>Juan Desvalls</t>
  </si>
  <si>
    <t>…esta ciudadela, D. Pedro de Grimarest, sustituido este por el coronel del regimiento de infantería de Murcia D. Fer mín Escalera, y asimismo el gobernador del castillo de Monjui, coronel D. Juan Desvalls, por el de la propia clase D. Josef Ortega. „Como mi mando, según Constitución, se reduce solo á la parte militar y sobre las tropas que componen el egército de este principado, mis disposi ciones no han excedido de esta esfera,y no me separaré de esta marcha…</t>
  </si>
  <si>
    <t>Devereui</t>
  </si>
  <si>
    <t>…c guiente fueron al despacho de ta diligencia de Milán, don un gran número de individuos de los que habían acompa de Zangia recibió 15 napoleones de oro que le enviaban de ñado al general Devereui, y que todos llegaron en la mas □queüa ciudad, adonde se trasladaron juntos cinco ó seis dias después, y que apenas llegaron fue Zangia á casa del deplorable situación. coronel, luego á la del abogado Vimacarti, y otra vez á CAMARA DE LOS LORES.------Sesión d…</t>
  </si>
  <si>
    <t>Devereux</t>
  </si>
  <si>
    <t>…obierno ingles no está dispuesto á adoptar tan pacifi en la Jamaica ,et berg.iátin Aeriel ,que llevaba abordo alavencas ideas, alómenos con re'pectoá Portugal ; noticia muy turero general Devereux, dos ayudantes suyos , un mayor, oeo.verosímil, si se "considera. la situación interior de fá un cirujano y un capellán, con 26 soldados y dos mugenglaterra , el resultado eventual del célebre procedo contra res. El general había fletado el "barco como "si fu…</t>
  </si>
  <si>
    <t>Diaa</t>
  </si>
  <si>
    <t>…otra cualquiera. Añadió que la comisión habia te pertenecia al Gobierno. nido presente que la contribución directa estaba repartida Continuó sobre esto [a discusión, y propuso et Sr. Diaa con arreglo á los consumos de los pueblos, por lo que al del Moral se redactase el-árricuto en estos términos: «El gunos de poca riqueza territorial pagaban mas que otros Gobierno procurará que todos los materiales que se empleen</t>
  </si>
  <si>
    <t>Diasc</t>
  </si>
  <si>
    <t>…Isla se tuvie diezmos se'mandó_pasar upa solicitud- del ayuntamiento ran presentes las.tropas de Zaragoza, y paisanos armados constitucional dé.lar Villa de Herreros:, que leyó el Sr. Diasc que se levantaron á principios de Marzo para restablecer las Morales, pidiendo se quite la contribución onerosa de los feA-es funda mentales de la monarquía; y establecer el. .tronío diezmos. sobrestán sólidas ba'es; la que dijo el.Sr.T Florez Estrada no' - .…</t>
  </si>
  <si>
    <t>Díaz</t>
  </si>
  <si>
    <t>…. y hasta-que *e verifique la secunda parte del primer ar nota. En la gaceta del jueves 17, col. 6.1, lín. £t , dice: tículo, ias pmas ;t los contrabandistas de tabaco serán igua Sr. Díaz, tisi Moral, léase: Sr. Díaz Morales. MADRID EN LA IMPRENTA NACIONAL.</t>
  </si>
  <si>
    <t>…s. contra la Constitución , pues las mandas, cuyo nombre de nota. En la gaceta del sábado 7, col. 4.*, lín. 16, dice : El forzosas incluía un ataque á la propiedad, eran indudable Sr. Díaz, del Moral apoyó trc. Suprímase todo el párrafo , sus mente opuestas á aquella; y se mandó pasar á la comisión tituyendo en su lugar el siguiente : El Sr. Diaz del Moral apo yó el dictamen de la comisión, como el mas propio para conprimera de Legislación. ser…</t>
  </si>
  <si>
    <t>…po Gaspar El Sr. Caslrillo rom ó Ja palabra para decir que la junta Teixeira de Magallanes y Lacerda , comandante de los egér- dioce-ana de censura, de que había hablado anoche eí Sr. Díaz citos del sur y del norte, el cual, después de hacer en me del Moral, era puramente consultiva para a-untos de te, dio de los vivas del inmenso gentío y de la tropa formada sin facultades, con un reglamento aprobado por S. M. ; con el debido acatamiento al Go…</t>
  </si>
  <si>
    <t>…cuñnto á la segunda. guardia Reai de caballería , de maqeraque sirya.de estimu Habiendo reckmado el Sr. Giraido l» urgencia del dic*lo y premio á los individuos de esta arma.” Él Sr. Díaz tamen de la comisión primera de Legislación, relativo á la &gt; : • i.;-.' , . v . v : .v.</t>
  </si>
  <si>
    <t>…el juez de le presentadas por los Sres. Baha monde y Perez Costa ; y a la tras de la Hacienda pública D. Rafael de Lima y un abo comisión de Guerra un manuscrito presentado por c! Sr. Díaz gado de mucho crédito D. Rafael González; y se están es Morales. perando los de los otros partidos para realizar la elección Se aprobó el dictamen de la comisión de Legislación so de los diputados á Cortes, que serán cuatro propietarios y bre que se acceda á…</t>
  </si>
  <si>
    <t>Diaz, Ana</t>
  </si>
  <si>
    <t>Ana Diaz</t>
  </si>
  <si>
    <t>…. Fran «solo sois su ministro, su primer depositario. La ley debe cisco Ximenez de Bedoya. D. Vicente Cafuer y C haves, «arreglar el uso de la autoridad, cuando emana de ella ; la Doña Ana Diaz, Doña Matilde Pertuza, D. Joset Benitez, «autoridad no es 3’a un yugo para tos súbditos , sino D. Gerónimo Colinas, el Sr. Conde de Motezuma, D. San «una regla que los dirige. Los hombres se reputan libres tiago Martin, D. Tadeo Sánchez de Escanden, D. Juan d…</t>
  </si>
  <si>
    <t>Díaz, Bernardo</t>
  </si>
  <si>
    <t>Bernardo Díaz</t>
  </si>
  <si>
    <t>…pueblos! Pero asi es como juzgado de primera instancia del Sr. D. Angel Fernandez de engaña la apariencia de las cosas, y ve aquí cómo un reye los R.os, y escribanía del número de D. Bernardo Díaz de zuelo de! Asia puede ser antepuesto en la gerarquía de la Antoñana, á usar del derecho que le asista en los autos egecutivos que por dicho juzgado y escribanía sigue D. Gregorio verdadera grandeza Real al mayor Monarca de la Europa,1 Via le, vecino y del c…</t>
  </si>
  <si>
    <t>Diaz, Juan de Vega y</t>
  </si>
  <si>
    <t>Juan de Vega y Diaz</t>
  </si>
  <si>
    <t>…hagan los que tengan el derecho de presentación.” alarmante, y que deben presentarse sus epemplares en la es Después de una ligera discusión sobre la inteligencia del cribanía de D. Juan de Vega y Diaz, del juzgado de prime derecho de j&gt;ost mortem se aprobaron todos los artículos. ra instancia de dicha ciudad de Sevilla. SUPLEMENTO</t>
  </si>
  <si>
    <t>Diaz, Julián</t>
  </si>
  <si>
    <t>Julián Diaz</t>
  </si>
  <si>
    <t>…admiten memoriales por término de 30 dias. dico semiolicial. En los Estados romanos habia habido va rias prisiones. En Mesina y Nápoles se estaban haciendo las Por providencia del Sr. D. Julián Diaz deYela, minis elecciones parroquiales, y S. M. Siciliana habia publicado tro togado , y juez de primera instancia de esta muy he algunos decretos, dirigidos á mejorar varios ramos de la ad roica villa, de 9 del corriente , refrendada por D. Tomás ministración…</t>
  </si>
  <si>
    <t>Díaz, Julián</t>
  </si>
  <si>
    <t>Julián Díaz</t>
  </si>
  <si>
    <t>…n la circulación de todo crédito al cambio y valor que le den verdadero estímulo. ... los hombres y las* circunstancias; y en las negociaciones y Habiéndose seguido-juicio ante el Sr. D. Julián Díaz decontratos de toda especie estará sujeto á las condiciones y Yela , juez de primera instancia en esta heroica villa , y porestipulaciones que quieran los- mismos.” lá escribanía del número de la misma, que despacha D. Top El 17 decía asi: mas María Manrique,…</t>
  </si>
  <si>
    <t>Díaz, Manuel de Corees</t>
  </si>
  <si>
    <t>Manuel de Corees Díaz</t>
  </si>
  <si>
    <t>…úmeros 1489, 1507, 26,038, pueblo del nacimiento del sol, ú oriental. 46, 247, 51,174 y 52,178: D. Juan Morfi del número 1500: Según sus propias relaciones, los indios delawares 6 D. Manuel de Corees Díaz dél 4422: D. Clemente Ibañez de lenni lenape salieron hace muchos siglos de una región Ocerin del 6137 : Doña Josefa de Villar del 16,677 , 37,413 situada hácia el oeste para emigrar hácia el oriente: al lle y 61,894: D. Juan Perez C ineda del 17,036 : D. Jai…</t>
  </si>
  <si>
    <t>Diaz, Pablo Mo</t>
  </si>
  <si>
    <t>Pablo Mo Diaz</t>
  </si>
  <si>
    <t>…años. Egido 28 de Setiembre Jay. = Manuel Vicente de Maya. = Felipe Fermín Paul sz de 182c. Francisco González de Linares. = Doctor Josef Domingo Egido 28 de Setiembre de 1820. »&gt;Sr. D. Pablo Mo Diaz.=Excmo. Sr. Conde de Cartagena." rillo: Mi venerado general: marcha Bauzá en posta con el 1 adjunto pliego de Bolivar, que he abierto y me he entera La junta de gobierno del Banco nacional de S. Car do ; por él sacará V. la consecuencia de como anda esa fa lo…</t>
  </si>
  <si>
    <t>Díaz, Pedro</t>
  </si>
  <si>
    <t>Pedro Díaz</t>
  </si>
  <si>
    <t>…rio de Guerra D. An como persuasiva , nos instruyó y convenció completamen tonio Rosell. te. Honor .1 csie digno religioso, amante de nuestro Go A la de Comercio una exposición de D. Pedro Díaz de bierno y de nuestras Ay'es , que proclama , hace respetar, y la Teña , teniente de fragata retirado, sobre que se prohíba respeta él mismo. la introducción de ciertos géneros extrangeros en la Penín S. Seba: tiau &gt;4 de Agosto. sula y pueblos de Ultramar; y…</t>
  </si>
  <si>
    <t>Díaz, Vicente</t>
  </si>
  <si>
    <t>Vicente Díaz</t>
  </si>
  <si>
    <t>…us discípulos, relativos al corto tiempo que lleva de enseñanza. Madrid 3 de Enero. La M. N. y M. L. ciudad de Valladolid, representada por sus comisio nados los regidores de ella D. Vicente Díaz de la Quintana y Quevedo, ca ballero pensionista de la Real y distinguida orden española de Carlos ni, del supremo Consejo de Hacienda, y diputado general de los reinos; y D. Ma nuel María de Junco, del supremo Consejo de Indias , tuvo el honor de besar la Re…</t>
  </si>
  <si>
    <t>Die</t>
  </si>
  <si>
    <t>…ia: un rayo que cayó en una pagoda la redujo á cenizas, sin dañar' á tres personas que estaban en ella. ESPAÑA. Trebujena 26 de Mayo. , El maestro de primeras letras de esta villa D. Die$&gt;o Josef Caro, deseo so de manifestar al público lps progresos con que los jovenes encargados á su dirección adelantan cada dia en la educación primera, presentó sus discípulos' en públicos exámenes en la iglesia de nuestra Señora de Palomares, adon—' de conc…</t>
  </si>
  <si>
    <t>Diego</t>
  </si>
  <si>
    <t>271</t>
  </si>
  <si>
    <t>…, y son: D. Josef María Puig, D. Francisco López Lisperguer, D. Francisco Ibañez Leí va, Pon Manuel Antonio de la Bodega y Mollínedo, D. Jaime Alvaaez Mendieta, D. Andrés Oller , D. Diego. María Vadillos, y D. Ramón Lopej? Pelegrin , fis cal ; y no siendo, posible hasta la próxima reunión de l^jCortes prestar en ellas el juramento conforme á lo prevenido en dicho decreto de 17 de Abril del año de 1812, lo egecutaran interinamente todos los ref…</t>
  </si>
  <si>
    <t>…modo franco y libe brasero que mandó encender extramuros de la puerta de Fuenral con que aquel presidente ha recibido á los sabios de to carral el dia 30 de Junio de 1683 el limo, obispo D. Diego dos los paites. Sarmiento de Valladares , inquisidor general, donde se abrasaron La colección de las Memorias de la sociedad consta ya vivos todos los infelices que fueron sentenciados aquel día: en ella se manifiesta á unos ardiendo, á otros dándoles garrote…</t>
  </si>
  <si>
    <t>…e por sí mismo so se ha instalado hoy la Diputación permanente de las ordi bre el tímpano , en el cual nada se ha mudado; y otros ci narias de 1S20, y nombrado por su presidente á D. Diego lindros, ó rodetes de una composición desconocióla, distri Muñoz Torrero, diputado por Extremadura, y por secre buyen con su movimiento Ja tinta en los moldes. tario á D. Vicente Sancho, que lo es por Valencia; lo La máquina ocupa menos espacio que la prensa…</t>
  </si>
  <si>
    <t>Diez, Juan Martin</t>
  </si>
  <si>
    <t>Juan Martin Diez</t>
  </si>
  <si>
    <t>Gaceta de Madrid n.º 60</t>
  </si>
  <si>
    <t>…ferir la capitanía general de Castilla la Vieja ál teniente general conde de Montí jo, y el cargo de . segundo cabo coman—* dame general de ía misma provincia al mariscal de campo D. Juan Martin Diez el Empecinado. Asimismo se ha servido S. M. confirmar interinamente en el gobierno.de ía plaza de Santander al brigadier de marina D. Jacinto Romarate. f El dia 25 del mes pasado, estando juntos capitularmente el deán y cabildo de la santa iglesia de Toledo ¿…</t>
  </si>
  <si>
    <t>Diez, Manuela</t>
  </si>
  <si>
    <t>Manuela Diez</t>
  </si>
  <si>
    <t>…pueblos que tuvo arrendadas la Dona Josefa á Doii Pedro Ceniceros, presbítero, y capellán Real que fue en la parroquia de la Cruz de la propia ciudad, á quien sucedió su heredera Doña Manuela Diez, para que dentro del término de 30 días acuda ante dicho señor alcalde mayor á deducir su derecho sobre la pertenencia de los insinuados bienes y rentas vencidas; en inteligencia de que pasado dicho término acordará las providencias que haya lugar para aplica…</t>
  </si>
  <si>
    <t>Diez, Vicente García</t>
  </si>
  <si>
    <t>Vicente García Diez</t>
  </si>
  <si>
    <t>…rse del pliego de condiciones acuda á la escribanía mayor de Rentas del cargo de D. Manuel de Retes. Los comisionados de las masas de las caSas de D. "Vicente Herreros de Tejada y D. Vicente García Diez, vecinos de esta corte, avisan 4 todos los acreedores de ellas concurran desde el 19 del corriente con los documentos justificativos á verifi car su liquidación á la casa de D. Vicente Bertrán de Lis, calle del Duque de Alba, núm. 1, desde las nueve de la mañ…</t>
  </si>
  <si>
    <t>Digeon</t>
  </si>
  <si>
    <t>…e en la Cámara habia sido Parte de la sesión del 6 se empleó en la declaración de va interrogado también en Londres por un sugeto á quien no rios testigos, y entre ellos,en la del general Digeon, co conoce; que el testigo habia dejado en Mesina un buque de mandante de la artillería de la guardia. 269 toneladas, del que era comandante; y que los 800 du ros que inensualmente recibia no eran una compensación PORTUGAL. «uficiente si hubiese tenido fortun…</t>
  </si>
  <si>
    <t>Dios, Juan de</t>
  </si>
  <si>
    <t>Juan de Dios</t>
  </si>
  <si>
    <t>…e D. Dámaso Ortiz , ma •La comisión primera de Legislación presentís su'dicta nifestando sus servicios en la guerra de la independencia, y men acerca de 1» instancia promovida por D. Juan de Dios</t>
  </si>
  <si>
    <t>Doiarea</t>
  </si>
  <si>
    <t>…espondían al extinguido tribunal de la Inquisi da y de Legislación reunidas." Se aprobó). ción , y sobre el modo de conocer y proceder en ellas Se har "Otra indicación se leyó del Sr. Doiarea, «que se pre Hará á 3 rs, en la librería de Trevilla: puede ir en carta. gunte á las Cortes sí se agregará la comisión Eclesiástica;” Demostración de la inutilidad del tribunal de la Inquisi y resolvieron que no. ción, y de la contrariedad en sus operaciones…</t>
  </si>
  <si>
    <t>Doistua, Agustín de</t>
  </si>
  <si>
    <t>Agustín de Doistua</t>
  </si>
  <si>
    <t>…el día 2-6-de Jimio» díPiBi 8- bajo disposición otorgada ante .D. Mariano de Olea, escribano del número de-la misma, nombrando por sus testamentados á D. Francisco de Zabalburu , D. Agustín de Doistua, Doña Teresa y Doña María Antonia de Gordia, vecino^ de dicha villa; y. deseando -estos dar fin al cargo en. qué se hallan constituidos, sin que les quede 1% menor responsabilidad , avi san al publico que ¡cualquiera persona ó corporación que crea tener algún…</t>
  </si>
  <si>
    <t>Dola</t>
  </si>
  <si>
    <t>…sino fin que se habían propuesto sus sí pedido una explicación á sus duda'. fundadores y sostenedores; á saber: el de conservar las fa No estando aun suficientemente di cutido, el Sr. Dola milias y los apelados, y cabalmen.e habia servido para los res se opuso al ar ículo. suponiendo la necesidad de la no contrarios fines; y en su consecuencia en Córdoba no ha bleza hereditaria en una fnónarqtiía, Ui antigüedad de los bían quedado ni caballos n…</t>
  </si>
  <si>
    <t>Dolarea</t>
  </si>
  <si>
    <t>…otaciones de los Infantes-no comprenden á sus hijos, los S- M. alteraba algunos artículos Je aquel, tom j la palabra cuales quedan sin medios de sostenerse,.reclamó la atención el Sr. Dolarea, y prometió hacer una indicación sobre este de las Cortes sobre estos, llamados en su caso y lugar á asunto. ocupar el trono. Al exponer la necesidad .que h. bo de echar Se leyó la proposición que en la sesión de ayer hizo el mano de un empre'stito de 40 mill…</t>
  </si>
  <si>
    <t>…a, y podría examinaría, y ver si á bien dar las Corres sobre mayorazgos. sería conveniente admitirla ó desecharla. Se aprobó también otro dictamen de la comisión de Luego habló el Sr. Dolarea en ct mismo sentido que el Guerra sobre la exposición para reformas y economía de los Sr. Calatrava, de quién dijó que le había prevenido, y que estados mayores de esta plaza; y era, que estando el Go se trataba solamente de las pruebas que deben preceder á l…</t>
  </si>
  <si>
    <t>…chas no A D. Josef Canga Arguelles. deben recaer castigos , y el vago no es un criminal, sino que se recela que podrá serlo. Por el ministerio de Hacienda se ha comunicado á la El Sr. Dolarea apoyó al Sr. Silves, en que era necesario Dirección general la orden siguiente : señalar un termino mas largo que los tres dias que prescribe, IJacienda de Ultramar. Los Sres. diputados secreta el artículo ; pero habiéndole dicho los señores de la comi rios d…</t>
  </si>
  <si>
    <t>…de! 15 y 16 de Julio, solemnizándose en la Se leyó el acta de la anterior, á que se mand.i-agregar el primera con música y canciones patrióticas, que se entona voto particular del Sr. Dolarea, contrario á la resolución ron por algunos jovenes, y en la segunda por medio de la tomada con la indicación del Sr. Ramírez Cid, sobre má música militar del regimiento caballería de Alcántara, á que ximum de magistrados cesantes de los consejos suprimidos. a…</t>
  </si>
  <si>
    <t>capacidad de poseer, ó de nulidad de fundación. En estos daron unir otras dos; una del Sr. Dolarea con arreglo 4 ios casos los poseedores, ni los que les sucedan, no podrán dis fueros de Navarra, y otra del Sr. Loizaga con respecto á. las poner de los bienes corno libres hasta que en última ins leyes de Vizcaya; y el Sr. Calatrava dijo qnq ¡a comisión tanc…</t>
  </si>
  <si>
    <t>…establezca el derecho de gentes ó habia extendido su proposición, y tas ventajas que á la Na los tratados existentes." ción se seguirían, como las que habia experimentado la in El Sr. Dolarea quiso probar la necesidad de las represa glesa ; y apoyó este artículo de la comisión, como que no lias en algunos casos ; pero habiéndole contestado el señor solo se limitaba á lo que él habia propuesto, sino que se ex Yandíola que la comisión no podía adopt…</t>
  </si>
  <si>
    <t>…de Legislación para quocj^aptusfrecra v-ti dictamen. á haberse declarado el punto suficientemente discutido; y Se mandaron pasar á la cornijón,D|,de: Gu erra , y después otro de! Sr. Dolarea contra la resolución de no haberse ad á la biblioteca, dos egemplnres d¡|&amp;lirobsM laudada Sistema mitido á discusión en la sesión extraordinaria de ayer la in milit ¡r, que para dicho fui habHptmR.cn itidoa su autor, ayu dicación del Sr. Casaseca. dante mayor…</t>
  </si>
  <si>
    <t>…arta á los párrocos de los lugares que Después de algunas observaciones del Sr. Lasanta sobre determinen las Cortes.” el presupuesto en general, se puso este á votación por par El Sr. Dolarea hizo algunas observaciones sobre ciertas tes , y quedó aprobado enteramente. dificultades, que disolvió el Sr. ministro de Hacienda. Se pasó en seguida á la discusión de la segunda parte El Sr. Banqueri fue de dictamen que se rebajase la ter del dictamen de l…</t>
  </si>
  <si>
    <t>…por suministros! Habiendo advertido el Sr. Traver que Se mandaron en seguida agregar ál acta un voto parti estos pueblos estaban incluidos en aquellas, las retiró su au cular del Sr. Dolarea, contrario á la resolución de que se tor i y se levantó la sesión. votara el dictamen en su totalidad, y otro del Sr. Diaz Morales, suscrito después por otros señores, contrario á la declaración de estar suficientemente discutido el mismo dic Los periódicos e…</t>
  </si>
  <si>
    <t>…Estado; y habiendo dicho el Sr. presidente quo Defendiendo la indicación el Sr. Flotez Estrada, refutó lo verificaría, señaló para mañana la discusión del dictamen directamente al Sr. Dolarea, extrañando que en su discurso de la comisión encargada de informar acerca de los 69 ex hubiese reclamado por la mañana, las leyes para favorecer diputados que firmaron la representación de 12 de Abril de la existencia del derecho de los actuales consejeros d…</t>
  </si>
  <si>
    <t>Dolarea, Alejandro</t>
  </si>
  <si>
    <t>Alejandro Dolarea</t>
  </si>
  <si>
    <t>…dichas escuelas. " Madrid ij) de Enero. - El día 4 del pasado, tuvieron la honra de felicitar á SS. MM. por sí, y á nombré del M. N. y M. L. ayuntamiento de ia ciudad de Pamplona, Don Alejandro Dolarea, consejero de Ordenes; D. Josef Martínez , primer médico de Cámara de S M., honorario del supremo de Hacienda, y D. Blas Echalecu , canónigo dignidad de chantre de la santa iglesia metropolitana de Santia go , y sumiller de cortina de S. M.; y el primero.dijo…</t>
  </si>
  <si>
    <t>Dolaren</t>
  </si>
  <si>
    <t>…os regulares Piquer, médico de Familia, sobre sanidad, y pedia se le profesos, y las de los freiles de Sancti Spiritas." permitiere dedicarla á las Cortes; á lo'que se accedió. El Sr. Dolaren hizo una indicación para «que te decla Se pasó en seguida á la discusión pendiente del proyec re que no se hallan incluidos en los monasterios de canóni to de reforma de regulares. gos profesos de S. Agustín los canónigos de la catedral de Se leyó una indicac…</t>
  </si>
  <si>
    <t>…enunció en el mismo hecho.” Admiti pees de la cual conceptuaba habían perdido su derecho da á discusión, la suspendió el Sr. presidente por ser cerca los expresados consejeros. El Sr. Dolaren se decidió por el de las cuatro, y la señaló para la sesión extraordinaria de la dictamen de la comisión en todas sus panes, y el Sr. Cal noche, levantando la de este dia. derón convino iustancialmeníe en lo mismo. Después de haber renunciado á la palabra el…</t>
  </si>
  <si>
    <t>Dolares</t>
  </si>
  <si>
    <t>…que habla ganado bajo la inspección del ayuntamien no se debía sacar nada de las mismas, sino hacer que los to, á cuyo cargo corría anteriormente. paguen Jos que los trajeron. El Sr. Dolares, después de haber convenido en que se El Sr. Martínez de la Rosa dijo, que decretada ya por habia procedido al restablecimiento de los jesuítas sin for el. Congreso la extinción de e ta Compañía, ju-tameme me malidad ninguna, como habia visto por sí mismo en…</t>
  </si>
  <si>
    <t>Domenech, Joaquín García</t>
  </si>
  <si>
    <t>Joaquín García Domenech</t>
  </si>
  <si>
    <t>…lerías hasta sueldo que se le quedó á deber al Se fin de Diciembre de 1819................. 46,273-12 ñor Gefe político que fue en comi AI 3 por 100 de ella para gastos de re sión D. Joaquín García Domenech.. 4,000 caudación........................................... 2,357- c Por lo entregado en .virtud de orden da Ala suscripción destinada para socorro Ja diputación provincial al Sr. D. Jc- de los pueblos contagiados en Ma sef. Zorraquin, diputado que fue por l…</t>
  </si>
  <si>
    <t>Domia</t>
  </si>
  <si>
    <t>…n la honra de felicitar á 5. M. por su augusto . enlace, ¡á nombre del cuerpo de maestrantes de Ronda* el Exorno Sr. Don Francisco Quejpo de. ldano, el marques de Casa-Madrid y el Sr. D. Domia. go -Ramírez Arellano; habiendo manifestado el primero, laalta satisfacción que . cabía á aquel distinguido cuerpo por tan fausto acontecimiento. S. M. lo oyó con $u afabilidad característica, mostrándose agradecido á * tan leales sentimientos. El 18 del mism…</t>
  </si>
  <si>
    <t>Domínguez, Eugenio</t>
  </si>
  <si>
    <t>Eugenio Domínguez</t>
  </si>
  <si>
    <t>…ue del egército de Va lencia y de Andalucía, contador principal de este último, intendente de la provincia de Guadalajara , y actualmente de la de Murcia: para esta intenden cia á D. Eugenio Domínguez, administrador general que fue de tabacos de la provincia de Galicia , y ministro de Hacienda de Mahon, é intendente ahora de Guadalajara: para esta á D. Juan Florín, contador de resultas del tribunal de Contaduría mayor, oficial de la secretaría del Despacho…</t>
  </si>
  <si>
    <t>Domínguez, Josef Francisco</t>
  </si>
  <si>
    <t>Josef Francisco Domínguez</t>
  </si>
  <si>
    <t>…general de milicias se circularon á los gefes dfc los regimientos provinciales, de que dimano !« prisión del bri gadier D. Y ícente de Y' argas, secretario de dicha inspección, el capitán Don Josef Francisco Domínguez , y el teniente D Manuel Campillo, oficiales em pleados en la misma, copiando V. E el auto que por haberse dirigido el proceso por el tribunal especial de Guerra y Marina, para qué eop arreglo á ía Constitución y las leyes fuese fallado por el juzgado militar…</t>
  </si>
  <si>
    <t>Don</t>
  </si>
  <si>
    <t>…carles el premio de sus crueldades y rebeldía. * ,,Dios; guarde á V. Sómuchos años. S. Luisde la Paz Setiembre 3 de 1819.:= Josef Cristóbal Viliaseñor.;=Sr. brigadier y comandante general Don .Melchor Alvarez.” Madrid 23 de Febrero. En el -día 12 del corriente éPExcmo. Sr. D, Luis de Onís, del Consejo de Estado, caballero gran cruz de la orden americana de Isabel la Católica, pensionado de la de Cárlos 111, enviado extraordinario y ministro pleuíp…</t>
  </si>
  <si>
    <t>…do rigor las leyes penales de la ordenanza. La jo D. Ignacio Aguirre.. , - : . ■ordende 16 de Eneró de' 1812, prohibiendo la concesión ’Plari dé organización militar: ríi autor el coronel Don •de gracias de cadetes á lós niños de tierna edad. El decre Ignacio Hacha Paíiño. ""...... cb‘" . ■ Memorias en que se discurre el modo de cón'titub ja to de' 2 2 de Abril de 1812 , estableciendo para los mi,litarás 'un ptemió medio éntre los de constanciay*…</t>
  </si>
  <si>
    <t>…s demas hospitales. El Sr. secretario de Estado y del Despacho de la Guer Dijo luego el Sr. La santa que lo que importaba era saber ra ha recibido el siguiente oficio del teniente general Don si debia pasar á una comisión, ó si las Cortes podían decidir Pablo Morillo, conde de Cartagena, general en gefe del al momento, y que se debia tener presente q :e existen el Cgérciro pacificador de Costa-firme. dic amen de la-J nta provisional y el del Conse…</t>
  </si>
  <si>
    <t>…ria de tres hé roes españoles, acaban de dar á luz tres láminas, dedicadas ¿ »En calidad de funcionario sueco, y estimulado por la memoria del mártir de nuestra libertad el Excmo. Sr. Don mi zelo en favor de las ciencias y de la humanidad, debo Luis Laci. El retrato del héroe, que forma el objeto de la pri comunicar al colegio de sanidad un descubrimiento de la mera; su desembarco en el castillo de Belver, en Mallorca, que mayor importancia, h…</t>
  </si>
  <si>
    <t>…ministerio de Guerra. denota que corresponde al maestrazgo la citada dehesa. Al capitán general D. Josef de Palafox y Melcy., presi Téngase entendido también que en el reinado de! Sr. Don dente de la junta de la orden militar de S. Hermenegildo^ Felipe 11 se incorporaron al heredamiento del sitio de digo con esta fecha lo siguiente: Aranjuez, ó sea al Real patrimonio, varios terrenos que e! «Habiendo resuelto el Rey por Real orden ;de ti *de m…</t>
  </si>
  <si>
    <t>…ino que se consu elogios: hagamos honorífica memoria de las fatigas sufridas men en el misino pueblo provienen de iooQ fanegas fran y servicios prestados por el teniente de Rey el coronel Don cesas de viña de la mejor calidad. Felipe Scudieri, por el capitán Patti, del regimiento Re de Resulta pues que la población de Taris, que viene á ser artillería, por el comisario de guerra D. Antonio Montoro, la cuadragésima parte de la del reino, consume an…</t>
  </si>
  <si>
    <t>…or término de 30 dias. Se pusieron después á votación las restantes del dicta men , que fueron aprobadas, y decian que si alguno hu En virtud de providencia de 2 del corriente del Sr. Don biese cometido delito en tiempo del Gobierno absoluto, Manuel María de Arbizu, ministro togado cesante del extin se le acusase y juzgase con arreglo á las leyes; que solo guido consejo de Indias, y asesor general interino de tropas se nombrasen en la actualid…</t>
  </si>
  <si>
    <t>…66 y tes, y con una noticia circun.tanciada de las exequias del bene dos tercios los foros, enfireusis, y cualquiera otra carga per mérito coronel D. Félix Alvarez Acevedo: por el capitán Don petua por su naturaleza, ó por la constitución del contrato; Josef de Urcullu. Se vende en Madrid en la librería de Perez, y los capitales de unas y otras en créditos consolidados se y en Salamanca en Ja de Cabrerizo , á 15 rs. entregarán á la junta nacional…</t>
  </si>
  <si>
    <t>…del país, sino que el general D. Florestano Pepé, se oyó la proposición dq podemos extraer cierta cantidad; y asi es que el Gobierno Otro diputado (el Sr. Dragonetti) en favor del general Don ha enviado á Londres un comisionado para obtener permi-r Guillermo Pepé, de cuya modestia y moderación hizo los so de introducir tn Escocia ó en Inglaterra el sobrante de mayores elogios. La proposición se tíirigia á que el Parla nuestros granos de reserva. m…</t>
  </si>
  <si>
    <t>…. tivos á las ocurrencias acaecidas en el cuartel en ia noche del 8 Carabineros Reales, *4}. Diez regimientos de caballería de al 9 de Julio de este año; con acuerdo y parecer del Sr. Don linea, 51 so. Doce idem de caballería ligera, ó 180: total de Bruno ValU riño, a;esor general dé los cuerpos y tropas de la caballería, 12,475 hombres. Arnl.ería, 5® hombres. Za casa Real y su juzgado privativo, por ante mí el insfrascripadores, 1®: toral de…</t>
  </si>
  <si>
    <t>…uto de hacer postura y enterarse de los títulos de pertenencia acudirá un trabajo penoso y de muchas investigaciones, de una ú la escribanía de dicho juzgado privativo á cargo del Sr. Don obervacion constante y de una razón ilustrada ; pero lo que Román Lorenzo Calvo. particularmente le recomienda es aquella exactitud, y aquel Doña Francisca Fernandez, viuda de D. Pedro Alcántara espíritu de sana crítica tan recomendable en un escritor. Fernan…</t>
  </si>
  <si>
    <t>…nales, justicias, „ Simón Bolivar, libertador presidente de la república, gefes, gobernadores y demás autoridades, asi civiles como eneral en gefe del egército 8cc. &amp;c.: Ai Excmo. Sr. Don militares y eclesiásticas, de cualquiera clase y dignidad, f'ablo Morillo. Al abrir esta campaña no puedo menos de que guarden y hagan guardar , cumplir y egecutar el pre dirigirme á V. E. para darle la última prueba de la fran sente decreto en todas sus part…</t>
  </si>
  <si>
    <t>Dongo, Narciso</t>
  </si>
  <si>
    <t>Narciso Dongo</t>
  </si>
  <si>
    <t>…e se hallan en posesión, con la obligación de secretaria DF.L consejo df, estado.__ Vacante. pagar las pensiones que han pagado hasta ahora, á cuyo fin Cuzco. Por fallecimiento de D. Narciso Dongo ha que dispondrá el Gobierno lo que juzgue conveniente; y la se dado vacante la dignidad de maestrescuela de aquella santa gunda para que los abades y ¡os monges pensionados no dis iglesia catedral que obtenía en ella, cuya renta está regu fruten de tas asign…</t>
  </si>
  <si>
    <t>Dono, Juan Ó-</t>
  </si>
  <si>
    <t>Juan Ó- Dono</t>
  </si>
  <si>
    <t>…-Hacienda lo que siguen * ; . 's‘ ; ~ ,iEl Re* hatémdó &amp; bien nombrar para sus ayudantes de campo * -los. tenientes ¿generales d&gt;. -Francisco ballesteros y marques dé Campoverde; D. Juan Ó- Dono jó &gt; D. Pedro Vil tacampa y D. Josef de Zayas; á los ma riscales de campo D. Antonio Quiroga'y D. Rafael del Riego ; y sin que en ningún caso pueda hacer-egemplar, -yen atención á sus muy particulares ser» -viciost al brigadier conde de A!modof.'3r, capitán-…</t>
  </si>
  <si>
    <t>DonoughmoCarecen</t>
  </si>
  <si>
    <t>…NIA. ' Varios lores le examinaron después, y de sus respues tas resultó que nunca habia visto á nadie en el pabellón da Spira 8 de Octubre. la Princesa; pero habiéndole preguntado lord DonoughmoCarecen de fundamento los rumores esparcidos acerca re cómo era que no salda donde dormía Bergami a su're del aumento de tropas en los estados prusianos del Rhiu, greso de Africa á Europa., dijo Mr. Brougham que no po aunque es cierto que se ha trabajado mucho este v…</t>
  </si>
  <si>
    <t>Donoughmore</t>
  </si>
  <si>
    <t>…ha seguido el partido de la El lord Hawrood desechó el bilí, porque le conside oposición inglesa en e.i asunto de la famosa causa de la Rei raba como una medida impolítica ; y el lord Donoughmore na? ¿Se ha unido acaso á esos montones de hombres que votó por él, porque las mismas declaraciones á favor de la desean derribar el ministerio para trastornar el Estado? Reina le habían convencido de su conducta indecente, (óe Véase la conducta y lo* discurso…</t>
  </si>
  <si>
    <t>Dot, Jaime</t>
  </si>
  <si>
    <t>Jaime Dot</t>
  </si>
  <si>
    <t>…, porque la te-orería general echaría timientos patrióticos manifestados en una representación , di mano de los caudales para sus urgencias, y no habría nu rigida á las Cortes por D. Jaime Dot á nombre de los fa merarlo pafa el principal objeto de la renta. bricantes de telas de Cataluña, con motivo de la energía El ór. Sierra Pambley defendió el dictamen de la co que mostró el Congreso en la sesión del 7 de Setiembre. misión , manifestando que est…</t>
  </si>
  <si>
    <t>Dou, Cayetano de</t>
  </si>
  <si>
    <t>Cayetano de Dou</t>
  </si>
  <si>
    <t>…ó ei nombrar sugetos de opinión y luces para la presidencia. El nombra miento recayó en los sugetos siguientes: para la parroquia del Pino D. Josef •Anglasell; para la de S. Pedro D. Cayetano de Dou , abogado; para la de San Miguel D. Francisco Tomas Ros; para la de S. Jaime B. Prosperó Bofarull, archivero general de la corona de Aragón j para la de S* Cucufateel Sr. mar ques de Monistról ó D. Ignacio Palaudarias; para la de S. Justo D. Francisco Benús,…</t>
  </si>
  <si>
    <t>Douglac</t>
  </si>
  <si>
    <t>…erio, virey de Italia, tendrá el mando gene pedia se le excusase de asistir; cuya solicitud fue acordada ral de los dos ejércitos, y por último se dice que se espe á propuesta del lord Douglac. ran muchas tropas, que deben hacer parte de estos cam Se levantó el duque de Yorck, y dijo que aunque le pamentos , y que están en marcha desde diferentes puntos. unían al Rey los mbmos vine .los de parentesco, no creía que esta razón era suficiente para dej…</t>
  </si>
  <si>
    <t>Downie</t>
  </si>
  <si>
    <t>…ara so siderando abiertas ya las fuentes de la prosperidad nacio bre ciertos incidentes relativos al privilegio concedido al nal. No podíamos menos de hacer las demostraciones mas general Downie para introducir azúcar y cacao en la Pepuras del júbilo y entusiasmo que en todos despertó noti nín sula. cia tan satisfactoria: asi lo hicimos, si no á medida de Habiendo pedido el Sr. Moscoso, como adición, que á nuestros deseos, á lo menos como nos era pos…</t>
  </si>
  <si>
    <t>Tío se expresaba por !a comisión el que hubiese el Sr. Downie bre los aprobados por las Cortes extraordinarias, y haber cumplido lo que prometió al solicitar el privilegio; y se hablado acerca de la pena que se imponía en este el -Sr. Ro acordó no haber lugar á 'votar. mero Alpuente, que la conceptuaba excesiva , y los…</t>
  </si>
  <si>
    <t>Downie, Juan</t>
  </si>
  <si>
    <t>Juan Downie</t>
  </si>
  <si>
    <t>…o se pasó una exposición de D. Gil Gutiér Se leyó el dictamen de la comisión segunda de Hacien rez , comandante del escuadrón de cazadores de Cuenca, da acerca de la exposición de D. Juan Downie para que manifestando sus servicios en la guerra última, y pidiendo se le permitiesen introducir 30 fanegas de cacao que le res se le pagasen los atrasos que se le debían. taban de su privilegio de introducción , concedido por el A la comisión de Premios se p…</t>
  </si>
  <si>
    <t>Doz, Juan</t>
  </si>
  <si>
    <t>Juan Doz</t>
  </si>
  <si>
    <t>De'P ues de esto se declaró no haber locar á votar sobre de infantería, su coronel Juan Doz. =Por el regimiento de una indicación-del Sr. Istariz, pidiendo que se le relevase caballería del Príncipe, Josef María Cueto, teniente coro de la comisión de Premios, a la que no podia asistir por tx- nel, mayor y comandante actual. = Por el regimiento de zo…</t>
  </si>
  <si>
    <t>Dr</t>
  </si>
  <si>
    <t>sentacion á indulto del rebelde cabecilla titulado teniente general Dr. D. Jo sef Antonio Magos y otros varios. ,,La larga correspondencia que me ha enviado Villaseñor la dirigiré á V. E» por el correó , haciéndolo ahora de este oficio ', para que V. B. tenga esta anticipada satisfacción, y vea con gusto el fruto de sus disposic…</t>
  </si>
  <si>
    <t>…alma de su angusta Reina. Doña María Isabel de BraganZa , que ofreció á Dios la Excelentísima ciudad de Barcelona en los dias 2f y 22 de Enero del corriente año, predicó el limo. Sr. Dr. D. Félix Ámat, dignidad de sacristán inayor. de la misma santa.iglesia; con una sucinta re lación de las honras fúnebres que se hicieron en dichos días. Se hallará en 1a líbrería (de;Calleja , éjalleide las Carretas.» y en Barcelona etr la.de Roe* , á 3 rs.…</t>
  </si>
  <si>
    <t>Drago</t>
  </si>
  <si>
    <t>Gaceta del Gobierno n.º 173</t>
  </si>
  <si>
    <t>…póles 14 de Noviembre. Vierta 18 de Noviembre. PARLAMENTO NACIONAL_____ Sesión del 9. Se ha sabido, según dicen de Temeswar, que ha dado Se leyó por segunda vez la propo'icion del Sr. Drago— órdenes el Gran Señor para que se reúna un cuerpo consi netti, dirigida á que el teniente general D Flore taño Pepé derable de tropas en las cercanías de Belgrado. fu ese declarado benemérito de la patria, por haber termina do los funestos negocios dé T'aler…</t>
  </si>
  <si>
    <t>Dragoneen</t>
  </si>
  <si>
    <t>…er es que dio parte á S. M. de los desposorios del Infante de crutinio, y el Sr. Ruigiero- vice-presidente. Fue asimismo laica con vona Princesa de Cerdeña. nombrado secrerario ei Sr. Dragoneen en lugar del que aca baba de cumplir el egercicio de sus funciones. ¡POLONIA. Un Sr. diputado propuso la abolición de las órdenes re ligiosas en Sicilia , y un proyecto de decreto contenido en Varso-jia gi de Octubre. los art.culos siguientes: 1.-' Que sean s…</t>
  </si>
  <si>
    <t>Dragonetri</t>
  </si>
  <si>
    <t>…que se dirigían apresuradamente á la tribu guió á este na, pudiesen ocuparla. (fVo.r aplausos desde las tribunas.) Por último, concluyó diciendo que tenia alguna pre Al apoyar el Sr. Dragonetri la propuesta del Sr. Poerio, vención contra la L&lt;.eir&gt;a, y que estaba rezeoso de q ,e aló ofreció por su parte 300 ducados. fin se probasen los hechos de que (a acusaban,’ lo cual le . Hizo con este motivo varias observaciones sobre los hubiera puesto en la f…</t>
  </si>
  <si>
    <t>Dragonetti</t>
  </si>
  <si>
    <t>…e grano para las necesidades del país, sino que el general D. Florestano Pepé, se oyó la proposición dq podemos extraer cierta cantidad; y asi es que el Gobierno Otro diputado (el Sr. Dragonetti) en favor del general Don ha enviado á Londres un comisionado para obtener permi-r Guillermo Pepé, de cuya modestia y moderación hizo los so de introducir tn Escocia ó en Inglaterra el sobrante de mayores elogios. La proposición se tíirigia á que el Parla nue…</t>
  </si>
  <si>
    <t>…emplear contra ellos quiera que concibiere proyecros hostiles de agresión Fir los medios que prescribe la Constitución. mes y prontos para nuestra defensa , debemos dar á la Eu El Sr. Dragonetti dijo que se preguntase al ministro de ropa testimonios de que no pensamos en planes de engran la Guerra por qué hablan sido despedidos 60 veteranos de decimiento ni de ofensa. Este es el fundamento sólido de los que volvieron al egércirojy pidi &gt; que se envia…</t>
  </si>
  <si>
    <t>…ntza con dirección á Sarre-Luis y ción de las aduanas internas, y la de toda especie de dere Tréveris para pasar desde allí á Luxemburgo, donde com chos de baronía en Sicilia: del Sr. Dragonetti para que. pondrán parte de la guarnición belga-prusiana que hay en los milicianos de cada provincia tengan un cuerpo de arti aquella plaza. Otros muchos regimientos lian recibido tam lleros , y á lo menos seis piezas de artillería : 6.a del Sr. Borbién orden…</t>
  </si>
  <si>
    <t>Dubois</t>
  </si>
  <si>
    <t>…diligencia para el alivio, buen Saint-Flour: para la de Saint-Flour á Mr. Salomón , obis trato y asistencia de los enfermos. po in partibns de Orthosia : para la de Dijon al limo. Sr. Dubois, vicario general de Me'.z; y para la de Elvás al Madrid 9 deJulio. limo. Sr. Athaide. DIRECCION GENERAL DE LOTERIAS. INGLATERRA. Noticia de los pueblos donde han cabido los premios mayores del sorteo de grandes premios, celebrado en el dia Londres zi de Junio…</t>
  </si>
  <si>
    <t>Duchen, Salvador</t>
  </si>
  <si>
    <t>Salvador Duchen</t>
  </si>
  <si>
    <t>…maestranza y en el departamento militar. El prín tad de imprenta. cipe Mctternich y los embajadores extrangeros que debían ir á Pest se detendrán ya en Viena hasta el 28 de Setiem Don Salvador Duchen, profesor de Historia natural, y bre ; y se aseguraba que la reunión de los Soberanos se ve— grabador de cámara de S. M., ha descubierto un específico ríficaria en Troppau.__Pata el 10 de Octubre debia empe para preservar de la polilla los paños, la lana en v…</t>
  </si>
  <si>
    <t>Dueñas, Bernarda García</t>
  </si>
  <si>
    <t>Bernarda García Dueñas</t>
  </si>
  <si>
    <t>…r cuenta del Cré Otra idem de 1-2fanegas, que la divide la raya del tér dito público &amp;c. mino de Valdemoro y Torrejon de Velasco. (S¿ conti ALMERIA. nuará. ) Capellanía fundada de Doña Bernarda García Dueñas. ANUNCIOS. La tercera parte de un molino harinero en la Vega. Idem idem de D. Francisco Ortega. Se cita á los acreedores de D. Jaime Buscallá, del comercio Una hacienda de riego en Benadux. de esta corte, para Ja junta que ha de celebrarse ante el señor Idem…</t>
  </si>
  <si>
    <t>Dueñas, Domingo de</t>
  </si>
  <si>
    <t>Domingo de Dueñas</t>
  </si>
  <si>
    <t>…ncia del sueldo que las referidas clases ha de Frías, D. Josef Soler del Olmo, D. Pedro Pablo Belyan dejado de percibir ; y enterado por exposición de la tran , D. Isidro Lasauca, D. Domingo de Dueñas , D. Fran junta de gobierno del expresado monte de que por el enun cisco Antonio de Tudo , D. Josef de Ortiz, D. Josef de ciado extinguido Consejo solo se dió conocimiento de la Masdevall, D. Manuel de Fortuny , D. Miguel de Prats y mencionada Real resolución…</t>
  </si>
  <si>
    <t>Duer, Antonio</t>
  </si>
  <si>
    <t>Antonio Duer</t>
  </si>
  <si>
    <t>…ciese el uso conveniente. Se mandó en efecto pasar á esta; y levantó el Sr. presiden -SECRETARIA DEL CONSEJO DE ESTADO. ——Vacañtt. yj te la sesión. Nueva-Esparta. Por promoción de D. Antonio Duer Los periódicos extrnngeros recibidos hoy contienen no nas y Cortés á una -ración de la-santa iglesia.de Mékibo ha ticias de Londres hasta el 18 de Setiembre ; de París hasta resultado vacante la que obtenia en la de Valladoltd. de Me» el 22, y de Alemania hasta e…</t>
  </si>
  <si>
    <t>Duffield, Juan</t>
  </si>
  <si>
    <t>Juan Duffield</t>
  </si>
  <si>
    <t>…320. D. J. B., 40. D. Tomas Smith y com calle de las Carretas, librería de Ortega. pañía, 320. D. N. P. Bassadone, 80. Los Sres. Muir Torry y compañía, 320. D. Isaac Hadwen, 320. D. Juan Duffield y compañía, 320. D. Jacinto Narice, 80. D. Guiller mo Gray y compañía, 640. D. Juan Haffenden y compa ANUNCIOSñía, 320. D. Carlos S. Middleton, 8o. D. Joaquín Bobadilla, 160. D. Diego Terry, 80. DI Jacinto Isnardy, 320. El heroísmo del amor filial. Isabel, ó…</t>
  </si>
  <si>
    <t>Dumourier</t>
  </si>
  <si>
    <t>…portados sin mucha dificul tad , creemos que los ofrezca á su patria, contribuyendo á aumentar las rique zas de nuestros museos con estas reliquias de la inagotable antigüedad. El general Dumourier permanece en Londres: tiene 80 años de edad, y se ha mandado retratar. Se dice que trata de salir de París el duque de Róvigo, el cual está aso ciado á una casa de comercio de Smirna. Idem 9. El Rey de Wurtemberg se ha suscrito por la cantidad de 800 francos…</t>
  </si>
  <si>
    <t>Duncanno</t>
  </si>
  <si>
    <t>…del 3 haber habido una Reina, como sí el pueblo se esmerara á portia-en mamfesta sedición en Zante; pero que al momento se había resta el Interes que por su buena suerte toma. El lord Duncanno. blecido la tranquilidad. le ha presentado una firmada por 10,600 mugeres de ShefEn Treflis se habían sentido el f de Julio dos temblores- field: las de Halifhx le han remitido otra, presentada por de tierra, acompañados de un ruido muy fuerte. Los edifi el a…</t>
  </si>
  <si>
    <t>Dunsany</t>
  </si>
  <si>
    <t>…do, á saber; el arzobispo de Tuam 300 buenos ciudadanos. libras esterlinas, el lord Brittas 1 ;o, el lord Mountgaret Ei arzobispo de Salerno ha dirigido á S. M. una expo roo, y el lord Dunsany 20. En 6 de Mayo de 1644, ,Por sición, felicitándole por los sucesos ocurridos en favor de la haberse ausentado también, fueron condenados cuatro Pares patria, y lo mismo ha hecho el arzobispo de Chieti. de Irlanda á pagar 100 libras esterlinas de multa, y ot…</t>
  </si>
  <si>
    <t>Duplessír</t>
  </si>
  <si>
    <t>…blecido la enseñanza en uno de los mejores parages D. Juan B. Cook, cónsul de los griegos, 320. D. Horario de esta villa; y para arreglar horas y precios tendrán" la Sprague, 320. D. D. Duplessír, 80. Los Sres. Gibbs Casson bondad los que quieran emplearles, de dejar sus señas en la y compañía, 320. D. J. B., 40. D. Tomas Smith y com calle de las Carretas, librería de Ortega. pañía, 320. D. N. P. Bassadone, 80. Los Sres. Muir Torry y compañía, 320. D.…</t>
  </si>
  <si>
    <t>Dupon, Josef</t>
  </si>
  <si>
    <t>Josef Dupon</t>
  </si>
  <si>
    <t>…como las del Gobierno legítimo, es de espe las pesca. rar que bien pronto veremos desaparecer los males que nos Se mandó pasar á la comisión de comercio una instan oprimen. cia de D. Josef Dupon, del comercio de León en Francia, sobre licencia para cargar un navio con mercancías de libre NOTICIAS DEL REINO. comercio. A la de Poderes una copia del acta de la junta electoral Motril &lt;f de Setiembre, de Canarias, remitida por el ministerio de la Gobernac…</t>
  </si>
  <si>
    <t>Duran, Francisco Xavier</t>
  </si>
  <si>
    <t>Francisco Xavier Duran</t>
  </si>
  <si>
    <t>…a, E n esta corre la casa sita en la plazuela del duque de D. Juan Villa y Olier , se cita, llama y emplaza á Mr. ThiAlba, mím. 23 , manz. 143 , donde antes estuvieron situa baud, D. Francisco Xavier Duran, D. Felipe Fernandez JBobadas la' oficinas del establecimiento. dfila, D. Diego Moreno, D. Migual Francisco Aspiroz, Don Otra idem en la calle de Jacometrezo, núm. 2, manza Miguel Antonio de la Torre, D. Luis González y D llenrina 3; ; ; cuyas fincas son las…</t>
  </si>
  <si>
    <t>Durana, Miguel Lafuente y</t>
  </si>
  <si>
    <t>Miguel Lafuente y Durana</t>
  </si>
  <si>
    <t>…compendio históri co de la religión por. el aEate Fleúrí; habiendo quedado sumamente satisfe chos los concurrentes del mérito, zelo infatigable y buen método de su dig no maestro D. Miguel Lafuente y Durana. Deseoso dicho ayuntamiento de fomentar los progresos de la enseñanza pública por medio de la emulación, repartió entre 12 de los dichos niños ©tras tantas medallas de plata de diversos tamaños, según el mérito de los pre miados,^» la siguiente inscripción :•…</t>
  </si>
  <si>
    <t>Durango, Domingo Pozo y</t>
  </si>
  <si>
    <t>Domingo Pozo y Durango</t>
  </si>
  <si>
    <t>…a salido esta mañana con S. M. la Reina para pedientes remitidos por la secretaría de Gracia y Justicia, «Génova, con el objeto de tomar los baños de mar, y se promovidos, uno por D. Domingo Pozo y Durango , y otro «proponen SS. MM. estar de vuelta en sus Estados á tiñes por el marques de Villamejor, solicitando facultad para «de Agosto próximo." enagenav algunas fincas de sus respectivos mayorazgos. Se dió cuenta de una exposición de D. Anastasio García NOTICI…</t>
  </si>
  <si>
    <t>Duro, Atanasio</t>
  </si>
  <si>
    <t>Atanasio Duro</t>
  </si>
  <si>
    <t>130</t>
  </si>
  <si>
    <t>…odas las cañadas que dan vista á la hacienda de Buenavista, recorriendo los puntos inmediatos y puerto de Pinto, no habiendo logrado mas que coger prisionera la muger del titulado capitán Atanasio Duro, la que con servo en mi poder para ver sí de este modo se logra su indulto. El 2^ la con tinua lluvia de la noche anterior, el cansancio de la infantería y la caballada, y las incesantes marchas me hicieron regresar á esta ciudad , y situar U pri mera y segun…</t>
  </si>
  <si>
    <t>Dyer, Tomas</t>
  </si>
  <si>
    <t>Tomas Dyer</t>
  </si>
  <si>
    <t>…M, se publica para noticia de los interesados. LITERATURA. El Rey, en consideración á la recomendación de las En los periódicos de Paris se ha anunciado una nue Cortes en favor de D. Tomas Dyer, á los servicios que va edición completa y muy correcta de las obras del cé hizo á la Nación en la Península durante la guerra de la lebre Masiüon , el orador cristiano mas elocuente que produjo invasión , y á los muchos beneficios que después prodigó á el si…</t>
  </si>
  <si>
    <t>É, Francisco FernándezGascó y</t>
  </si>
  <si>
    <t>Francisco FernándezGascó y É</t>
  </si>
  <si>
    <t>…Marte!, D. Francisco Crespo de Tejada , D. Joaquín' Manrique .y Manrique;, T?. Martin 4e rGoicoecheay el secretario D. Juan Francisco Morate; y los señdres D. Jóséf López Alonso, D. Francisco FernándezGascó y É&gt;. Simón González: Yuste, que por hallarse ausentes no concurrieron aquel dia, prestaron igual juramento el día 12 del mismo mes. ('Se continuara.) ' ' - ' . En virtud de providencia del Sr. -D. Julián de Sójo, juez letrado de primera ins-‘ tancia en esta muy…</t>
  </si>
  <si>
    <t>Echalecu, Blas</t>
  </si>
  <si>
    <t>Blas Echalecu</t>
  </si>
  <si>
    <t>…M. L. ayuntamiento de ia ciudad de Pamplona, Don Alejandro Dolarea, consejero de Ordenes; D. Josef Martínez , primer médico de Cámara de S M., honorario del supremo de Hacienda, y D. Blas Echalecu , canónigo dignidad de chantre de la santa iglesia metropolitana de Santia go , y sumiller de cortina de S. M.; y el primero.dijo: ,, Señor: Distinguidos por el ayuntamiento de la ciudad de Pamplona con la lisonjera comisión de felicitar á V. M. por su august…</t>
  </si>
  <si>
    <t>Eches-arria</t>
  </si>
  <si>
    <t>…ara esta, para lo que expediente remitido por el ministerio de la Gobernación so ofreció hacer indicación formal. bre división de partidos de Murcia. . Se leyó otra indicación del Sr. Eches-arria en que pedia A la de Canales y Caminos un nuevo sistema de puen que no se pudieran imprimir ni vender los decretos ae las tes presentado por un miembro del instituto Real de Francia. Cortes que tuviesen carácter de ley por ninguna persona A las que tienen los…</t>
  </si>
  <si>
    <t>Echevarría</t>
  </si>
  <si>
    <t>Gaceta del Gobierno n.º 102</t>
  </si>
  <si>
    <t>…jueces de hecho esten persuadidos plenamente que hubo abuso en el impreso, sin que baste para ello la duda.” Total......................................... 243 Una indicación del Sr. Echevarría: «Que se tenga pre sente por la comisión si se podrá establecer en España la ley de Inglaterra, que concede al extrangero el poder recu sar la lista de jurados que no tenga la mitad del número ANUNCIOS. Por providencia del Sr. D. Julián de Sojo, juez de prime…</t>
  </si>
  <si>
    <t>…rovincia de que moralidad en que se fundan, y las disensiones domésticas dependa." que producen." - - ............. Después de una ligera discusión se acordó que pasase Y otra del Sr. Echevarría: «Que la correspondencia de</t>
  </si>
  <si>
    <t>…priuon.de la Tor ré, dirigida á que se permitiese la introducción de manu re de la puerta de Cuadre, en Valencia , por 1a implicación, facturas extranjeras en América; v otra del Sr. Echevarría, en el sacudimiento de 2 de Enero de 1817 en -aquella capi en que pedia que la prohibición cíe géneros extrangeros no tal , y la indigencia á que há quedado reducido con su di tuviese efecto respecto de las islas Cañarías liasta que toma latada familia por di…</t>
  </si>
  <si>
    <t>Echevarría, Josef</t>
  </si>
  <si>
    <t>Josef Echevarría</t>
  </si>
  <si>
    <t>…o la tropa de línea; y se ha formado Igualmente se aprobó el de la comisión es,pecial de Ha una compañía de too hombres de cazadores voluntarios de cienda acerca de que se exima á D. Josef Echevarría , co Cádiz , que se han reunido en esta ciudad ; otra de 11 z ar mo lo solicita , del pago de la media anata del suc-ido que tilleros voluntarios, y otra en fin de 70 plazas de artillería disfruta como oficial primero de la secretaría del consejo de nacional.…</t>
  </si>
  <si>
    <t>Echeverría</t>
  </si>
  <si>
    <t>…aha currido á la sesión , en que el lord Liverpool habia dicho de hierro y un tabernáculo de mármol para dicho templo. que se tomarían las medidas necesarias para evitar la au- El Sr. Echeverría apoyó esta solicitud , y se accedió á ella. cencia de los testigos, como él contaba1.con que Rastelli es A la comisión ordinaria de Hacienda se pasó un estado taría de vuelta para el 3. de Octubre, 00 había creído des-v ¿ de los productos de los ramos de azog…</t>
  </si>
  <si>
    <t>…e Diputaciones provinciales se pasó un Xavier) y Bahamonde, para que se hiciese á Vigo depósi expediente de- la provincial de Santander, remitido por el to de primera clase, y del Sr. Echeverría para que se habi Sr. secretario de la Gobernación de la Península, sobre la litasen los puertos de S. Sebastian dé la Gomera y Golfo de necesidad de construir un puente en el valle de Villaescusa. la isla de Hierro para depósitos de segunda ciase. La comi Las…</t>
  </si>
  <si>
    <t>Eeatnzpreile</t>
  </si>
  <si>
    <t>…á re* servada el derecho 4 los hijos) nietos y biznietos del Lie. D. Bernardo Perez de Herrera, por elique pueda® tener al crédito de 47,977 rs.:y: 3 » mrs., correspondien-i te á 'Doña Eeatnzpreile«f contra d estado,del marquesado déhronmta, y ¿ • los té~ ditos vencidos;jy msndadosypagar por ta senteacia ¿cuya.cantidad,i'iinidaálla ante* cedente-, ascjende á 384,891^. J 33 mrs.. de que; deberán deducirse 89,130 rs.so*bre que se fundaron los dos patronat…</t>
  </si>
  <si>
    <t>EelIdem, Vicente</t>
  </si>
  <si>
    <t>Vicente EelIdem</t>
  </si>
  <si>
    <t>…e será imposible que en lo venidero se abriguen tan detestables aquella provincia. vicios en el corazón, ni aun del mas vil de los españoles. A la de Premios una representación de D. Vicente EelIdem 12. tran de Lis, vecino de Valencia, dividiendo en tres.ciases Está para salir de este puerto para el de Veracruz el ber los que han hecho servicios á ¡a patria, y designando los gantín español Relámpago, que lleva á su bordo varios gé premios que podrian apl…</t>
  </si>
  <si>
    <t>Eetruzclli</t>
  </si>
  <si>
    <t>…cilia 6 cual petar las del c 'nsul romano y vice-cónsul de Francia ; pero quier otro punto donde se creyese necesario. ya se ha restablecido nuevamente la tranquilidad pública, El Sr. Eetruzclli creyó que debían aceptarse las ofertas íie regula en ;co muertos ó heridos militares, y unos 8oo de esta especie que hiciesen los ciudadanos, pues con ellas paisanos la perdida que hemos tenido en la resistencia de se mantenía .vivo el zelo del bien general.…</t>
  </si>
  <si>
    <t>EGERC, CARLOS AL</t>
  </si>
  <si>
    <t>CARLOS AL EGERC</t>
  </si>
  <si>
    <t>Gaceta de Madrid n.º 41 (extraordinaria)</t>
  </si>
  <si>
    <t>Núm. 41. (2 cuartos.) 277 GACETA EXTRAORDINARIA DE MADRID DEL MIERCOLES 15 DE MARZO DE 1820. ARTICULO DE OFICIO. EL INFANTE D. CARLOS AL EGERC1TO NACIONAL. “ SOLDADOS! „E! acto solemne con que á la vista de vuestras banderas habéis declarado la mas lirme adhesión á la Constitución política de la monarquía, os ha im puesto grandes obligaciones, al misino tiempo que os ha abierto una brillante carrera…</t>
  </si>
  <si>
    <t>Eguaguirre, Andrés</t>
  </si>
  <si>
    <t>Andrés Eguaguirre</t>
  </si>
  <si>
    <t>…idiendo que una pirámide ú obelisco que eternice la memoria del infaus los recolecte el arzobispo. to dia 10 de Marzo, en lugar de emplearlos en otras fun Al Gobierno una queja de D. Andrés Eguaguirre, co ciones. Este monumento recordará ciertamente un suceio ronel de egército, contra el ministro de ¡a Guerra; y un dolorosísimo; pero presentará al mismo tiempo la traición, estaco de los caudales entrados en la tesorería de Galicia , y la crueldad y ¡a perf…</t>
  </si>
  <si>
    <t>Eguaguirre, N.</t>
  </si>
  <si>
    <t>N. Eguaguirre</t>
  </si>
  <si>
    <t>…en este puerto el Precioso, bergantín es regimiento de las Ordenes militares, vindicándose de la pañol, procedente de laHavana, en 41 dias, con azúcar y acusación que habia hecho D. N. Eguaguirre; y también café. Salió este buque en unión de otros 14 de convoy para la queja de un comandante de batallón de la milicia nacio diferentes puntos; siendo para este la fragata Amistad, la nal de Barcelona contra varios individuos de ella, con una corbeta Cinco…</t>
  </si>
  <si>
    <t>Eguía</t>
  </si>
  <si>
    <t>…ros dos se hallan cerca de Huacho, me pongo én marcha para Huaura, dejando aqui al capi tán D. Tomas .-Muróte con toda la:tropa que sacó de Lima y la partida que á las órdenes del teniente Eguía había ae su cuerpo. ,,Dios guarde á V. E. muchos años. Campo dél convento de Supe y Mayo 13 de 1819. =Excmo. Sr. = Mariano Cucalón.=Excmo. Sr. virey del ' ■ yPero.” . rri.- - b —— - &lt; &lt; • Idem j&lt;&gt;. ■■ ' El comandante militar de HnaurafarticifaalExcmo.Sr^ tire…</t>
  </si>
  <si>
    <t>Ei, Mountgaret</t>
  </si>
  <si>
    <t>Mountgaret Ei</t>
  </si>
  <si>
    <t>…los ministros se esmeran en anticiparse á los votos de los por haberse ausentado, á saber; el arzobispo de Tuam 300 buenos ciudadanos. libras esterlinas, el lord Brittas 1 ;o, el lord Mountgaret Ei arzobispo de Salerno ha dirigido á S. M. una expo roo, y el lord Dunsany 20. En 6 de Mayo de 1644, ,Por sición, felicitándole por los sucesos ocurridos en favor de la haberse ausentado también, fueron condenados cuatro Pares patria, y lo mismo ha hecho el arz…</t>
  </si>
  <si>
    <t>Einsíedel, Dottre</t>
  </si>
  <si>
    <t>Dottre Einsíedel</t>
  </si>
  <si>
    <t>…i las íntimas relaciones que subsisten felizmente entre las dos casas Reales. ,,Recibid, caballerd^ los sentimientos’de alta consideración con .que tengo la honra de ser &amp;c. = El conde Dottre Einsíedel.” Cart&amp;Ufilel Rey de los Países-Bajos al Rey de España. „Señor mí Hermano: Al participarme M. que siempre solícito del</t>
  </si>
  <si>
    <t>Elgin</t>
  </si>
  <si>
    <t>ron á fines de Noviembre último són lord Elgin, el general ruso BeclcendorfF, y un cuákero anglo-americano llamado Siuven-GrenweÚ, á quien ha dado permiso el Gobierno para visitar las cárceles. P ÁIS ES - B A J O S-U NI DOS. : La Haya gi de Diciembre. Habiéndose vuelto á reunir anteayer la Cámara de los E…</t>
  </si>
  <si>
    <t>…io disposición de la nación. sas antigüedades venidas de Egipto, igualmente que los rao- Habiéndose suspendido y dejado parn otro dia la discu debis de la* estarnas griegas ene el lord Elgin extrajo de sión de este punto, pss,» el Parlamento á tratar del pro Atenas, v vendió al Gobierno brirmico, y que S. M. el Rey yecto sobre a censos mimares, del cual se aprobaron mu de Inglaterra ha regalado a! Sio. l’adre.” chos artículos después de una larga…</t>
  </si>
  <si>
    <t>Elío</t>
  </si>
  <si>
    <t>…arte nuevo de la litográfica ó grabado en pie para la resolución de las Cortes los expedientes acerca de dra. A su regreso presentó sus ensayos en clicha arte á va la prisión del general Elío , y de su secretario D. Cosme rias academias , y obtuvo contestaciones satisfactoriaspor sus Teresa. adelantamientos , en particular de la academia de S. Fernan Se mandó pasar con urgencia á la comisión de Infrac do ; la cual, deseosa de poder extender este r…</t>
  </si>
  <si>
    <t>…esto en egecucion. Una suerte de olivar de 4 aranzadas, situada en la caña Observó que habla otros antecedentes sobre esto en la da de las Cimas, término de dicha villa. causa del general Elío que se hallaba en las comisiones de Una huerta de arboleda y soleria con su agua de pie, Guerra y de Infracciones de Constitución; y que si se exi situada en el partido del Polvillo ó la Carraca, término de giere esta responsabilidad era necesario exigirla ta…</t>
  </si>
  <si>
    <t>…ncia' hasta el completo restablecimiento de su salud. al Rey en 15 de Julio de 1820; la Real orden de ro de Se díó cuenta de unas reflexiones de D. Pedro Fuertes Marzo para que eí general Elío permaneciese en la ciudadela de aquella plaza hasta la reunión de Corres, y la otra de sobre el ramo de salitres. Con este motivo hizo el Sr. López (D. Marcial) las in 1; de Mayo para que se los detuviera en los conventos á los 69 ex-diputados que firmaron la…</t>
  </si>
  <si>
    <t>…e aquella jurisdicción; Miguel de Haro, publicando la Constitución el 12 de Marzo por lo que piden se tes exima á lo menos de la tercera parte en Murcia, frustrando los planes del general Elío, y salvando de las contribuciones venideras. , yir de su ruina’á aquella ciudad. Lá comisión'proponía se decla Las Cortes quedaron enteradas -de una exposición de rase haber sido gratos los servicios de este general, asi como D. Francisco Xavier de Negrete, d…</t>
  </si>
  <si>
    <t>Elío, Francisco Xavier</t>
  </si>
  <si>
    <t>Francisco Xavier Elío</t>
  </si>
  <si>
    <t>…ta iglesia catedral; y Continúa la misma Junta tomando las demas disposicio—* lies relativas al cumplimiento de lo prescrito por la Constitución. r valencia. Luego que el capitán general D. Francisco Xavier Elío recibió la orden que1 se le comunicó por el ministerio de la Guerra de haberse decidido S. M. á jurar la Constitución del año de 1812, tomó las disposiciones necesarias para reponer ' en sus destinos á los regidores constitucionales que servían en 181.4, deja…</t>
  </si>
  <si>
    <t>Ellemborough</t>
  </si>
  <si>
    <t>…pe de Carígnan va, en calidad de gran-maes- da sensación en ambos partidos. Algunos espectadores me tre de Ja artillería, á hacer una visita escrupulosa en las tieron ruido cuando lord Ellemborough dijo que la conduc plazas de Alejandría y de Genova, en las cuales hay ac ta de la Reina había sido infame % peio el duque de Clatualmente gruesas guarniciones. rence se levantó con aire imperioso, y señalando con la mano á los perturbadores, dijo en alta y f…</t>
  </si>
  <si>
    <t>Ellemborougli</t>
  </si>
  <si>
    <t>…bles. En cuanto al motivo particular que ha empeñado al Después de haber hablado otros varios señores, tomó ■ Príncipe á visitar á S- M. no tenemos gran deseo de saber la palabra lord Ellemborougli, y dijo: »Aunque yo haya lo. El limes pretende que el Príncipe mira el carácter de sido uno de los vocales de la junta secreta que votaron por . S. M. como exento de tacha en la sumaria que acaba de que habla lugar á la acusación, soy no obstante de parecer f…</t>
  </si>
  <si>
    <t>Ellenbourotigh</t>
  </si>
  <si>
    <t>…tado (y cuyas actas están publica sus puestos , querian hacer una nueva tentativa, proponiendo, das desde el manifiesto de Oporto, y testimonio de aquella según lo había insinuado lord Ellenbourotigh , que el Par ciudad), de obedecer. la Constitución que hicieren las lamento hiciese una representación al Rey, en que le pi Cortes , manteniendo nuestra santa religión y la dinas diese que el Gobierno propusiera una acta para privar á la tía de la serenísima…</t>
  </si>
  <si>
    <t>Ello</t>
  </si>
  <si>
    <t>…del co la obediencia al Gobierno, egí iino representante del Rey ronel Vidal, sacrificado en la ciudad de Valencia por el n estro Se ior, cuando e re adop a el medio legal de aten general Ello, manifestando la imposibilidad de dar la edu der í las q ejas y deseos de la nación, y está sincera y fir cación correspondiente á su hija: asunto oue dijo el señor memente determinado á llevar á efeoo con la posible pron Vargas Ponce h.bia despachado ya la c…</t>
  </si>
  <si>
    <t>Elvira, Joaquín de</t>
  </si>
  <si>
    <t>Joaquín de Elvira</t>
  </si>
  <si>
    <t>…al. Corridas de novillos, vistosas ilumi Se declaró no haber lugar á deliberar sobre un papel de naciones, músicas, canciones patrióticas, función de igle reflexiones que presentó D. Joaquín de Elvira, en que pedia sia, regocijo universal y cuanto lo-- habitantes de Antequera la anulación del decreto de continuación interina del estan podían hacer en demostración de su patrioti-ino, de su amor co del tabaco. al Sr. D. Ffr nanoo vil, de su respeto y venerac…</t>
  </si>
  <si>
    <t>Emererio</t>
  </si>
  <si>
    <t>…y i, celebró titud pública la apreciable virtud y sabiduría del cura pár este vecindario con fuegos artificiales, música instrumental roco de-Camuño, en Salas, de esta provincia, D. Emererio y vocal, refresco en las casas consistoriales, iluminación ge •Carvajal, que en el mes de Julio último ha vacunado en su neral y bailes públicos, estos gloriosos acontecimientos, y la 'casa tío niños y niñas, y tres hombres casados, con solo colocación de la…</t>
  </si>
  <si>
    <t>Emi</t>
  </si>
  <si>
    <t>…sde t.° de Diciembre. En la universidad de Leipsíck se cuentan actualmente , , En ..el periódico aloman intitulado el Mercure Su ¿ve 1300estudiantes, entre los cuales se haltan el príncipe Emi del 3 de este mes se lee el artículo siguiente: «Si se.declalio de Holstein-Augustembourg y el príncipe Jablonovvsky, ra la guerra entre el Austria y el reino de las Dos .Sicilias 3 2 condes y 103 nobles. Los hijos del difunto, príncipe .tí papa ,se trasladar…</t>
  </si>
  <si>
    <t>Enderica, Francisco Antonio</t>
  </si>
  <si>
    <t>Francisco Antonio Enderica</t>
  </si>
  <si>
    <t>…ra familiar á clamados; á saber: á D. Manuel Taniayo, que lo es de uno la mayor parte de las lenguas orientales , se llama la puerta de 600 pesos de Mayo de 1808 , núm. 393,094; á D. Francisco Antonio Enderica de otro de 300 pesos de Mayo de dicho año, ó la puerta del reino. Este es el origen del título de Subli núm. 474,635. Otro ídem de D. Manuel Celada , número me Puerta, que la corre otomana toma en todos los actos 467,391. Otro de 300 pesos de Setiembre de 808…</t>
  </si>
  <si>
    <t>Engestroem</t>
  </si>
  <si>
    <t>…armados , que se habidii jumado con ausencia de S. M. se compone del ministro de Justicia ia escuadra turca; conde de Gillenberg, del ministro de Negocios extrangeros INGLATERRA. conde Engestroem, y de los consejeros de Estado conde Lagerbrink y Mr. Skoeldebrand. Los suplentes son los con» Lóndres 18 dejuíioi lejeros de Estado conde Fíeinming y Mr. Mocrner. Habiendo hecho lord Russel en la Cáriiárá dé ios Cóttiunes la propuesta de que se presentase al…</t>
  </si>
  <si>
    <t>Engrúdanos, Tomas López</t>
  </si>
  <si>
    <t>Tomas López Engrúdanos</t>
  </si>
  <si>
    <t>…se halla de venta la estampa ecuestre del Rey nues tro Señor D. Fernando vii á caballo, dibujada por la que pintó D. Vicente López, primer pintor de Cámara de S. M., y grabada por D. Tomas López Engrúdanos, gra bador de Cámara de S. M., en pliego de marca mayor, único resto que conserva la viuda, al precio de 60 rs. vn. cada una. EN LA IMPRENTA REAL.</t>
  </si>
  <si>
    <t>Enldne</t>
  </si>
  <si>
    <t>…es sobre el gran Libro: 4.0 rumpir su discurso, y dejarlo para el dia siguiente. que se aprobase la anticipación de Uu bimestre de contribu Antes de concluirse la sesión volvió el lord Enldne á la ción terrirotíal: 5/ que se abriese en el mismo Parlamento Cámara restablecido ya de su indisposición. Un registro de las ofertas voluntarias. -----La mayoría de los 28 que ha decidido de la segunda El Sr. Rjpiglia habló con energía sobre los premios que…</t>
  </si>
  <si>
    <t>Enseña, Martin de</t>
  </si>
  <si>
    <t>Martin de Enseña</t>
  </si>
  <si>
    <t>…ejero de Estado, la cual opinaba que este interesa sentencias del extinguido consejo de Guerra en la causa se do estaba comprendido én la primera clase de que habla el guida entre D. Martin de Enseña, y por su muerte Doña art. 13 del decreto sobre cesantes jubilados y reformados, María Angela de Hacha, de una parte; y de la otra Don y que por lo tanto debia disfrutar el sueldo de 40® rea Esteban Valdivieso y D. Alejo Leita; y teniendo en con les anuales.…</t>
  </si>
  <si>
    <t>Entre, Mariano Siguen del</t>
  </si>
  <si>
    <t>Mariano Siguen del Entre</t>
  </si>
  <si>
    <t>…discurrieron los iroque- Josef Corminas del 52,890 : Doña Vicenta Conde y Puente del ses un medio que supone una profunda sagacidad política. 53&gt;52°- 53 &gt;5 '-7 &gt; 53-S-P y 53-5-17= D. Mariano Siguen del Entre estos ferocísimos pueblos no pueden nunca los hom 60,679; y D. Sebastian Artigas del 61,895. Y en providencia bres pedir la paz: nunca enrierran por su propia voluntad de dicho señor juez de 1.’ del corriente se confiere traslado ;í las armas que usan; sus di…</t>
  </si>
  <si>
    <t>Eontela, Juan</t>
  </si>
  <si>
    <t>Juan Eontela</t>
  </si>
  <si>
    <t>…su autor. Et Sr.'Artiedo opinó qne el mejor medio que podía E! Sr. Martínez ( D. Xavier) prerentó una exposición' adoptarse era hacer respons ihles A los pueblos de ¡os delitos de D. Juan Eontela ,■ manifestando haber sido comprendido- que se ‘comerte en en res t írmlnos.' en la.cau-a»del general Portier, y úrtimamente h tber sido- El-Sr. Sánchez Salvador manifestó que en todos tiempos uno dedos que leívantafon ei grit-- de la libertad en Galicia;’ ha…</t>
  </si>
  <si>
    <t>Eopez</t>
  </si>
  <si>
    <t>…erecho de los actuales consejeros de Esta 1814, y levantó la sesión. do, y por la noche para negar esta existencia. Sesión ordinaria del 18 de Octubre. Se opuso á la indicación el Sr. Eopez (D. Marcial), Se ley ó el acta de la sesión anterior. opinando que no debia extenderse Iq que en ella se propo Se mandó pa&lt;ar á la comisión de Legislación una expo nía mas allá de lo aprobado esta mañana en otra del mis sición de la diputación provincial de Z…</t>
  </si>
  <si>
    <t>Epifanio</t>
  </si>
  <si>
    <t>…upuesto de la guerra. lencia contra el coronel D. Josef Luna, del extinguido regi Contestó eiSr. conde deToreno que aunque convenía en miento de Velez-Málaga; D. Segundo Ulibarri, D. Epifanio parte con su preopinante, se proponían sin embargo cosas Lozano, D. PedroPerez Bustamante, D. Juan Felipe Masede ia atribución exclusiva de las Cortes, como era la habili gosa, D. Antonio Lacerda , D. Saturnino Figueroa, D. Ma tación del curso, y pidió que se…</t>
  </si>
  <si>
    <t>Eraña, Bernardino</t>
  </si>
  <si>
    <t>Bernardino Eraña</t>
  </si>
  <si>
    <t>…uales era la principal la llama de á 150 pesos de i.° de Setiembre de 1815 , cuyos últimos te da. Déla ware, que dió origen á mas de 40 tribus; si bien nedores son los siguientes: D. Bernardino Eraña , cajero prin su nombre verdadero es el de lenm lenape, que significa cipal del Crédito público, délos números 1489, 1507, 26,038, pueblo del nacimiento del sol, ú oriental. 46, 247, 51,174 y 52,178: D. Juan Morfi del número 1500: Según sus propias relaciones…</t>
  </si>
  <si>
    <t>Erar, Antonio</t>
  </si>
  <si>
    <t>Antonio Erar</t>
  </si>
  <si>
    <t>…cia creo dé irii obligación hacer' la pro de los diputados de la Junta preparatoria de Corres, y puesta de suspender hasta entonces las discusiones sobré el . inspector arquitecto D. Antonio Erar, tuvieron la- hon el mensage de S. M., á fin de que la Cámara pueda delibe ra de besar la mano á S. M,, quien, conducido pon los rar con mas da'.os sobre cuanto ha pasado.” mismos, reconoció el salón, las tribunas-y demas -piezas Mr. Brouebam accedió á la pro…</t>
  </si>
  <si>
    <t>Erasmo.de</t>
  </si>
  <si>
    <t>…idos por el Gemal estado. fe político, y acordaron nombrar una junta permanente, ó Túnez tiene 9 jabeques mil construidos y peor armados; sea comisión, compuesta de los ciudadanos D. Erasmo.de 16 cañoneras, y'varias galeras y cañoneras viejas; pero sin Goninma, D. Juan Rull, D. Jaime Bosch, D. Serapio San— gefes ni marinería. Tiene ademas unas 30 embarcaciones mer gertnan, D. Francisco Cortés, D. Juan Pons, D. Manuel cantes , y muchos barcos pequeñ…</t>
  </si>
  <si>
    <t>Ereña, Beraardino de</t>
  </si>
  <si>
    <t>Beraardino de Ereña</t>
  </si>
  <si>
    <t>…e se insertaron en diferentes do en nombre de D. Jaime Coll á D. Joaquin Fontanills, Don periódicos sino también otros que no habiéndose prenunciado Juan Oñoz, D. R. de Llordella, D. Beraardino de Ereña, gl en la tribuna, se imprimieron particularmente por el autor. comisionado principal del Crédito público en.Cádiz D. N. BminEn esre orden cronológico de escritos sobre tan importan za, Doña Juana Lozano y Doña.Josefa López, tenedores que tes y diversas mater…</t>
  </si>
  <si>
    <t>Erizo, Félix</t>
  </si>
  <si>
    <t>Félix Erizo</t>
  </si>
  <si>
    <t>…ivados de la voz activa y pasiva. de Almendrado á D. Diego Rodríguez': pira ei de Badajoz Resolución. Que, como caudales públicos, deben re á ■ D. Manuel Novoa: para el de Coria'á D. Félix Erizo: putarse todos los que pertenezcan á los fondos de propios para el de Cáceres á D. Josef de Vírt : para el de Castuerx y arbitrios, pósitos y otros cualesquiera ramos de los pue á D. Benito Fernandez Daza : para el de Fuente de Cantos blos , como también todo…</t>
  </si>
  <si>
    <t>Erskin</t>
  </si>
  <si>
    <t>…guarniciones. rence se levantó con aire imperioso, y señalando con la mano á los perturbadores, dijo en alta y fuerte voz: orden Roma 28 de Octubre. allá bajo. En seguida hablaron lord Erskin y el marques de El Sr. Righetti, nuestro digno conciudadano, está muy lansdown votando contra el bill\ y se levantó la sesión. ocupado en los trabajos preparatorios para fundir una esta A las 1 2 del dia se anunció en la Cámara la venida de tua c dosal, que d…</t>
  </si>
  <si>
    <t>Erskine</t>
  </si>
  <si>
    <t>…a del Parlamento, la Cámira El Rey y el Príncipe Real salieron el dia t.° de esté no tiene ningún poder. mes para la Noruega,.y hoy llegar’m á Finspong, donde se. Ayer pre entó.el lord Erskine á la Cámara la siguiente celebrará el cumpleaños del Príncipe Real. petición de la Reind: Se asegura también que se debe formar una junta para »S. M. siente entrañablemente cjue la Cámara de los trabajar en un plan de hacienda, que se presentará en Iá Lores h…</t>
  </si>
  <si>
    <t>…ino en medio te á los pueblos; pero los conocimientos que estos han ad de los individuos de la oposición. quirido tampoco permiten ya prerpgativas superfinas ni En seguida tomó el lord Erskine la palabra y se notó poder inútil. Los «ugeros que hacen públicos los errores de que á poco rato de haber principiado su discurso, calló de los Reyes, que alimentan la curiosidad pública con la re improviso. la Cámara creyó al pronto que estaba registran laci…</t>
  </si>
  <si>
    <t>Es, Florez</t>
  </si>
  <si>
    <t>Florez Es</t>
  </si>
  <si>
    <t>…o se propone la comi Apoyó el Sr. Golfin et artículo en cuestión . y que se sión exceptuar á las personas que no merezcan la confianza admitiese la aclaración del Sr. Sancho; y el Sr. Florez Es » a la vo pública, sucederá que habrá personas que deberán ser ex trada propuso lo mismo, con lo que se.procedí cluidas, y no lo son; por egemplo: un hijo de.familia'que tación del artículo por partes, y fueron todas aproada*. haya cometido un delito no tiene…</t>
  </si>
  <si>
    <t>Escaléra, Fermín</t>
  </si>
  <si>
    <t>Fermín Escaléra</t>
  </si>
  <si>
    <t>…S. M. ha tenido á bien confirmar Interinamente en el gobierno de la plaza de Barcelona al mariscal de campo D. Joaquirí Ruiz. de Porras; en el^le la cindadela de la misma plaza al coronel D. Fermín Escaléra; en el deLéastillo díé Monjuich al coronel D. Josef Ortega , y enél- de la plaza de Gerona al -brigadier D. Gmllélmo Minad; -•&gt; t ■ Asimísmo ha confirmado S. M. -interinamente en el gobierno de la plaza de Alicante al brigadier D. Pablo Miranda, y en el de la…</t>
  </si>
  <si>
    <t>Escanden, Tadeo Sánchez de</t>
  </si>
  <si>
    <t>Tadeo Sánchez de Escanden</t>
  </si>
  <si>
    <t>…«autoridad no es 3’a un yugo para tos súbditos , sino D. Gerónimo Colinas, el Sr. Conde de Motezuma, D. San «una regla que los dirige. Los hombres se reputan libres tiago Martin, D. Tadeo Sánchez de Escanden, D. Juan de «cuando solo los gobierna la ley. La sumisión los hace feliDios Trillo, D. Pedro López, D. Castor del Amo, el se «ces , porque en ella cifran su tranquilidad. Las pasiones, los ñor general Pnlafox, Doña María de Loreto García de Roa, «injustos cap…</t>
  </si>
  <si>
    <t>Escandon, Diego</t>
  </si>
  <si>
    <t>Diego Escandon</t>
  </si>
  <si>
    <t>…a que adquiriesen los conocimientos necesarios. se trate del plan general de estudios. - Manifestó- el Sr. Sancho que lá privación de ser elecídos A la de Marina una exposición de D. Diego Escandon, para diputados los consejeros de Estado y otros funciona Tesorero principal de rentas de Málaga, sobre las ventajas de rios públicos se dirigía á conservar una independencia ab unos remos de nueva invención. soluta entre los dos poderes. Graduó de impolítica…</t>
  </si>
  <si>
    <t>Escaño, Antonio</t>
  </si>
  <si>
    <t>Antonio Escaño</t>
  </si>
  <si>
    <t>…s toríca dijeron que esta jos habia considerado en la clase Cuales quedaron aprobadas, mandándose archivar Ja obra de mendicantes, y como tales estaban comprendidos en postuma del general D. Antonio Escaño sobre dicho objeto; otros artículos posteriores, y que habia tenido presente que y una memoria del capitán de navio D. Juan Pedro Coro las leyes les' prohíben la cuestación para la redención de nado, que también se habían parado á las Comisiones. cautivos. Se…</t>
  </si>
  <si>
    <t>Escarnichia, Eduardo</t>
  </si>
  <si>
    <t>Eduardo Escarnichia</t>
  </si>
  <si>
    <t>…sugetos que no hayan pretendido Zino, 320. El capitán del puerto D. Guillermo Swetland, la ración, por término de 15 dias. lóo. D. Juan María Bucbetti, 320. D. Josef Monroy , 80. D. Eduardo Escarnichia, 320. D. Amonio Ferrari, 160. El bergantín goleta Encantadora, correo de la armada D. Pablo Larios, 3 20. D. Juan y D. Guillermo Douguid, 80. nacional, que salió de Cádiz el i.° de Marzo último para D. Pedro Trouguet, 40. D. Severino Saracho, 40. D. Juan Ultr…</t>
  </si>
  <si>
    <t>Eschwege</t>
  </si>
  <si>
    <t>…ra dejar pasar al ingles Mawe á las minas de diamantes, cerradas hasta entonces á todo extranEl Rey. á instancia de lá junta de gobierno de la com gero. A pesar de la relación del coronel Eschwege y las pañía de filipinas, dirigida á S. M. en vista de la resolu de orros alemanes , á quienes se deben nociones circunstan ción de las Cortes con fecha de 19 de Octubre último, se ciadas acerca del Brasil, quedaba no obstante todavía muha servido señalar par…</t>
  </si>
  <si>
    <t>Esclus, Josef María</t>
  </si>
  <si>
    <t>Josef María Esclus</t>
  </si>
  <si>
    <t>…ar, y les parará perjuicio. . Por providencia del trihunal del consulado de comercio de Cádiz, y escribanía de D. Elias Izquierdo y Payan, en los autos de concurso de acreedores á D. Josef María Esclus, pendientes en el propio tribunal y citada escribanía , se manda citar y emplazar á cuantos se consideren con derecho á la dependencia y masa de dicho concurso, para que en el término de un año comparezcan » deducirlo por sí i&gt; por</t>
  </si>
  <si>
    <t>Escobar, Bernardo</t>
  </si>
  <si>
    <t>Bernardo Escobar</t>
  </si>
  <si>
    <t>…iracusa... J Noto............. 42,878- de ayuda de costa para sus individuos. ¿Módica.......- 91,044. A la respectiva un memorial y varios documentos ríe /•Trápani........ 59&gt;511- D. Bernardo Escobar, remitida por el ministro de Gracia yTrápani... JMazzara....... 45.530- Justicia , en que pedia la cruz de Carlos ni, alegando por ¿Alcamo. 41,167mérito haber sido el tercero que firmó la famosa representa Caltanis- (Caltanissetta.. 63,831tena..........i?,azz…</t>
  </si>
  <si>
    <t>Escovedo, Diego</t>
  </si>
  <si>
    <t>Diego Escovedo</t>
  </si>
  <si>
    <t>io6 . . Madrid 28 de Eneró, ARTICULO DE OFICIA S. M. sé ha dignado elevar á la clásé de bailíó gran ero* de gracia en la orden de S. Juan al caballero comendador D. Diego Escovedo, en atención á ser el mas antiguo del priorato de Castilla y León. '•— ■ -•■■■■• - . . . ¡ ... , . . -------------—■ ' ■ ~ D. Donato García, profesor de miñeralogia del museo de Ciencias, em pezará las lecciones públicas de geognosia en el Real gabinete de Hi…</t>
  </si>
  <si>
    <t>Escovedo, Ezequiel</t>
  </si>
  <si>
    <t>Ezequiel Escovedo</t>
  </si>
  <si>
    <t>…prisionero. Asi que Cristóbal supo teligencia con quedo hacían. Estas operaciones fueron des la deserción de las tropas del mando de Fuerte-Real, y empeñadas por lo's sordo-mudos D. Ezequiel Escovedo, vfó que no le quedaban en Sans-Souci mas que sus guar D. Juan Arroyos, D. Josef Masip, D. Pedro García Cer dias de corps, sin serle posible ya reunir otro egército ni vino, D. Antonio Melgares, D. Ramón. Calvo y D. Jo huir, se tiró un pistoletazo al corazón.…</t>
  </si>
  <si>
    <t>Escovedo, Ramón Luis</t>
  </si>
  <si>
    <t>Ramón Luis Escovedo</t>
  </si>
  <si>
    <t>…isboa, y al presente intendente de la provincia de Asturias : para la de Segovia al de León, va cante por salida de D. Felipe Sierra Pambley á director de la Hacienda pú blica , á D. Ramón Luis Escovedo, que la servia -durante la invasión enemi ga: para la de egército y provincia de Extremadura, vacante por jubilación de D. Andrés Ibañez, á D. Pascual Genaro Rodenas, oficial de la secretaría general de la Junta central, tesorero de egército de Andalucía, int…</t>
  </si>
  <si>
    <t>Escrich, Vicente Díaz y</t>
  </si>
  <si>
    <t>Vicente Díaz y Escrich</t>
  </si>
  <si>
    <t>…tres se levantó ¡a sesión, que se continuó á las capitán D. Josef Ramón de Llarena , precedida del alcalde curtro, y duró, todavía media hora. Los mismos ministros constitucional D. Vicente Díaz y Escrich , de Jos regidores de Gabinete que a istieron al consejo del martes concurrieron y procurador de este ayuntamiento, con dirección á la igle también .i este. sia parroquial, en la que después de haber asistido á la mi Se asegura que los condes de Liverpool y I…</t>
  </si>
  <si>
    <t>Espi.iosa, Manuel Sixto</t>
  </si>
  <si>
    <t>Manuel Sixto Espi.iosa</t>
  </si>
  <si>
    <t>…s regulares. En consecuencia á haberse decla por too de premio sobre el interes, y x por 100 de agarajo. rado suficientemente discutido , se acordó que pasasen á di El que negoció D. Manuel Sixto Espi.iosa costó un 10 po,r cha comisión las dos exposiciones. 100.de comisión; y el de Holanda salió A un 31 por 100 A la de Comercio, se pasó una-exposición de un fabri total, mientras que el de ahora solo salía A, un 12 y | por cante de paños de.Segovia para que se p…</t>
  </si>
  <si>
    <t>Espiga</t>
  </si>
  <si>
    <t>…corre la viuda, el huérfano, el militar estropea encargada de presentar á S. M. el decreto de extinción de do , y todo el que se llama pobre , y se atiende hasta la jesuítas; y el Sr. Espiga dijo que S. M. habia mostrado subsistencia de los hospitales. Con lo que se declaró suficien recibirlo con agrado. temente discutido, y se aprobó. El Sr. Cepera hizo presente al Congreso que aquella Se leyó y admitió una indicación del Sr. Puigblanch, misma m…</t>
  </si>
  <si>
    <t>…pueblos á pagarles cienos derechos sobre el tercero de la dotación de los capellanes de honor por mala inteligencia del decreto de las Cortes de 6 de hizo algunas advertencias el Sr. Espiga, á las que respon Agosto de 18 r 3. dieron los Sres. Caiatrava, Florez Estrada, Ochoa y AtvaA la especial que entiende en el asunto un oficio del rez de Sotomavor. Gefe político de Valencia, dando parte del paradero dé Asimismo se admitieron á discusión los 1…</t>
  </si>
  <si>
    <t>Espiga, Josef</t>
  </si>
  <si>
    <t>Josef Espiga</t>
  </si>
  <si>
    <t>Gaceta del Gobierno n.º 12 (extraordinaria)</t>
  </si>
  <si>
    <t>…so dia en que un pueblo, decidido á conservar su li Constitución. bertad y la dignidad de'l trono, vid á su adorado Rey dando otra prueba decisiva é irrefragable de sus paterna El Sr. D. Josef Espiga , arzobbpo electo de Sevilla, co les miras, del amor a sus súbditos, y dd vivo deseo que mo presidente de las Cortes, tonto luego la palabra, diri le anima de concurrir, en unión con las Cortes, á fundar y giendo al Rey con su acreditada elocuencia el siguien…</t>
  </si>
  <si>
    <t>Espinos, Alberto Boscli y</t>
  </si>
  <si>
    <t>Alberto Boscli y Espinos</t>
  </si>
  <si>
    <t>…bre el origen, progresos y aplicaciones de las matemáticas en general; explicó analíticamente el sistema numérico de los árabes y las cuatro reglas asi numéricas como algebráicas. D. Alberto Boscli y Espinos sobre las cuatro reglas de sumar, restar, multiplicar y partir; fracciones vul gares, decimales y algebráicas. D. Josef Estrada y Carbonell trató de las razo nes y proporciones; de la regla de tres y sus aplicaciones á las de compañías, interes simple y compu…</t>
  </si>
  <si>
    <t>Espinosa</t>
  </si>
  <si>
    <t>…ulterio en país extraño, y con un ex én medio de los obstáculos de una mudanza política tan difitranjero que no estaba sujeto á las leyes inglesas; pero no cil como portentosa. El general Espinosa recibió- á esta di Se opuso á que se consultase á los jueces sobre este punto putación en el salón de palacio, á cuyo acto concurrieron el y sobre las fórmulas judiciales. Gefe político y todos los oficiales de la guarnición, y con F.l conde de Liverpool reco…</t>
  </si>
  <si>
    <t>Espinosa, Carlos</t>
  </si>
  <si>
    <t>Carlos Espinosa</t>
  </si>
  <si>
    <t>…cios y profesos que no están ordenados Asimismo se ha servido promover A mariscal de campó in sacris esten exceptuados del servicio de la milicia na de los egércitos nacionales al coronel D. Carlos Espinosa, cional. 2.a Que se declaren exceptuados los discípulos que en atención A sus señalados servicios para el restablecimien .asisten á cátedras cuyos maestros lo están:" otra del señor to de la Constitución, confiriéndole al propio tiempo el Lobato «que se decla…</t>
  </si>
  <si>
    <t>…e delidad al Rey , y habiendo consentido en su deshonor, es dio de una diputación de su seno, presentó ayer al general delincuente de alta traición, según lagenuina interpretación D. Carlos Espinosa una espada, que le ofrecía como una pe del estatuto del ano 2; del reinado de Eduardo m." queña demostración del distinguido aprecio con que mira El lord canciller reprodujo los fundamentos de la opi su patriotismo acreditado, demostrando asi su agradecimien…</t>
  </si>
  <si>
    <t>…e había hecho su indicación; y por fin, que que se tengan en consideración ¡os dos caudillos del egérci en caso necesario se consíkuia el acusador de los secretarios to de Galicia D. Carlos Espinosa y D. Manuel Lacy ; con del Despacho, lo que se levanto la sesión. El Sr. Lobaro dijo como el Sr. Calatrava que el general Observaciones sobre el eclipse del dia J. Riego de nada se habia quejado, y por consiguiente que no habia un motivo para tomar tales resoluciones. Citó el…</t>
  </si>
  <si>
    <t>Espinosa, Cirios</t>
  </si>
  <si>
    <t>Cirios Espinosa</t>
  </si>
  <si>
    <t>…D. Fernando Larrea, ensayador de vincia , y por último que se declare que los servicios he las minas de Guadalcanal, acerca del producto, gastos y uti chos por los gefes militares D. Cirios Espinosa y D. Miguel lidades de estas minas. Latre han sido gratos á la Nación, y dignos de recom A la comisión de Hacienda se pasó una exposición del pensa sus méritos. ayuntamiento de la villa de Monovar, provincia de Valen Asimismo se aprobó el dictamen de la misma comisión ci…</t>
  </si>
  <si>
    <t>Espinosa, Cristóbal de Silva y</t>
  </si>
  <si>
    <t>Cristóbal de Silva y Espinosa</t>
  </si>
  <si>
    <t>…ignamente tiene á su mando. tres y cuarto. ARTICULO DE OFICIO. ANUNCIOS. El Rey ha expedido el decreto siguiente: »D. Fernando vii, por la gracia de Dios, y por Por providencia de D. Cristóbal de Silva y Espinosa, al la Constitución de la Monarquía española, Rey de las Es- calde primero constitucional de la villa de Alcalá de Guadaira, pañas, á todos los que las presentes vieren y entendieren, provincia de Sevilla, y que en defecto de juez de letras cgerce sabed: Que…</t>
  </si>
  <si>
    <t>Espinosa, Genaro</t>
  </si>
  <si>
    <t>Genaro Espinosa</t>
  </si>
  <si>
    <t>…lagar llamado el viejo, con olivos,;higueras y viña, páis en que hay libertad de imprenta parecían sumamente al pago de Casillas, término de dicha villa. ridículos. Idem idem por D. Genaro Espinosa en dicha villa. £i Sr. Vargas Portee hizo y retiró una indicación para Dos suertes de olivar, el uno de 216 pies, y el otro de que se decretara que el Gobierno estaba autorizado para po 430 , en el término de Montoro. ner en práctica la ley de Partida contra…</t>
  </si>
  <si>
    <t>Esrrada.que, Florez</t>
  </si>
  <si>
    <t>Florez Esrrada.que</t>
  </si>
  <si>
    <t>…s de Hacienda y Guerra , tres proporcio 47 artículos, y otro de la combinri de. Comercio- sobre nes del Sr. Diáz Morales, en que pedia se aumentasen los consulado?. Es:e, decia el Sr. Florez Esrrada.que podría dis haberes de las clases inferiores del egército , asignando al cutiré sin eperar rii la tercera lectura ;; pero el.- Sr._ Benitez soldado de infantería Íío rs, vn, líquidos mensuales, 7í al observó, que pendía de.louque re -oí vieran las Cortes en I3…</t>
  </si>
  <si>
    <t>Esta, M. A.</t>
  </si>
  <si>
    <t>M. A. Esta</t>
  </si>
  <si>
    <t>…. gado en aquel día cartas de Viena capaces de tranqnili- Tratado del sarampión, por G- Roux , traducido del fran *ar en gran manera los ánimos; y que esta esperanza había cés por D. D. M. A. Esta obra es recomendable por muchos tí causado una sensación muy agradable, influyendo al mismo tulos. Su autor se propuso escribir un tratado eompleio de sa tiempo muy favorablemente en el comercio. Si algo de seguro rampión cinco años antes de verificarlo, yen…</t>
  </si>
  <si>
    <t>Estado, Alvaro Florez Estrada.-el</t>
  </si>
  <si>
    <t>Alvaro Florez Estrada.-el Estado</t>
  </si>
  <si>
    <t>…odas las quejas, ANUNCIOS. haría al Gobierno poseedor de cuanto neceóte para sostener ■ ¡Representación hecha á S. M. Católica el Sr. D, Fernan do vil en defensa de las Cortes por D. Alvaro Florez Estrada.-el Estado interiormente, y le pondría en el ca.o de hacerse Siendo muy defectuosas todas las diferentes reimpresiones he respetar en lo exterior: vuelvo á recordar aqui lo dicho ar chas de esta obra , tanto en España como en países extranjeros, riba, y es que el banco…</t>
  </si>
  <si>
    <t>Estado, Secretaria de</t>
  </si>
  <si>
    <t>Secretaria de Estado</t>
  </si>
  <si>
    <t>5 Ai Sr. Secretaria de Estado y del Despacho de Marina participa el espi tan general interino del departamento de Cádiz que el 18 del corriente se ee¿ lebrd en la escuadra surta en aquella bahía el juiamento de la Constitución política de la Monarquía, autorizando el actqel mhmo capitán g…</t>
  </si>
  <si>
    <t>Estado, Secretario de</t>
  </si>
  <si>
    <t>Secretario de Estado</t>
  </si>
  <si>
    <t>…ira, que se ha hecho acreedor á la mayor consideración. Dios guarde á V. E muchos años. Cuar tel general de Valencia 13 de Setiembre de 1819. mExcrrio Sr. = Pablo Mo rillos Excmo. Sr. Secretario de Estado y del Despacho universal de la Guerra.” Partes que se citan en la carta anterior. i.* ,, Excmo. Sr.: A las dos de esta mañana supe por los tenientes justi cias de Caigua y el Pilar que una partida de rebeldes había llegado ayer á las tresne la tarde al último…</t>
  </si>
  <si>
    <t>Gaceta de Madrid n.º 33 (extraordinaria)</t>
  </si>
  <si>
    <t>…DE MADRID DEL JUEVES 9 DE MARZO DE 1820. X .ARTICULO DE OFICIO. Por el ministerio de la Guerra se ha comunicado á los capitanes generales de las provincias la orden si guiente: El Sr. Secretario de Estado y del Despacho con fe cha de hoy me dice lo siguiente: ,fS. M. se ha servido resolver que se ponga inmediatamente en libertad á to dos los que se hallen presos ó detenidos en cualquier punto del reino por opiniones políticas, y que puedan restituirse á sus do…</t>
  </si>
  <si>
    <t>Núm. 4?.« , (x cuartos.). J GACETA EXTRAORDINARIA ÜErMADIOE&gt; /i DEL DOMINGO 19 DE MARZO DE lixo. í‘ - V i i ■ * j ARTICULÓ DE OFICIO. % - 4. ' ■ k.mvi El Excmo. Sr. Secretario de Estado y del Despacito de; IaGobernacíon de la Península ha dirigido á la Junta provisional con ifechá de 17 de este ¡mes la Real orden siguiente: • ’ - ; . / . -. j\ » ,, Emo. Sr.: He dado cuenta al Rey del papel que V¿ Erna, me diri gió con fecha de 16 del corrien…</t>
  </si>
  <si>
    <t>…participo á V. E. para su noticia) y que se sirva elevarlo á la de S. M. „Dios guarde á V. E. muchos años. Pamplona 17 de Marzo de 1820.= Excmo. Sr.=El conde de Ezpeleta. = Excmo. Sr. Secretario de Estado y del Despacho.” Ha sido general la aceptación con que en todo el reino se ha. recibido la tinta titulada perpetua por su extraordinaria economía y duración , de lo que entre otras muchas oficinas dan público testimonio en esta corte la secretaría del despach…</t>
  </si>
  <si>
    <t>…el géneralrefl;ge&amp;r* vJl. \'j r.n c:-r&gt; tAiúl \ • -.;*v&gt;©i&lt;&gt;sigoatde,i \rííE¿;íhucho97años¿!,Gádíz. íii 'de Marzo‘de 1820. = Ex-¡ celentísimó Sr^J'uari • Vi]lávioencio; =í Excmo. Sr. Secretario de Estado é in terino deliOespachodé Mar.lna.” í Oficios que. se, citan\en\ d parie anterior. ; ; 37 •' „ .-"I VA G.r': "¡OD í‘&gt; ;n , p.r-\. 7-7 c i¡¡? ,íHfeJlegado.á snberqiíe coniitroHvo dé las noticias esparcidas en es- : tos dfas sobre el es tadodeal gonasprovtncia…</t>
  </si>
  <si>
    <t>…te en mis operaciones, quedo en conti nuarle mis partes de cuanto ocurra. ,, Dios guarde á V. E. muchos años. Barcelona 13 de. Marzo de 1820.:= Excmo. Sr.=Pedro Villacampa.=Excmo. Sr. Secretario de Estado y del Des^ ■ ■pacho de Guerra.” . - ^ - i 2.0 ,, Excmo Sr.: En la noche de ayer , á tiempo que estaba tratando dU versos particulares con el Gefe político , se presentaron en su casa multitud de personas, tanto militares como paisanos, manifestando unánimemen…</t>
  </si>
  <si>
    <t>347</t>
  </si>
  <si>
    <t>…nal. ■, ... . • v- ‘ ’SANTANDER. *' ' ' ' C *. ■ • * ... . .Con fecha-i-7~,de este mes escribe , el comandante militar de Marina del tercio de Santander ¿D.r Jacinto Rortiarate al Sr. Secretario de Estado y del Despacho, participándole que inmediatamente que llegó á siism a nos ^el ‘m a— uifiésío de S. M.J á ; los' espinóles ,’le mandó' fijar en los rparagéá públicos , y enterados dé so^cónténido los vecinos de aquella ciudadprorumpieron en vivas y aclamacione…</t>
  </si>
  <si>
    <t>…ército; puntual y oportuñaménte avisará a drenant^ ^nSere^él li atended dé SI M; Dios guarde á V: E; machos años, Sevilla 23 dé Marzo de i&amp;lc&gt;. = Éxcmo. Sr.=Juan O-Donojú. =Excmo. Sr. Secretario de Estado y del' Qespaoho de la ■■Guerra.” ■ 1 ■'&gt; ■ ■ - . - í - ' • ' - o..-- i. . • ■■ S. M. se Ka servido conferir íá capitán/^: genera? d¡el egército y provincia de Guipúzcoa j vacante por fallecimiento del teniente general D. Juan Carlos de Areizaga, al teniente g…</t>
  </si>
  <si>
    <t>…inúan las noticias de lo ocurrido en las provincias con motivo del res tablecimiento del sistema constitucional. - _ ■ ' MALAGA, •• Jil administrador1 de correos de Málaga dice al Sr. Secretario de Estado y deí Despacho co oficio de iy del coménte lo qué, sigue :</t>
  </si>
  <si>
    <t>…ro militares-de Santiago, Calatrava, Alcántara y’Montesa no pueden ele gir ni ser elegidos Diputados á Cortes.” De Real orden lo comunico'á V. para su noticia y cumplimiento. . Al Sr. Secretario de Estado y del Despacho de Marina participa el capi tán general interino dd departamento de Cádiz,con fecha de 24 último, que con posterioridad á haberse jurado en la escuadra surta en aquella bahía la Constitución política de la Monarquía española con la solemnidad c…</t>
  </si>
  <si>
    <t>588</t>
  </si>
  <si>
    <t>…e Ies remitan las órdenes, ó á mí la de S. M., que diga relación á este asunto. Dios guarde á V. E. muchos años. Sevilla 24 de Marzo_de 1820. = Excmo. Sr. = Juan O-Donojú.rrExcmo. Sr. Secretario de Estado y del Despacho de la Guerra.” ,, Egército reunido de Andalucía. Excmo. Sr.: Consiguiente á la orden de S. M., que con fecha de 21 de! corriente se sirvió V. E. dirigirme, oficio en este dia ai mariscal de campo D. Estanislao Sánchez Salvador, comisionán dole…</t>
  </si>
  <si>
    <t>…guarden y hagan guardar , • cumplir y egecutar el pre^ ' i* ¿ nnrn sn CurtonlmtipnfA* sen te decreto e y- dispondréis de Abril de i’ El capitán general dé Valencia ha dirlgídc al, Sr. Secretario de Estado y del Despacho de ti Guerra el oficio siguiente: \ Excmo. Sr. ■■ El estado de. mi salud , decalda hace algún tiempo por los ñmchos a&amp;ós de un servicio actWo ,'particitla?Méíité eli la última guerra contra los franceses , la conipíicacion dé lo¿ asuntos de mP…</t>
  </si>
  <si>
    <t>…persuadido .de que el Rey , su Spbrino, había hecho. lo que juzgaba mas conveniente á la felicidad de sus pueblos; y que deseaba ardientemente lograse el objeto de sus deseos.” El ministro Secretario de Estado de la córte de Munich contestó eh los. términos, siguientes á Jai carta que le dirigió et ministro del Rey en aquélla corte D. Camilo Gutiérrez de los Ríos, dándole parte dé haberse restablecido en España el sistema constitucional. t: ,, Sin pérdida dé tiempo…</t>
  </si>
  <si>
    <t>…éstos individuos del cuerpo de la armada empleados en el apostadero. ' , ,, Dios aguarde á V. E. muchos años. Callao 23 de Octubre de 1819.= Excmo. Sr. = Antonio Vacaro. = Exorno. Sr. Secretario de Estado y del Des pacho universal de Mar ina.” Oficio que paso el gefe de las fuerzas navales de Chile al Excmo. Señor virey del Perú, „ Excmo. Sr. : El resultado mas funesto que invariablemente produce la guerra es la-destrucción de los intereses de particulares. Es…</t>
  </si>
  <si>
    <t>…emitidas á la Junta con-! ARTICULO DE OFICIO, s altiva d-l ministerio de ¡a Guerra. Circular del ministerio de la Guerra. Exposición en que se manifiestan las razones que deben El Sr. Secretario de Estado con fecha de 17 del cor tenerse presentes pora la extinción del regimiento fijo de riente me dice lo q :e sigue: Ceuta, por el teniente D. Juan Maiia Abello, subteniente »&gt;El Rey se ha servido extender á todos los súbdiros de dicho cuerpo. extrangeros el indu…</t>
  </si>
  <si>
    <t>Estado, Secretario del Despacho de</t>
  </si>
  <si>
    <t>Secretario del Despacho de Estado</t>
  </si>
  <si>
    <t>…co misión que se debe prohibir la introducción de granos ex- Con fecha 23 de Julio , desde la villa de Sacedon , dice trangeros en los puertos de la Península, mientras que la -el Sr. Secretario del Despacho de Estado al Sr. Secretario de fanega de trigo ó el quintal de grano no exceda del precio la Gobernación de la Península lo que sigue: de 70 reales; pero que esta medida no debe durar mas que ,, S. M. continúa con buen efecto el uso de las aguas, y hasta la próxima reu…</t>
  </si>
  <si>
    <t>…o sición del primer vocal ae la diputación provincial de Mur Con fecha 24 de Julio, desde la villa de Sacedon, dice cia, en que pide se declare si los ciudadanos deben acredi-* el Sr. Secretario del Despacho de Estado al Sr. Secretario de tar tener hecho el juramento prevenido en la Constitución la Gobernación de la Península lo que sigue: antes de entrar á votar en las juntas de parroquia, y si los »SS. MM. siguen con buena salud , y el Rey continúa electores de partido d…</t>
  </si>
  <si>
    <t>124 bre esto, y efectivamente el encabezamiento del expediente U Sr. Secretario del Despacho de Estado al Sr. Secretario de que anres te habia leido decía a;i: «índice de los privilegios * Gobernación de la Península lo que sigue: concedidos para introducir harinas extrangeras en buques »S. M. prosigue con buen efecto el uso de las aguas, y extrangeros en los…</t>
  </si>
  <si>
    <t>…den qui tar las contribuciones exi.&gt;temes mientras no íe arregle un Con fecha 27 de Julio, desde la villa de Sacedon, dice plan de Hacienda. Hacia presente que parecía muy ridí el Sr. Secretario del Despacho de Estado al Sr. Secretario de culo á los ojos de toda la Europa que habiéndose presen la Gobernación de la Penínsuia [o que sigue: tado una proposición de esta especie en ei Congreso de Es «SS. MM. prosiguen sin la menor novedad en su im paña , no hubieran querido ni…</t>
  </si>
  <si>
    <t>…que va lerse de uno alquilado^Que desearía se pudieran poner des Con fecha 28 de Julio desde la villa de Sacedon dice el de luego en. egecucion los medios de asegurar el comercio; Sr. Secretario del Despacho de Estado ai Sr. Secretario de la pero le parecía entre tanto lo mas á propósito el expedir Gobernación de la Península lo que sigue: patentes de corso y mercancía. »&gt;S. M. ha tomado hoy el segundo baño, de que expe Habló en seguida el Sr. Cuesta, é hizo observar que e…</t>
  </si>
  <si>
    <t>. . ... 139algunos con circunstancias horrorosas, egec’utadós en las ej Sr. Secretario del Despacho de Estado al Sr. Secretario de inmediaciones de la corte, y en las provincias de Aragón, la Gobernación de la Península lo que sigue: "Valencia y otras, reclamó la necesidad de atender á la se «El Rey sigue tomando los baños con beneficio, disfrux guridad pública con u…</t>
  </si>
  <si>
    <t>…co millones que se ha bía sentado consumía el hospital anualmente. Con fecha 31 de Julio, desde la villa de Sacedon, dice Con motivo de la discusión que se citaba, ofreció otro e! Sr. Secretario del Despacho de Estado al Sr. Secretario de señor diputado presentar en la sesión próxima un plan ge la Gobernación de la Península lo que sigue: neral que tenia trabajado acerca de los establecimientos de «S. M. continúa felizmente los baños, y sigue con per que se trataba. fecta…</t>
  </si>
  <si>
    <t>Estado, Secretario Je</t>
  </si>
  <si>
    <t>Secretario Je Estado</t>
  </si>
  <si>
    <t>Gaceta de Madrid n.º 90</t>
  </si>
  <si>
    <t>…ayi'jc fco.'r a?.:. - .ch; lji ' -• .&lt; crt~1 1- -1] «• 'i • - i- -¡ íj of) IX i«. fj» *••*"» .fV *•'/ i Por el ministerio dé la Querrá sé ha circuladQ lá Realprden siguiente: ,,A1 Sr. Secretario Je Estado y del E&gt;espachó de Hacienda d?go con esta fecha lo que sigqe: ,,E( ca^itaíf generalde Navarra en,15 .de Mayo próximo pasado épnsüí.tp ^ S. gefes y oficiales* {¡quej. han regresado de Fran cia, jen dqnde se ¿aliaban refugiados por. estar comprendídos en causas…</t>
  </si>
  <si>
    <t>Estado, Secretarlo del Despacho de</t>
  </si>
  <si>
    <t>Secretarlo del Despacho de Estado</t>
  </si>
  <si>
    <t>…re taría no se reciba en adelante ninguna especie de documen Con fecha 26 de Julio, desde la villa de Saccdon, dice tos originales, sino copias debidamente legalizadas, las que el Sr. Secretarlo del Despacho de Estado al Sr. Secretario de por ningún pretexto ni en tiempo alg .no podrán separarse la Gobernación de la Península lo que íigue: de los expedientes en que obran, y que se dé A esta Real ,,SS. MM. siguen con buena salud, aprovechando al Rey determinación toca la pu…</t>
  </si>
  <si>
    <t>Estado, Tomas de Visejo de</t>
  </si>
  <si>
    <t>Tomas de Visejo de Estado</t>
  </si>
  <si>
    <t>…las persecuciones, principio á las lecciones de zoología en el gabinete de His confiados en la recomendación expresa que se hacia al con toria natural el catedrático de este ramo D. Tomas de Visejo de Estado, y seguros de recibir un nuevo testimonio Ilanova, médico honorario de Cámara de S. M. y de nú público de su buena conducta ; pudiéndose ademas afirmar mero de su Real Familia, quien las continuará á la misma que si llegase á haber después alguna queja, mas b…</t>
  </si>
  <si>
    <t>Estando</t>
  </si>
  <si>
    <t>…nuta de decreto redactada conforme a las adicio A consecuencia de lo prevenido por Real orden comu nes que se le habian pasado. nicada por el ministerio de Hacienda á la te'orería general Estando en la minu.a alterado el lugar que ocupaban al de mi cargo con fecha 7 del actual, en que inserta el de gunos artículos, se suscitó una corta discusión, después de creto de S. M. de 6 del mismo, mandando el cumplimien la cual quedó aprobada en todo lo que no…</t>
  </si>
  <si>
    <t>Estani, Mateo</t>
  </si>
  <si>
    <t>Mateo Estani</t>
  </si>
  <si>
    <t>…tabacos. das clases y condiciones, desempeña sus deberes con per A la de Agricultura y Comercio reunidas una solicitud fecta igualdad, y los regidores y síndicos mezclados sin de D. Mateo Estani y D. Josef Pujol, para que se prohíba distinción con los demas ciudadanos hacen su correspon ia introducción de vino del Rosellon, por el sobrante que diente fatiga con la misma puntualidad y exactitud que los tiene Cataluña de este arrículo. otros milicianos . ocupando el pu…</t>
  </si>
  <si>
    <t>Este, Carlos Espi</t>
  </si>
  <si>
    <t>Carlos Espi Este</t>
  </si>
  <si>
    <t>…l Oeste del estrecho de Lancas po D. Antonio Cea, D. Manuel de Velasco, D. Rafael del ter, y á 280 millas al N. Oeste del rio de Copper-Mine. Riego , ayudante de campo de S. M., y D. Carlos Espi Este punto dista del cabo de Hielo (Giace), término de la nosa ; y gobernadores de las plazas de Malaga y Sanlúcar de navegación de Cook, 800 millas geográficas. Si se atiende Barraineda á los mariscales de campo D. Miguel López á que el teniente Kotzebué penetró…</t>
  </si>
  <si>
    <t>Este, Manuel</t>
  </si>
  <si>
    <t>Manuel Este</t>
  </si>
  <si>
    <t>…a que le estaban á su alcance, todo fue en vano; el soldado se fugó coloque el Gobierno. en virtud del empeño del pueblo en librarle. A la de Libertad de imprenta una solicitud de D. Manuel Este suceso ha dado lugar á una orden del dia del te Cisneros, individuo de la junta de Censura de Avila, diri niente general, comandante de esta 11 .a división , el señor gida por el conducto de la suprema, para que se le exonere conde de Anticbampo, en la que di…</t>
  </si>
  <si>
    <t>Estenoz</t>
  </si>
  <si>
    <t>Gaceta del Gobierno n.º 181</t>
  </si>
  <si>
    <t>…esta nota á la vista deS. M. I. rido encargo de alcalde constitucional: y tomando S. M. y R. Apostólica, y darnos á la mayor brevedad posible en consideración esta exposición del brigadier Estenoz , ha una contestación precisa para saber ei juicio que hemos de biendo oido al consejo de Estado, ha tenido A.bien decla formar de Las intenciones de la corte de Viena. rar que el mencionado brigadier procedió cual debía en di«El infrascrito aprovecha esta oc…</t>
  </si>
  <si>
    <t>…dos en esta regla los que sirvan maldades el horror de la naturaleza. : «en las milicias nacionales;” no puede ni debe el citado La última expedición del lord Exmouth, que consoló brigadier Estenoz continuar ejerciendo semejantes funciones, por un momento á la Europa, pues creyó verse libre de tan por estar precisamente comprendido en ios exceptuados en fatal azote, no hizo mas que empeorar la situación de ios el referido artículo; sirviendo de regla ge…</t>
  </si>
  <si>
    <t>Estenoz, Fernando Gabriel de</t>
  </si>
  <si>
    <t>Fernando Gabriel de Estenoz</t>
  </si>
  <si>
    <t>…los ví iculos'Je amis tad que poco há unian á los dos Estados. Ma-, si por des Circular del ministerio de la Guerra. gracia no se verificasen estas esperanzas, el Rey y la na «El brigadier D. Fernando Gabriel de Estenoz hizo pre ción entera, resueltos á defender hasta el último extre sente al Rey que habiendo sido nombrado en Marzo ulti mo la independencia del reino y la Constitución , que es mo alcaide constitucional de la villa de Alburquerque, en el.baluarte de-nuestros d…</t>
  </si>
  <si>
    <t>Esterbazy</t>
  </si>
  <si>
    <t>…rtición de las islas del Rhin se ha ve rificado ya en el año último con arreglo á las bases que se fijaron en el tra tado de París. Idem 7. Ha llegado á esta ciudad desde Viena el príncipe Esterbazy, embajador de S. M. el Emperador de Austria cerca de la corté Británica, y desde aqui pasará por París: á Londres.</t>
  </si>
  <si>
    <t>Esterhazy</t>
  </si>
  <si>
    <t>…sempeño de sus atribuciones para corres Castiereagh permanezca al frente de los negocios extrange- ponder á tal confianza, ha tenido hoy el sentimiento de ros; y por último que el príncipe Esterhazy , embajador notarla disminuida por parte de algunos de entre vosotros, austríaco, ha comunicado al Rey en una audiencia parti que desconociendo ú olvidando la diferencia que hay de ex cular estos deseos de los Soberanos.” presar el pueblo sus deseos ó quejas…</t>
  </si>
  <si>
    <t>Esteve, Mariano</t>
  </si>
  <si>
    <t>Mariano Esteve</t>
  </si>
  <si>
    <t>…ñores: Gefe superior político, presidente.zs.Barón de Castellet. =-Don Félix Jorres Amat. = D. Benito de Píándolit. == D. Antonio Támaro. = DoiI Juan Botlie.=:D. Manuel Lassala. = D. Mariano Esteve. =D. Antonio Buch, secretario. Se levantó la sesión. - \ Sevilla de Afqrzp,^..i)f%,El general en gefe del egército reunido d los individuos que fe forman* 1 „ Compañeros, yo soy el elegido para ponerme á vuestra cabeza: me rezca vuestra aprobación este destin…</t>
  </si>
  <si>
    <t>Estévé, Maríapo</t>
  </si>
  <si>
    <t>Maríapo Estévé</t>
  </si>
  <si>
    <t>…res: Gefe superior político, presidente. = El barón de Castelíet.=r Don Félix Torres Amat. = D. Benito de PlandoIit.=D. Antbnío’Támaró. sr Don Juan de Batlle. ==D.^ Manuel LassaJa=D. Maríapo Estévé. =z Antonio Buch, secretario. . . ? Madrid 7 de Abril\ ARTICULÓ DE OF ICIO. Él P-ey,ha expedido los depr^tps siguientes:-k ■ ^ « ,, Cuando tuve á bien nombrar £ecretario¿ in-terjno.de Estado ydel Des i, pacho de la Gobernación de la&lt; Península á D. Jacobp Mar…</t>
  </si>
  <si>
    <t>Estevez, Roque</t>
  </si>
  <si>
    <t>Roque Estevez</t>
  </si>
  <si>
    <t>…de Noviembre. Circular del ministerio de Hacienda. Tenemos noticias de Costañrme hasta 6 de Setiem bre , y de Caracas y Puerta-Cabello hasta 3 de Octubre. «Habiendo acudido al Rey D. Roque Estevez , apodera Por la gaceta de Garaeas se sabia haber jurado y publicado do de varios pueblos del partido de Ciudad-Rodrigo, ea la Con titncion de la Monarquía las ciudades de Maracai- solicitud de que se habilitase nuevo término para la presen bo , San Felipe, T…</t>
  </si>
  <si>
    <t>Esto</t>
  </si>
  <si>
    <t>…ictamen á los Sres. diputados, entonces se podría recho la viuda a todos los ascensos que correspondiesen á su señalar día. marido. Ei Sr. Ochoa redamó la propo'icion hecha por el señor Esto dio origen á las siguientes indicaciones, que se le Moreno Guerra para que se provean las plazas vacantes en yeron después de haber retirado la suya el Sr. Cepero. el Cornejo de Estado, y se repongan los que no hayan si El Sr. Zapata hizo dos indicaciones: r.…</t>
  </si>
  <si>
    <t>Estra, Florete</t>
  </si>
  <si>
    <t>Florete Estra</t>
  </si>
  <si>
    <t>…E. para su inteligencia y efectos consi indicación, porque el Gobierno está prevenido, y no habia guientes. Palacio 29 de Agosto de 1820." tampoco motivo para tanta inquietud. El Sr. Florete Estra da habló en el mismo sentido; pero el Sr. Zapata tomó la La junta nacional del Crédito público, en cumplimien defensa de su indicación , y dijo que no podía extrañarse to de los artículos 6.a y 7.0 del decreto de las Cortes de 9 ue propusiera la suspensión de…</t>
  </si>
  <si>
    <t>Estra, Florez</t>
  </si>
  <si>
    <t>Florez Estra</t>
  </si>
  <si>
    <t>…ria del 15 de Octubre. de las dudas que manifestaba el cabildo de Toledo so1 re la causa de D. Francisco de T^san, canónigo de aguelia igle Leida el acta del día anterior, notó el Sr. Florez Estra sia, sobre su conducta ep.. tiempo de la dominación france da que se decía en ella no haberse admitido á discusión su sa ; y opinaba que el cabildo se debia conf.-rinar con lo indicación sobre estadística, siendo asi que fue aprobada y acordado por el anterio…</t>
  </si>
  <si>
    <t>Estra-, Josef</t>
  </si>
  <si>
    <t>Josef Estra-</t>
  </si>
  <si>
    <t>…iedades del círculo y de las líneas que en él se consideran. D. Antonio Corominas sobre las proporciones de líneas y figuras. D. Francisco de Ai gemir sobre la geometría práctica. D. Josef Estra-</t>
  </si>
  <si>
    <t>Estrada</t>
  </si>
  <si>
    <t>…y , Dumenil, Stael.y La-Fayette, cuyo zelo del gobierno civil. Esta obra, del célebre Locke, tantas veces ci jamas se entibió, hasta que Luis xvi ordenó que los ciegos tada por el Sr. Estrada, es una de las producciones mas profun se mantuviesen á cargo del Estado. La asamblea constituyen das del ingenio humano, y el non flus ultra de la filosofía en te de 1791 resolvió que los fondos necesarios para este es la materia: constará de un tomo en 8. m…</t>
  </si>
  <si>
    <t>…n sido sus ideas con respecto a la administración sobre lo que determinaron las Corres que se declarasen co del tabaco. mo pertenecientes al Crédito público, y que se pasase no El Sr. Estrada se oponia á que pasara á la comisión de ticia de ello á la junta de este establecimiento para que pro Hacienda , y el Sr. l’a larca solicitaba que se suspendiera la ceda á la venta, como lo ha de hacer con ias densas. 'discusión , y se considerase como primer…</t>
  </si>
  <si>
    <t>…to ya estaba prohibida esta venta por el Gobierno. examinarla. Habiéndose declarado suficientemente discutido á petición Añadió que si los inconvenientes que se citaban tenían del Sr. Estrada , se aprobó la indicación. lugar en la capital á la vista del Gobierno y de las Cortes, Se mandó pasar á la comisión de Instrucción pública con mas razón y aun mucho mayores se experimentarían una indicación dei Sr. Janer, en que pedia que las Cortes en los p…</t>
  </si>
  <si>
    <t>Estrada, Alvaro Flores</t>
  </si>
  <si>
    <t>Alvaro Flores Estrada</t>
  </si>
  <si>
    <t>…Alonso, co misario de guerra de Marina, oficial de la secretaría del Despacho de Hacien da, y tesorero de egército de aquella plaza; y para la del egército de Valen da y Murcia á D. Alvaro Flores Estrada, en recompensa de los trabajos y persecuciones que ha sufrido por adicto al sistema constitucional. El Rey se ha servido nombrar para presidente del tribunal supremo de Justicia ai consejero de Estado honorario D. Antonio Cano Manuel; y para ministros del mis…</t>
  </si>
  <si>
    <t>Estrada, Alvaro Florez</t>
  </si>
  <si>
    <t>Alvaro Florez Estrada</t>
  </si>
  <si>
    <t>…en la de Berard, y en Valencia eh la de ‘ ' ~ j ' ; 1. JjrnRép^eséhfácion héqhá desdé Lándrés en 1818 a S. M. Católica el Sr. T&gt;. Fer-* ífÁfcho vit' eri defensa de las Cortes, por D. Alvaro Florez Estrada, reimpresa en esta corte con una advertencia del editor: en 8.° mayor. Se vende en Madrid en la librería; de. Sojo; en Cádiz eri lá de Hortal, y en Zaragoza en la^de Yagiie. Nota. Se ha hecho, otra impresión de esta misma obra en menor tamaño, y se halla tam?…</t>
  </si>
  <si>
    <t>Estrada, Fiorez</t>
  </si>
  <si>
    <t>Fiorez Estrada</t>
  </si>
  <si>
    <t>…s mas perfeccionados que exposición de D. Francisco González , diputado de las Cor los del pais, perjudicando á la numerosa ciase de consumi tes extraordinarias, presentada por el Sr. Fiorez Estrada, dores para favorecer á la de fabricantes por medio de un manifestando hallarse en su última enfermedad, y recomen monopolio tan dañoso, como habia hecho ver la experiencia dando a! Congreso su esposa y su hijo, pidiendo que á la . con las fábricas de Cataluñ…</t>
  </si>
  <si>
    <t>Estrada, Florea</t>
  </si>
  <si>
    <t>Florea Estrada</t>
  </si>
  <si>
    <t>…ando los dos y el Sr. Calderón tud de un abogado . que habiendo servido al Gobierno in que debía hacerse ¡a adición. truso, y hecho servicios particulares á sus compatriotas en El Sr. Florea Estrada propuso que se extendiese el de el egcrcicio de su empleo, habia obtenido sentencias favo creto á sobreseer en las causas formadas por Los delitos ex rables en tribunales diversos, pendiendo la última de Real presados, cometidos desde el día-1»° de Enero dé e…</t>
  </si>
  <si>
    <t>Estrada, Florez</t>
  </si>
  <si>
    <t>Florez Estrada</t>
  </si>
  <si>
    <t>…fe ñama rea dé conceder una que esto se entienda'respecto de las causas de Aragón y buena pensión por dos anos á cuatro sugetós ilust rados , pa-: Burgos"; á las cuales ofreció el Sr. Florez Estrada añadir ra animarlos á viajar por los países extranjeros. Hitos &lt;011 una. El Sr. vice-presidente levantó la sesión. los Sres. Basic',', literato; Jujéfrtañ, poeta; Clañserf, te 'lo go i y N.- Gaede, naturalista'ide Kie!'. También' éf botánr-j ARTICULO DE OFICI…</t>
  </si>
  <si>
    <t>…rentas del Estado á pagar los crímenes cometidos anterior útil para formar equilibrio con el 10, 12 y 15 por 100 mente. con que se carga en Marsella la arroba del mismo género El Sr. Florez Estrada fundó su indicación en la confu que se introduce con bandera española , estando libre la sión que causado Ia diversidad de e'pocas en que se ha pu francesa ; y pasando á hacer la indicación siguiente: ,,que la blicado la Constitución en los pueblos de una mis…</t>
  </si>
  <si>
    <t>…el ñor diputado dijo que si esto se concedía, la provincia de otro debía imprimirse antes de pasar á la discusión 4 pero Burgos reclamaría la misma independencia que la de San el Sr. Florez Estrada opinó que todo ello se debía discutir tander; pues el mencionado Sr. vitorica hizo ver que no á un tiempo, é imprimir en su totatidad por la íntima co era contrario en nada á ios derechos de la provincia de nexión de materias. Esto promovió una discusión acal…</t>
  </si>
  <si>
    <t>…sta, y que despees se imprimiera y circulara, á la Nación de los perjuicios que ha sufrido. para que todos los españoles se convenciesen de la situación Se leyó una indicación del Sr. Florez Estrada, conce en que se hallaba este país. bida en estos término-: &gt;mo habiéndose resuelto cosa algu Con este mismo objeto, y para que la Nación acabase na por la comí-ion relativamente á la pena á que se han he de ver la diferencia entre un régimen arbitrario, en e…</t>
  </si>
  <si>
    <t>…vamente se leyeron. no, 6 por individuos partic lares. Decía el Sr. Ochoa q é no creia futre cite un proyecto’ Se leyó también una indicación del Sr. López (D¿ Mar de ley; pero el Sr. Florez Estrada le hizo ver que si. y cial ) para que en atención al urgente remedio que exige ist convencidos ya todo- de e to , se trató solamente de resol multitud de malhechores que infesta la Penín ula , se excita ver si esra materia deheria admitirse á di cusíon ó no.…</t>
  </si>
  <si>
    <t>…uta resolución. proponía la venta de fincas consignadas al Crédito público, Concluida su lectura continuó la discusión. y las circunstancias con que debía verificarse. Habiendo El Sr. Florez Estrada, que tenia pedida la palabra, se levantó y leyó un discurso en el que, después de pres manifestado el Sr. Caiatrava que juzgaba no debía votarse cindir de examinar las primeras causas que nahian produ de improviso un acunto de tañía importancia, sin embargo d…</t>
  </si>
  <si>
    <t>…icitaciones, de ron mas de media libia gallega, extendiéndole los estragos las que mandaron hacer mención en el Diario. de e*te temporal ;r muchos pueblos comarcanos de los con El Sr. Florez Estrada presentó dos discursos que se cejos de Buron , Miranda de Galicia y otros. le hablan entregado, uno sobre organización de tribunales, Peón 2 í de Julio. que se mandó pasar á la comisión do LegHacion , y otro La ilustración ha hecho gvandes progresos en este p…</t>
  </si>
  <si>
    <t>…o para que este lo decidiera. Madrid S de Agosto. A la comisión ordinaria de Hacienda se mandaron pa SS. A A. continúan sin la menor novedad en su ímpor- sar seis indicaciones del Sr. Florez Estrada, relativas á que se nombre una comisión, ó que la que entiende en el Crétante salud. CORTES. dito publico disponga un reglamento parajeste, con otros particulares relativos al mismo ectablecimiento. Seston del G de Agosto. Se leyó otra del Sr. Lasanta para qu…</t>
  </si>
  <si>
    <t>…eulrad de optar entre Presentó el Sr. Moreno Guerra su indicación, en que los beneficios que actualmente obtengan." pedia «que se nombre una comisión para oue clarifique Retiró el Sr. Florez Estrada otra en que pedia que los los cesantes Síc. que deben cozar sueldo, excluyendo á ios inquisidores cesantes. q te tuvieren prebenda ó beneficio que en el año de 1X14 concurrieron á formar las corpora eclesiásticos, se declararan comprendidos en el articulo cio…</t>
  </si>
  <si>
    <t>…Palarea expuso que la comi Hembra, sión habia hecho su reglamento provisional , y que no po Est: vacante la plaza de cirujano de la villa de Daganzo de día ser de otro modo; y el Sr. Florez Estrada dijo rain- arriba, á 4.legua» de Madrid, y . de Alcalá de Henares: su do bien que lo mismo debía servir para la América que para tación es cíe 140 ¡anegas de trigo, con la precisa condición de España , c-.i lo que no convino el Sr. Ezpeleta. tener mancebo, y…</t>
  </si>
  <si>
    <t>…' la Cámara diferir para el dia siguiente el oírle; y asi se A la que tiene los antecedentes una exposición qué acordó, levantándose alas cuatro y media la sesión, que presentó el Sr. Florez Estrada , de los marineros de varios se señaló para esta mañana á las io. pueblos de Asturias y Galicia , sobre que el comercio de sal Se haga en buques nacionales. NOTICIAS DE ESPAÑA___ULTRAMAR. A la de Guerra, donde están los antecedentes, un oficio del ministerio…</t>
  </si>
  <si>
    <t>…comisión para que le pelados por las autoridades legítimas, estando al contrario reformase en los términos. autorizados por Bonifacio vm para acusar á los que Ies ha Reprodujo el Sr. Florez Estrada la opinión de que el yan robado: el Sr. Vitorica que el artículo en cuestión no artículo era verdaderamente opuesto á la Constitución , y Iiacia mas que poner en práctica la ley 18, tít. 3 2 , lib. 1 i que no es lo misino tener derecho á hacer una cosa, que e…</t>
  </si>
  <si>
    <t>…u disco con la cantidad visible de 3 dígitos, eclipsadas por tes Jas providencias oportunas. consiguiente sus tres cuartas partes, y parecerá á la luna Se leyó otra indicación del Sr. Florez Estrada: »Pido cuando se presenta en un semicuarto o edad de rres dias y que la representación del general Riego pase A una comi medio, dirigiendo sus puntas una hácia Portugal y inar At sión , y que el dia que esta presente su dictamen asistan los lántico, y otra há…</t>
  </si>
  <si>
    <t>…eres. Graduó de impolítica la discu A ¡a ordinaria de Hacienda y de Agricultura reunidas sión, recordando cuan íacil seria extraviar la opinión pú una exposición presentada por el Sr. Florez Estrada so blica , y juzgando menores todos los inconvenientes á que bre ¡as contribuciones que sufre la sidra en algunos puntos diese lugar la aprobación del artículo al que resultaría si se de Asríívías. desaprobara. Se dio cuenta de una representación del prelado…</t>
  </si>
  <si>
    <t>…timularlos á la vir’ud, mientras que con e.-&gt;ta otra ley , le El Sr. Golrin habló también en favor del dictamen ; y el jos de conseguir bien alguno, se perjudica A la agricultura, Sr. Florez Estrada, individuo de la comisión, manifestó sacando de la circulación grandes haciendas: al comercio, que esta habia creído escaso el premio ; pero habia tenido pues dejan de dedicarse A el muchos sugeros ; y finalmente presente que son muchos los dignos de el , y q…</t>
  </si>
  <si>
    <t>…Isidro, en ¡os mismos términos en que se hallaban cuando licencia del obispo diocesano. ocuparon sus respectivas casas, igle.¡as y bienes ¡os jestii.as. Se aprobó otra adición del Sr. Florez Estrada para que 10. Se devolverán al Crédito público todos los demas bienes se añadieran las palabras «y de bienes muebles ó semovien que antes administraba pertenecientes á Temporalidades, tes” después de bienes raices ó estables. para que proceda inmediatamente á…</t>
  </si>
  <si>
    <t>…rmanente, ó para la modo de proceder contra los eclesiásticos por delitos atroces. milicia nacional activa;” y otra del Sr. Diaz Morales para Se aprobó la siguiente indicación del Sr. Florez Estrada: que la comisión fije de un modo positivo el número de los j&gt;Que las Cortes nombren una comisión que proponga el celadores que señala el art. x 1 , á fin de evitar las dudas que modo y medios de hacer reparar y construir dichas obras en los pueblos pueden ori…</t>
  </si>
  <si>
    <t>…iones, cuidándose poco de Jos otros de de too por cada morueco ó borrego en vena, aplicados que se habia hecho mérito. por tercera parte al fisco , juez y denunciador, y ademas El Sr. Florez Estrada se opuso á la adición, aun con perderá el ganado, que tendrá igual aplicación." esta modificación, porque era contrarío al sistema de un Art. 6.° «El conductor ó conductores de dicho ganado Gobierno libre el proceder contra nadie, solamente en vir se destinar…</t>
  </si>
  <si>
    <t>…que es una de las causas de la (]esj3|«eb Ulieionti, la conceptuó prófugo por el mismo, y enfermo. Confirmó esto mismo el sin embargo muy pequeña, y'ífitnfo qyis reto en un obstá Sr. Florez Estrada, y se acordó que pasara al Gobierno con culo este que pudiera compara^ &amp;¡¡l qüát tós Ira de la acu recomendación. mulación de las riquezas y pupt íMadlís en ruanos de los La comisión de Agricultura presentó su dictamen acerca monges. Si se había puesto port|n…</t>
  </si>
  <si>
    <t>…nas se entiende sin perjuicio de los tratados existen SS. IjdM. y AA. siguen sin novedad en su 'importante tes con otras potencias.” salud. . • ' 'Se leyó la siguiente adición del Sr. Florez Estrada: «Que S. M. ha despachado hoy ctín el Sr. secretario del Des para entregar los tales reos á un Gobiernó extrangero pre pacho de Marina. ceda siempre á lo menos un testimonio de su causa, por el cual resulte el crimen.” .. .. CORTES. Después de una discusión e…</t>
  </si>
  <si>
    <t>…quien deberá cierros gastos que se debieran tener en consideración en las oir previamente al interesado.” embajadas, y citó entre otros los del soberbio edificio que tie .Apoyó el Sr. Florez Estrada esta indicación con el ne el de España en Roma, que creía seria muy ventajo egempio de lo que se practica en Inglaterra; pero habiendo so enagenar , aun cuando no fuese al pronto , porque acaso advertido el Sr. presidente que por ningún título convenía nos te…</t>
  </si>
  <si>
    <t>…imenticias que les estaban señaladas; y proponía Declarado que no estaba suficientemente discutido este con algunas variaciones el artículo adicional del Sr. FonJe.punto, apoyó el Sr. Florez Estrada la utilidad y necesidad vila sobre retener algunas personas en cambio de las que tu del establecimiento de los jurados, recomendando el regla viesen los disidentes: todo lo que fue aprobado. mento como capaz de dar honor á la Nación mas culta-, y Se dió cuent…</t>
  </si>
  <si>
    <t>…o como lo con la siguiente indicación del Sr. Oliver, relativa al presu proponía la comisión. puesto de Estado aprobado ayer •• «Mediante que con el pre Se leyó una indicación del Sr. Florez Estrada, que decía supuesto aprobado pagará la Nación á los embajadores, mi asi: «Sin perjuicio de que las Cortes señalen las bases para nistros, cónsules y agentes del ramo, tengan á bien las el sistema de las obras de pública prosperidad, pido que se Cortes añadir…</t>
  </si>
  <si>
    <t>599</t>
  </si>
  <si>
    <t>…ue tome desde luego cuantas providen canridaJ propuesta para llenar rodas las atenciones á que se cias estime oportunas, á fin de que á dichos presos se les destinaba, diciendo el Sr. Florez Estrada que no hallaba eco administre justicia.” Sobre !a cual después de una breve dis nomía en quitar de lo necesario; y el Sr. ministro de Har cusión , en que hizo presente el Sr. Sancho, que estaban cien Ja, que no le parecía exorbitante la cantidad pedida en pue…</t>
  </si>
  <si>
    <t>…obar la calumnia. Se declaró no haber lugar á votar (por haberse hecho No conformándose con el dictamen de la comisión el presente que no correspondía á las Cortes) sobre una expo Sr. Florez Estrada, quería que se eximie e de la pena el que sición de 5ó ciudadanos vecinos de Puerto Rea!, en que injuriando dijese la verdad , como se prevenía en una ley de pedían se le, restituyese su alcalde arrestado, y desterrado de la villa por intrigas de su sucesor.…</t>
  </si>
  <si>
    <t>…que los primeros directores del Crédito público que las Cortes quieren saber, influyesen en el ánimo de los segundos. en el preciso término de 48 horas, las providencias dadas El Sr. Florez Estrada propuso que fuesen nombrados la para vender los bienes de la Inquisición.” Se pasó á la vo mitad de los jurados por el ayuntamiento, y la otra mitad tación , y quedó aprobada. por la diputación provincial; á lo que conrestó el Sr. Mar Continuó después la disc…</t>
  </si>
  <si>
    <t>…No se admitieron á discusión dos indicaciones del señor sus acras que paraban en la secretaría. Perez Costa, dirigidas á que los diputados no pudieran ausen Sin embargo de que el Sr. Florez Estrada dijo, que si se tarse de Madrid en el intermedio de una A otra legislatura admitía la variación propuesta por el Sr. Alvarez Guerra de sin licencia de la diputación permanente de Cortes , y A que bia también variar la discusión, impugnó el dictamen, ha esta s…</t>
  </si>
  <si>
    <t>…y la merciantes de Biibao, pidiendo que mientras se evacúa la guerra , y hacer tratados con los príncipes asiáticos. instancia de la diputación provincial sobre abolir el dere El Sr. Florez Estrada contestó al Sr. ministro de Ultra cho de prehosrada , ie continúe dicho derecho. mar, manifestando que los comerciantes ingleses no estaban Se mandó agregar al acta el voto del Sr. Desprat, con nada gustosos con los privilegios de la compañía de la In trario…</t>
  </si>
  <si>
    <t>…pasase á la comisión de Ha sión ordinaria de hoy, en que se declaró la propiedad de cienda , para que esta extendiese su dictamen como pedia el los consejeros de Estado, y el del Sr. Florez Estrada , con Sr. Bahamonde. trario á la resolución del dictamen de la comistoa en todas A la comisión segunda de Legislación se pasó una ex sus partes. posición de los profesores de farmacia de Mataró, pidiendo</t>
  </si>
  <si>
    <t>…rucción de 23 de Julio de 1853. de un ayuntamiento de Vizcaya contra el Gefe político de A la misma comisión se pasó una exposición de la jun aquella provincia , presentada por el Sr. Florez Estrada. ta nacional del Crédito público, remitida por el Sr. secre A la de Agricultura una memoria del catedrático de tario de Hacienda , manifestando los perjuicios que se se agricultura de Toledo sobre las ventajas del repartimien guían de que el cabildo de la cat…</t>
  </si>
  <si>
    <t>…ltado de que se creyese que no bas dia se entenderán interinos.” taban los medios señalados para satisfacer toda la deuda. Las Cortes oyeron con particular agrado un oficio del El Sr. Florez Estrada opinó que deberia agregarse á la Sr. secretario de la Gobernación de la Península, en que deuda con ínteres la incierta de la tesorería, que quedaba ponía en noticia del Congreso que SS. MM. y AA. seguían para la de sin ínteres; pues parecia regular que pagán…</t>
  </si>
  <si>
    <t>…as Debiendo salir del puerto de Cádiz el día 20 del cor consultores, ha de recaer sobre aquellos ó sobre estos.” riente el bergantín Voluntario, correo de la armada nacio Otra del Sr. Florez Estrada: «Siendo en mi concepto nal, con la correspondencia para Ultramar, se da este aviso mucho mas cuantiosos los fondos que en América deben in al público para su inteligencia. gresar en el Crédito público que su deuda, pido que las PROVINCIA DE MADRID. Cortes de…</t>
  </si>
  <si>
    <t>Estrada, Flotez</t>
  </si>
  <si>
    <t>Flotez Estrada</t>
  </si>
  <si>
    <t>…amen de su preopi para nombrar'la comisión que debia presentar las'listas para nante. • . el consejo de Estado; y habiendo dicho el Sr. presidente quo Defendiendo la indicación el Sr. Flotez Estrada, refutó lo verificaría, señaló para mañana la discusión del dictamen directamente al Sr. Dolarea, extrañando que en su discurso de la comisión encargada de informar acerca de los 69 ex hubiese reclamado por la mañana, las leyes para favorecer diputados que fi…</t>
  </si>
  <si>
    <t>Estrada, Julián Alonso y</t>
  </si>
  <si>
    <t>Julián Alonso y Estrada</t>
  </si>
  <si>
    <t>…percibir sus asignaciones ante dichos señores patronos, ó en la escribanía de provin cia donde se hallan radicadas las indicadas memorias, que es la vacante que sirvió últimamente D. Julián Alonso y Estrada; con apercibimiento que pasado dicho tér mino sin haberlo cumplido se procederá al nuevo nombramiento de capellanes, de clarándolas por vacantes. En el almacén de estampas y largetas de la calle del Gato, y en la librería de Matute, calle de las Carretas, se…</t>
  </si>
  <si>
    <t>…Sojo, juez letrado de primera ins tancia enesra muy heroica villa, refrendada del escribano de provincia D. Pedro Jo sef de Ibabe, que despacha la vacante que sirvió" uhimáuiente D. Julián Alonso y Estrada, se cita, llama y emplaza á todos los acreedores á la testamentaría de Don Mateo Arroyo, vecino y del comercio que fue de esta corte, para que en el preciso térrüinó de 15 días, contados desde esta publicación, comparezcan á legitimar sus créditos y personas…</t>
  </si>
  <si>
    <t>…s al examen. A los auto que se hallan radicadas en la escribanía de provincia vacante, res de las dos que compitan con la premiada, ó se acerquen que sirvió hasta su fallecimiento D. Julián Alonso y Estrada, notablemente á la perfección de ella, atenderá la academia se cita , llama y emplaza por tercero , último y preciso término de 1 5 dias, contados desda este anuncio, á D. Juan Antoniocqn la ímpre.ioa y publicación de sus escritos. Cuevas, presbítero, y capel…</t>
  </si>
  <si>
    <t>…le propendieron 4 medidas ge encapo de .provincia D. Pedro Jpsef de Ibabe, que despacha nerosas , pidiendo el primero que sé leyera por segunda ye* la vacante por fallecimiento de D. Julián Alonso y Estrada ,- í Ja proposición-que ténra hecha sobré olvido de todo lo'páA pedimento^de„los. síndicos, del concurso eje bien.es de , la casa^ saoo . á lo qué se inclinaba el segundo. ' ■ co.mercip titulada en'ella Posadillo é hijos, ,se cqnyoca í.’todos los acreedores e…</t>
  </si>
  <si>
    <t>Estrada, Manuel</t>
  </si>
  <si>
    <t>Manuel Estrada</t>
  </si>
  <si>
    <t>…audiencia de Madrid obligación de enseñar de balde á los pobres de solemnidad: se á D. Juan Arguelles Valdés, D. Joaquín Carrion y Mo proveerá dicha plaza el 24 del corrientereno, D. Manuel Estrada, D. Manuel Villafañe, D. Lo- Impugnación y observaciones al manifiesto que firmaron los •renzo Vilianueva, D. Juan Andrés Segó vía, D. Manuel 69 diputados de las Cortes ordinarias con fecha de 12 de Abril de 1814. presentada á S. M. en "Valencia de vuelta de…</t>
  </si>
  <si>
    <t>Estrada, N.</t>
  </si>
  <si>
    <t>N. Estrada</t>
  </si>
  <si>
    <t>…garte (D. Agustín), Pino, sula. Yandiola , O-Dalí, Moreno Guerra, Zayas, Ramos Arispe, A la de Premios se pasó una representación de Doña Cosío y-Fagoaga. Teresa Aguilar, viuda de D. N. Estrada, vecino de Gra Para la de Infracciones los Sres. González Allende. Fuignada , manifestando las persecuciones que sufrió su marido blanch, Vecino, Quintana, Canabal, Bahamonde , Lo re ci por adicto al sistema constitucional, hasta- ser sentenciado zaña , Verdú…</t>
  </si>
  <si>
    <t>Estruc, Domingo</t>
  </si>
  <si>
    <t>Domingo Estruc</t>
  </si>
  <si>
    <t>…alle del Gato, á 3 rs. en negro y 6 iluminada. Retrato del Exorno. Sr. L). Mariano ALi^arez de Castro, gobernador de Gerona, dibujado por el teniente D. Miguel Goli, y grabado por D. Domingo Estruc; de dicado al Kxcrno. Sr. duque del Infantado., por ei teniente coronel D. Francisco Antonio Satue y del Cos. Se hallará á 6 rs. en la librería de Higuera, gradas de San Felipe el ReaT. ía estampa de su cenotafio á 4; y la relación de su pompa y oracíon fúneb…</t>
  </si>
  <si>
    <t>Eugenio</t>
  </si>
  <si>
    <t>…ia el denuedo insolencia pasa siempre mas allá que el sarcasmo. de los' iralianos, y ha sulrido mecho de ellos mandados por «Estas cruces, que se llaman Carolinas, están perfec el príncipe Eugenio. No podemos menos de admirarnos que tamente hechas, y se venden por un sueldo, aunque su eos* haya quien tache de falta de valor á los napolitaños des te es de 24.” pués de los egemplos que presenta la historia, y particular — Las cartas de Francfort anuncian…</t>
  </si>
  <si>
    <t>Eusta</t>
  </si>
  <si>
    <t>…simple particular. núm. 15, y que se anuncie en ¡a gaceta del Gobierno para 21. El importe de las rentas que produjeren las fincas qlte se ponga en poder del escribano de la causa D. Eusta eclesiásticas que se agregan al Cre'dito público, mientras no quio Lezcano. se verifiquen sus enagenaciones. VARIEDADES. 24. El producto de los estados de la última duquesa de Alba, y demas que se incorporen á la nación, y los que Conclave el artículo de la g…</t>
  </si>
  <si>
    <t>Excmo</t>
  </si>
  <si>
    <t>…espere qiie continuará, y que nó haya mas desgracias ni dísgustos , y que tpdos aguar den que el Rey nuestro Séáojr háble, para obrar segun su Real voluntad». ,, Es inexplicable, Sr. Excmo., la turbulencia y desazón He‘mi espirita en el tiempo en que estuvo esta plaza expuesta por etr contraste de opiniones entre el vecindario y la tropa; y él. citado Sr. gobernador propietario"vid palpablemente la decisión á favor dé los derechos de S. M. dé e…</t>
  </si>
  <si>
    <t>Excmo, Jaime</t>
  </si>
  <si>
    <t>Jaime Excmo</t>
  </si>
  <si>
    <t>…11 salió el Exce Se dio cuenta del siguiente dictamen de la comisión de lentísimo ayuntamiento bajo las mazas, presidido por el Premios acerca de la representación del presbítero D. Jaime Excmo. Sr. Gefe superior político, é incorporados en sus Gil Orduña, en que hacía presentes sus méritos patrióticos, filas los Sres. cónsules del tribunal de comercio y gefes de de los cuales decía la comisión no podía dudarse, y propo la guarnición , y se dirigió…</t>
  </si>
  <si>
    <t>Exmouth</t>
  </si>
  <si>
    <t>…s «entendiéndose comprendidos en esta regla los que sirvan maldades el horror de la naturaleza. : «en las milicias nacionales;” no puede ni debe el citado La última expedición del lord Exmouth, que consoló brigadier Estenoz continuar ejerciendo semejantes funciones, por un momento á la Europa, pues creyó verse libre de tan por estar precisamente comprendido en ios exceptuados en fatal azote, no hizo mas que empeorar la situación de ios el referido…</t>
  </si>
  <si>
    <t>Expeler</t>
  </si>
  <si>
    <t>…anterior el ministro de Gracia y vale, y lá gran ciencia del Gobierno estriba no en hacer Justicia en su memoria. - 2o rs. de un duro, sino 20S) si es posible. El olvido de un Ef Sr. Expeler» manifestó que en la eíudad de'Pamplo principio tan útil como este es acaso el origen dé todas nues na , á-pesar del patriotismo de sus' habitantes , parecia ha tros errores: no contamos jamas sino con el metal que suéberse querido impedir la organización de-…</t>
  </si>
  <si>
    <t>Expelerá</t>
  </si>
  <si>
    <t>…qué quedase hasta la los cabildos de las iglesias catedrales y colegiatas, por el doc-_ sesión del dia siguiente. tor D. Pablo Lorenzo Largo Carrasco , canónigo doctoral de la El Sr. Expelerá hizo la indicación siguiente: «Respecto de Cuenca. Véndese á 11 rs. en la librería de Dávila. á que la comisión de Hacienda no tuvo presente en el pré- nota. En la gaceta del lunes 9, col. 5.a, lín. 30, en lugar del párrafo que habla .de la representación de…</t>
  </si>
  <si>
    <t>Ez-</t>
  </si>
  <si>
    <t>…ima instancia se deter del sucesor inmediato.” minen” las de «en propiedad.” No fue admitida á discusión otra del Sr. Lorenzana, que Se mandó) pasar á la comi'ion otra adición del Sr. Ez- decía; «Los inmediatos sucesores no percibirán mas alimen peleta para que después de la palabra fundaciones se aña tos que con proporción á la mitad de bienes en que han de da «venta ó cualquiera otra de esta clase.” suceder." Admitida á discusión, no hubo lu…</t>
  </si>
  <si>
    <t>Ezpcleta</t>
  </si>
  <si>
    <t>…o proponía la co los proponia la comisión, no perjudicaban en nada á los misión. tragineros como había dicho el Sr. Calderón. El Sr. Díaz del Moral hizo una indicación para que El Sr. Ezpcleta apoyó también el dictamen de la comi ademas de los vales reales se Ies admitiesen á los pueblos en sión , diciendo que tenia reclamaciones de varios pueblos pago de atrasos los réditos de los mismos vales ; pero la re pa/a que se les permitiese el establecimi…</t>
  </si>
  <si>
    <t>Ezpdeta</t>
  </si>
  <si>
    <t>…e entregar la persona á cuyo favor se celebre, por mitad, la Censura un papel en que se hallaban ofendidos sus derechos. primera en i/' de Enero de 1821, y la segunda en i.° de El Sr. Ezpdeta habió contra los acusadores del mar Febrero siguiente. ques de Castelar, y se levantó la sesión alas dos y medio. 4.0 Que el almanaque ha de estar impreso y venal al público en i.° de Noviembre del presente año, sin falta al ARTICULO DE OFICIO. guna, al preci…</t>
  </si>
  <si>
    <t>Ezpe</t>
  </si>
  <si>
    <t>…obierno y diario.de esta capital, dirido en seguida aprobado el artículo. giéndose á la dirección de la primera con el correspondiente No se admitió á discusión una indicación del Sr. Ezpe oficio para la inteligencia del público ; condenándose en toleta , que decia: «Que se fije un término para la verifica das las costas al propio D. Josef; á cuyo lia, verificado loción de los contratos í juicio del Gobierno.” ue va mandado, é inutilizados lose…</t>
  </si>
  <si>
    <t>Ezpelera</t>
  </si>
  <si>
    <t>…sentar-, si ha lugar o no á la formación de sar la causa de su recusación.” causa? «Sí juramos.” Si asi lo hiciereis, Dios os lo premie; Se aprobó también la siguiente adición del Sr. Ezpelera y si no, os lo demande.” al arr. ; 2: «Debiéndole verificar este sorteo y los siguien Art. 4;. ,, En seguida se retirará el alcalde, y quedan tes á puerta abierta.” do solos los nueve jueces de hecho examinarán el impreso y Igualmente quedó aprobado el f 4, q…</t>
  </si>
  <si>
    <t>Ezpeleta</t>
  </si>
  <si>
    <t>…e te nio , v á la Sra. Infanta Doña María Luisa , Reina que fue de nia para jsedirlo ; y ro aprobó. Etruria, y actualmente gran Duquesa de Lúea; y tomán Se leyó una exporicion del Sr. Ezpeleta, en que decía dolo en consideración el Congreso , revocara aquel decreto, llevaba 19 años de residencia y vecindad en Navarra; la haciendo las declaraciones convenientes en favor de las dos que se mandó pasar á la comí ion de Pódete'. personas referidas, y de…</t>
  </si>
  <si>
    <t>…s extrangeras,. y de esto la ruina ño también al de la clase Industriosa, consistiendo el bien inevitable de la industria. general en que haya la mayor armonía posible en todas El Sr. Ezpeleta se opuso A lo expuesto por el Sr. Ban- ellas. queri, porque reduciendo el asunto á expediente seria eter El Sr. Freire apoyó este parecer ampliándolo, con hacer no , y haciendo ver que la abundancia de granos era notoria, ver que aun aquellos autores de econo…</t>
  </si>
  <si>
    <t>…s medidas generales que se A la comisión donde se hallaban los antecedentes una propondrían al Congreso prontamente. representación de varios vecinos de Sigüenza sobre la lalta El Sr. Ezpeleta, conformándose en que no hubiese pre de veracidad que se observaba en la que habiu hecho el al ferencia , observó que la comisión no habia tenido pre-enre calde constitucional, relativa á sus procedimientos en la apre que muchos no habian liquidado por culpa…</t>
  </si>
  <si>
    <t>…e se propusie dia, se nombraron los Sres. Fondevila, conde de Maulé, sen por el conducro que la ¡cy previene, esto es, la Junta Ciscar.. Cortazar y Yandiola suprema de Censura. E! Sr. Ezpeleta pidió, y asi se acordó, qu- se pasara á</t>
  </si>
  <si>
    <t>…x Habiéndolo premeditado, no quisiera decir un desatino, y pediente para después de discutir el proyecto sobre milicias por eso ¡o dejaba á la comisión de Hacienda. nacionales. El Sr. Ezpeleta dijo que seria la mayor injusticia el que El Sr. Martínez de la Rosa, manifestando el grande ín se prohibiera la exportación á los griegos que tienen ya fle teres que había en discutir pronto este asunto, que podría tados sus barcos; y el Sr. Romero Alpuenre…</t>
  </si>
  <si>
    <t>…milicianos se tee oportuno , á juicio de la autoridad civil.” nombrará t:n sargento 2.a,” y á las que procuró satisfacer El Sr. Zaonfa creyó conveniente, para evitar las dispu el Sr. Ezpeleta. tas de preferencia, de que ya ha habido egemplares entre la El art. 6.° que decía: «Si hubiese de 30 a óo milicia milicia y la tropa permanente, que las Cortes fijaran el lu nos compondrán úna mitad de compañía con un teniente y gar que debía ocupar cada cue…</t>
  </si>
  <si>
    <t>…Alcalá de Henares: su do bien que lo mismo debía servir para la América que para tación es cíe 140 ¡anegas de trigo, con la precisa condición de España , c-.i lo que no convino el Sr. Ezpeleta. tener mancebo, y que el profesor no ha de ser soltero. Se di— El Sr. Mu parí ño probó la necesidad de establecer la mi rigirjti los memoriales al alcalde constitucional, y se proveerá licia nacional en Ultramar; y el Sr. Freire dijo que ya dicha plaza el 31…</t>
  </si>
  <si>
    <t>…de t S 1, comunicada por el Sr. se te ramo ; y habiendo contestado el Sr. Gaseo, individuo de cretario del Despacho de Hacienda al de la Gobernación de la comisión , apoyándole el Sr. Ezpeleta, que la manía regla- la Península, cuyo contenido es el siguiente : «Al Sr. secreloIIA VlVUSáliMVIVItV» ii'inr’irvn f\r*S.V 1*1IV» P.iniiaci»!'*M VLItMáUlW UlijU JIlCilVciLLc» 9 yV» i Id i1 LA l iu«aJ y tinUínuaunt «-xpiyuuviuu*•/**.-! *1 &lt;^»í .4 *\ 1 wvu.vt.…</t>
  </si>
  <si>
    <t>jx9 oue los eclesiásticos sirvan los empleos civiles por la renta El Sr. Ezpeleta le apoyó, y pidió que en todo caso se de tus prebendas. añadiera que se entendiese solo este privilegio para las elec A la comisión especial de organización de Fuerza ar ciones de diputados á Cortes, y no para los de empleos mada se mandaron pasar unas ideas…</t>
  </si>
  <si>
    <t>…la dificultad que habia de que pudiese reconocerlos el ins buyesen de este otro modo, 20 al primero y 38 al segundo. pector general , y saber los servicios de cada uno , y por El Sr. Ezpeleta se opuso al Sr. Ramonet, conformándo cuanto .desde el establecimiento de este escalafón, hecho por</t>
  </si>
  <si>
    <t>…esentar á la sanción Real los de A la de Agricultura una exposición del ayuntamiento cretos de que ayer se dió cuenta. de Cantalejo sobre que se le asigne, bajo las condiciones El Sr. Ezpeleta dijo que como su preopinante acababa de</t>
  </si>
  <si>
    <t>…poner hubiera quien se opusiera á ella, no llegada nunca el caso alguna excepción ó limitación ala regla general: otra del de ponerla en egecucion, porque los que son enemigos del Sr. Ezpeleta para que se quitaran en el articulo las palabras de bienes raices y estables : cuatro del Sr. Perez Costa ; ysistema lo serán eternamente. Kt Sr. Virorica fue de parecer que en el estado en que cinco del Sr. Banqueri para que se señalara el máximum y se halla…</t>
  </si>
  <si>
    <t>…de 18x3, especialmente desde el artí matriculados y los de tierra, especialmente en los pueblos culo 2.0 hasta el 7.0 inclusive, sea extensivo á los arrenda de Asturias: otra del Sr. Ezpeleta al art. 10, que decia: «y mientos de casas. que se hayan retirado seis meses antes de la convocatoria;” Se leyó por tercera vez el proyecto de ley sobre aran otra del Sr. Losada al mismo artículo Jipara que la comisión celes: el Sr. presidente señaló para emp…</t>
  </si>
  <si>
    <t>…ra igual. Capellanía de D. Sancho Sánchez de Oteiza. Por último se mandaron pasar á la comisión las dos Una pieza de tierra Manca , de 6 tobos, en el campo de siguientes : una del Sr. Ezpeleta: «Que cualquiera renta li Traslapuente, término de Girón. bre que un poseedor hubiere vinculado á cualquiera persona Capellanía de Catalina Pascual. por contrajo matrimonial, ó por asegurarla su disfrute, se Dos piezas juntas de 14 robos de tierra de pan trae…</t>
  </si>
  <si>
    <t>…r bajo un documento mismo objeto. mismo. Lo mismo se verificó con otra de la diputación provin A la de Guerra una representación de D. Juan Alvaro cial de Navarra, que presentó el Sr. Ezpeleta. de Toledo y otros dos oficiales de inválidos sobre que se Conformándose las Cortes con el dictamen de la comi derng e la prohibición de gozar viudedad las mugeres de los sión ordinaria de Hacienda, madaron pasar al Gobierno, militares, cuando estos se caían…</t>
  </si>
  <si>
    <t>…eles comprendidos en los tales índices y otros edictos pos na en 10 de Marzo, y en la de Pamplona en 16 del mismo.” teriores. Un exceso tan notorio de rus facultades, un olvido El Sr. Ezpeleta reclamó que se hiciera extensivo este ar tan manliies o de cuanto dbponen en esta parre los cánones tículo á la segunda junta que se instaló en Navarra, como y breve pontificios, las leyes recopiladas y el Real decreto lo hizo el Sr. Janer para la de Barcelon…</t>
  </si>
  <si>
    <t>…Cámara de los Pares habia hecho el fiscal Kor.i, En la gaceta del 18 del corriente se olvidó poner lo de la corona el resumen de las declaraciones de los testigos siguiente: ,,E1 Sr. Ezpeleta dijo que la junta de Navarra , creada contraía Reina; v habiendo preguntado el lord.canciller » el 16 de Marzo, no habia sido nombrada hasta tres dias desá Mr. Brougham s! quería empezar desde luego la defensa, » pues de sabido el juramento de S. M.; y de nin…</t>
  </si>
  <si>
    <t>…pública, como en elecciones, ó parte han de dirigirse con ra la autoridad ó contra las per cuando sea llamado á ser perito ó testigo. sonas q e egeveen esta autoridad." Y otra del Sr. Ezpeleta para que se añadiera después de Expreso su auior que si se en endia el primer caso, bas la última palabra de dicho art;culo «y absuelto de costas.” taría decir «alguna ley," suprimiendo las palabras »ú auto No se admitieron á discu ion dos del Sr. Puigblanch,…</t>
  </si>
  <si>
    <t>…eron á discusión las dos indicaciones si en primer grado, y no por los subversivos y sediciosos en guientes : segundo y tercero, sin embargo de tener también asignada Primera, del Sr. Ezpeleta: «No podrán ser nombrados pena, corporal. Contestó el Sr. Martínez de la Rosa que el jueces de hecho los padres, hijos y hermanos de los indivi espíritu de la comisión habia sido que se verificase la prisión duos de los ayuntamientos.” por los subversivos y s…</t>
  </si>
  <si>
    <t>…or cando el Sr. Calatrava 43 votos, el Sr. Cano Manuel 19 , el. partes este dictamen, quedó aprobado en su totalidad. Sr. Ciscar 60, y el Sr. Sancho 12; y no habiendo ■ reunido El Sr. Ezpeleta hizo las dos indicaciones siguientes: ninguno de ellos la mitad mas uno, se procedió á segunda 1. a «Que el Gobierno no pueda obligar á la saca de tí votación , y salió nombrado presidente el Sr. Calatrava con tulos á persona alguna.” 88 votos. / 2. a «Que to…</t>
  </si>
  <si>
    <t>…stas en los parages tros, hasta que para decidir la cuestión y evitar pérdida de convenientes, tomando las providencias que correspondan tiempo se leyó la siguiente indicación del Sr. Ezpeleta: para asegurar los derechos de mercancías introducidas en los «Que las Cortes decidan si por el art. 8.u de los aranceles países (libres hasta ahora) que median entre las que se qui quedan aprobados los contraregistros.” Se admitió A discu ten y las que se es…</t>
  </si>
  <si>
    <t>…Huesca, que conveniente.” pide arbitrios para la desecación de un pantano. Habiendo apojmdó el- Sr. Yandiola la indicación del A las comisiones especial de Hacienda y Comercio re Sr. Ezpeleta, se acordó que pasase á la comisión de Ha-» unidas se pasó otra representación de la misma diputación cienda. provincial, pidiendo que en atención al déficit que ofre Se publicó como ley el decreto sobre mayorazgos, san cen las aduanas de sus fronteras, y á q…</t>
  </si>
  <si>
    <t>…n arreglo á lo que exigiese le. = Está rubricado de la Real mano. = En Palacio á i r d* la conveniencia púbicav - - " 11 1 . . .'i Octubre de 18205= A D. Agñstin A'rgiíellée.'7 El Sr. Ezpeleta manifestó el deseo de que se hiciera dife rencia entre los individuos de que Se trataba; pero que rio ■■■■■:■■ ANUNCIOS. i.--.' se tomaran los^ informes de los ayuntamientos como se pro^ En virtud de providencia deLSr. D. Ramón de Argos, juei ponía en el artí…</t>
  </si>
  <si>
    <t>• La misma comisión ordinaria de Hacienda presentó su puesto , pues era úna contribución temporal. dictamen acerca de la proposición del Sr. Ezpeleta para Continuó después la discusión pendiente sobre el segun que se incluyese en el presupuesto de gastos del ministerio do articulo del dictamen de la comisión primera de Legis-^ de la Guerra la cantidad necesaria para alimento de ios in lacion acerca de magi…</t>
  </si>
  <si>
    <t>F, L.</t>
  </si>
  <si>
    <t>L. F</t>
  </si>
  <si>
    <t>…m. 699. Uno que ha pasado la epidemia 40. Núm. 700. D. M* F. 6. Núm. 701. El limo. Sr. deán y cabildo de la santa iglesia cate dral de Jaén 4®. Núm. 702. D. F. M. D. 60. Núm. 703. D. L. F., pres4 bítero, 200. Núm 704. Ei Excmo. é limo. Sr. arzobispo de Valencia 12®. Núm. 705 . D. J. M. 200. Núm. 706. La Excma. Sra. C. de C. i®. Núme** ro 707. El ilustre Sr. deán y cabildo de la colegiata de Medinaceli 280. Nú-»* mero 708. El Ilmoi Sr. obispo de…</t>
  </si>
  <si>
    <t>Fa, Josef</t>
  </si>
  <si>
    <t>Josef Fa</t>
  </si>
  <si>
    <t>…o las dotes y Se leyó otro informe ds la expresada comisión de Legis la repartición desigual de Jos bienes entre los hijos, y la ad lación , á consecuencia de haber hecho presente D. Josef Fa vertencia de Monresquieu de que la felicidad de las nacio jardo y Vargas , presbítero , dei orden de Alcántara, y cara nes dimana de la igualdad de Jas fortunas, y de un sabio y de la villa de Lopera, en’la provincia de Jaén, que era el justo repartimiento de…</t>
  </si>
  <si>
    <t>Fab'-e, Sebastian</t>
  </si>
  <si>
    <t>Sebastian Fab'-e</t>
  </si>
  <si>
    <t>…os referidos tres días hubo un muerto de males ordinarios. Por Real resolución de 16 del presente mes, 2 consulta del Consejo supre mo de la Guerra, se ha servido S. M. conceder á D. Sebastian Fab'-e, resi dente en la villa de S. Feliu de Guixols, el fuero militar y uso de uniforme de practicante de cirugía de egército, en premio de los servicios que ha con traído durante la ultima guerra; declarando al mismo tiempo le ha sido muy grata á S. M. la cesión…</t>
  </si>
  <si>
    <t>Fabre</t>
  </si>
  <si>
    <t>…tar al Rey esta contesta ción; y se declaró la suerte por los señores conde Girardin, Casimiro Perier, Fradin, Hay, de Salís , Paul Chareaudouble, marques de Villafranca, Becquey, barón Fabre, de Bauvoir, Dannou, Canmartin , Saint-Aignan, Lecar— lier, Barthe-Labasride, conde de la Bourdonñaye, Jobez, Chevaiier-le-More, Bourdeau, Hargan y barón de Mortarieu. ESPAÑA. Gijon jo de Diciembre. En el sitio de Ferroñes, del concejo de Llanera, inmediato a…</t>
  </si>
  <si>
    <t>Facket, Mr.-'Guillermo</t>
  </si>
  <si>
    <t>Mr.-'Guillermo Facket</t>
  </si>
  <si>
    <t>…o, y S4s' '' ca-'",INGLATERRA. jas de azúcar; y el bergantín ingles Lavinia, dee Puerto— Cabello, en 53 dias de navegación-, concon cacaocacao yy sínodo"!_ Londres 3 de Agosto. su capitán Mr.-'Guillermo Facket dice que el dia antes de En una comida que ha dado en la fonda de Old-Londott su salida publicaron allí con extraordinario júbilo la Cons ja sociedad patriótica de españoles en celebridad de la aper titución. tura de las Cortes hubo entre otros brindis los si…</t>
  </si>
  <si>
    <t>Fagan, Felipe</t>
  </si>
  <si>
    <t>Felipe Fagan</t>
  </si>
  <si>
    <t>…al regimen arbitrario venga á hacer la critica pez , la q e juzgaba admisible la propuesta del grabador ge de la ley fundamental? ¿no dice esta que la casa de cual neral del reino D. Felipe Fagan , con ral que la suscripción quier español no puede ser allanada, sino cuando la ley lo á las medallas á que se referia no se verificase hasta después determine? ;podrá serlo en caso no determinado por ella? de abierto y examinado el troquel. ¿las leyes dadas…</t>
  </si>
  <si>
    <t>Fagel</t>
  </si>
  <si>
    <t>…la considerable.ruina t arrancó los¿árboles de cuajo, y quebrantó los techos de las casas. / Hoy han tenido ia honra de presentarse al Rey el Emo. Sr.Machí, nun cio de S. S., y el general Fagel, enviad© extraordinario, y ministró plenipo tenciario del Rey.de los Países-Bajos, los cuales han puesto en manos d£ S. M. las cartas de pésame de sus respecíivoy Soberanos con motivo de la muer te del Duque de Berry.' . El 25 de Febrero ultimo se recibió en…</t>
  </si>
  <si>
    <t>Faget</t>
  </si>
  <si>
    <t>…uque de Welling- Se dió principio leyendo el acta de la anterior. ton, el duque y la duquesa de Decazc , el duque de Frías, Se leyó un oficio del ministro de Gracia y Justicia, el barón Faget, el principe de Lichtenstein, y otro gran contestando á otro de los- secretarios del Congreso, y dan número de personas de alta gerarquía. do parte de que S. M. había teñalado la una de la tarde del lunes 14 para recibir la diputación que á nombre de las FRAN…</t>
  </si>
  <si>
    <t>Fagoaga</t>
  </si>
  <si>
    <t>…residente al Sr Moscoso; para la de Política sobre perdón dé ciertas cantidades á los alcaldes de Ceren iugar del mismo al Sr. Martínez de la Rosa; para la de cedilfa. Ultramar al Sr. Fagoaga en lugar del Sr. Couto; para la Quedaron las Cortes ¡enteradas de los egemplares remi Eclesiástica al Sr. Ramos Arispe en lugar del mismo ; para tidos por el ministerio de la Gobernación de la Real orden la de Bellas artes á los Sres. Priego y Cepero; para la…</t>
  </si>
  <si>
    <t>…a á hacer esta indicación era que á no indicación del Sr. Cortés, no se admitió á discusión. existir este monasterio, tal vez los franceses hubieran exten Se leyó la siguiente del Sr. Fagoaga: «Que en lugar de dido sus límites á esta parte de acá de los Pirineos. Se mos hospitalarios de S. Juan de Dios, se ponga todos los tró que esto también pertenecia al Gobierno, y que en tal hospitalarios." Habiéndose convenido su autor en sustituir caso conve…</t>
  </si>
  <si>
    <t>…nos de advertir que no contrario á las resoluciones que recayeron acerca de la pri es el mejor médico el que mas sabe de medicina, sino el mera indicación del Sr. Navas y á la del Sr. Fagoaga. que mejor conoce el estado del enfermo; y asi es que mu Se mandó quedar sobre la mesa el oficio del Sr. minis chas veces no se atreve á aplicarle los remedios que están tro de Hacienda, en que daba parte de haber sido propues mas indicados por los principios…</t>
  </si>
  <si>
    <t>…Rey- nía la comisión, y-.decia asi: haud, profesor de la escuela politécnica de París, con [a 1.“ «Que se está en el caso de necesitar del empréstito que remida por medio del Sr. diputado Fagoaga dos egem- de los 200 millones, sobre el cual autorizaron las Cortes al plares de sus obras de matemáticas; y se acordó que pasa Gobierno para que oyera proposiciones.” sen á la biblioteca. El Sr. Alvarez Guerra, analizando el empréstito de que El Sr. Cortés e…</t>
  </si>
  <si>
    <t>…misión, á pesquerías, la Hacienda pública , previos ¡os conocimien de Hacienda. tos q ¡e estime necesarios, proveerá a estos establecimientos Se aprobó la siguiente indicación del Sr. Fagoaga: «De de las cantidades que sean suficientes por medio de encabe biendo ocuparse la comisión de Hacienda del arreglo de zamientos.” pensiones, pido que se solicite del Gobierno una noticia Decía el 7U : «Las salinas de particulares continuarán de las que baya…</t>
  </si>
  <si>
    <t>Fagoaga, Anacleto</t>
  </si>
  <si>
    <t>Anacleto Fagoaga</t>
  </si>
  <si>
    <t>…lianueva, D. Juan Andrés Segó vía, D. Manuel 69 diputados de las Cortes ordinarias con fecha de 12 de Abril de 1814. presentada á S. M. en "Valencia de vuelta de su cau -Santurio, D. Anacleto Fagoaga, D. Francisco Redondo tividad por D. Bernardo Mozo Rosales: acompaña también di y D. Felipe Vázquez Canga; y para las fiscalías á D. Ma cho manifiesto con notas críticas. El estilo claro con que estaa nuel. de Echeverría y D. Antonio Martel. tratados muchos p…</t>
  </si>
  <si>
    <t>Faíarea</t>
  </si>
  <si>
    <t>a'i lo publicara el Gobierno por medio de la gaceta. hasta el año 220 23; pero quedando fijo el tiempo en qué Otra d.-l Sr. Faíarea para que ínterin se aumenten el debieran Ce ar los diezmos. haber de la tropa y subalternos del egírcito , para mante - El br. preúdeme, adviniendo que se debía tratar ;onerse Con mas decoro se manden pagar los presup estos de bre si habia de admbirse a di cu…</t>
  </si>
  <si>
    <t>Fajardo, Diego Saavcdra</t>
  </si>
  <si>
    <t>Diego Saavcdra Fajardo</t>
  </si>
  <si>
    <t>…a de los Reales Consejos, en donde 'se manifestarán sus condiciones; pues su remate se ha de celebrar en ella el jueves t del próximo mes de Marzo, á las it de su mañana. Obras de D. Diego Saavcdra Fajardo, cagadero que fue del orden de Santiago, del Consejo de S. M. en el supremo de las Indias, y su embajador plenipotenciario en los 13 cantones &amp;c.: cuatro tomos en 8.° mayor, que contienen las célebres Em-: ¡presas políticas ó la idea de un príncipe político c…</t>
  </si>
  <si>
    <t>Falarea</t>
  </si>
  <si>
    <t>…o para que cualquiera individuo se ausente mande , ” porque su oficio no es pedir á Dios que castigue i del pueblo de su domicilio á sus negocios particulares, de nadie. A esto el Sr. Falarea respondió que no nabian hecho biendo avisar á su comandante á fin de que se anote el ser mas que copiar un artículo de la ordenanza, que por mas vicio que le corresponde durante su ausencia, para que lo de siglo y medio no ha encontrado oposición. preste á su…</t>
  </si>
  <si>
    <t>Falc, Josef</t>
  </si>
  <si>
    <t>Josef Falc</t>
  </si>
  <si>
    <t>…nal el decreto de las Cortes debían haber desaparecido los ronel subinspector interino de Ingenieros de Castilla la Vie que se dedican á semejante ilícito comercio; pero ha cum ja D. Josef Falc. plido ya el término señalado para volver el tabaco, y Observaciones é ideas sobre los mismos problemas, por aun se ven por todas las calles y plazas como si estuvieran el comandante del 2.0 batallón del regimiento de Guadalaautorizadas para tal ocupación. ja…</t>
  </si>
  <si>
    <t>Faltacone</t>
  </si>
  <si>
    <t>…ustríaco conde de Nugenr, que en los días 7.a del Sr. Netti sobre el arresto del Sr. Palladino y sus de la última revolución mandaba el egércíto napolitano, se compañeros: 8.a del Sr. Faltacone para que se invite á los vio precisado, como se dijo entonces, á alejarse de Ñapó ciudadanos de todas clases á presentar exposiciones sobre los les para evitar el furor del pueblo. Ahora que se halla en abusos de la administración: 9.a del Sr. Catalani, que p…</t>
  </si>
  <si>
    <t>Fannino, Pascual</t>
  </si>
  <si>
    <t>Pascual Fannino</t>
  </si>
  <si>
    <t>…. desean, se publicará un manifiesto de los Soberanos al mis Ei Gobierno napolitano ha hecho prender, y ha depues mo tiempo que las tropas austríacas entren en el territorio to al capitán Pascual Fannino, el cual, ayudado de al napolitano. gunos otros, arrancó de manos de la fuerza pública un __ Se cree que van á formarse dos nuevos ministerios, uno hombre que era conducido á la cárcel. de Instrucción pública, y.otro de Contribuciones directas. ——Las cartas d…</t>
  </si>
  <si>
    <t>Fardelia</t>
  </si>
  <si>
    <t>…o no es el Ínteres, sino la gloria la que tiene do visconti.=AI coronel de caballería D. Juan Russo, «por objeto alguna empresa, y cuando la moderación y la napolitanosAl teniente general Fardelia. = AI principe «disciplina acompañan a esta, entonces no pueden menos de Camporeale.= Al capitán de navio Statti, sicilianos. «de conseguiré los grandes objetos á que se dirige. ¡Loor El egército constitucional, al mando del general Pepe, «al digno capiran qu…</t>
  </si>
  <si>
    <t>Farigola, Antonio</t>
  </si>
  <si>
    <t>Antonio Farigola</t>
  </si>
  <si>
    <t>…y en las provincias en casa de los principales libreros, á 12 rs. en pasta, ió en pasta fina, y 30 en tafilete de varios colores. La Luciana, novela original en cinco períodos por D. Antonio Farigola y Do mínguez, oficial de infantería. La buena moral que respira toda la novela, y el ser copia fiel de uno de los muchos sucesos que han acaecido durante la última guerra, la hacen recomendable á toda clase de personas ; un tomó en 8.° Se hallará en la impren ta d…</t>
  </si>
  <si>
    <t>Fchevarría, Félix de Orne</t>
  </si>
  <si>
    <t>Félix de Orne Fchevarría</t>
  </si>
  <si>
    <t>…eron ayer guno mas que ellos ha sido víctima de !a discordia. llenos del mayor entusiasmo á las casas consivortaies, don Quieren la Constitución actual, porque la ha dado el de su comandante D. Félix de Orne Fchevarría , teniente Rey. y la han jurado los Príncipes de su sangre, po'-que to retirado de los egéreitos nacionalec , que se presentó volun da la nación la desea, y porque habiendo cordura puede tario en esta milicia , aunque estaba exceptuado segur, regla hacer á la…</t>
  </si>
  <si>
    <t>Fe</t>
  </si>
  <si>
    <t>332</t>
  </si>
  <si>
    <t>…establecimientos públicos y particulares, y tendrán también una conferencia con la familia Real de Saxonia en Toeplitz. El Emperador ha nombrado á S. A. el teniente feld-mariscal príncipe Fe lipe de Hesse-Homburgo para que lleve á "S. M. el Rey de Inglaterra Jor ge rv una carta de pésame con motivo de la muerte de su padre Jorge m, y de enhorabuena por su advenimiento al trono del Reino-Unido de la Gran Bretaña é Irlanda, y de Hannóver. , Asimism…</t>
  </si>
  <si>
    <t>…eunión de las :á discusión la segunda indicación de este; y de los señores Cortes, había contestado á las consultas hechas que conti Moreno Guerra, Diaz Morales, Vadillo, Navarro (D. Fe nuaran presos hasta la instalación de aquellas. lipe), Desprat, Cepeda, Solanot, Cañedo y Romero Al- El Sr. La Riva, individuo de la coinióon, manifestó puente, contra la resolución de no haber admitido á discu que á esta le había ocurrido la dificultad de si…</t>
  </si>
  <si>
    <t>…remitir este Se leyó el acta de la anterior, á la que se mandó agre expediente con todos sus documentos al Gefe político de la gar el voto particular de los ores. Yu«re , Navarro (D. Fe pmvincia; y este al secretario de la Gobernación en el tér lipe) y Gaseo, contrarío á la resolución acordada sobre las mino mas corto posible, bajo su responsabilidad á los per adiciones hechas en dicha sesión al proyecto de regulares. juicios quepuedan resul…</t>
  </si>
  <si>
    <t>Fé</t>
  </si>
  <si>
    <t>…ontestó el se tre los Sres. diputados 200 egemplares del decreto en que ñor Moreno Guerra, como autor déla indicación, que se se declara benemérito de la patria en grado heroico á D. Fé conformaba con que fuese el 1.° de Marzo, pues como el no lix Alvarez Acevedo; y otros 200 del expedido para que se quería mas que el bien general de la Nación, no exigía preci inscríban en el salón de Cortes los nombres de D. Juáh pitaciones , premuras ni tr…</t>
  </si>
  <si>
    <t>…inos de Málaga por los decretos de extinción de mayoraz que estimasen las Cortes se la reintegre de i.irc.3 ts. por ¡a gos y reforma de regulares. Albufera de Valencia, que el Rey D. Fe!'.re v cedió al A la comisión de Infracciones de Constitución se pasó conde de las Torres por sus servicios, y ahora se ha adju una exposición del Gefe político de Madrid sobre que el dicado al Crédito público. ayuntamientp de Torrejon de Ardoz habia despreci…</t>
  </si>
  <si>
    <t>Federico, Carlos</t>
  </si>
  <si>
    <t>Carlos Federico</t>
  </si>
  <si>
    <t>…el dia. art. io. ,, Las potencias contratantes reconocen el derecho de sucesión es tablecido en el gran ducado de Badén en favor de los condes de Hochberg, hijos del difunto gran duque Carlos Federico. art. 15. ,,Es común á S. M. el Emperador de Austria y á S. M. el Rey de Frusta el derecho de guarnecer la fortaleza de Maguncia. La guarnición de esta plaza se compondrá de un número igual de tropas austríacas y prusianas. S. A- R. el gran Duque de Hesse par…</t>
  </si>
  <si>
    <t>Feipe</t>
  </si>
  <si>
    <t>…ebrará la última junta preparatoria. Asi queda de la comisión encargada del exterminio de malhechores; rá formado y constituido el Parlamento , que dará principio del Sr. Navarro (D. Feipe) contra los cuatro artículos, y á sus sesiones el dia t.° de Octubre, conforme á los artícu del Sr. Freire, contrario al tercero. los 114, n 5, 117, 118,119, 120, 121, 122 y 123 de Se mandaron archivar los ejemplares correspondientes la Constitución. remitido…</t>
  </si>
  <si>
    <t>Feli</t>
  </si>
  <si>
    <t>…, sirviendo te del dictamen : la comisión es de parecer que á las viu de garantía todas las rentas del Estado, se destinase una en das de estos tres oficiales (D. Roque Arismendi, D. Feli particular, cuyos productos no tengan otra inversión que pe Charneco y D. Juan Domingo Tirado, muertos en el el pago de estos intereses: otras Naciones mas acreditadas campo de batalla ) se Ies debe asignar íntegro el haber que la E&gt;paña suelen hacerlo de est…</t>
  </si>
  <si>
    <t>Felipe</t>
  </si>
  <si>
    <t>…mejor gobierno de aquellos vastos dominios, algu nas leyes de él pidieron variación por el curso,.de,Jos tiempos y novedad de costumbres; asi íse conoció á fines del reinado'.dgl Sr. D. Felipe v.,ser.c.09i veniente retocar este código de legislación , suprimir, y variar algunas leyes, y - añadir otras; mas esta empresa .no tuvo-principio sino en el reinado del Señor D. Fernando el vi , y continuó con alguna lentitud hasta el del Sr. D. Cárlos'i i-i…</t>
  </si>
  <si>
    <t>…31 de Marzo. El día 21 de Marzo tuvieron el honor de felicitar á S. M. en nombre de la sociedad de Amigos del pais de la ciudad de Ecija el Excmo. Sr. D. Joseí María de Alós, y el coronel D. Felipe de la Corté, presidente y secretario de la diputación permanente de la misma; y el primero pronunció el discurso siguiente: ,, Señor: La sociedad económica de la ciudad de Ecija, representada por íu diputación permanente, tiene el honor de presentarse A L. R.…</t>
  </si>
  <si>
    <t>mariscal de campo D. Felipe, de Arcqxdgüero , gefedel estado mayor def egército de la Isla, entregó á S. M. en la mañana cíel 19 del corriente las dos exposiciones que sígqen: ,, Señor : El egército nacional, que fue el primero á declararse por, la Cons titución , ya felizmente jurada p…</t>
  </si>
  <si>
    <t>…ripular y armar dos los Sres. Peñafiel por 73 votos, Lorenzana por 60 , Baha-‘ navios, 7 fragatas, 7 corbetas, 13 bergantines, ti goletas, monde por 63 , Giraldo por 95 , Navarro (D. Felipe ) por 2 cañoneras, 8 urcas, 24 gabarras y 2 trasportes, que com 75, Vadillo por 82, Gaseo por 83, Carrasco por 78, ponen 76 buques, y se emplearán eñ servicio activo'8700 Quintana por 68 , Hinojosa por 74. marinos, y entre ellos,1 generales, 10 capitanes de n…</t>
  </si>
  <si>
    <t>….las municiones , que apenas bastarían para un dia de ba sa, Giraldo, y Ruiz Prado para la sala primera; Riva, talla, ..Manifestó el gran número de agregados , á pesar de Navarro (D. Felipe), Crespo Cantolla, Huerta y Peñafiel lo que. se ha procurado disminuirle ; el abandono inevitable para la segunda, todos.por el orden con que están coloca de las fortalezas; por último, en toda lá memoria apenas dos, y para fiscal al Sr» Loizaga. ' ■ hubo, lu…</t>
  </si>
  <si>
    <t>…n. El Sr. Romero Alpuente dijo que debió. devolverse á !á Se leyó una proposición de los Sres. Traver, Gareli, comisión para que e?ta, con arreglo a la Constitución . pre Navarro (D. Felipe) y otros, relativa á que, riendo el ob sentase el proyecto en su totalidad, y que concluido se jetó del restablecimiento del plan de estudios de 1807 la pusiese sobre ía mesa, á fin deque p diesen enterarse de reforma de libros, no debía hacerse ninguna varia…</t>
  </si>
  <si>
    <t>…o en que se expresase asi en el acta; á la que tam comunes. bién se mandó agregar el voto particular del Sr. Navarro Mr. Ber.net dijo : no ha sido mi intención atacar la peno- . ( D. Felipe), contrario á la resolución expresada. na del Rey ; pero he querido decir que todo el poder Real A las comisiones reunidas de Legislación y Guerra se se ha puesto en una de las balanzas, y que en la otra no se mandó pasar el expediente remitido por el ministr…</t>
  </si>
  <si>
    <t>…ia, Ja ordenanza, y la dificultad de arreglarse perfectamente á Banqueri, Cepeda, Quiroga, Fagoaga, Istiiriz, Navarro las leyes en el tránsito repentino de un sistema á otro: fun (D. Felipe), Lasanta, Paiarea, García Page, Martínez de dándose casi exclusivamente en esto último, fue de dicta la Rosa, Ramos García, Alvarez de Sotomayor, García, men que no correspondía formar causa al capitán de Guar Justo García, Maulé ,Ledesma, Couto, Clemente, A…</t>
  </si>
  <si>
    <t>…s vellón al Leída el acra de la sesión anterior se mandaron agregar año , hasta que obtengan beneficio ó destino que les produz á ella los votos particulares de los Sres. Navarro (D. Felipe), ca igual cantidad. Navarro (D. Andrés), García (D. Juan Justo), Dolares, 6. Los que no estuvieren ordenados in sacris queda Ga-co, Sil ves, Marina, Castrillo, Vargas Ponce, García, rán en la clase de legos seculares, sujetos á las justicias or Alvarez Sotom…</t>
  </si>
  <si>
    <t>…e un juez de primera instancia? Por „ Cuesta , Si Ivés, Gareli , Cañedo, Hinojosa , Ruiz de Prado, último, en vista de estas y otras reflexiones, concluyó pi S. Miguel y Navarro ( D. Felipe) ; para el criminal ios se diendo se declarase no haber lugar á votar. ñores Marina, Calatrava, Vadido, Caro, Vitorica , Cres El Sr. Ochoa no solo apoyó á su preopinante, sino que po Cantolla, Rivera, Florez Estrada y Rey; para e! de graduó de insultante la r…</t>
  </si>
  <si>
    <t>…ente declarados be y 2.i patria os bendecirá si cumplís vuestro juramento; neméritos de la patria-en grado heroico.” si no , sereis responsables d las leyes. Oria del Sr. Navarro (D. Felipe) «que se concedan tam Se aprobaron los artículos 40 y 41. Por el primero se bién á la memoria del coronel D. Joaquín Vidal, sacrifica previene que cuando haya dos ó mas batallones presten el do en Valencia, los honores que las Cortes declaren á los juramento,…</t>
  </si>
  <si>
    <t>…titucional, que tan felizmen indicaciones .de los Sres- Desprat, Quintana-, Romero Al-, te se ha restablecido , celehró el fausto suceso del juramen puente, Diaz Morales, Navarro (D. Felipe), Palarea , dloto de 5. M. en ias Cortes con todo el aparato que permi rez Estrada, Isturiz, Gutiérrez Acuña, Quirnga y Solana. tían la localidad y las circunstancias. Se celebró misa so iA «Que las Cortes dispongan que la comisión ( encar lemne con música, e…</t>
  </si>
  <si>
    <t>…mente. Al entrar se Uno en el país de Venecia, y otro en la Lombardía; que el levantaron todos los Pares: la Reina hizo una pequeña in mando de este último se conferirá al general príncipe Felipe clinación, y atravesó la sala, pasando por delante del trono, de Iíesse-Hombourg; y que el primero estará bajo las ór para dirigirse al sitial que se le habia prevenido. denes del general Frimom, que mandó el cuerpo de tropas El lord canciller leyó una carta…</t>
  </si>
  <si>
    <t>…a ¡lustre universidad j casa de contratación secularizadas que se administran por cuenta del Cré déla M. N. y M. L. villa de Bilbao, aprobadas y confirmadas por las Magestades del Sr. D. Felipe v en a de Diciembre de dito público ¿rr. 1737 y D. Frrnando vii en 27 de Junio de 1814, con in VALLADOLID. serción de privilegios, y la provisión de 9 de Julio de i8j8 , que Capellanía de D. Manuel Joaquín Zubiaurrey sn mnger. contiene las alteraciones hechas…</t>
  </si>
  <si>
    <t>…as siguientes reflexiones: el voto particular de los Sres. Perez Costa , Peñaiiel, Mar I Dos ciudadanos que viajaban con la entera confianza tínez (D. Xavier), Valcarcel, Navarro (D. Felipe), Mu que inspira la protección de las leyes; dos magistrados que ñoz Torrero, Quiroga, Rodriguez, Lorenzana, Vargas volvían á sus destinos, y el uno en el distrito de su juris Ponce , Cepeda, Díaz Moraies, Arnedo, F orez Estrada, dicción; dos individuos en fi…</t>
  </si>
  <si>
    <t>…ones, gracias, puesto'ó mercedes que al general Acevedo;” la cual fue aprobada. obtenían al tiempo de decidirte á tomar empleo del gobier Se leyó o-ra indicación de) Sr. Navarro ( D. Felipe), en no intruso de Jo'ef Bonaparte; pues aquello' para que se estos términos: »Oue se inscriban en el «alón de Cortes, les habilita y declara en propiedad los derechos de ciudada de un modo que no cause deformidad á su arquitectura, nos españole' son los que…</t>
  </si>
  <si>
    <t>…e , FondeviEl Sr. Navas aclaró algunos de sus principios que habia Ja , Navarro (D. Fernando), Michelena, Rey, Navarro atacado el Sr. presidente; y preguntando después si estaba £ D. Felipe), Solana, Moreno Guerra, Medrano, Ochoa, el pauto suficientemente discutido, se declaró no estarlo to Torre Marin, Calatrava, La Llave, Moscoso, Olí ver, davía. Losada, Cucar, Pino, Ramos Arispe, Gaseo, Gutiérrez Apoyó el Sr. Vitorica al Sr. Toreno, y manifes…</t>
  </si>
  <si>
    <t>…lamitosa el ser Sr. presidente á , los Sres. .San Miguel., CaJatrava , Gaseo, acusado ante el tribunal de Fouquier-Tinville era lo mismo Mattel, Romero Alpuente, Priego., Navarro (D. Felipe), que salir condenado anticipadamente; pero ahora la conspi Michelena y Martínez Valladares. ración denunciada debe ser juzgada por un tribunal inde Se leyeron cuatro minutas de decretos , una del aproba pendiente , donde no se ocultara verdad, donde la inoce…</t>
  </si>
  <si>
    <t>…ia se habia abrogado facultades que no Sesión del 27 de Setiembre. le correspondían ; lo que trató de impugnar el Sr. Navarro Se leyó el acta de la ordinaria de ayer, á la que se (D. Felipe), y probó después el Sr. ministro. Por último mandaron agregar los votos particulares de los Sres. Y usté, no hubo lugar á votar sobre la indicación. Ochoa, Gaseo, Vadillo y Manescau, contrarios á la resolu Habiendo recordado este en la discusión, que en las…</t>
  </si>
  <si>
    <t>…l, López, Diaz de Morales, Isturiz, el Sr. ministro de la Guerra. Rovira, Cortés, Calatrava, Cavaleri, Ramonet, Navarro Se dió cuenta de otro oficio del Sr. secretario ■ de la Go (D. Felipe) y otros, ía que con Ja variación adoptada por bernación de Ja Península , con el cual remitía á las Cortes su autor decía asi: una exposición de la diputación provincial de Avila sobro «Que los dos artículos sobre tabaco y sal vuelvan á la la división de los…</t>
  </si>
  <si>
    <t>…udad, presentadas por el Sr. Ochoa. complemento del consejo de Estado, la quelite sostenida Se aprobó el dictamen de las comisiones de Hacienda y por los Sres. Castañedo, Navarro (D. Felipe) , Dolacsa,</t>
  </si>
  <si>
    <t>…ano ! ¡ Loor eterno diputados que firmaron el manifiesto de t 2 de Abril de tüi á los valienres'defensores de los derechos, gloria y dignidad los de ios Sres, Buigbianch, Navarro (D. Felipe) y Gu de su patria! tiérrez Acuita, contrarios á ia aprobación de la indicación del Sr. Martínez de la Rosa ; los de los Sres. Gnreü , LiNOTICIAS DEL REINO. ñan, Couto, Castrillo. Cortés y Vitorica, contrarios á la aprobación de las indicaciones de los Sres.…</t>
  </si>
  <si>
    <t>…dejar sobre la mesa. canales. Las Cortes aprobaron el dictamen de la comisión de El Sr. Moscoso, individuo de la comisión de Hacien Hacienda acerca de la solicitud de la viuda de D. Felipe da , manifestó que habiéndosele mandado oír al coronel Canga Arguelles, opinando que se la declarase comprendi Jiiíin dei Cñstüíoy Rodríguez, sutor de los dos pnpe— da en e! decreto de 1 3 de Setiembre 1813, Ies titulados Manifiesto de las ideas de un militar…</t>
  </si>
  <si>
    <t>…anifestara á las Cortes, la cantidad de algodón ex- Alvarez Guerra, Vargas Poucey Serraüach, Rovira, Tortrangero en rama que se introdujese, especificando su clase rens , Navarro (D. Felipe), Villa y Argaíz. y procedencia, y asimismo el estado de la cosecha de Para la de Hacienda los Sres. Yandiola, Moscoso , Cues Motril, y otros puntos de la Península é islas Baleares, te ta, Toreno, Sierra Pambley, Oliver, Queipo , Calderón y niéndose en consi…</t>
  </si>
  <si>
    <t>Felipe, D-</t>
  </si>
  <si>
    <t>D- Felipe</t>
  </si>
  <si>
    <t>…ias), estuvieron aquellos habitantes &lt; sin ün código'dé leyes completo que les gobernase,, hasta que se imprimió el ¿ que actualmente-rige, principiado á formar en el reinado &lt;fel Sr. D- Felipe ni; y si es cierto que este es el-mejor-acabado en su clase, y que contiene tas le yes,mas oportunas para el mejor gobierno de aquellos vastos dominios, algu nas leyes de él pidieron variación por el curso,.de,Jos tiempos y novedad de costumbres; asi íse cono…</t>
  </si>
  <si>
    <t>Felipes, Ambrosio</t>
  </si>
  <si>
    <t>Ambrosio Felipes</t>
  </si>
  <si>
    <t>…adera del presente siglo: por Madama Cottin, Enaguila, presbírero, 40. D. Judah Benoliel, 320. Don traducida libremente por S. H. T.: un tomo en 8.°, con una es Hamet Beggia, 160. D. Ambrosio Felipes , 40. D. Pascual tampa fina. Véndese en la librería de Rodríguez, y en Cádiz en la de Hortal y compañía. Francia, 40.D. Antonio Guaseo, 160. D. Juan Pyne, 60. Retrato de la Reina Católica Dona Isabel, grabado por el cuaD. Abram de J. Taurel, 80. Los jornalero…</t>
  </si>
  <si>
    <t>Feliu, Manuel Olaguer</t>
  </si>
  <si>
    <t>Manuel Olaguer Feliu</t>
  </si>
  <si>
    <t>…za. El Rey se ha servido promover en el cuerpo nacional de Ingenieros de la división de Indias, según el reglamen to de dicho cuerpo, á mariscal de campo al director sub inspector D. Manuel Olaguer Feliu : á brigadieres directores cambios. Madrid y Junio jo de 1830. sub-inspectores á los coroneles D. Francisco Mendizabal y Paris......... .................................................. 15 9 D. Anastasio de Arango, y á coronel al teniente D. Josef Londres...…</t>
  </si>
  <si>
    <t>Felíu, Ramón</t>
  </si>
  <si>
    <t>Ramón Felíu</t>
  </si>
  <si>
    <t>710 Miguel Antpnio Zumalacarregui: igualmente ha nombrado S. M. para una plaza de fiscal del propio tribunal á D. Ramón Felíu. Habiendo resuelto el Rey que el consejo de Estado proceda á proponer para las plazas de jueces.de primera instancia de las provincias, cuya división de partidos está aprobada por Las Cortes, á letrados de ciencia, probidad y decidida adhesión al Gobierno act…</t>
  </si>
  <si>
    <t>Félix</t>
  </si>
  <si>
    <t>…amistas nuevos plázps con las con diciones que acordarán con l¿; dirección general 'del establecimiento, la cuál lo anuncia todo á los interesados para su inteligencia y gobierno. D. Félix dé Ovalle, alcalde primero constitucional de esta villa, certifico: Que en el día 19 de Mayo compareció á mi presencia á juicio conciliatorio D. Jósef Maríá Gatalan, dé esta vecindad , asociado de D. AtfónW Giralda Bergaz, én córiceptó de hombre bueno; y expu…</t>
  </si>
  <si>
    <t>…clero, insi Restablecido el régimen constitucional, inmediatamente nuándoles que lo verificasen sin demora , y manifestasen con se reinstaló, la sociedad patriótica en la casa de D. Félix* esta demostración .pública su adhesión á un sistema que tan Blanco de Coca, maestro de primeras letras, siguiendo la tos beneficios proporciona á los pueblos. Movido el alcalde misma sensata conducta que había observado en su primer de tan justas como patrió…</t>
  </si>
  <si>
    <t>…forme se ha hecho en las casas de Lac)t, no se aprobó por 52 votos contra 37 la indicación moneda desde el año de 1772 ; pues á no convenirse se del Sr. Moscoso: Que el nombre del general D. Félix oí va descontara por menor según pr etica. A la moneda que se rea Acevedo, comandante^en gefe del egárcito de Galicia y piesemare como falta con el nombre de factura, se ejecuta vocal de su junta de gobierno, se ponga en el salón al lado rá la cuenta por mayo…</t>
  </si>
  <si>
    <t>Femando</t>
  </si>
  <si>
    <t>…erar de ellos cordura y moderación , unidas al vigor y la energía necesarios. El Rey ha expedido los decretos siguientes: Tampoco se puede temer una tendencia á la oligarquía, i.° Don Femando vil por la gracia de Dios y por la porque no hay mas que seis nobles, y de estos no faltan Constitución de la Monarquía española, Rey de las Espanas, quienes profesan principios liberales, entre otros los mar á todos los que las presentes vieren y entendieren…</t>
  </si>
  <si>
    <t>Fer</t>
  </si>
  <si>
    <t>…cias de algún día plausible, se publica sen y distribuyesen en cualquiera de los dos dias 13 y 14 de. Octubre con.el motivo del feliz Cumpleaños de nuestro ámabilísimo Soberaao el Sr. D. Fer nando vii, y que al mismo tiempo se celebrasen; exámenes públicos en das citadas escuelas, premiando por cuenta •de-t.lp-!sodedadaJosmáos-y; niñas • que por su apBcacion y aprovechamiento^ jnereeieseín. ^ r, u *1 En efecto, llegado el dia 13, adornada una de…</t>
  </si>
  <si>
    <t>…ados vasallos. Desde entonces me ocupé en examinar el índole y naturaleza de las contribuciones llamadas- p„ro¿ vincíales: los fundamentos* que mis augustos Tío y Abuelo los Reyes D. Fer nando el vr y D. ¿Jarlos iir tuvieron para: resolvér su extinción en décretoí de 10 de Octubre de 1749, y 4 de Julio de 1770,* que estaban sin cumplir:; f las mejoras que pudieran resultar, del sistema de única córitribucion varias ve-’ ces intentado. Después…</t>
  </si>
  <si>
    <t>…de Coponsy Navia, como igualmente al mariscal de campo, gobernador de esta ciudadela, D. Pedro de Grimarest, sustituido este por el coronel del regimiento de infantería de Murcia D. Fer mín Escalera, y asimismo el gobernador del castillo de Monjui, coronel D. Juan Desvalls, por el de la propia clase D. Josef Ortega. „Como mi mando, según Constitución, se reduce solo á la parte militar y sobre las tropas que componen el egército de este princ…</t>
  </si>
  <si>
    <t>…e espera que den razón de ku paradero á D. Miguel Perez, calle de la Sartén, núm. 8, cuarto 2 c=z FI. de Don F. mand-' y L)oña Isabel Manjon de Cevaflos, hermanos, é hijos de otro D. Fer nando v natural d-l valle de Toranzo, en las montañas de Santander, y de Doña Tomasa Santa», que lo fue de. esta corte. Hay que comunicarles asuntos muyarn-</t>
  </si>
  <si>
    <t>…ue se lo han ad Sancho por ; c, Raíz de Prado por ji, Vecino por 66, quirido a, costa de su prest ó de su trabajo .personal, siendo Flcrez Ésrrada por 53, Caro por 62, y Clemente (D. Fer por consiguiente suyo propio, los demás están.casi desnu mín) por 86, todos en primer escrutinio. dos y descalzos, citando lino que en Ceuta ha llegado á no Concluida la votación, :e procedió á sortear entre los poder salir de sus cuarteles por falta absoluta…</t>
  </si>
  <si>
    <t>…es de la Mancha, Zamora y Murcia sobre aboli haber conseguido entrada libre en el mar Negro para los ción de diezmos. buques holandeses. Se mandó pasar al Gobierno una petición de D. Fer nando Plaza, vecino de Cañete la Real, para que te nom NOTICIAS DEL REINO. bre una comisión que tome conocimiento de las intrigas con que se han verificado en aquel pueblo las elecciones de ayun Cádiz jj de Agostó. tamiento. En la tarde del dia 3 concurrieron…</t>
  </si>
  <si>
    <t>…taba mucho al Congreso. A la comisión de Infracciones una evposicion del ayun Se levó por segunda vez la proposición y proy-ecto de tamiento de Lorca sobre la conducta criminal de D. Fer decrero ¿el Sr. Sancho sobre regulares, que se vio por pri mín Campillo, adminbrrndor cesan e de Salitres. mera en la sesión de 2 3 de Tullo. Se levanto el Sr. Sancho, no A la ordinaria de Hacienda una razón del estado del para defender su provecto, que sabia…</t>
  </si>
  <si>
    <t>Fer, Joaquín</t>
  </si>
  <si>
    <t>Joaquín Fer</t>
  </si>
  <si>
    <t>…la santa iglesia metropolitana de Zaragoza,27 de Agosto último lo que sigue: . acudirán á recoger el tomo 16, y pagar el 17, que saldrá pronto, «Habiendo representado 4 las Cortes D. Joaquín Fer á la librería de Quirós, y á las principales ciudades del reino. nandez, individuo de la diputación provincial de Murcia, ■—Asimismo en dicha librería se halla de venta el Mapa general en solicitud de una declaración para que los electores de de la Península…</t>
  </si>
  <si>
    <t>Fer, Manuel</t>
  </si>
  <si>
    <t>Manuel Fer</t>
  </si>
  <si>
    <t>…tido á discusión su sa ; y opinaba que el cabildo se debia conf.-rinar con lo indicación sobre estadística, siendo asi que fue aprobada y acordado por el anterior alcalde de Corte D. Manuel Fer pasada A la comisión de Hacienda. El Sr. Couto dijo que nandez de Gambqf,., y por el vicario eclesiástico de Ma se enmendaría el acta, con lo que quedó aprobada. drid, que declararon .absuelto al referido canónigo, y libre Las Cortes quedaron enteradas, y man…</t>
  </si>
  <si>
    <t>Fergusson</t>
  </si>
  <si>
    <t>…tes y plantíos y de policía ; pe tribunas vacías, y admitió la Cámara la cuestión preliminar, ro sus empleados harán juramento de cumplir con las leyes conforme á la propuesta del general Fergusson. del reino, y últimamente gozarán de fuero privilegiado. EL pueblo fue admitido nuevamente á las tribunas, y lord Castlereagh propuso que la discusión sobre el mensage del INGLATERRA. Rey, señalada para la sesión del viernes, se difiriese hasta el 15 de Agost…</t>
  </si>
  <si>
    <t>Ferkavdo</t>
  </si>
  <si>
    <t>…los mejores auto res naclpnales y extrangeros, dedicada á los amantes déla música: tres números y una sonata armónica también para guitarra.zzTema con variaciones, dedicado ai Rut D. Ferkavdo vri en obsequio y celebridad d&lt;? Haber jurado, la Constitución. Vénde se todo en la librería de Ortega, cálle de las Carretas, . EN LA IMPRENTA NACIONAL * '4 * * &lt;, ■ \ *</t>
  </si>
  <si>
    <t>Fermín</t>
  </si>
  <si>
    <t>…frenre ha sabido conducirlo entre peligros sin fin al Térmi pesos fuertes. no de sus deseos ! El tiempo ha trascurrido; el orden sé lía Lo está también la media ración que servia D. Fermín guardado ; las pasiones maléficas se han sepultado en el silen María Osorio, por haber sido promovido á racionero de la cio , ó han murmurado á escondidas, y solo se han mani propia santa iglesia: su renta 1500 pesos. festado al descubierto el noble amor del…</t>
  </si>
  <si>
    <t>…la actividad en el zelo de sus dependientes, bierno, y dada por D. Ramón Minguez. y al abuso que nuestras felices ocurrencias han introducido Solución de los mismos problemas, por D. Fermín de en la venta de cigarrillos por todas partes. Desde el mismo Mendialdua desde Orduña. dia que publicó la dirección general de la Hacienda nacio Solución á varios de dichos problemas, dada por el co nal el decreto de las Cortes debían haber desaparecido los…</t>
  </si>
  <si>
    <t>Fernan</t>
  </si>
  <si>
    <t>…atisfacción , que no hemos D. Félix Parrilli.=Al juez del supremo tribunal civil de «querido retardar el darle un público testimonio de ella ¡Sol Ñapóles D. Angelo Abbatemarco.=Al coronel D. Fernan idados! Cuando no es el Ínteres, sino la gloria la que tiene do visconti.=AI coronel de caballería D. Juan Russo, «por objeto alguna empresa, y cuando la moderación y la napolitanosAl teniente general Fardelia. = AI principe «disciplina acompañan a esta, ento…</t>
  </si>
  <si>
    <t>…el acta de la anterior, y en seguida la lista de los individuos nombrados para componer la comisión espe Velez- Málaga de Agosto. cial de Biblioteca, que fueron los Sres. Navarro(D. Fernan Los pueblos todos de la Península celebran á competen do), García Page, Vadilio, Quintana y Cortés. cia el dia en que S. M. juró solemnemente, á presencia de Se mandó pasar á la comisión seg :nJa de Legislación un Dios y de la Nación entera, representada por sus…</t>
  </si>
  <si>
    <t>Fernan, Angel</t>
  </si>
  <si>
    <t>Angel Fernan</t>
  </si>
  <si>
    <t>…medio de apoderado, á.pedir lo que les convenga; prevenidos que de no verificarlo les-, parará el perjuicio que haya lugar. A voluntad de su dueño, y en virtud de providencia del Sr. D. Angel Fernan dez de los Ríos, juez de primera instancia de esta heroica villa, dada por la escri banía del numero de la misma que despacha D. Ramón García Xlmenez , se ha,man dado volver '£ sacar á pública subasta la hacienda que se anunció al público en la ga ceta ^0) 2(…</t>
  </si>
  <si>
    <t>…á crearlo todo, pues sona ó personas que se consideren con derecho á dichos vales que nada ha visto, y hasta el acto mas sencillo en la apa acudan á deducirlo y exponerlo ante el Sr. D. Angel Fernan riencia para los otros niños llega á ser para ellos una cosa dez de los Ríos, ministro togado honorario, y juez de pri mera instancia de esta muy heroica villa, por la escribanía nueva.... Jamas conseguirá nada el preceptor, si no está bien de número propia d…</t>
  </si>
  <si>
    <t>Fernandb</t>
  </si>
  <si>
    <t>…e los diferentes pretendientes á la corona': Caspe fue elegida cómo centro de M fidelidad para la reunión dé tan respetable congreso, y prestando los prime ros hortienages^ al Rey D. Fernandb, fundó por. simpatía eíi los corazones de Habfttóés un‘añior1 decidido"AÍós'Reyés'á'é ésté nómbj^e. t , „Con tan nobles corpo antiguos sentimientos fue mayor el entusiasmo de éódos sus vecinos cu andoJa perfidia de un- usurpador arrancó á V. M. del seno de es…</t>
  </si>
  <si>
    <t>Fernandez, Aagel</t>
  </si>
  <si>
    <t>Aagel Fernandez</t>
  </si>
  <si>
    <t>…da y heredera .del referido Villagrasa han hecho -una transacion y partición extrajudicial de los bie nes qtíe aquel ha dejada, y la bao presentado. para^u aprobacioñ. ante d S¡r. D. Aagel Fernandez de los Ríos, juez de primera instancia de esta mu]f heroica villa, por la escribanía de numeró de cargo de D. Francisco Alcázar, dónde pende él asunto, de que se ha dado traslado al defensorjle la Doña M§ggari*a Daschouts; y-en auto de fí de Abril próximo pas…</t>
  </si>
  <si>
    <t>Fernandez, Angei</t>
  </si>
  <si>
    <t>Angei Fernandez</t>
  </si>
  <si>
    <t>176</t>
  </si>
  <si>
    <t>…que en ello estriba la expedición y acertado manejo de la Hacienda pú blica, y el mejor servicio de ia Nación y del Rey. Ma ANUNCIOS. drid 22 de Julio de 1820. Por providencia del Sr. D. Angei Fernandez de los Píos, ministro togado honorario , juez de primera instancia en esta F.l Sr. secretario del Despacho de Gracia y Justicia ha muy heroica villa, refrendada del escribano'de su número Don dirigido al Sr. secretario del Despacho de Estado el oficio Tomas d…</t>
  </si>
  <si>
    <t>Fernandez, Angel</t>
  </si>
  <si>
    <t>Angel Fernandez</t>
  </si>
  <si>
    <t>8 Por providencia del Sr. D. Angel Fernandez de los Ríos, del Consejo deS. M.t primer teniente corregidor de esta muy heroica villa, refrendada del escribano del numero de la misma L&gt;. Bernardo Diaz de Antón ana., se ha señalado para nueva junta de acreedores del Sr. marques de Montemassi y de Rocafider…</t>
  </si>
  <si>
    <t>28</t>
  </si>
  <si>
    <t>…40 rs. Quien quisiere hacer postura acuda ante el referido señor juez y citada escribanía, que se admitirán las que se hicieren siendo arregladas. iM‘ En virtud de providencia del Sr. D. Angel Fernandez de los Ríos, del Consejo de S. M., y teniente primero de corregidor de esta muy heróica villa, y comisionado por S. M para entender en los autos de testamentaría de la Excma. Sra. Doña María de la Soledad Rodríguez de los Ríos, marquesa que fue de Santiago ,…</t>
  </si>
  <si>
    <t>…e. Diciembre 1819. == YO EL REY. = Por mandado del Rey nuestro Señor, Silvestre Collar*” . jl ) ", ■ -1 ' ■ . -i......—■■■- ■;---------- ■ .. 1. , , 1-------.— Por providencia del Sr. D. Angel Fernandez de los Ríos, del Consejo de S. M., y teniente primero de corregidor de esta muy heroica villa, refrendada de su escri bano del número D. Jacinto Gaona y Loeches, se ha mandado sacar á pública su* basta por término de 10 días una pasa sita en esta corte, y su,…</t>
  </si>
  <si>
    <t>63 - Por próvtdencia dél Sr, D. Angel Fernandez deflos iRIosJ del&gt;Con4ej,c&gt; S; .oidor honorario.¡de la Réal 'chaii'oiMerfa de Valladolid, *j!ftem.cnt4 primero decórre.-i gidor de esta muy heroica vilija, refrendada de D. Pascual jjgco-,. escribjuj%de y deí número de la misma , se, ha mandado sacar á; publi…</t>
  </si>
  <si>
    <t>Fernandez, Ángel</t>
  </si>
  <si>
    <t>Ángel Fernandez</t>
  </si>
  <si>
    <t>76</t>
  </si>
  <si>
    <t>…e su audiencia para el remate dé la casa cálle de Buenavista, núm, 9 , manzana 33 » que consta de 2746! pies de sitio, y está tasada en 82,410 rs. vn. En virtud de providencia del Sr. D. Ángel Fernandez de los Rios, del Consejo de S. M.., teniente primero de corregidor de esta muy heroica villa, se saca nuevamen te á pública subasta, por término de 15 días contados desdé 17 del corriente, una casa sita en el lugar de Caramanchel de Abajo, con destino á fábri…</t>
  </si>
  <si>
    <t>…ada semana, según en él se contiene; cesando en su consecuencia la de Villasandino, en el que se le concedió por otra Real resolución de 25 de Noviembre de 1814. En el juzgado del Sr. D. Angel Fernandez de los Ríos , del Consejo de S. M., primer teniente de corregidor de esta muy heroica villa y corte , y escribanía del nú mero de D. Miguel de Llama, se hallan radicados los autos de testamentaría de Don Félix Ubeda, del comercio que fue de cerería en los por…</t>
  </si>
  <si>
    <t>…dia, sita éri!Jlá calle y casa de la Cruzada. : En consecuencia del despacho requisitorio del señor corregidor de la ciudad de Nájera , fecha 14 del.presente, cumplimentado por el Sr. D. Angel Fernandez de los R ¡os, del Consejo de'S. M., y teniente primero de corregidor, ante su escribano del número D. Jacinto Oaona y Loeches,se cita, llama y emplaza por este periódico i Doña Josefa del Berro, vecina que ha sido de está corte, sus hijos, herederos y de más…</t>
  </si>
  <si>
    <t>Fernández, Angel</t>
  </si>
  <si>
    <t>Angel Fernández</t>
  </si>
  <si>
    <t>…maña na, en la misma escribanía de provincia; y de que no Se admitirá postura ,alguna qu* no cubra el importe de dicha tasa y á dinero metálico. En virtud de providencia del Sr.' D. Angel Fernández de los Ríos 4 dél Conseja de S. M , teniente primero de corregidor de esta muy heroica villa, refrendada de D. Donato Nuñez, su escribano del número, ha señalado-para la celebración de un^ junta de acreedores de D. Vicente Avcciáeldia 15 del corriente, á las…</t>
  </si>
  <si>
    <t>Por providencia del Sr. D. Angel Fernandez de los Ríos, del Consejo de S. M., su oidor honorario, de Ía Real chancillería de Valladolid, y teniente primero de corregidor de esta muy heroica villa de Madrid, se cita, llama y emplaza a los acreedores á los bienes dimitidos por D. Vicente Tiller Foix de…</t>
  </si>
  <si>
    <t>*7* prevención que al que no asista le parará el perjuicio que haya lugar lo que se acuet. de por los que concurran. En virtud de providencia del Sr. D. Angel Fernandez de los Ríos, del Consejo de S. M. , teniente corregidor de esta muy heroica villa, por la escribanía de su nú. mero que egerce D. Juan Raya, se vende una casa sita en esta corte, y su calle de la Concepción Gerónima, señalada con el núin. 33 de la manz. 158,…</t>
  </si>
  <si>
    <t>…y circunstancias , y tratar para su.Compra* acudiránen esta cor te á la secretaría del Excmo. Sr. marques-de Cerralbo, sita en su casa calle de Ce ■ daceros. ' Por providencia del Sr. D. Angel Fernandez de los Ríos , del Consejo de S. M.f teniente primero de corregidor de esta muy heroica villa , se ha señalado el dia 12 de Marzo próximo, á las 10 de la mañana, en su posada para junta de:acreedores é in-, terésados en la testamentaría del Sr. D. Diego López…</t>
  </si>
  <si>
    <t>…69 cepas vivas , en z&amp; rs. Quien quisiere hacer postura acuda ante dicho señor juez y citada escribanía, en la que se darán las noticias necesarias. „ En virtud de providencia del Sr. D. Angel Fernandez de los Ríos, del Consejo de S. M., teniente primero de corregidor de esta muy heroica villa, y refrendada de T&gt;. Donato Nuñez, escribano del numero de la misma, se saca á pública subasta, por término de 1 5 dias, una casa sita, en esta corte, y su calle del V…</t>
  </si>
  <si>
    <t>…lecimiento lo avisará al Real tribu nal de Justicia de la ciudad de Milán, ó en esta corte al Excmo. Sr. embaja dor imperial de la corte de Austria. , En virtud de providencia del Sr. D. Angel Fernandez de ios Ríos, del Consejo de S. M., teniente corregidor de esta muy heroica villa, refrendada del escribano^ D. Manuel Megía, se cita y flama á todos los interesados y acreedores de la com pañía de la Buena Fe, de artífices plateros de esta corte, reformada co…</t>
  </si>
  <si>
    <t>648 España como cíe América, presidios de Africa, y demas puntos en que pue da haber de esta clase de detenidos.*' Ante el Sr. D. Angel Fernandez de los Ríos, ministro togado, y juez de primer* instancia en e»ta muy heroica villa, se ha acudido por D. Manuel de Uiloqui, vecino de la villa de Losada, reclamando nueve vales Reales de su pertenencia; á saber: uno.de 600 pesos de Mayo de 1808, que se renov…</t>
  </si>
  <si>
    <t>…que haya lugar en derecho. La compañía del gremio de Paños/uno de los cinco mayores de esta corte, y en su nombre y con su acuerdo sus actuales directores, han ocurrido ante el Sr.Don Angel Fernandez de los Ríos, ministro togado, juez de primera instancia de esta muy hircSica villa, por la escribanía. numeraria á cargo de D. Francisco Alcázar/ acogiéndose bajo la protección judicial, y solicitando que sus acreedores se reúnan en junta para hacerles presen…</t>
  </si>
  <si>
    <t>…ta título de Cabilla, con la denominación de marques de Sta. Lu cía , para él, sus hijos y sucesores, en atención á sus distinguidos méritos y servicios. Por providencia cfel Sr.. D. Angel Fernandez de los Ríos, ministro togado de S, M., v jue J de primera instancia de esta villa, refrendada por el escribano del núr mero D. Jacinto G«ona y I.oeehes. se cita, llama y emplaza á María Antonia Ru fina • js.íus, natural de la ciudad de Jaca, obispado de Zarag…</t>
  </si>
  <si>
    <t>…rles presente su estado, disposiciones y medios de satisfacerles, y proceder con su acuerdo á lo que se estimase mas conveniente ; y en su vista el señor juez de primera instancia D. Angel Fernandez de los Ríos señaló para la junta general el viernes 30 del actual, cuyo señalamiento se ha trasladado al dia 16 de Julio próximo á las 9 de la mañana, fijándose parn.su celebración la sala de juntas del Banco nacional de S. Carlos ; lo que se hace saber á lus…</t>
  </si>
  <si>
    <t>…-' con preferencia de los asuntos de mayor importancia,'de la les y agregadas de correos. ' Hacienda , por egemplo, y otros semejantes , pues si se em En virtud de providencia del Sr. D. Angel Fernandez de los Ríos , juez de primera instancia de esta muy heroica villa,pezaban á discutir las opiniones de cada uno, seria obra in refrendada de D. Tomas María Manrique, ftscribano del núterminable; contestó el Sr. Toreno que negocios dé tfil con mero de la misma,…</t>
  </si>
  <si>
    <t>…n los frutos , y nunca se arreglará mas Para la junta de los acreedores de D. Henrique Pelialosa se que por su voluntad. Finalmente que no creía útil todo cuan- ha señalado por el Sr. D. Angel Fernandez de los Ríos, mi ‘to se dijera robre la marina, hasta saber si es más econó nistro togado, y juéz de primera instancia en esta muy heroica mico hacer el comercio en buques extrangeros ó en buques capital, en su posada calle y casa- del Sacramento, el dia 6 de…</t>
  </si>
  <si>
    <t>…dores de D. Jaime Buscallá, del comercio Una hacienda de riego en Benadux. de esta corte, para Ja junta que ha de celebrarse ante el señor Idem idem de D. Rodrigo Marín de la Ala. D. Angel Fernandez de los Ríos,ministro togado, juez de pri mera instancia én esta muy heroica villa, ante el escribano de Dos bancales de tierra en idem, Vega Viator. su número D. Juan Raya, en.el dia 9 del corriente á las 8 en Idem idem de D. Miguel Méndez y Doña Catalina. la…</t>
  </si>
  <si>
    <t>…eroso pueblo, que dirigía al cielo sus votos por la con cuenta de un oficio del juez de primera instancia de esta servación y prosperidad de S. E., que á costa de su sangre, corte D. Angel Fernandez de los Ríos , en el que hacia pre de privaciones y de trabajos inexplicables le ha salvado de las sente hallarse entendiendo en la averiguación del sugeto que garras de sus mas crueles enemigos, y de las maquinaciones tomando el nombre del diputado por Catalu…</t>
  </si>
  <si>
    <t>…porque la comisión, para evitar este inconveniente, prescribe Leída el acta de la anterior, se dio cuenta de un oficio que deba hacerse el nombramiento de jurados en los prime de D. Angel Fernandez de los Ríos, juez de primera ins ros dias de la instalación de los ayuntamientos ; y no puede tancia de Madrid, en el que decia que estando entendien en tan corto tiempo introducirse fácilmente ¡a parcialidad do en un asunto de D. Salvador Chicharro, necesita…</t>
  </si>
  <si>
    <t>…atitud le hubiera mereci de 15 dias , contados desde 24 del corriente, comparezca en el do esta conducta de parte de sus pueblos! Pero asi es como juzgado de primera instancia del Sr. D. Angel Fernandez de engaña la apariencia de las cosas, y ve aquí cómo un reye los R.os, y escribanía del número de D. Bernardo Díaz de zuelo de! Asia puede ser antepuesto en la gerarquía de la Antoñana, á usar del derecho que le asista en los autos egecutivos que por dicho ju…</t>
  </si>
  <si>
    <t>…ta la edad de 22 años, y solo era conocido en la comarca por su carácter díscolo y turbulen ANUNCIOS. to , y por sus costumbres relajadas. Acrecentó después su Por providencia del Sr. D. Angel Fernandez de los Ríos, mala opinión con el asesinato de sus dos hermanos, que ministro togado y juez Letrado de primera instancia, en ota. consideraba como obstáculos á su ambición. Llegado á la M. H. villa, refrendada del escribano del número D. Vicente de .'dignidad…</t>
  </si>
  <si>
    <t>…rá.) 3610 rs. Otra Idem en el mismo callejón. también accesoria, sin número, apreciada con el granero ó pajar que esta encima ANUNCIOS. en 13,910 is. VARIEDADES. En el juzgado del Sr. D. Angel Fernandez de los Ríos, mi nistro togado , juez de primera instancia en esta M. H. villa, por la escribanía del número del cargo de D. Francisco Alca- Noticia de los indios de la V ensilvania. zar, ha promovido instancia 1). Francisco Javier de Azpiroz, La Pensilvania e…</t>
  </si>
  <si>
    <t>…te, le parará el perjuicio que hubiese 1787 un gefe de una de las tribus delawares se explicaba lugar. en estos términos delante de Mr. Heckewelder. «Convengo, Por providencia del Sr. D. Angel Fernandez de los Ríos, le decía, que es posible se hallen algunos buenos entre vo ministro togado honorario de la audiencia territorial de Cañóla' sotros ; pero seguramente es mucho mayor el número de la Nueva, y juez de primera instancia de esta AL H. vóij , dada los…</t>
  </si>
  <si>
    <t>…poco han creído debían escoger entre los discursos pronunciados jxor nuestros primeros ora . ANUNCIOS. dores políticos, porque en efecto pudiera suceder, según Por providencia del Sr. D. Angel Fernandez de los Ríos, nuestro modo de pensar, que la elección no hubiera sido á ministro togado honorario 'de la audiencia territorial de Casti gusto del público; ademas que no hay inconveniente en que lla la Nueva, juez de primera instancia de esta corte , dada por l…</t>
  </si>
  <si>
    <t>Fernandez, Antonio</t>
  </si>
  <si>
    <t>Antonio Fernandez</t>
  </si>
  <si>
    <t>…ragón. Himaleyos, entre los cuales está el Yammavatani, que tiene Memoria sobre la organización del egército , por el ca mas de 2 5 © pies de elevación. pitán graduado de teniente coronel D. Antonio Fernandez La sociedad de Calcuta sigue ocupada con la mayor ac Clara Tngregado al evado mayor de ia plaza de Barcelona. tividad en sus importantes tareas; ha contribuido mucho á Disertación presentada por Ramón María Caballero so extender el conocimiento de los diversos d…</t>
  </si>
  <si>
    <t>Fernandez, Antonio Villa y</t>
  </si>
  <si>
    <t>Antonio Villa y Fernandez</t>
  </si>
  <si>
    <t>…es los autos de su testamentaría en el juzgado del Sr. D. Manuel Josef Rubio, del .Consejo de S. M., teniente corregidor de esta muy heroica villa, por la escribanía del número de D. Antonio Villa y Fernandez, y á instancia de algunos de los acree dores de dicha testamentaría, se ha mandado por dicho señor juez citar á junta á to dos los acreedores, señalando para ella el día 23 del corriente, á las de su mañana, en la habitación de S. S.; y como de algunos de los…</t>
  </si>
  <si>
    <t>…e Farmacia de esta muy heroi ca villa , se ha acudido ante el Sr. D. Manuel Josef Rubio, del Consejo de S. M., te niente corregidor de la misma, y escribanía del número que egerce D. Antonio Villa y Fernandez, exponiendo que estando casado';con Doña Ramona Rubio, natural de la' ciudad de Avila, hija legítima de Manuel y Manuela Martin, difuntos, vecino* qiie fueron de la misma ciudad Cri él año pasado de 1812,' se habia desaparecido aquella de esta corte sin qué h…</t>
  </si>
  <si>
    <t>…a, niím. 7de I* manz. 33, se ha acudido ante el Sr. D. Manuel Josef Rubio , del Consejo de S. M., teniente corregidor de esta muy heroica villa, y escribanía del número que egerce D. Antonio Villa y Fernandez, ofreciendo-la reducción de un censo perpetuo de 8 rs. de renta ai ano, que^con derecho de licencia, tanteo y veintena se impuso sobre dicha casa en el año de 1590 á favor de Melchor de Pinedo; é ignorándose en el dia á quien corresponda dicho censo, en conse…</t>
  </si>
  <si>
    <t>Fernandez, Argel</t>
  </si>
  <si>
    <t>Argel Fernandez</t>
  </si>
  <si>
    <t>…ambién, conforme al artículo 814 del código civil, á todos lo,s acreedores contra el caudal del difunto, á quienes se guardará su derecho según el tenor de las leyes. &lt; i** ■ “ El Sr. D. Argel Fernandez de ios Ríos, ministro togado, juez de primera ins tancia en esta muy heroica villa , y por la escribanía del número de D. Francisco Al-? cazar ,-ha cumplimentado un despacho requisitorio del señor juez civil de la ciudad de Cádiz, por el Oficio dé D. Joaquín…</t>
  </si>
  <si>
    <t>Fernandez, Bernarda</t>
  </si>
  <si>
    <t>Bernarda Fernandez</t>
  </si>
  <si>
    <t>…, toria antigua de la Nueva-Rusia desde los argonautas , que en que instituyó por herederos á sus dos hermanos D. Josef y arribaron á las márgenes del Ister (el Danubio), hasta la Doña Bernarda Fernandez, muger de D. Gabriel Malmonge, conquista de estas costas por Mahomet 11, ha tenido que que se dice han fallecido; y por tanto se emplaza á los q'ue luchar con la dificultad de incluir en un mismo cuadro la tengan derecho á la misma herencia para que dentro de…</t>
  </si>
  <si>
    <t>Fernandez, Francisca</t>
  </si>
  <si>
    <t>Francisca Fernandez</t>
  </si>
  <si>
    <t>…juzgado privativo á cargo del Sr. Don obervacion constante y de una razón ilustrada ; pero lo que Román Lorenzo Calvo. particularmente le recomienda es aquella exactitud, y aquel Doña Francisca Fernandez, viuda de D. Pedro Alcántara espíritu de sana crítica tan recomendable en un escritor. Fernandez, natural que fue de Valencia, y vecina de esta corte, En los 24 capítulos que el autor ha dedicado á la his murió en ella en 19 de Setiembre último bajo una dispo…</t>
  </si>
  <si>
    <t>Fernandez, Francisco</t>
  </si>
  <si>
    <t>Francisco Fernandez</t>
  </si>
  <si>
    <t>…e'te establecimiento , pues cal das, promovidos por D. Juan González Valbuena, vecino culando los gastos, se veia que cada c ri-sailo puesto en la de Vtllanueva de la Serena; por D. Francisco Fernandez corte vendria a costar mas de 6o'3 rs. Ksta exposición iba Melgarejo, marques de la Encomienda, y por D- Antonio documentada con varios estados, todos los cuales pidió el Ramos y Saaveara, vecino de Sanlúcar de Barrdineda. Sr. Moreno Guerra que se pasasen Con…</t>
  </si>
  <si>
    <t>…que la Nación se liberte de talado el Congreso nacional, y haber el Rey jurado la Cons la dependencia en que la tiene la concesion de gracias, dis titución. Predicó el benemérito D. Francisco Fernandez del pensas y bulas: á lo que contestó el Sr. presidente que esta Castillo , cura de dicha parroquia............. advertencia era muy propia de la delicadeza del Sr. Gaseo, Jícija 22 de Agosto. ... • ^ asi yóniq ;se haria una iujusticia en creer que le hubiera…</t>
  </si>
  <si>
    <t>Fernandez, Gregorio</t>
  </si>
  <si>
    <t>Gregorio Fernandez</t>
  </si>
  <si>
    <t>…una sociedad de c tvitahstas. El lord canciller A la de Hacienda se pa«ó una exposición de la viudareprendió esta'expresión, y dijo que no se debia hacer se del mariscal de campo D. Gregorio Fernandez , .muerto enmejante pregunta por ser muy extraordinaria. la guerra de la independencia , para que se la atienda en la La sesión se concluyó á fas cuatro, y la Cámara quedo educación de sus dos hijos. citada para el lunes 16.</t>
  </si>
  <si>
    <t>Fernandez, Joaquín</t>
  </si>
  <si>
    <t>Joaquín Fernandez</t>
  </si>
  <si>
    <t>…turas en metálico, ni el pago de Se leyó también el dictamen de la comisión dé Legisla ' ningún remate en dinero efectivo, ni se reconocerá censo ción en vista de la exposición de D. Joaquín Fernandez, consignativo redimible sobre la tercera parte dél valor de las del comercio de Cartagena, sobre si los ciudadanos que se fincas por la tasación de que habja el artículo 24 del decre reúnan en las juntas electorales para diputados á Cortes de to de las Cortes…</t>
  </si>
  <si>
    <t>Fernandez, Josef</t>
  </si>
  <si>
    <t>Josef Fernandez</t>
  </si>
  <si>
    <t>…ictámenes de muchos acerca de las resoluciones A la especial de Fuerza armada un plan económico-po tomadas por las Cortes respecto de los granos: unos las lítico del egército, por D. Josef Fernandez. aprueban . otros las hallan perjudiciales; pero aun en medio A la misma varios apuntes de un ay dante del fijo de de esta variedad de opiniones Málaga será tíempre la ciu Ceuta, relativos al estado de aquel regimiento, presentados dad mas adicta al aernal si…</t>
  </si>
  <si>
    <t>, 2/9 • La comisión de Comercio prerentó su informe acerca que .el privilegio que se le halva concedido para introducir de la expedición de D. Josef Fernandez, vecino de Carta cacao cu la Península no provenía de una gracia , sino de gena.-en que manifestaba los perjuicios que se seguían de ¡a un contrato de surtir de harinas á las tropas en circun-.tanextracción libre del e parto en rama; la cual opinaba que cías…</t>
  </si>
  <si>
    <t>Fernandez, Josef Rosendo</t>
  </si>
  <si>
    <t>Josef Rosendo Fernandez</t>
  </si>
  <si>
    <t>…que lo circule á. las justicias' de Ips -pueblos,de su-,distrito 5 dándome.aviso del ¡re-. cjbo ¿de esta. Madrid 17 de,Febrero de ¿820. : , .. Con Real facultad se benefician por D. Josef Rosendo Fernandez, vecino de la ciudad de Lugo, en el reino de Galicia ,. las:minas de antimonio ,exis-¿ tentes en el sirio de Cervantes, reduciendo este mineral á buen antimonio de agujas y régulo de antimonio. Los comerciantes y consumidores nacionales y extrangeros que quie…</t>
  </si>
  <si>
    <t>Fernandez, Juan Nepoinuceno</t>
  </si>
  <si>
    <t>Juan Nepoinuceno Fernandez</t>
  </si>
  <si>
    <t>…trava que creía por el mismo espíritu de de Legislación acerca de la memoria y representación diri la comisión se extenderia á los que consiguieron sus pensio gida al Gobierno por D. Juan Nepoinuceno Fernandez, en nes por los servicios hechos contra la Nación misma, y con que hacia presente e! estado de abandono en los patronatos vendría que quedaran suspensos en sus pagos hasta que de legos existentes en la ciudad y provincia de Sevilla, y examinadas por las Corte…</t>
  </si>
  <si>
    <t>Fernandez, Juan Nepornuceno</t>
  </si>
  <si>
    <t>Juan Nepornuceno Fernandez</t>
  </si>
  <si>
    <t>…prema. división hagan prender al expresado Roullot, y lo envíen Se mandó pasar á la comisión del Código criminaL una bajo segura escolta á las cárceles de Burdeos.” exposición de D. Juan Nepornuceno Fernandez sobre que París io de Agosto. se quite la pena de encorozadas. Por desgracia no es sino demasiado cierto que entre 9 y A la de Marina una memoria de D. Francisco Rodrí 10 de la noche del dia 2 prendieron fuego los incendiarlos guez de! Manzano sobre el apront…</t>
  </si>
  <si>
    <t>Fernandez, Manuel</t>
  </si>
  <si>
    <t>Manuel Fernandez</t>
  </si>
  <si>
    <t>…ficiales, tasada en 141,180 rs.,¡y dan por ella Jas dos terceras partes de dicho'valor én.metálico sonante, se ha señalado el día 6 dei mes de Abril próxitiio en la eudiéncia del *Sr. D. Manuel Fernandez -Gamboa', juez letrado etv primera instancia de esta muy heroica villa, y hora de las doce en punto.rrljgúáU mente por el mismo señor juez, ante el escribano del número. D. Jacinto Gaona y Loec’hes, sé ha señalado para el remate de las tierras y' viñas'sitas…</t>
  </si>
  <si>
    <t>Fernandez, María Antonia</t>
  </si>
  <si>
    <t>María Antonia Fernandez</t>
  </si>
  <si>
    <t>…juez letrado en primera ins tancia de esta muy heroica villa,, refrendada del escribano del húmero D. Donato Nuñez, se ha señalado para junta*de acreedores á la, testamentaría de Doña María Antonia Fernandez el dia 14 del corriente a iás nueve erTpuhto de su mañana en la posada de dicho señor juez. Lo que se hace saber al público para que lós que se con templen como talet‘concurran á ella por sí, ó por medio de personas competente mente autorizadas. Proyecto nuev…</t>
  </si>
  <si>
    <t>Fernandez, Martin</t>
  </si>
  <si>
    <t>Martin Fernandez</t>
  </si>
  <si>
    <t>…Ríos. En tomo separado, que. forma el quiiíto dei¡la obra , sale á la luz públi^ ca la nueva vida de Cervantes, ;escr|tá é ilustrada con.varias noticias y documentos inéditos por D. Martin Fernandez eje Navarrete, académico de número, y bibliote cario. de la misma Academia. Lleva este yoiúmen un hermoso retrato de Cervantes, grabado por Ametller, una copia, idéntica hecha litcgráficamente de una carta' de: aquél escritor, y tres árboles genealógicos de s…</t>
  </si>
  <si>
    <t>Fernandez, N.</t>
  </si>
  <si>
    <t>N. Fernandez</t>
  </si>
  <si>
    <t>…permitiese el celebrar una feria cienda para que se paguen por tesorería general las pensio en los dias 6 y 7 de cada mes á la villa de Bembibre. nes concedidas á lás huérfanas de D. N. Fernandez i’eíirz La comisión de Diputaciones provinciales presentó su sobre ios juzgados de primera instancia de la Coruña. dictamen acerca de pósitos, opinando que mientras se po Se leyó el dictamen de ia comisión de Comercio acer día presentar á te legislatura sigui…</t>
  </si>
  <si>
    <t>Fernando</t>
  </si>
  <si>
    <t>…D. Felipe v.,ser.c.09i veniente retocar este código de legislación , suprimir, y variar algunas leyes, y - añadir otras; mas esta empresa .no tuvo-principio sino en el reinado del Señor D. Fernando el vi , y continuó con alguna lentitud hasta el del Sr. D. Cárlos'i i-i, mi augusto Abuelo, que nombró.-una;, comisión compuesta de minis tros del Co. sejo de l¡-dias, los que ade Untaron sus- trabajos al punto de creer podía publicarse, en el año.de i8o$ :;…</t>
  </si>
  <si>
    <t>…ostumbres de Antaño.;, comedia original, su autor D. Manuel Eduardo de Gorostiza, función que -se egeputó en el teatro dd Príncipe en celebridad del augusto enlacé del Rey nuestro Señor D. Fernando ni con la Señora Princesa Doña Ma ría Josefa Amalia de Saxonia. Se hallará en las librerías de Orea, calle de la; Montera, viuda de Quiroga, calle de las Carretas,.de González, calle de Atocha, y dé Amposta , calle del Príncipe. Su precio 4 rs. en 8.° rústica…</t>
  </si>
  <si>
    <t>…por vacantes. En el almacén de estampas y largetas de la calle del Gato, y en la librería de Matute, calle de las Carretas, se halla de venta la estampa ecuestre del Rey nues tro Señor D. Fernando vii á caballo, dibujada por la que pintó D. Vicente López, primer pintor de Cámara de S. M., y grabada por D. Tomas López Engrúdanos, gra bador de Cámara de S. M., en pliego de marca mayor, único resto que conserva la viuda, al precio de 60 rs. vn. cada una.…</t>
  </si>
  <si>
    <t>…spuso se expi diesen al momento; reiterando sus órdenes á efecto de que continúen conce diendo el indulto á todos los que lo pidan en nombre de nuestro augusto y amado Soberano el Sr. D. Fernando vii. Madrid9 de Febrero. El Excmo. Sr. duque de S. Fernando y de Quiroga, primer secretario de Estado y del Despacho de Estado, ha felicitada al Rey nuestro Señor, como individuo del ayuntamiento de la ciudad de Cuenca , por su augusto enlace con la Reina nue…</t>
  </si>
  <si>
    <t>…Reyes e* en los naturales de Caspe herencia dec sangre!; que trascurriendo. de padres a hijos trie su otígen!desdé el año i4t 2'r bnando en sipsuelo se efectuó la'éleccion del Rey D. Fernando i de Aragón. iNúeve jueces y entre ellos S. Vicen te Ferrer, terminaron por una sentencia judicial las sangrientas disputas de los diferentes pretendientes á la corona': Caspe fue elegida cómo centro de M fidelidad para la reunión dé tan respetable congreso,…</t>
  </si>
  <si>
    <t>…ledo, examinador sinodal de este ¡arzobispado, teólogo de cámari, consultor del Emo. Sr. Cardenal arzobispo de dicha ciudad; dedicado por la misma real congregación al Rey nuestro Señor D. Fernando vn , y costeado por tres in dividuos congregantes. Se hallará en la librería de Sojo, calle de las Carretas; en Va lencia en la de Salva y empañía, y en Toledo en la de Soria, á 3 rs. EN LA IMPRENTA REAL.</t>
  </si>
  <si>
    <t>…surpador). La Reina Ana. Luis xviii. ESPAÑA. Zaragoza 12 de Marzo, Con fecha de ayer se . ha publicado en esta ciudad Ja siguiente proclama: ,,Aragoneses: Nuestro amado Monarca el Sr. D. Fernando vii, cuyo paternal,corazón desea ardientemente la felicidad y gloria .de los pueblos con fiados á su gobierno, se. ha convencido de que tan grandes objetos no podía*» lograrse sin acceder al voto general de la Nación y del Egército*, ¡manifestad© de modos dif…</t>
  </si>
  <si>
    <t>…arte que le toca. Dios guarde iV. muchos años. Madrid 12 de Abril de 182a* Copia del decreto de las Cortes y sancionado por la Regencia ¡ que se cita en la Real orden anterior, .. D. Fernando vil por la gracia de Dios y por la Constitución de la Mo narquía española, Rey de las Españas, y m su.ausencia y cautividad la Re gencia del reino, nombrada por las Cortes generales y extraordinarias, á to-i dos los que las presentes vieren y entendieren, sab…</t>
  </si>
  <si>
    <t>…común por medio de una Constitu discurso: ción, dirigida esencialmente al bienestar de todos. Llegó ,,Las Cortes en tiempo de menor ilustraccion, pero de la deseada hora en que el Sr. D. Fernando vii , uniendo grandes y sublimes virtudes , conservaron las leyes funda sus sentimientos á los del pueblo español, se presentó ante mentales del reino, la gloria y esplendor del trono y el augusto Congreso nacional al solemne aero del jura la prosperidad naci…</t>
  </si>
  <si>
    <t>…ados que; no prestasen el-juramento ■ de Los Sres. Alvarez Guerra , Rojas Clemente, Solanot, fidelidad á -la Constitución de Marzo último. Sabida esta, Alvarez Sotomayor, Navarro (D. Fernando), .Martínez declaración, los diputados-no aguardaron á mas, y salieron' (- D. Ramoa ), Gaseo, Janer, Moreno Guerra. de Darmstadt para volverse ;á sus casas. INSTRUCCION PUBLICA. Los Sres.Muñoz Torrero, Vargas Ponce, Tapia, Na INGLATERRA. vas, Martínez déla Ro…</t>
  </si>
  <si>
    <t>…al dictarlo, todos aquellos á quienes deban alcan «Monarquía española, y año primero del reinado constitu- zar sus efectos, ó que se crean comprendidos en el decreto, «cíoñal aeí Sr. D. Fernando vii.” hagan sus reclamaciones por los ministerios á que corres-1Se leyeron igualmente cuatro proposiciones del Sr. Mos pondan, y que declarándose por los mismos respectivamen coso indicadas al principio de la sednn ; la primera , para te con presencia de los…</t>
  </si>
  <si>
    <t>…igue: no era mas que del momento ,y que sin perjuicio de lo que ,, Las Cortes, teniendo presente que en cuanto el Señor pedia el Sr. Palarea, no se difiriera la dbcusion por largo D. Fernando vji haya prestado el juramento prescrito tiempo, pues era de la mayor urgencia. Otro Sr. diputado por la Constitución egercerá con toda plenitud las faculta dijo que se debía discutir al momento, y que se extienda des que la misma le señala , y que de consigu…</t>
  </si>
  <si>
    <t>…y gobierno del público.” «Y habiendo resuelto el Rey que por el ministerio de El Rey ha expedido el decreto siguiente: mi cargo se observe puntualmente la precedente Real orden, «Don Fernando vil por la gracia de Dios y por la Cons la inserto A \r. para su inteligencia y electos correspon titución de la Monarquía española, Rey de las Españas, á dientes. Madrid 21 de Julio de 1820.” todos los quelas presente-; vieren y entendieren, sabed: qne las C…</t>
  </si>
  <si>
    <t>…men de la comisión , principal Sánchez Salvador, Puígblánch, O-Daly, Verdú, Azaoía) mente la obligación, que tienen los militares de sujetarse á Romero , Alonso, Queipo, Navarro ( D. Fernando), Tapia, Ja ordenanza, y la dificultad de arreglarse perfectamente á Banqueri, Cepeda, Quiroga, Fagoaga, Istiiriz, Navarro las leyes en el tránsito repentino de un sistema á otro: fun (D. Felipe), Lasanta, Paiarea, García Page, Martínez de dándose casi exclus…</t>
  </si>
  <si>
    <t>…a ha anunciado. Despees de haberse grabado aquí una grande y hermo estado muy mal hasta ahora. El precio del cafe ha bajado aquí en dos dias mas de sa medalla en honor de S. M. el.Sr. D. Fernando vti . y en celebración del triunfo de los principios constitucionales medio schelling. . Se dice en Leipsick'que el heredero presuntivo de una de España, podemos ya anunciar hoy que un platero, Mr. Charpemier , ha concebido la feliz idea de hacer grabar otra…</t>
  </si>
  <si>
    <t>…i tege la propiedad y la libertad individual; todo concu rriógión , y por la consolidación del trono de España en su ado á nacer inas plausible la tarde de este dia. A rado Rey el Sr. D. Fernando vii. Asi se hizo la Constitu ción de España, y no con la punta de la espada. ¡Qué otro • CORTES. pueblo de la Europa podrá presentar títulos mas legales ni Sesión del 12- de Agosto. mas seguros de su Constitución! ¡Vea el ingles sus anales, y Sé leyó el acta…</t>
  </si>
  <si>
    <t>…cribe á la recias que deben seguirse entra los paises de España , en Minerva española, periódico político y militar. A ni-ó rica y en Europa, como partes integrantes de un mis 2VI Sr. D. Fernando vii , Rey de las Españas, el Duende mo Estado, para utilidad de los respectivos ramos de pro de los cafees. Véndese este discurso en las librerías de Paz y ducción y riqueza ; han resuelto que la enunciada Rea! or Dávila, y en las de Sanz y Novillo. den de iS…</t>
  </si>
  <si>
    <t>…ARTICULO DE OFICIO. Una hacienda sita en la villa de Cáceres, conocida cor» el nombre de Doña María Golfin. El Rey se ha servido expedir el decreto siguiente: Tribunal de Toledo. Don Fernando vji, por la gracia de Dios y por la El edificio principal que poseyó el extinguido tribunal, Constitución de la Monarquía española, Rey de las Espa dividido en cuatro casas principales, inmediatas y linderas ña' , á todos los que las presentes vieren y entend…</t>
  </si>
  <si>
    <t>…l juez referido, y se impu Traver y Govanres; para el mercantil los Sres. conde de Tosiera el castigo que merecie'e ; porque este es el modo, dijo, reno, Sánchez Toscano, Navarro {D. Fernando), Zubia, de que aprendan la Constitución, la estudien, v no seduz Oliver, Loizaga, Benitez, Fagoaga y Yandiola, y para la can al pueblo con especies injustas é inciertas. ílabló de los de Legislación , por ausencia del Sr. Cano Manuel, el señor muchos jueces…</t>
  </si>
  <si>
    <t>…u rigor hasta la formacion de otros mas ciaros, sencillos y bien meditados. El Rey se ha servido dirigirme el decreto que sigue: Respondió el Sr. Martínez de la Rosa , que por mas Don Fernando vii, por la gracia de Dios y por la exacta que sea esta verdad, á la comisión no le tocaba sacar Constitución de ¡a Monarquía-española, Rf.y de las Espaá los jueces -de esta estrechez, y que quiza seria una des ñas, á todos los q;-e las presentes vieren y ent…</t>
  </si>
  <si>
    <t>…CULO DE OFICIO. anla, y de las grandes utilidades que re-ultarian si se esta-: El Rey ha expedido el decreto siguiente; leciesen otras semejantes por todo el reino, hallará las no Don Fernando; vii ,.por la gracia de Dios y por la ticias que desea en un cuaderno en 8.°, cuyo título es el Constitución de la. Monarquía española, Rey de las Espa- mismo que el de la Asociación, y se vende en la librería ñas, á todos los que las presentes vieren y enten…</t>
  </si>
  <si>
    <t>…ispersen los corrillos que puedan formarse en contra mos Arispe, Alvarez Guerra, Villanueva, Priego, Cana- vención de este bando, el cual pasará á la aprobación del bal , Navarro (D. Fernando), ligarte (D. Agustín) é Sr. prefecto del departamento. = Hecho en la casa de ayun Isturiz. tamiento. 5= Rúan 1 i de Agosto. = Elias Lefebure.” Con este motivo se leyeron varias proposiciones relati París tíi de Agosto. vas á esto mismo. Primero la siguiente…</t>
  </si>
  <si>
    <t>…itu AI primer súbdito de la nación se le atribuye haber co lados en España, y ha comunicado al Congreso una carta metido el mayor de los delitos contra las leyes divinas y del Rey D. Fernando sobre este particular. S. M. hace en humanas; este súbdito es una muger acusada de adulterio ella los mas lisonjeros elogios del valor y buena conducta con circunstancias agravantes, y ha llegado el caso de rom de estos regimientos; pero advierte que en atenc…</t>
  </si>
  <si>
    <t>…io), CaEl Sr. Palar'ea se propuso probar, contra lo que se ha ravaño, Valle, Quintana, Gutiérrez de Acuña, Rey, Na bla dicho, que la Nación esta en el caso de poder recibir varro (D. Fernando), otro Sr. diputado. Moreno Guerra, la abolición de los mayorazgos. Todos los que no los tienen Medrano, Ochoa, Muñoz, Calatrava, Lallave, Moscoso, ni se hallan con esperanza de tenerlos es bien cierto que no Oliver, Serrallach , Gaseo, Yuste, Zufriarecui , T…</t>
  </si>
  <si>
    <t>…ura , que ha calificado por unanimidad de obsceno y contrario á la decencia púb ica El Rey ha expedido el decreto siguiente: y buenas costumbres el número 8 del periódico titulado D. Fernando vii por la gracia de Dios, y por la el Defensor de afligidos y desesperados j se ha mandado Constitución de la Monarquía española, Rey de las Espa— que se recojan inmediatamente los egcmplares de dicho nú ñas, á todos los que las presentes vieren y entendiere…</t>
  </si>
  <si>
    <t>…ocho de esta noche, y levantó la ordinaria á las ción , que tan dignamente tiene á su mando. tres y cuarto. ARTICULO DE OFICIO. ANUNCIOS. El Rey ha expedido el decreto siguiente: »D. Fernando vii, por la gracia de Dios, y por Por providencia de D. Cristóbal de Silva y Espinosa, al la Constitución de la Monarquía española, Rey de las Es- calde primero constitucional de la villa de Alcalá de Guadaira, pañas, á todos los que las presentes vieren y en…</t>
  </si>
  <si>
    <t>…ento del egircito ex pedicionario , y describe muy por menor los mas notables y El Rey ha expedido el decreto siguiente: gloriosos hechos de ia columna móvil al mando de dicho Rie Don Fernando vii por la gracia de Dios, y por (a go. Se vende á 3 rs. en la librería de Collado. MADRID EN LA IMPRENTA NACIONAL.</t>
  </si>
  <si>
    <t>…edo, Torrens, Ugárte (D. Agüstin), Rodrí en su totalidad. guez de Ledesma, Temes, Govantes, Clemente , FondeviEl Sr. Navas aclaró algunos de sus principios que habia Ja , Navarro (D. Fernando), Michelena, Rey, Navarro atacado el Sr. presidente; y preguntando después si estaba £ D. Felipe), Solana, Moreno Guerra, Medrano, Ochoa, el pauto suficientemente discutido, se declaró no estarlo to Torre Marin, Calatrava, La Llave, Moscoso, Olí ver, davía. L…</t>
  </si>
  <si>
    <t>…E OFICIO. tifique el código. «Cuando un eclesiástico secular ó regular cometa al El Rey ha expedido el decreto siguiente: guno de los delitos expresados, el juez ordinario secular Don Fernando vn, por la gracia de Dios, y por competente debe proceder por sí solo á la prisión de), reo, la Constitución de la Monarquía española, Rey de las Esy á la sustanciacion y determinación de la causa , con arre pañas , á todos los que las presentes vieren y ente…</t>
  </si>
  <si>
    <t>…to ARTICULO DE OFICIO. Nuñez, escribano del número de la misma, previo examen El Rey ha expedido el decreto siguiente: de la junta de Censura, que ha calificado por injurioso á la D. Fernando vii por la gracia de Dios, y por la Cons comisión encargada por las Cortes de la redacción del pro titución de la Monarquía española, Rey de las Españas, á yecto de ley sobre regulares , y subversivo, y por lo mis todos los que las presentes vieren y entendie…</t>
  </si>
  <si>
    <t>…solo un tercio si se dejaban los puestos públicos como hasta aquí. El Rey se ha servido expedir los decretos siguientes: Continuaron la discusión los Sres. ministro déla Gober i.° Don Fernando vii por la gracia de Dios y por la nación, de Ultramar y de Hacienda, probando la necesi Constitución de la.Monarquía española, Rey de las Espadad de la contribución directa, y demostrando el segundo ñas, á todos los que las presentes vieren y entendieren , s…</t>
  </si>
  <si>
    <t>…las Cortes contra la soberanía df nuestro amado potito para sostener el sistema; pues los estados, dijo el orador, solo se sostienen interesando1 en ellos las propieda Monarca el Sr. D. Fernando vtr, santo tribunal de la des, y multiplicando los propietarios; pero tenia el inconve Inquisición i regulares , Gobierno , r todo establecimiento niente de que iba á entrar w circulación un gran número de piedad. Se mandó pasar á la comisión donde estaban 1…</t>
  </si>
  <si>
    <t>…modo que todos los paguen, luego deben repartirse también entre El Rey se ha servido expedir el decreto siguiente: las artes: yo creo, dijo el Sr. Priego, que repartir una contri Don Fernando vn-por la gracia de Dios y por la bución directa, y descargar al labrador de la parte decimal, Constitución déla Monarquía española, Rey de las Espaes el modo de que se pague con igualdad. Hizo presente que ñas, á todos los que las presentes vieren y entendie…</t>
  </si>
  <si>
    <t>…del Cortes, á los Sres. Muñoz Torrero, conde de Toreno, Var Despacho de- la Gobernación de la Península y de Ultramar. gas Ponce, Sancho, Marte!, Ramos A rispe, Giraldo, Na varro (D. Fernando) y Golfín. •, CORTES. .Se Iej'ó la siguiente indicación del Sr. Romero AlpnenSesión extraordinaria de la noche del iy de Octubre, te: «Lo acordado en cuanto al consejo de Estado sobre los Se leyó el acta de la sesión extraordinaria de anoche. individuos que p…</t>
  </si>
  <si>
    <t>…que las islas Filipinas estarían perdidas, á no ser que sus capira- El Rey ha expedido el decreto siguiente *. ' • nes. gene rales hubiesen abierto los puertos á los angla-ameri «Don Fernando vi; por la gracia de Dios, y por la canos , ingleses y demás extrangeros; y que de consiguien Constitución de la Monarquía española, Rey. de las Espa te debia permitirse el comercio a todo español, mayormen das, á todos los que las presentes vieren y entendie…</t>
  </si>
  <si>
    <t>…Conde de Nosliz: /irisares, Emperador, Lenagrave de putado Reina era mucho menor que el de los 69, pues Hesse-IIombargo, Príncipe de Lichtenstcin, Rey Federi Solo dijo que ei Rey D. Fernando había nacido con de co Ctuiilermo y Palatino: lanceros, Archiduque Carlos y recho a la soberanía absoluta, y los 69, de ios cuales 28 Emperador. El Archiduque Fernando de Este, comandan Votaron por la formación de cansa, derribaron el mismo có te general de H…</t>
  </si>
  <si>
    <t>…eguidas por los 69 ex-diputados, no podría cul tínez de la Rosa en'que no se verja el fin del procero. - pársele de parcialidad; que en los primeros dias de las se El Sr. Navarro (D. Fernando) se opuso á ella, diciendo siones habia hecho una proposición de amnistía general para que en su concepto seria dejar impune aquel gravísimo aten los americanos disidentes, emigrados á Francia , y ex- tado, al que por ningún motivo de justicia , ni de polí ic…</t>
  </si>
  <si>
    <t>…dba los mas expresivos y cordiales vivas de mos Aríspe por 86, Villa por 72, Eondevila por 81 , Faagradecimiento, semejantes á los que tributaron á sus dig goaga por 73, Navarro ( D. Fernando) por 66, Subrié por nos hermanos de armas de la guarnición de esta ciudad en 63, y Rovira por 65,-todos en primer escrutinio, excepto el memorable día 1de Setiembre. el Sr. Ramos A rispe, que entró en el segundo con los seño Seria imposible descrihir con pala…</t>
  </si>
  <si>
    <t>…ARTICULO DB OFICIO. en i pinar que ¡os seis juzgados de la capiral , correspon El Rey ha expedido el decreto siguiente: dientes á~-#rroí tantos partidos en que se dividía su casco Don Fernando vi 1 por la gracia de Dios , y por (a Cons partiendo fie la Puerta del Sol como de centro común , no titución de la Monarquía española, Rey de las Espadas, tuvieren distrito determinado, sino que entendiesen en to á todos los que las presentes vieren y entend…</t>
  </si>
  <si>
    <t>…ucional, ,d la Religión del Estado , aun que no incurra en la conspiración, directa y de hecho, de El Rey ha expedido el decreto siguiente: que tratan los dos primeros artículos.” Don Fernando vn por la gracia de Dios , y por la El Sr..Martínez de la Rosa dijo le parecía que no podía Constitución rde.la Monarquía española, Rey de las Espaaprobarse e! artículo sin enejar sumamente expuesta la liber ñas, á todos los que las presentes vieren y entendi…</t>
  </si>
  <si>
    <t>…la Fuensanta ó Hervideros : por el Dr. D. Gregorio Bañares, boticario de Cá El Rey ha expedido el decreto siguiente: mara de S. M. Véndese á 10 rs. en la botica deL autor,calle an Don Fernando vil por la gracia de Dios, y por la cha de S. Bernardo. Constitución de la Monarquía española, Rey de las Españas, De la revolución actual de España y de sus consecuencias: á todos los que las presentes vieren y entendieren , sabed: por Mr. de Pradt. Véndese…</t>
  </si>
  <si>
    <t>…ARTICULO DE OFICIO. gistrados de cualquiera tribunal . que bien sea por razón de El Rey ha expedido el decreto siguiente: sus empleos ó por comisione' hayan tenido una parte prin Don Fernando vil por la gracia de Dios y por Ur cipal en la formación de las causas llamadas de Estado con Constitución de la Monarquía española, Rey de las Españas, tra los adictos al sisrema constitucional , y á las institucio á- todos los que las presentes vieren y ent…</t>
  </si>
  <si>
    <t>…mo pueblo Eusebio Mócete, por ha Zayas, Giraldo, Bodega , Sancho, Couto y Moscoso ; y co berle arrestado arbitrariamente. La comisión , en vista de mo suplentes los Sres. Navarro (D. Fernando ) y Pino. Se le las declaraciones del alguacil y otros dos vecinos del mis vantó la sesión. mo pueblo , opinaba que el referido alcalde era reo de de tención arbitraria, y que por lo tanto habia lugar á la for Sesión det 2 de Noviembre. mación de causa contra…</t>
  </si>
  <si>
    <t>…intermedio de esta legislatura á la siguiente: cería y matadero , remitiendo testimonio del coste á la di á saber: - putación provincial. Para la de Agricultura los Sres. Navarro (D. Fernando), La comiúon de Hacienda presentó su dictamen acerca</t>
  </si>
  <si>
    <t>…da nuevos porme nores acerca del joven medico que ha concebido, y puesto en El Rey ha expedido el decreto siguiente: práctica ya con buen éxito su sistema de facilitar el sentido Don Fernando vu por la gracia de Dios y por la Cons del oido á los sordo-mudos por medio de una operación titución de la Monarquía española, Rey ele las España-, quirúrgica en el tímpano. Se llama Deleau; ha sido ciru á todos los que las presentes vieren y entendieren, sa…</t>
  </si>
  <si>
    <t>6j6 y° Don Fernando vxt por la gracia de Dios, y por la Hace ya dos años que la Ajemania esperaba con impa Constitución de la Monarquía española, Rty de las Es pañas, ciencia esta obra , cuya" publicación, retardada hasta hoy por á todos los que las presentes vieren y entendiere…</t>
  </si>
  <si>
    <t>…a inteligencia de que las que se presentaren en este ministerio se les devolve El Rey ha expedido el decreto siguiente: rán ó pasarán sin decreto donde toque , porque asi lo exige Don Fernando vn por tq gracia de Dios y por la Cons el orden y el justo cuidado de no entorpecer el natural cur titución de la Monarquía efepañola, Rey de las Españas, so que deben llevar los negocios. De deal orden lo comu á rodos los que las presentís vieren y entendier…</t>
  </si>
  <si>
    <t>…vista de armas para llenar los deberes de su instituto. Las autoridades locales El Rey ha expedido el decreto siguiente: usan con actividad de las facultades que les concede el re Don Fernando vn por la gracia de Dios y por la glamento para proporcionarlas, y en Guipúzcoa se ven ya Constitución de la Monarquía española, Rey de las Españas, cerca de 20 hombres armados, y se toman disposiciones d todos los que las presentes vieren y entendieren , sab…</t>
  </si>
  <si>
    <t>…brigadier con destino al egército de Castilla la Nueva en Junio de 1794, y en El Rey lia expedido el decreto siguiente: 96 fue nombrado secretario de la junta de Generales, que se D. Fernando vn por !a erada de Dios, y por la formó en la corre para la organización del egército y arre Constitución de la Monarquía española, Rey de las Espaglo de las nuevas ordenanzas. En 97 le concedió S. M. el ñas , á todos los que las presentes vieren v entendiere…</t>
  </si>
  <si>
    <t>…ios del reino, Guerra y Marina , Negocios extrangerosy Hacienda, soio tendrán El Reyr ba expedido el decreto siguiente: voto en los objetos de sus respectivos departamentos , y no Don Fernando vn por la gracia de Dios y por la Cons* podrán ser empleados en otro ramo público. titucion de ¡a Monarquía española, Rey de las Españas, «Que los individuos empleados eu los cuatro ratnos á todos jos que las presentes vieren y entendieren , sabed: mencionado…</t>
  </si>
  <si>
    <t>…ley; se forman estados en el ARTICUtO DE OFTCIO. Estado, y á las palabras de hombre y de ciudadano nin El Rey ha expedido el decreto siguiente: guna idea importante correspondía. Don Fernando vil por la gracia de Dios y por la Cons «¿Y qué otros resultados mas felices nos producirían las titución de la Monarquía española, Rey de ¡as Españas , á Cenes que hoy se llamarían impropiamente nací'nales ? todo*; los que las presemes vieren y entendieren,…</t>
  </si>
  <si>
    <t>…DB OFICIO. Indulto cuadragesimal................................. 1400,022 El Rey ha expedido el decreto siguiente: ■* La bula de la Sea. Cruzada....................... 16 020,000 D. Fernando "vil por la gracia de Dios y por la Renta de Correos............................................ 10.020,000</t>
  </si>
  <si>
    <t>697</t>
  </si>
  <si>
    <t>…En S. Lo primeros periódicos extrangero: que se recibieran pre en renzo á 7 de Noviembre de 1820.= A D. Juan Jabat. taran ya noticias interesantes, capaces de poder formar al 2.0 Don Fernando vii por la gracia de Dios y por la gún juicio acerca de los sucesos políticos de Europa, sobre Constitución de la Monarquía española, Rey de las Espadas, que los Soberanos del Norte están c merendando en 1 r.pá todos los que las presentes vieren y entendieren…</t>
  </si>
  <si>
    <t>…isboa j6 de Noviembre. Habiendo deseado el Gobierno inquirir la Opinión de los El Rey ha expedido los decretos siguientes: sabios sobre el método mejor de formar la representación Don Fernando vil por laf gracia deDiosypor la Cons nacional, ha presentado con este motivo un nuevo campo titución de la Monarquía española , Rey de las España* , i para que los • hombres instruidos despleguen su talento, y todos los que las presentes vieren y entendieren…</t>
  </si>
  <si>
    <t>…á la deuda sin interes. Art. 14. Los que elijan lo primero serán inscritos en El Rey ha expedido el decreto siguiente: el gran libro de la deuda consolidada que la junta nacional Don Fernando vii por la gracia de Dios y por la hará abrir, y recibirán, en lugar de los documentos que Constitución de la Monarquía española, Rey de las Espa- posean , jos equivalentes, que se ti miaran : Inscripciones de ñas , á todos los que las presentes vieren y ente…</t>
  </si>
  <si>
    <t>…patria. Manda también trasmitir V. E. las adjuntas copias del oficio que acaba El Rey ha expedido el decreto siguiente: de recibir del vice-presidente Antonio de Silveira Pinto de D. Fernando vn por la gracia de Dios y por la Cons Fonseca, v de la respuesta que hace relación a ellas. Esta titución de la Monarquía española, Rey de las Ecoañas,á feliz reunión es la prueba mas incontestable del verdadero todos los que las presentes vieren y entendier…</t>
  </si>
  <si>
    <t>…do sobre la conciencia en esta oc.i'ion es que lo? lores de Cámara Amherts y Delaware, El Rey ha expedido el decreto siguiente: y otros muchos que desempeñan empleos de nombramien Don Fernando vn por la gracia de Dios , y por la to Real, han votado contra ei bilí (aunque por otra par Constitución de la Monarquía española, Rey de las España?, te ha van creído que la Reina merecía la degradación como á todos los que las presentes vieren y entendieren…</t>
  </si>
  <si>
    <t>…que la nación desea. «No pudiendo continuar, en la presidencia el Sr. conde , El Rey ha espedido el decreto siguiente í de Sampayo, por hallarse nombrado vice-presidenre de esta * Don Fernando vn por la gracia de Dios, y por J* junta , manda que V. E. presida las referidas sesiones, ss Constitución de la Monarquía española, Rey de las Españas, Dios guarde á V. E. muchos años. = Palacio del Gobierno ¿ todos los que las presentes vieren y entendieren…</t>
  </si>
  <si>
    <t>…delísima, y la Infanta Doña Cristina, hija de nuestro Príncipe teniente-general El Rey ha expedido el decreto siguiente: del reino. Correspondiendo al Parlamento por los artículos Don Fernando vn por la gracia de Dios y por !a 208 y aró de la Constitución el aprobar este contrato, y Constitución de la Monarquía española, Rey de las Espaseñalar el dote, los señores diputados, al sancionar las pro ñas, á todos los que las presentes vieren y entendier…</t>
  </si>
  <si>
    <t>…á S. Pablo , donda Séria recibida por el lord corregidor, y conducida á la igle El Rey ha expedido el decreto siguiente: sia con las mismas ceremonias que cuando el Rey asi-tió la Don Fernando vir por la gracia de Dios y por la última vez á dicha iglesia. Ocho lores, entre ellos el duque Constitución de la Monarquía española, Rey de las Espa- de Clarence, hermano del Rey , habian protestado ya con ñas, á todos los que las presentes vieren y entendi…</t>
  </si>
  <si>
    <t>…u seguridad y go bierno. La bondad del objeto jamas justifica los medios em- El Rey ha expedido los decretos siguientes: Ísleados; y mientras no hay motivos de desconfianza de t.° Don Fernando va por la gracia de Dios y por la a autoridad constituida por la ley, todo lo que no se Constitución de la Monarquía española, Rey de las Espa haga por ella es subversivo, tumultuario y anti-constiracio ña? , a rodos los que las presentes vieren y entendieren…</t>
  </si>
  <si>
    <t>PORTUGAL. tución ?;No la ha jurado nuestro amabilísimo Rey el Señor D. Fernando vnr ¿No ha hecho lo mismo toda su Real fa Lisboa &lt;T de Diciembre, milia? ¿No la ha jurado nuestra grandeza, nuestro egírcito, Aver se recibió aquí una carra de Nantes que anuncia n ¡es ta armada, nuestros embaj dore , v lo mas ex. elso que haberTeqaJo allí un…</t>
  </si>
  <si>
    <t>…damiento y baldío de la Aldehtiek, termino de la villa de Cáceres, tasadas las 50 á 350 rs. cada El Rey lia expedido el decreto siguiente: una, y las resuntes á 250, en 32,912 rs. Don Fernando vn por la-gracia de Dios y ñor la En la provincia de ¡a Mancha, procedentes del rama, Constitución de la Monarquía española, Rey de las Espa- de Maestr.. zgos, y cuyo primer remate se ha de veri-, ñas, á todos los que las presentes vieren y entendieren, sa fi…</t>
  </si>
  <si>
    <t>Fernando, D-</t>
  </si>
  <si>
    <t>D- Fernando</t>
  </si>
  <si>
    <t>…la Real academia de la Historia,, é individuo de la sociedad dé Amigos del país de Sevilla. Nació en la ciudad de Ronda el 8 de Junio de 1741 , y en 1751 entró á iervir á S. M. el Sr. D- Fernando vi en calidad de su caballero pagé, en cu yo destino permaneció hasta él año de 1760, que fue ascendido á:segundo te niente dé Reales guardias Españolas En este empleo se halló-enr toda la guer ra de Portugal del año de 1762 , y señaladamente en el sitio de l…</t>
  </si>
  <si>
    <t>Ferran, Luis</t>
  </si>
  <si>
    <t>Luis Ferran</t>
  </si>
  <si>
    <t>…días rigoroso y 10 de alivio, á contar desde el de hoy. • T/. ReaJ.-resolución de 21 dé Febrero último, á consulta del Consejo suJptemo de Ja Guerra^se ia servido'S. M. conceder á D. Luis Ferran, Farma céutico en lá* villa de JBerga, en el principado de Cataluña, el fuero, militar y uso de Uniformedé -practicante de 4rmacia.de egército .que ha solicitado, „en premio de los semejos que ha conttaido^en las boticas militares, de cam paña durante la últi…</t>
  </si>
  <si>
    <t>Ferrando</t>
  </si>
  <si>
    <t>…•' Legislación sobre la consulta de la audiencia de Cataluña, El Ri;y. se ha servido dirigirme el decreto siguiente: acerca de si los jueces Interinos de primera instancia podrían Don Ferrando vir, por la gracia de Dios y por la ejercer la abogacía, lo que opinaba la. comisión debía pro Constitución de la Monarquía española, Rey'de las Españas, hibirle, permitiéndoles solo la defensa; de.causas propias, y á todos los que las presentes vieren y eiit…</t>
  </si>
  <si>
    <t>Ferrari</t>
  </si>
  <si>
    <t>…vas á magia, y á los embau acaba de publicar en sus Estados un nuevo código civil, cu camientos inseparables de aquella, nos mueve á llamar la ya redacción se atribuye en parte al caballero Ferrari, pre atención de los eclesiásticos de la provincia , manifestándo sidente de la comisión de legislación en Parma. les que reinan todavía en e! pueblo bajo errores de esta es Ñapóles 14 de ’S-sviembre. pecie , y excitándoles á que los combatan con vigor en ¡as…</t>
  </si>
  <si>
    <t>Ferrari, Amonio</t>
  </si>
  <si>
    <t>Amonio Ferrari</t>
  </si>
  <si>
    <t>…ido Zino, 320. El capitán del puerto D. Guillermo Swetland, la ración, por término de 15 dias. lóo. D. Juan María Bucbetti, 320. D. Josef Monroy , 80. D. Eduardo Escarnichia, 320. D. Amonio Ferrari, 160. El bergantín goleta Encantadora, correo de la armada D. Pablo Larios, 3 20. D. Juan y D. Guillermo Douguid, 80. nacional, que salió de Cádiz el i.° de Marzo último para D. Pedro Trouguet, 40. D. Severino Saracho, 40. D. Juan Ultramar, ha entrado de regr…</t>
  </si>
  <si>
    <t>Ferraz, Francisco</t>
  </si>
  <si>
    <t>Francisco Ferraz</t>
  </si>
  <si>
    <t>290</t>
  </si>
  <si>
    <t>…bien de la nación , y hallarse de acuerdo en el mismo^llfttir la mayor, pacte, ó to das las provincias. Recibióse poco después otro oficio del gefe del estado ma yor deí egército Sr. D. Francisco Ferraz, con fecha del Puerto de Santa Ma ría del mismo dia 9» comunicando que por un ayudante de campo del gene-, val en gefe acababa de saber que4 las cuatro y media de aquella tarde: se había jurado en Cádiz la Constitución sancionada por las Cortes generales, y e…</t>
  </si>
  <si>
    <t>…fiesta ron á los miestros que salieron á recibirlos, que sus gefiesy tropa estaban conformes en some** terse á ia obediencia del Re¥ , á cuyo efecto había pasado á S. Fernando el general D. Francisco Ferraz para tratar Jó conveniente, quedando de este modo suspendidas las hostilidades. Este plausible noticia no me conste aun de oficia. . „ Lo que. participo á V.. E. para conocimiento de S M.; y ruego á Dío$ le guarde muchos años. Navio Ntmancia en la bahía de Cá…</t>
  </si>
  <si>
    <t>…conde de Calderón, D. Estanislao Sán chez Salvador, y D. Blas de Fournás. Con igual fecha había dispuesto el general en gefe del egéreito D. Manuel Freíre que el mariscal de campo D. Francisco Ferraz y el brigadier D. Manuel de Jáuregui pasasen á Cádiz á relevar el primero al mariscal de campo D. Josef Ignacio Alvarez Campana, y el segundo al brigadier D. Alonso Rodríguez V aldes. EN LA IMPRENTA NACIONAL.</t>
  </si>
  <si>
    <t>…espacho de Guerra ha recibido el parte si guiente: _ ' ,, Exento. Sr.: Según manifesté á V- E. en mi oficio de ayer han pasado esta mañana á la plaza de Cádiz el mariscal de campo D. Francisco Ferraz y el brigadier D. Manuel de Jáuregui con el objeto de relevar á los de igual clase y grado D. Josef Ignacio Alvarez Campana y D. Alonso Rodríguez Valdés, que se me han presentado y permanecen en este cuartel genera!. En dicha plaza debe haberse jurado esta ta…</t>
  </si>
  <si>
    <t>Ferraz, Valentín</t>
  </si>
  <si>
    <t>Valentín Ferraz</t>
  </si>
  <si>
    <t>…lleríái sobre Jujuy, en cuya ciudad entréd 26, habiendo aparecido, perseguidos por los escuadrones de la guardia, húsares y dragones, los dos primeros mandados por los comandantes D. Valentín Ferraz y Don Gabriel!Pérez en Guacalera , Volcan , rio León, Yala, rio Reyes y entrada de la Tablada * los rebeldes ^mandados , por lds caudillos Ximehéz, Al vare^iy .Cortés , este último, gobernador de Jujuy. * ,,Ét brigadier D. Pedro Olañeta con el batallón de cazadores manda d…</t>
  </si>
  <si>
    <t>Ferre-, Francisco María de</t>
  </si>
  <si>
    <t>Francisco María de Ferre-</t>
  </si>
  <si>
    <t>…y cesantes, en esta for ma: para la fuerza activa 197.788,818 rs. y 23 mrs., con ANUNCIOS. mas 3.779,639 para tres cuadros de regimientos suizos, com Se desea saber el paradero de D. Francisco María de Ferre- puestos de 1211 plazas: para la fuerza auxiliar 48.235,234 rs., ó, natural de Oviedo, hijo de D. Juan de Ferreri y de Josefa en lo que se comprendía el ministerio, oficinas subalternas, Serrar ha servido én el regimiento francés 65 de línea co fabricas y dema…</t>
  </si>
  <si>
    <t>Ferrer, Francisco Sánchez</t>
  </si>
  <si>
    <t>Francisco Sánchez Ferrer</t>
  </si>
  <si>
    <t>…les consolidados que quepan en la cantidad sobrante, calde de Hellin, contra D. Tomas O-Donojú, gefe políti entrando todos en suene. 2.° Los edificios y fincas nacio co de Murcia, D. Francisco Sánchez Ferrer, juez interino nales que no ofrezcan cómoda y útil salida en la subasta de primera instancia de la villa de Hellin, yD. Ramón de se rifarán á créditos consolidados en la cantidad correspon la Torre, comandante militar de la misma villa, por ha diente á su val…</t>
  </si>
  <si>
    <t>Ferrér, Joaquín María</t>
  </si>
  <si>
    <t>Joaquín María Ferrér</t>
  </si>
  <si>
    <t>…dores poi&gt; via de empréstito con algunas cánudades de tercias Reales, Excusado y Noveno; y otras dos .de Don SS. MM. y AA. siguen sin novedad en su importante Toaquin Saez López y D. Joaquín María Ferrér sobre la re salud. . misión de dos custodias á S. Sebastian y a Pasagcs.^ ^ S. M. ha despachado hoy con los Sres. secretarios del Despacho de Gracia y Justicia, Hacienda y Guerra,. ; A la Je libertad de Imprenta un'oficio del mmuuo da</t>
  </si>
  <si>
    <t>Ferrer, Joaquirtf María de</t>
  </si>
  <si>
    <t>Joaquirtf María de Ferrer</t>
  </si>
  <si>
    <t>…al y distinguida orden de Carlos Jir,. del Consejo «de S. M., gentilhombre de Cámara con entrada, y oficial mayor de la secretaría de Estado y del Despacho de Gracia y Justicia, y D. Joaquirtf María de Ferrer , caballero de la Real orden americana de Isabel la Catóiica-.y capitán retirado de egército y diputado en corte del mencionado Señorío y provincia de Guipúzcoa ; y el primero dijor ,,Señor: Penetrados los corazones de los habitantes del señorío de Vizca ya d…</t>
  </si>
  <si>
    <t>Ferrer, Pedro</t>
  </si>
  <si>
    <t>Pedro Ferrer</t>
  </si>
  <si>
    <t>…lista de las pensiones cargadas so lándola con la del egercito, minorada por el decreto de tj bre el fondo pió benelicia!. . de Enero de tXi ;. ~ A la de Premios una exposición de D. Pedro Ferrer, Las comisiones de Hacienda y Mari"a presentaron su vecino Je Granada, manifestando los perjuicios que habia dictamen acerca de igualar los sueldos de ios médicos-ciru sufrido en la guerra de la independencia, y por la persecu janos de la armada con los del e…</t>
  </si>
  <si>
    <t>Ferreri, Juan de</t>
  </si>
  <si>
    <t>Juan de Ferreri</t>
  </si>
  <si>
    <t>…de regimientos suizos, com Se desea saber el paradero de D. Francisco María de Ferre- puestos de 1211 plazas: para la fuerza auxiliar 48.235,234 rs., ó, natural de Oviedo, hijo de D. Juan de Ferreri y de Josefa en lo que se comprendía el ministerio, oficinas subalternas, Serrar ha servido én el regimiento francés 65 de línea co fabricas y demas; y para ta fuerza pasiva 9.940,089 rs., y mo conscripto; y sirvió de cirujano en España en los regimien para ga…</t>
  </si>
  <si>
    <t>Feruahdo</t>
  </si>
  <si>
    <t>Gaceta de Madrid n.º 34 (extraordinaria)</t>
  </si>
  <si>
    <t>Num. 34. (2 cuartos.) *51 GACETA EXTRAORDINARIA DE MADRID DEL JUEVES 9 DE MARZO DE 1820. ARTICULO DE OFICIO. El Rey D. Feruahdo vii por la gracia de Dios, y por la Constitución de la monarquía española, ha expedido el decreto siguiente*. „Habiendo decidido por decreto del 7 del corriente jurar la Constitución publicada en Cádiz por las Cortes generales y extraordinarias en el año de 1…</t>
  </si>
  <si>
    <t>Ffr</t>
  </si>
  <si>
    <t>…sal y cuanto lo-- habitantes de Antequera la anulación del decreto de continuación interina del estan podían hacer en demostración de su patrioti-ino, de su amor co del tabaco. al Sr. D. Ffr nanoo vil, de su respeto y veneración á ¡as Oyeron las Cortes con agrado , y mandaron distribuir Cortes, y de su adhesión á la Constitución, lodo se verifi los egemplares de una obra titulada Rejiexiones políthas</t>
  </si>
  <si>
    <t>Figueroa, Alfonso Maximiliano Pardo y</t>
  </si>
  <si>
    <t>Alfonso Maximiliano Pardo y Figueroa</t>
  </si>
  <si>
    <t>…Los impresores están obligados á poner sus sión segunda de Legislación, concedieron la dispensa de edad nombres y apellidos , y el lugar y el año de la impresión en solicitada por D. Alfonso Maximiliano Pardo y Figueroa todo impreso, cualquiera que sea su valumen; teniendo en para administrar süs bienes. tendido que la falsedad en alguno de estos requisitos se cas Se leyó la minuta de decreto sobre regulares; y se hizo tigará como la omisión absoluta de el!o-c. presente por…</t>
  </si>
  <si>
    <t>Figueroa, Mariano Pardo y</t>
  </si>
  <si>
    <t>Mariano Pardo y Figueroa</t>
  </si>
  <si>
    <t>…icta tra la libertad de imprenta el autor ó editor del escrito , ú men sobre dispensa de edad para administrar sus bienes á cuyo fin deberá uno ú otro firmar el original, que debe D. Mariano Pardo y Figueroa: la comisión era de parecer quedar en poder del impresor. que se debía conceder la dispensa ; y asi sé aprobó. Art 27. «El impresor será responsable en los casos si Se aprobaron los poderes del Sr. D. Pedro González Ga guientes: i.° Cuando sido requerido judi…</t>
  </si>
  <si>
    <t>Figueroa, Saturnino</t>
  </si>
  <si>
    <t>Saturnino Figueroa</t>
  </si>
  <si>
    <t>…inante, se proponían sin embargo cosas Lozano, D. PedroPerez Bustamante, D. Juan Felipe Masede ia atribución exclusiva de las Cortes, como era la habili gosa, D. Antonio Lacerda , D. Saturnino Figueroa, D. Ma tación del curso, y pidió que se accediese á esto, y se hi riano García Cáceres , D. Antonio Hernández y D. Pas ciese una recomendación al Gobierno, dando ademas gra cual González, el 1.0 como gobernador, el 2" como sar cias á los individuos de que se…</t>
  </si>
  <si>
    <t>Filangicri</t>
  </si>
  <si>
    <t>…era, y que se hará muy ITALIA. en breve una gran promoción en el egército. Ndpoles 10 de Noviembre» Se continúa trabajando con todo esmero en el estableci Acaba de ser nombrado el general Filangicri comandan miento de las escuelas públicas de enseñanza mutua en esta te en gefe del egército nacional que se junta en los Abruzzos. capital, y á principios de este mes se abrieron dos de ellas. Las tropas austríacas que ocupan la Italia Alta conser van todavía…</t>
  </si>
  <si>
    <t>Filangien</t>
  </si>
  <si>
    <t>…palabras del Rey, elocuente ¡mas por el coronel Tupputi, por un destacamento del regimiento de que nacían de los sentimientos mas puros, y pronunciadas Ji iTuon y por el teniente general Filangien, quedaron con el acento de la ternura; el afeci lioso respeto con que muertos los que intentaron rodsdr-e, y los demas se tir.die S. A. el duque de Calabria, hijo del Rey, y ciudadano, se ron á discreción. La tranquilidad de la capital no *e turbó acercó á be…</t>
  </si>
  <si>
    <t>Filangieri</t>
  </si>
  <si>
    <t>…zquierdo y Payan, pronunciada ñera de todos los viages. jamas me canso de leerla, con espe en ty de Noviembre de 1820 en ios autos de concurso de cialidad el primer volumen.” = El Sr. Filangieri cita en muchos acreedores á D. Manuel García, de este comercio , se manda ci pisages de sus escritos al rector de la universidad de Editn- tar, llamar y emplazar á cuantos se consideren con derecho á la bourg por punto de apoyo de su doctrina. masa de la anun…</t>
  </si>
  <si>
    <t>Gaceta del Gobierno n.º 168</t>
  </si>
  <si>
    <t>…que se hallan en nuestras fronte 4.0 Con relación d la Alemania. ras reciben continuos refuerzos; los oficiales anuncian que El reino de Saxonia quedó fuertemente mutilado: sus el general Filangieri será el que tome el mando del egército restos apenas se pudieron salvar. de los Ahruzos. Los Soberanos del Rhin vieron reducida á la nada su •---- El prelado Benvenuti, vice-legado en Macera, habiendo grandeza. Maguncia, Tréveris, Colonia ya no pertenecen rec…</t>
  </si>
  <si>
    <t>Fíno</t>
  </si>
  <si>
    <t>…ia de los tres Monarcas, continúan— de su amo para , pasaje á,Inglaterra; y que deseando igual -dólas después eri Viena. Asimismo se asegura que el Em mente.. S. M. que viniese el general Fíno 'á informar de la perador Alejandroirá desde Troppau áBerlín, y que hasta conducta de Bérgamí ipíentras había estado á su servicio, -ahora no se ha dado orden alguna para que avancen las trotampoco había podido verificarlo, por haberle puesto el Go - pas- aus…</t>
  </si>
  <si>
    <t>Fio</t>
  </si>
  <si>
    <t>…aber formado con los habitantes de los pue Carta del príncipe de Villafranca de Palermo, ex blos en que han estado algún tiempo. presidente de la junta del Gobierno de Sicilia, al general D. Fio restaño Pepe. FRANCIA. «Excriio. y noble general' Poseído de un ¡usto y santo París 2 de Diciembre. ‘ horror , ha llegado á mi noticia que el Parlamento del reino En uno de los últimos números de tEtole ha salido el de Ñapóles ha anulado el convenio que hice…</t>
  </si>
  <si>
    <t>Fiqúelmont</t>
  </si>
  <si>
    <t>…a á Madrid con el carácter de embajador; el barón dé Binder, que está de ministro plenipoten ciario en Bruselas, va á Turin con la misma representación, y será reempla zado por el general Fiqúelmont, qué se halla dé ministro en Suecia, á quien sucederá el conde deThurn, primer secretario de embajada en Rusia. El conde de Bombelles, nuestro ministro en Dresde, está destinado para Munich , y para Dresde el conde Antonio de Palfi, que se acaba de casar con…</t>
  </si>
  <si>
    <t>Firao, Josef</t>
  </si>
  <si>
    <t>Josef Firao</t>
  </si>
  <si>
    <t>…nesto en España , cuya grandeza política desapareció co pitán de navio; Alejandro Begani, mariscal de campo ; el mo de repente cuando debía aparecer mas formidable y ma- fino. Sr. cardenal Josef Firao; Alejo l’elliccia , presbítero; gestuosa. Al vigor nacional, á aquel valor heroico que ha el caballero Melchor De'lico;Tito Berni, abogado; el caba bía asombrado al mundo sucedieron una indiferencia y una llero Pedro Antonio Ruggieri, abogado; el caballero Ma…</t>
  </si>
  <si>
    <t>Firz-i</t>
  </si>
  <si>
    <t>…armas y capitanes y entre los últimos citan ya al Duque de Wellington y al generales, respecto de los cuerpos, compañías ó individuos lord Castlereagh, y por parte de la Reina al conde Firz-i, en quienes egercen estas funciones, dirigirán á este ministe William y al lord Seíton. Añaden haber rehusado este úl rio Una relación sencilla con solo las ciases, nombres y ape timo semejante encargo. llidos de los individuos, años de servicio, achaque ó in…</t>
  </si>
  <si>
    <t>Fitzgerald</t>
  </si>
  <si>
    <t>…favorables á pobres, que lloraban la pérdida de un hombre benéfico, las dos naciones que todos los anteriores. Se asegura tam cuyo corazón era todo de los desvalidos. bién que el lord Fitzgerald , nuevo ministro británico en Fue individuo de muchas sociedades y corporaciones Stockolmo, traerá las instrucciones necesarias para la con científicas , asi españolas como exirangeras; y sus produc clusión de este negocio. ciones literarias sobre diferentes…</t>
  </si>
  <si>
    <t>Fkknando</t>
  </si>
  <si>
    <t>…iesgada. Para los pueblos del Norte es mas ven acto solemne de jurar la Constitución de la Monarquía españo tajoso servirse del mar Báltico para continuar sus relaciones la el Rkx D. Fkknando vii el dia 9 de Julio de 1820 , si tuado el observador delante del león de la izquierda de la barmercantdes con la Rusíay la Polonia. La ruta del medio ra : estampa apaisada de medio pliego de marca mayor- Se hadía triplicaría para ellos lo largo de la traves…</t>
  </si>
  <si>
    <t>Fleury, Claudio</t>
  </si>
  <si>
    <t>Claudio Fleury</t>
  </si>
  <si>
    <t>…en la librería de Rana, caobtenga algún destino ó prebenda. 13. A los prelados su lle de la Cruz, á 4 rs. periores que vivan en el claustro 6 fuera de él se les seña Discursos del abad Claudio Fleury sobre la jurisdicción larán las dotaciones que las Cortes determinen , según su eclesiástica, y sobre el origen, progresos y decadencia de las clase. 14. Que se atienda á la decencia de los que existan órdenes religiosas , traducidos del francés por D. M. D.…</t>
  </si>
  <si>
    <t>Flinn</t>
  </si>
  <si>
    <t>…do actual del proceso era n uno de los diarios de la tarde se lee lo siguiente: «Sa nna de las mas extraordinarias que podían oirse, y que á bemos que antes del interrogatorio del teniente Flinn estaba lo menos se debía esperar á ia conclusión de la causa, preparado un mensage del Rey á los Pares para cortar el porque basta que llegase este caso, ni él mismo podia formar proceso; pero que la declaración de aquel ha dado nuevas una idea exacta de lo q…</t>
  </si>
  <si>
    <t>Flo</t>
  </si>
  <si>
    <t>…e cantó un so fomento y mejor organización de los individuos de la Ma lemne le Diiniiy á que concurrieron el ayuntamiento, cle rina. Se acordó imprimirle , encargándose de ello el Sr. Flo ro v oficiales de mar y tierra, y por la noche se Iluminó res: Estrada , que lo había pedido. la ciudad, alternando las míricas militares y las canciones Se recibió con agrado, y se mandó pasar á la conmion patrióticas. El día 2&lt;s juró ia Constitución el gobe…</t>
  </si>
  <si>
    <t>Flo-</t>
  </si>
  <si>
    <t>…nocia la difi de Asturias, pidiendo se estableciese en uno de ellos un cultad de dar leyes justas en un punto en que estaban en juzgado de primera instancia; la cual presentaba el Sr. Flo- contradicion todas las clases del Estado. Hizo presente la rez Kstrada. injusticia de privar absolutamente á la sociedad/entera de Se leyó y mandó pasar á la comisión de Premios una admitir para su uso otros géneros mas perfeccionados que exposición de D. Fra…</t>
  </si>
  <si>
    <t>Flore</t>
  </si>
  <si>
    <t>…isión de echar tos caucavia tal retraso, que no podria ventilarse este negocio mano de una con ribucion extraordinaria, cuando tantas di ni aun en las se-iones del año próximo. El Sr. Flore* Es ficultades presenta el cobro de las ya establecidas , se deci trada propuso que se imprimiese solo la memoria y los es dió en favor del dictamen. tados. El Sr. presidente manifestó que la imprenta nacional El Sr. Istuóz expresó que á los ministros corre'p…</t>
  </si>
  <si>
    <t>Flore, D</t>
  </si>
  <si>
    <t>D Flore</t>
  </si>
  <si>
    <t>…egún dicen de Temeswar, que ha dado Se leyó por segunda vez la propo'icion del Sr. Drago— órdenes el Gran Señor para que se reúna un cuerpo consi netti, dirigida á que el teniente general D Flore taño Pepé derable de tropas en las cercanías de Belgrado. fu ese declarado benemérito de la patria, por haber termina do los funestos negocios dé T'alermo. SAXONTA. Habiendo tomado la palabra el coronel Pepé, hizo Leipsick 19 de Noviembre. grandes elogios del…</t>
  </si>
  <si>
    <t>Florencia</t>
  </si>
  <si>
    <t>…que du rante este tiempo no recibía salario, y se mantenía con las ITALIA. dádivas del embajador ingles: q:e el viage de Milán y to dos los gasro' los habáa pagado su padre, y el coronel Florencia t5 de Agosto. Brown le habia dado dinero para que volviese á Viena ; y Se dice que el Emperador de Austria no aprueba las mu ue su padre, la madre y sus hijo- estaban actualmente en danzas hechas en el gobierno de Ñipóles, porque el Rey nglaterra, vivían con…</t>
  </si>
  <si>
    <t>Florencio</t>
  </si>
  <si>
    <t>…or el número de la Nueva, y juez de primera instancia de esta AL H. vóij , dada los malos, y este debe ser tanto mas considerable , cuanto por la escribanía del número al cargo de D. Florencio i.&lt; r&gt;ez son ellos los que gobiernan. Nosotros les hemos dado tier Varo , á instancia de D. Josef María Patón , escribano Real ene ras para cultivar plantas , y ellos han establecido cañones. fue , se ha mandado pasar al archivo general ríe escrituras pú Suje…</t>
  </si>
  <si>
    <t>Florentina, María</t>
  </si>
  <si>
    <t>María Florentina</t>
  </si>
  <si>
    <t>…ara en favor de los militares. En consecuencia de este ción, ha cabido en suerte del primer extracto de la de este fuero pedia que las monjas solo tuvieran expedito el recur dia á Doña María Florentina, hija del subteniente de infan so á !a autoridad civil, en el caso de poder justificar que la tería D. Josef Antonio Serantes, muerto en el campo del eciesi iSiica se habia opuesto á que pidieran, su seculari honor. zación. ARTICULO un OFICIO. El autor de la…</t>
  </si>
  <si>
    <t>Flores, Antonio Ruiz de</t>
  </si>
  <si>
    <t>Antonio Ruiz de Flores</t>
  </si>
  <si>
    <t>…«ces , porque en ella cifran su tranquilidad. Las pasiones, los ñor general Pnlafox, Doña María de Loreto García de Roa, «injustos caprichos, los ambiciosos y exceóvos deseos que D. Antonio Ruiz de Flores, D. Gerónimo Gambo», Doña «tos príncipes mezclan con el uso de la autoridad , lejos de María Antonia Niño, D. Vicente Fraile, D. Francisco de «extenderla, la debilitan. Se hacen menos poderosos cuando Mata, D. Rafael de Pinos, D. Amorfo de Castro, D. An «quie…</t>
  </si>
  <si>
    <t>Flores-</t>
  </si>
  <si>
    <t>…de Enero de 1813 sobre baldíos. El ministro de Guerra anunció á nombre de S. A. R. Se dio cuenta de que el Gefe político de Cuba remitía el lugar-teniente general del reino que el general D. Flores- la acta de elección de diputados por aquella provincia ; y taño Pepé se hallaba el 28 de Setiembre á tres millas de Pa- las Cortes' quedaron enteradas. lermo; que en un encuentro con los palermitanos habia he Asimismo lo quedaron , y mandaron pasar al Gobier…</t>
  </si>
  <si>
    <t>Floresrano</t>
  </si>
  <si>
    <t>…, hizo Leipsick 19 de Noviembre. grandes elogios del valor, patriotismo, eonocinrenos mi Se dice que á resultas de las conferencias de Dresde se litares y otras prendas del citado D. Floresrano , X quien tratará en la Dieta de mejorar el sistema representativo de protestó que apreciaba sobremanera por es'as cualidad.*' ; pe Saxonia, y aun se asegura que el Gobierno apoyará estas ro añadió que seria indecoroso pan el Parlamento, habien mejoras. do co…</t>
  </si>
  <si>
    <t>Florestano</t>
  </si>
  <si>
    <t>…i enteramente restablecido en su ducta lirme y moderada que ha procurado seguir. salud. «Las bases fundümcrñuies en que estriba el orden social • Se sabe haber llegado á Cefalú el general D. Florestano son la libertad y la seguridad de las personas, de las pro Pepé, y que se dirigía sobre Términi. piedades y de las opiniones. Mientras que en otras partes se' El telégrafo de Mesína anunciaba el día 2t del corriente ha atentado contra la libertad personal tum…</t>
  </si>
  <si>
    <t>Florez</t>
  </si>
  <si>
    <t>…n Si*, diputado. do , en que se publicó la Constitución al principió del año. Se feyó y aprobó la indicación siguiente del Sr. Traver: El Sf. Yanaiola se opuso i la indicación del Sr. Florez »»Que se comunique orden á todas las secretarías del Gobier- Estrada, porque veia ea ella varios inconvenientes ¡ juzgan</t>
  </si>
  <si>
    <t>…stitución en los pueblos de una misma pro arroba de aceite extraído en bandera extrangera pague 10 rs , vincia. y que sea libre en bandera nacional.” Kl Sr. Moreno Guerra apoyó al Sr. Florez, añadiendo Despees de algunas rellexiones que hicieron los señores que los contrabandistas antes, cíe la publicación en muchos Oliver, Toreno y Golfín, se pasó á votar el dictamen de pumos hacían el doble servicio de traer los géneros, é intro las comisiones,…</t>
  </si>
  <si>
    <t>…e imprimiera y circulara á la Nación para que pro se hacia preciso determinar cuáles eran estas; á lo que con pusiese quiénes fuesen los ministros á los que se debiese pe testó el Sr. Florez que las señaladas por las leyes, pues sabia dir indemnización. que no puede haber otras. El Sr. Palarea expresó que nada tenia que añadir á lo di Otra indicación hizo el Sr. Diaz Morales sobre que cho por el Sr. Vitorica. respecto á haber pedido el Sr. Florez…</t>
  </si>
  <si>
    <t>…ima, publique y circule á todas Jas provincias y Otro de 23 pies en la ca&lt;a de dicho término. autoridades superiores de ella;.” Otro en el cerro de las Vacas en dicho término. Til Sr. Florez lastrada hizo dos indicaciones, una pi Idem idem por D. Antonio Marín. diendo que la comisión encargada de examinar la conducta Otro olivar de 85 pies al pago de la Torrecilla, término de los ex-dipufados llamados persas concluya hoy su dic de Montoro. tamen…</t>
  </si>
  <si>
    <t>Florín, Juan</t>
  </si>
  <si>
    <t>Juan Florín</t>
  </si>
  <si>
    <t>…n cia á D. Eugenio Domínguez, administrador general que fue de tabacos de la provincia de Galicia , y ministro de Hacienda de Mahon, é intendente ahora de Guadalajara: para esta á D. Juan Florín, contador de resultas del tribunal de Contaduría mayor, oficial de la secretaría del Despacho de Hacienda: para la de Toledo, vacante por salida de D. Edmundo O-Rian á director de la Hacienda pública, á D. Josef del Aguila, oficial de la secretaría del Despa…</t>
  </si>
  <si>
    <t>Foclis, Juan Gerardo</t>
  </si>
  <si>
    <t>Juan Gerardo Foclis</t>
  </si>
  <si>
    <t>…ticas puras que está confiada a la academia de ciencias naturales y artes de esta ciudad, bajo la dirección del socio de numero, se cretario segundo y profesor de ella el canónigo D. Juan Gerardo Foclis , tuvo la honra de acreditar públicamente las utilidades que acarrea á la Nación, por medio de un examen público que se verificó en los dias 6 y 7 de Marzo del corriente año. Convidado el público por el diario, y yarias personas de_disiincion y literatura por…</t>
  </si>
  <si>
    <t>Foja, Ramón de</t>
  </si>
  <si>
    <t>Ramón de Foja</t>
  </si>
  <si>
    <t>…de la junta provisional á las Cortes: papel inte Reina, segundo de ligeros; el brigadier D. Nicolás Cha resante, en que aquella corporación, verdaderamente patrió cón; el teniente coronel D. Ramón de Foja, y el capitán tica en su formación, en su destino, en stis sentimientos y en D. Josef María Aíinpi. todas sus operaciones, da razón á la representación nacional de las causas que produjeron nuestra gloriosa resurrección polí Un prólogo del método y plan deenc…</t>
  </si>
  <si>
    <t>Fondeviía</t>
  </si>
  <si>
    <t>…cenas que se han introducido en España de los Sres. Cepero y Palarea, del Sr. Ramos Arispc, y en estos últimos tiempos, y que tan perjudiciales son á'la del artículo adicional del Sr. Fondeviía , relativo todo á la juventud. amnistía de disidentes de América, que se le habían pasa El Sr. Freí re apoyó al Sr. Calatrava, suponiendo no ser do en 18 de este mes, presentaba el decreto redactado con conveniente hacer el ensayo del establecimiento de juece…</t>
  </si>
  <si>
    <t>Fondevila</t>
  </si>
  <si>
    <t>…flicto, y se chocan las pasiones y los inte Igualmente se mandó pasar á la comisión un artículo reses mas encontrados. Felizmente los prelados españole', adicional que proponía el Sr. Fondevila para que en caso que se ban dis inc ido iempre por sus. virtudes y talentos, de que los disidentes retuvieran á alguna? personas por ha han sal ido en general hacer un arreglado u o de ella en e ta berse mostrado adictas al legí imo Gobierno de la Na época, p…</t>
  </si>
  <si>
    <t>FonJe.punto</t>
  </si>
  <si>
    <t>…estos escritos. siones alimenticias que les estaban señaladas; y proponía Declarado que no estaba suficientemente discutido este con algunas variaciones el artículo adicional del Sr. FonJe.punto, apoyó el Sr. Florez Estrada la utilidad y necesidad vila sobre retener algunas personas en cambio de las que tu del establecimiento de los jurados, recomendando el regla viesen los disidentes: todo lo que fue aprobado. mento como capaz de dar honor á la Naci…</t>
  </si>
  <si>
    <t>Fonran, Salvador</t>
  </si>
  <si>
    <t>Salvador Fonran</t>
  </si>
  <si>
    <t>…ciudad. CORTES. La comisión' segunda de Legislación presentó su dicta men para que se accediese á las exposiciones que los extran Sesión extraordinaria de z.° de Noviembre. geros D. Salvador Fonran , D. Juan Betudno, D. Santia En atención á haberse leído en sesión secreta el acta de go Artembusch y D. Alejandro Lanti tenian hedías en so la última extraordinaria pública , se dio principio á la elec licitud de carta de ciudadano. Las Cortes aprobaron este…</t>
  </si>
  <si>
    <t>Fonseca, Ignacio Rodríguez de</t>
  </si>
  <si>
    <t>Ignacio Rodríguez de Fonseca</t>
  </si>
  <si>
    <t>Soberon de lá de las Islas Canarias; á D. Ignacio Rodríguez de Fonseca de la de Cuenca; á D. Alvaro Gómez Becerra de la de Extremadura ; al conde de ViJlafuertes de la de Guipúzcoa; al brigadier D.. Manuel Jáureguí de la de Grana da; á D. Josef Manuel Vadillo de la de Jaén; á D. Andrés Crespo CantoIIa de la de León; á D. Guiller…</t>
  </si>
  <si>
    <t>Fonseca, Lqcas</t>
  </si>
  <si>
    <t>Lqcas Fonseca</t>
  </si>
  <si>
    <t>…no existían mas que cinco , de los cuales tres dieron la vela á las 11 de la noche, y solo quedarpn Ja corbeta Chacabuco y el Inchiman S. Martin. AUi recibió un parte del alférez D. Lqcas Fonseca, comandante de las'armas del pueblo de Supe, en que ip avisaba que los enemigos habían destruido la ha cienda de S. Nicolás de Supe, perteneciente al convento grande de S. Agustín^ y se dirigió inmediatamente hacia allá con el objeto de evitar mayores daños.…</t>
  </si>
  <si>
    <t>Fontanills, Joaquin</t>
  </si>
  <si>
    <t>Joaquin Fontanills</t>
  </si>
  <si>
    <t>…basta ahora, pues no sola de t.° de Setiembre de 1815, núm. 5084, que salió■ encabeza mente contiene los discursos que se insertaron en diferentes do en nombre de D. Jaime Coll á D. Joaquin Fontanills, Don periódicos sino también otros que no habiéndose prenunciado Juan Oñoz, D. R. de Llordella, D. Beraardino de Ereña, gl en la tribuna, se imprimieron particularmente por el autor. comisionado principal del Crédito público en.Cádiz D. N. BminEn esre orden c…</t>
  </si>
  <si>
    <t>For-un, Juiti Díaz</t>
  </si>
  <si>
    <t>Juiti Díaz For-un</t>
  </si>
  <si>
    <t>282</t>
  </si>
  <si>
    <t>…mbarazarán nunca el curso de este, y deberán seguirse en piezas separadas. ANUNCIOS. 15. En las causas de cómplices, en que convenga hacer Oración fúnebre del mártir de !;t patria D. Juiti Díaz For-un pronto y saludable escarmíenio, deberán los jueces pro lier, pronunciada en la Corufia por el cura párroco D. Josefseguirlas y determinarlas rápidamente con respecto al reo ó Escario en las exequias que se mandaron hacer por la junta gu reos principales que s…</t>
  </si>
  <si>
    <t>Foranesta, Manuel</t>
  </si>
  <si>
    <t>Manuel Foranesta</t>
  </si>
  <si>
    <t>…pensionable de las mitras, Se pasó á la ordinaria de Hacienda una solicitud, re que regulaba en 8 millones de reales, opinando se aplicase mitida por el ministro de este ramo, de D. Manuel Foranesta mitad á los gastos del Estado, suponiendo que la otra do, vecino de la ciudad de S. Fernando, pidiendo se le' tendría una aplicación invariable; cuyo dictamen fue apro perdonase la cantidad de 1464 fanegas de trigo , en aten bado. ción á las circunstancias, p…</t>
  </si>
  <si>
    <t>Foronda, Martin de</t>
  </si>
  <si>
    <t>Martin de Foronda</t>
  </si>
  <si>
    <t>…Sr. conde de Toreno dijo que debia realmente pasar tiene establecidas, otra cátedra de matemáticas puras, á car á la comisión de Premios, porque de ningún modo podian go del socio D. Martin de Foronda. La hora de 8 á ro de derentenderse de los que se deben al benemérito general Riego, mientras que las otras proposiciones podrian ocasio la noche los lunes, miércoles y viernes, que el profesor ha fijado para la enseñanza, cree ser la mas á propósito para nar…</t>
  </si>
  <si>
    <t>Fort, Ventura</t>
  </si>
  <si>
    <t>Ventura Fort</t>
  </si>
  <si>
    <t>…es de la Art. 19. «Los artículos 8.’, 9.0, 10 y 11.se extiendan ciudad de Algeciras, y refrendada por su escribano ma también A los conventos y comunidades de religiosas, y ca yor D. Ventura Fort, se cita y emplaza á D. Josef Luis da una de las que se secularicen disfrutará asimismo too de Silva , D. Juan Josef de Costa, D.,Simón Cohén, Don ducados de pensión anuales.” Juan Grima, D. Sebastian Martínez, D. Manuel Corvero, Aprobado este artículo se sus…</t>
  </si>
  <si>
    <t>Fortea, Manuel</t>
  </si>
  <si>
    <t>Manuel Fortea</t>
  </si>
  <si>
    <t>…os pretendientes dirigirán sus memoriales al alcalde de dicha villa. En la librería de Rodríguez, calle de las Carretas, se hallan de venta la colección de sermones del presbítero D. Manuel Fortea. Vida de S. Juan el limosnero, patriarca.de Alejandría, escrita por el venerable obispo de Osma D. Juan de Palafox. El solo, nombre de este ilustre prelado bastará á hacer recomendable esta obra , escrita con mucha elegancia: un tomo en 8.° Se ha llará en la…</t>
  </si>
  <si>
    <t>…, y en su puesto gradas de S. Felipe. Sermón que pn la solemne fiesta dé gracias que la ilustre villa de Castellón de la Plana consagró á Jesucristo en (el sepulcro, y dijo el Dr. D. Manuel Fortea. Segun da be,dicÍpñ?yVéñdesje en ,1a ljbjerí^ dé las Carretas. .• ucac^oji de Ja juventud; religiosa, ó. escuela en la que se enseña á los religio» sos jóvenes al egercicio santo de las virtudes cristianas, y á cumplir con las obliga ciones de su estado. Segu…</t>
  </si>
  <si>
    <t>…ramo; por el Dr. D..Lorenzo Guardiola y Saenz; tercera edición. Se hallará en la librería de Castillo, frente á S. Felipe el Real. El Pastor bueno: discurso pronunciado por el Dr. D. Manuel Fortea en la par roquia de Alcobendas en 16 de Abril de este año al tiempo de jurar la Constitución de ia Monarquía española el ayuntamiento constitucional de dicha villa. Véndese á 4 rs. en Jas librerías de Paz, frente á las gradas de S. Felipe el Real, y de Rodrí…</t>
  </si>
  <si>
    <t>Fortuny, Manuel de</t>
  </si>
  <si>
    <t>Manuel de Fortuny</t>
  </si>
  <si>
    <t>…junta de gobierno del expresado monte de que por el enun cisco Antonio de Tudo , D. Josef de Ortiz, D. Josef de ciado extinguido Consejo solo se dió conocimiento de la Masdevall, D. Manuel de Fortuny , D. Miguel de Prats y mencionada Real resolución en 24 del mismo Enero último "Villalba, D. Juan de Medinabeitia, fiscal; D. Pedro Gó á ese ministerio, y al inspector general de infantería por lo mez de las Casas, alguacil mayor; D. Jaime Parera, fiscal rela…</t>
  </si>
  <si>
    <t>Fouce, Vargas</t>
  </si>
  <si>
    <t>Vargas Fouce</t>
  </si>
  <si>
    <t>…clase que fueren : aptos ; y si que existe), y cuantas noticias estime conducentes al asan no quisieren-aceptar el destinó, perderán el sueldo que to.” Con este motivo propuso et Sr. Vargas Fouce que gozan. se pidiese también la otra que creia haberse obtenido para it . 1 El Gobierno consignará el pago de eStos 'haberes y erigir en Madrid un obispado. .. , . • .a sueldos sobre la tesorería 'de' ia provincia que mejor le pa * Se leyó por primera vez un…</t>
  </si>
  <si>
    <t>Fournás, Blas de</t>
  </si>
  <si>
    <t>Blas de Fournás</t>
  </si>
  <si>
    <t>…aron en el cuarrel general del Puerto de Santa María á las nueve de la noche del 20, procedentes de la Carraca, los generales conde de Calderón, D. Estanislao Sán chez Salvador, y D. Blas de Fournás. Con igual fecha había dispuesto el general en gefe del egéreito D. Manuel Freíre que el mariscal de campo D. Francisco Ferraz y el brigadier D. Manuel de Jáuregui pasasen á Cádiz á relevar el primero al mariscal de campo D. Josef Ignacio Alvarez Campana, y e…</t>
  </si>
  <si>
    <t>Foy</t>
  </si>
  <si>
    <t>…y de elecciones ; pero en cuanto á* las “razones para la desaprobación discordaron los siete votos, fundándola cinco individuos , á sa ber,, los Sres. Dupont, Camilo Jordán , e,I. general Foy, Daunou y VerneuilPuirazeau,.en que no compete á lá Cámara hacer novedad alguna en la ley de elecciones: los Sres. Royer-Collard y Courvoisier están por la competen cia de ia Cámara; opinando no obstante que no se debe aprobar la reforma propuesta, como perju…</t>
  </si>
  <si>
    <t>Fpntanfelle, Josef</t>
  </si>
  <si>
    <t>Josef Fpntanfelle</t>
  </si>
  <si>
    <t>í i r mcr sorteo de la Real lotería moderna dél mes de Febrero dé este año se egecutaria la tifa de varias alhajas, concedida por S. M. á D. Josef Fpntanfelle, su grabador de Cámara, adjudicando las i7 suertes en que se dividieron á los tenedores de los billetes que con iguales números lograsen los 17 premios ma yores de dicho sorteo. Por ía nueva forma que se ha creído conveniente dar á los sorteos del presente añ…</t>
  </si>
  <si>
    <t>Fr</t>
  </si>
  <si>
    <t>…S. Fernando de Orense la incorpo ración con la universidad de Santiago. El 6 de Setiembre á las 11 y media de la noche falleció á ios 68 años y 4 meses de edad el limo, y RmobSí. D. Fr. Marcos Cabello y Lopsz, del orden de, S. Agustín, obispo de Guadix. Su. conducta egemplar desde la juventud le distinguió entre todos los de su cíase en las diferentes épocas de su vida. Siguió en Córdoba toda su carrera literaria con la mejor opinión, re co…</t>
  </si>
  <si>
    <t>…osto inclusive. El Gobierno na Observaciones del C. Vern..., sobre la apología del altar y politano continuaba en su marcha del nuevo régimen cons del trono, que escribió el limo. Sr. D. Fr. Rafael Velez , obis titucional del modo mas magestuoso, y capaz por un lado po de Ceuta. Se hallará en Madrid en las librerías de Hurtarlo de confundir á Jos que se atrevieran á oponerse á sus bené y de la viuda de Barco López, y en las de las principales ci…</t>
  </si>
  <si>
    <t>…n Viena, dirigida al prínci obra intitulada Apología del altar y del trono, impresape Cimitilo , encargado por la corte de Ñápeles de una mi en esta corre el año de 1818, su autor D. Fr. Rafael Velez, sión extraordinaria cerca del Emperador Alejandro, y en la del orden de capuchinos, obispo de Ceuta ; declarando que que le dice que estando el Emperador su amo unido con sus doctrinas son falsas, erróneas, sediciosas, subversivas de otras pote…</t>
  </si>
  <si>
    <t>…quienes obligaron por último á aban se resuelva al que no concurra. donar su pais; pero no saben dar noticia alguna acerca de Carta de D. Roque Leal al M. R. arzobispo de Valencia D. Fr. Veremundo Arias sobre la representación que ha diri sus predecesores, é ignoran si se les debe atribuir la cons gido este prelado á las Cortes. Es un eficaz antídoto contra la se trucción de las antiguas fortalezas, dos de las cuales se ha ducción que pudier…</t>
  </si>
  <si>
    <t>…en su país, vive debajo de tierra. librerías de Hurtado, Brun y Orea.=Apología de la conducta En 180 3 , cuando volvió por tercera vez á Kamschats- religiosa y política del limo. Sr. D. Fr. Miguel de Santander, fca la expedición rusa á las órdenes de Krusenstern, contó obispo Amizonense: en la librería de Paz.rcEpístola de Cornelia Pntapof, patrón de un barco ruso, haber visto á orillas del Bororquia, escrita desde la capilla del Sto. Oficio de…</t>
  </si>
  <si>
    <t>Fr, Agustín</t>
  </si>
  <si>
    <t>Agustín Fr</t>
  </si>
  <si>
    <t>…ticulares circunstancias y requisitos que expresamente se exi Navarro: para el cíe Manzanares A D. Alfonso Josef de gen para los casos que se voten. Soto: para el de Valdepeñas i D. Agustín Fr ncisco de 5. “ Si las juntas parroquiales para las elecciones de ayun Cuenca ; y para el de Infantes á D. Manuel Antonio Garrido. tamientos pueden dirimir las dudas que se susciten sobre SF.CRETA.RIA DEL CONSEJO DE ESTADO. las calidades de los concurrentes á…</t>
  </si>
  <si>
    <t>Fr, Di</t>
  </si>
  <si>
    <t>Di Fr</t>
  </si>
  <si>
    <t>….. ¡O cuántos bienes ha de Observaciones del C. Berñ..... sobre la Apología del altar y -'.carrear á aquellos remotos paises nuestra benéfica Cons- del trono, escrita por el limo. Sr. Di Fr. .Rafael de Velez, ti tucion 1 obispo de Ceuta bl autor de esta apología se propuso , como SÍ la exposición de los enormes abusos de la administra otros muchos héroes de la pasada época , infamar á la Consti ción civii es poco lisonjera pata los que han gober…</t>
  </si>
  <si>
    <t>Fraiíe</t>
  </si>
  <si>
    <t>…l Gobierno los expedientes A la de Guerra una memoria de D Josef Antonio Oñez y documentos necesarios para la ilustración del Congreso. sobre stobíerno de hospitales militares. £1 Sr. Fraiíe pidió que se tratase solo del punto presente, Se dió cuenta de otra exposición del Gefe político de sin embarazarse con la pesadez del expediente general, que Asturias felicitando á las Cortes, y haciendo algunas obser creta dirigido á la extinción total de l…</t>
  </si>
  <si>
    <t>Fraile</t>
  </si>
  <si>
    <t>…rtes y apertura de ellas, hecha por S. M. ca y tranquila como la pasada , sino sangrienta y horrorosa. en el momento en que jurando solemne, libre v espontánea Luego se levantó el Sr. Fraile, obispo de Sigüenza, di mente la Constitución política de la Monarquía, ha sellado ciendo que conocía que la religión no consiste en las ofren el pacto de1 alianza y de amor con su pueblo, que une y das de trigo , y que no tienen otros derechos inas que la as…</t>
  </si>
  <si>
    <t>…de Hacienda presentó su dictamen sobre la mandado con re4pecto á los religiosos.” solicitud de D. Juan Antonio Obarrio, que yendo en el Algunos señores diputados, uno de ellos el Sr. Fraile, año 1812 á Cádiz, fue apresado por-los argelinos , y perdió no consideraron necesaria esta adición , dando por motivo</t>
  </si>
  <si>
    <t>…e él, si el hospital General de Madrid era propio de la provincia porque lo juzgaba ageno de la atribución de las Corre'. «5 de un pueblo, pues de ningún modo se debia mantener El Sr. Fraile dijo que no se pedia otra cosa al Gohier» dicho establecimiento con las contribuciones, que soio tie no sino que obligase al cumplimiento del pago de las pen nen por objeto el pagar los gastos del Gobierno; por lo que siones á que estaban obligados algunos ob…</t>
  </si>
  <si>
    <t>…de mino en que deberá anunciarse de uuevo en caso de no acu hierro de Guipúzcoa sobre la decadencia de aquellas fabricas. dir postores. Se leyó por primera vez una proposición del Sr. Fraile, Se leyó , y se procedió á la dbcusion de los artículos de dirigida t que se prohíba el abuso introducido en algunos este reglamento; y después de haber dado lugar .1 eUa algu pueblos de pagar cieñas cantidades á los mozos cuando se nos, seaprobaron todos, ex…</t>
  </si>
  <si>
    <t>…rovincia sobre cierta dispensa para recibirse de abo dicación, y el Sr. Martínez de la Rosa, individuo de ¡a co gado D. Josef Alvarez Crespo. mí ion, ampliando las reflexiones del Sr. Fraile. Por ulti A las de Comercio é Industria una exposición de ¡os mo, puesta á votación, no se aprobó por j j votos con maestros carpinteros y ebanistas de Cádiz sobre q ;e se tra -fe. prohiba la introducción de manufacturas de estos ramos, ó Se aprobó otra del S…</t>
  </si>
  <si>
    <t>…tambor, pito, corneta y trompeta tres rs. y 18 mrs. emigrados habian jurado la Constitución para obtener sus 2.0 Se concederá licencia temporal indefinida con me pasaportes , y el Sr. Fraile añadió que esto seria dejar por dio sueldo á rodo oficial efectivo, agregado ó supernume ahora sin efecto las miras que en esta declaración de hoy rario , desde coronel á subteniente inclusive, que la solicite ce habia propuesto el Congreso. Por todo lo cual…</t>
  </si>
  <si>
    <t>El Sr. Fraile, conviniendo en la necesidad de la refor ma, hizo algunas observaciones sobre la verdadera pertenen Sesión extraordinaria del 21 de Setiembre• cia de los bienes de los monasterios que se suprimiesen, y Leí Ja el acta de la extraordinaria anterior, te procedió…</t>
  </si>
  <si>
    <t>…erciban siempre la misma cantidad de réditos nistros de los pueblos, deberían ponerse en el mismo caso, estipulada.” por lo que traería considerables perjuicios, y no seria mas El Sr. Fraile pidió se aclarase cómo podia no resultar ue privilegiar á unos acreedores en perjuicio de otros, re- perjuicio á los capitalistas ni á la Nación disminuyéndose uyendo únicamente esta preferencia en favor de las perso y aumentándose los capitales para que todo…</t>
  </si>
  <si>
    <t>…con la e.eccion de juzgados de pri gados á ellos. Después de lo cual se aprobó el artícelo. mera instancia en S. Sebastian , Tolota y Vergara. - 'Habiendo dicho en la discusión el Sr. Fraile, q te eraba Se leyó el dictamen de la misma comisión sobre la di—' conforme con las ideas de la comisión, pero que deseaba visión de partidos de la provincia de Salamanca, en lo cual1 se expresara que no se prohibía la libre disposición de los Se conformaba c…</t>
  </si>
  <si>
    <t>Fraile, Vicente</t>
  </si>
  <si>
    <t>Vicente Fraile</t>
  </si>
  <si>
    <t>…aprichos, los ambiciosos y exceóvos deseos que D. Antonio Ruiz de Flores, D. Gerónimo Gambo», Doña «tos príncipes mezclan con el uso de la autoridad , lejos de María Antonia Niño, D. Vicente Fraile, D. Francisco de «extenderla, la debilitan. Se hacen menos poderosos cuando Mata, D. Rafael de Pinos, D. Amorfo de Castro, D. An «quieren &lt;er superiores á las leves , y pierden su poderío drés Montalvo , el Sr. duque del Parque, D- Francisco Xa «perdiendo el…</t>
  </si>
  <si>
    <t>Fran</t>
  </si>
  <si>
    <t>…lcaldes, prior y vecinos de Villanueva de la Reina, en la misma diócesi, 440. Núm. 761. Los feligreses de la parro quial deS. Martin de Arjona, en la misma diócesi, 249. Núm. 762. D. Fran cisco Cristóbal Ruiz, cura de Garciez en la misma diócesi, 100. Núm. 763. El Sr. intendente de la provincia de Jaén 300. Núm. 764. Su asesor, fiscal y empleados en la súbdefógacion de rentas en la' ciudad de Jaén 82. Núm. 765. El secretario y dependientes de…</t>
  </si>
  <si>
    <t>…to en la forma que en ella se previene. Los individuos designados para esta Junta son el Reverendo en Cristo Padre Cardenal de Borbon, Arzobispo de Toledo, Presidente; el Teniente general D. Fran cisco Ballesteros j vice-Presídente; el Reverendo Obispo de Valladolid de Mechoacan D. Manuel Abad y Queipo, D. Ma nuel Lardizabal, D. Mateo Valdemoros, D. Vicente Sancho, Coronel de Ingenieros, Conde de Taboada, D. Francisco Gres?o de Tejada, D. Bernardo Tar…</t>
  </si>
  <si>
    <t>…ue debía escoltarme&gt; a fin de que me presentase en esta capital á encargarme del mando: deseoso,del acierto , é ig norando la verdad de estos acontecimientos, me dirigí .al Excmo. Sr. D. Fran cisco Xavier Castaños, como autoridad superior de este principado, á fin, de que me instruyese acerca, de. Jo .que. ..debía, practicar , ^uyo- géfe rne ,tnauii%td</t>
  </si>
  <si>
    <t>…8 del presente mes, ha tenido á bien re solver, de acuerdo con la Junta provisional de gobierno, que todos los indi viduos.comprendidos en las causas formadas al mariscal de campo D. Fran cisco Espoz y Mina, el de igual dase D. Juan Diaz Porlier.fiíel,teniente ge¿neral D. LuisLacy, el comisario de guerra D. Vicente Richard y el maris cal de campo D. Mariano Renovales, las formadas en Valencia en 1817 y 1819 , la de los acontecimientos del egér…</t>
  </si>
  <si>
    <t>…solicitud. pagar. _ Se leyó un oficio del ministerio de la Gobernación de la 9.0 Si el ayuntamiento y diputación provincial conside Península , en que remida una representación de D. Fran ran mas útil y mas ventajoso á los habitantes de la capital cisco de Paula Palacios, vocal de la diputación provincial el pago del encabezamiento por medio de una repartición de Granada, sobre que se le señale una asignación mientras directa, que ha de recaer…</t>
  </si>
  <si>
    <t>…ara su noticia y puntual cum nal , no menos apreciable que la anterior. plimiento.” Y la dirección la ¡nema á V- S. para los pro Rcta. Se advierte á los acreedores á los bienes de D. Fran pios fines. Madrid 14 de Agosto de 1820 cisco y D. Sebastian Nevares de Santoyo, emplazados para ante el juzgado del Sr. D. Josef Martinez Moscoso, juez de primera: tribunales. instancia de esta corte, seguh consta en la gaceta del 16 , que Por los señores ma…</t>
  </si>
  <si>
    <t>…Toledo. lfigenia en Aulis, tragedia en tres actos , refundida del grie Contestación á algunos problemas, por el subteniente del go y del francés, y acomodada al teatro español por D. Fran regimiento de Murcia D. Ramón Belmint y Carinen. cisco de Paula Diaz. Se hallará á 4 rs. en lo. libren, de Perez. MADRID EN LA IMPRENTA NACIONAL.</t>
  </si>
  <si>
    <t>…bligación de mercancías, y satisfacer los gastos que se han originado hasta derecho divino: y respecto á la frase dé que u:aba en ia lá conclusión del pleito, según lo solicita el capitán Fran comparación del matrimonio carnal y espiritual., tampoco cisco Rochen, y usar del derecho que les esrá reservado; creía que mereciese la atención »■ no. habiendo cosa mas tri bajo apercibimiento de lo que haya lugar, si pasado dicho vial y repetida que esta c…</t>
  </si>
  <si>
    <t>…referidas clases ha de Frías, D. Josef Soler del Olmo, D. Pedro Pablo Belyan dejado de percibir ; y enterado por exposición de la tran , D. Isidro Lasauca, D. Domingo de Dueñas , D. Fran junta de gobierno del expresado monte de que por el enun cisco Antonio de Tudo , D. Josef de Ortiz, D. Josef de ciado extinguido Consejo solo se dió conocimiento de la Masdevall, D. Manuel de Fortuny , D. Miguel de Prats y mencionada Real resolución en 24 del…</t>
  </si>
  <si>
    <t>…ntado el emprés coronel D. Fermiu de Mendialdua y Madariaga sobre esta tito bajo el único aspecto que debia. Hizo ver con los do blecimiento de colegios militares, y la segunda de D. Fran cumentos que acompañaban al dictamen que no se habiá cisco Condela y Alarcon, cura párróco de Muñera, sobre omitido medio alguno; pero que por desgracia era cierto educación popular. Ambas fueron recibidas con agrado, que no quedaba otro recurso, y que se tem…</t>
  </si>
  <si>
    <t>…o del Se mandó pasar á la comisión ordinaria de Hacienda egército permanente. una exposición de la junta de subsidios del clero, remitida A la de Infracciones se pasó una queja de Doña Fran por el Sr. secretario del mismo ramo , manifestando las di cisca Pons contra el ayuntamiento de la ciudad de Bar ficultades que experimenta para el cobro del subsidio per celona. teneciente á las comunidades religiosas. A la.de Poderes se pasó el aviso que da…</t>
  </si>
  <si>
    <t>…dos gastos de la pri Las Cortes oyeron con agrado un oficio del mismo se mitiva fuerza y la manutención de esta última, que el pa ñor secretario, en que participaba haberse dado á D. Fran triotismo de los veteranos ha hecho ascender mas de lo que cisco Ximenez de Cisneros, recomendado al Gobierno por se habia calculado. Pasó el asunto á la segunda comisión. las mismas, la administración de rentas estancadas de Mur-rEl ministro de Marina dijo q…</t>
  </si>
  <si>
    <t>…un Monarca absoluto: cíprocos contra incendios, denominada de S. Fernando, á «La ley debe reinar sobre el pueblo, no el Soberano. Vos saber: D. Francisco Mauricio, D. joseí Zubia, D. Fran «solo sois su ministro, su primer depositario. La ley debe cisco Ximenez de Bedoya. D. Vicente Cafuer y C haves, «arreglar el uso de la autoridad, cuando emana de ella ; la Doña Ana Diaz, Doña Matilde Pertuza, D. Joset Benitez, «autoridad no es 3’a un yugo pa…</t>
  </si>
  <si>
    <t>…ciones , y otra jurisdicción, hizo presente su duda al capitán general por la diversidad de puntas de vista. Si se exceptúan dos ó de esta provincia, quien le previno que dijese á D. Fran tres valles que terminan en llanuras hacia el lago de Escúcisco Rodríguez del Manzano que por aquella vez, y no tari, todo lo demas es tierra quebrada, llena de cuestas mas ,* concurriese á este servicio, hasta que S. Al. tuviese muy pendientes, despeñaderos…</t>
  </si>
  <si>
    <t>…te de la lápida de la de los regimientos de infantería núms. i.° y 4-% y del ba- plaza de la Constitución la victorearon con entusiasmo. tallon-de cazadores núm. 5.°; y que el Sr. brigadier Fran cisco de Paula de Aceredo mande la brigada compuesta de ■ Madrid 1$ de Diciembre. los regimientos de infantería núms. xo y 16. = Sepútveda. SS MM. y AA.. continúan sin novedad en sn impor tante salud. NOTICIAS DEL REINO. S. M. ha despachado hoy con el Sr. sec…</t>
  </si>
  <si>
    <t>Francbco</t>
  </si>
  <si>
    <t>…utádó de si deberían ser Torrero, en que después de manifestar las causas quernojletrados los elegidos; la que satisfizo'el Sr. presidente, ma tivaron la exclusión de los Infantes D. Francbco_de"Páulá nifestando que habiéndose de hacer el nombramiento de y Doña María Luisa del derecho á la cotona , pedia q g. ■entre los individuos del Congreso , lós cuales no tenian obli teniendo áhora las Cortes' en consideración los expresados gación de ser letr…</t>
  </si>
  <si>
    <t>Franci</t>
  </si>
  <si>
    <t>…Sesión del jj de Julio. tes á excluir de la sucesión A la corona", por decre’o de 18 Se dió principio leyendo el acta de la sesión anterior. de Marzo de 1812, A los Sres. Infantes D. Franci co de Paula El Sr. Moscoso advirtió que al hacer mérito en ella de no y Doña Alaría Luisa, se revocara aquella disposición, y se haberse admitido á discusión las dos primeras proposicio hicieran las declaraciones convenientes. Esta medida parecía A nes suyas,…</t>
  </si>
  <si>
    <t>FRANCIA</t>
  </si>
  <si>
    <t>…arios del Con los testigos ; pero sin hacer sobre ello una proposición par greso , en lo que empezaba á trabajar con empeño. ticular. Quedaron también enteradas de otro oficio del ministro FRANCIA. de la Gobernación, en que noticiaba el estado del contagio en Mallorca, el que habia disminuido notablemente en SonParts 14 de Julio. serbera, y desaparecido en S. Lorenzo. En Brindis ha abrazado el catolicismo un turco: sus hi El mismo ministro de ¡a Gobern…</t>
  </si>
  <si>
    <t>Francis</t>
  </si>
  <si>
    <t>…mos; y los Sres. D. Jpséf Blanco González, intendente y corregidor de esta ciudad; él marques de Viilafranca de Ebro, I&gt;. Joaquín'Diez de Tejada , D. Pedro Car isa, D. Juan Romeo, D. Francis co Barber, D. Joaquín Gómez , D. Vicente Ibañez de*Aoiz , D. Andrés Ma? rin, el barón de Torrefiel y D. Pedro Vidal, regidores del ayuntamiento de la misma; D. Bernardo Segura y D. Pablo Treviño, diputados del común de ella, y-D¿ Agustín Conde, síndico procur…</t>
  </si>
  <si>
    <t>…IA DEL CONSEJO DE ESTADO.------Vacantes y escándalos la condujesen nuevamente al abismo de males en V¡tramar. de que acababa de liberíar-e. 'Nuestra Sra. de la Paz. Por ascenso de D. Francis ¡ Salud y eterna gloria al pueblo generoso, cuya cordura co García Gutiérrez Escovar al deanato de la catedral de y' virtudes han sabido evitar tamaños escollos; ¡Salud y Nuestra Sra. de la Paz, ha resultado vacante la dignidad de nombre inmortal al virtuoso…</t>
  </si>
  <si>
    <t>…artículo de española en fines de t8o' y principios de 802 , presentado oficio, col. 267, lín. 6?, donde dice: 25 de ytgoito, Jebe ser en un informe dado por el inspector del arma D. Francis 2¡ de Mayo. SUPLEMENTO</t>
  </si>
  <si>
    <t>…ó el dictamen de la co que mostró el Congreso en la sesión del 7 de Setiembre. misión , manifestando que esta no pedia que entrase en la' A la de Premios se pasó una exposición de D. Francis tesorería general el producto total de la renta de correos, co de Bustamante, pidiendo que las Cortes tengan en con sino el residuo que queda e después de pagar los gastos de sideración los méritos que han contraido los que le ayuda la misma renta, tanto los…</t>
  </si>
  <si>
    <t>…erto, cuando sabe- A la segunda de Legislación se pasó una.solicitud remi nnos que Lady Carlota Lindsey volvió á la compañía de la tida por el ministerio de Gracia..y Justicia, de D. Francis ■Reina en Milán después de su largo viage , y que esta se co Roquet, vecino.de Bilbao, pidiendo cart3 de ciudadano. ñora permitió á sus criados tratar con los de la Reina? A la ordinaria de Hacienda se pasó'un roñero del mismo ¿ Cómo era posible todo esto si…</t>
  </si>
  <si>
    <t>Francisca, Cárlos y Pona María</t>
  </si>
  <si>
    <t>Cárlos y Pona María Francisca</t>
  </si>
  <si>
    <t>…M. con egercicio, y primer caballerizo de la RíiNAnuestra Señora; el mar ques de Sta. Gojpma, mayordomo. dé semana de S. M; con' destino ai cierto de, jos Seripos;, $rés. Ipfaims D. Cárlos y Pona María Francisca, y el barón dáCastiel, ogcial de ja primera secretaría de Estado. Éste expuso á S. M- loa sentimientos de ios fieles habitantes de aquella ciudad ; y el Rey nuestro Se ñor sesiivió oir conagrado, estos testimonios de lealtad y respeto. . El domingo 20 del cor…</t>
  </si>
  <si>
    <t>Francisca, María</t>
  </si>
  <si>
    <t>María Francisca</t>
  </si>
  <si>
    <t>…entó en vano arribar por dos veces. sitio de S. Lorenzo con perfecta salud , habiéndose aliviado Se dice que habrá un convite de 63 personas el día en de su fiebre la Sra. Infanta Doña María Francisca. que se bautice S. A. R. el Duque de Burdeos. A la comisión de Legislación se pasó una representación de la diputación provincial de León, acerca de las di;pan NOTICIAS DE ESPAÑA------ULTRAMAR. sas matrimoniales de tercero y enano tjraóo. Al Gobierno se pasó…</t>
  </si>
  <si>
    <t>Francisco</t>
  </si>
  <si>
    <t>…caballerizos y dueños de las caballerías, las enfermedades que padecen los caballos, la anatomía comparada de los mismos, y los aforismos de la medicina y cirugía veterinaria, por’D. Francisco y Don Alonso de Rus García*. cuatro tomos-en-8;° 1819-. tercera impresión. Se 'hallará á 44 rs. en pasta,en lá librería de la viuda Alonso, frente á S. Felipe el Real. EIógio\dé la. Reída Cató Ijca D;qpa Isabel . leído én la última junta pública qué celebró lá acadénsiá de lá Historia…</t>
  </si>
  <si>
    <t>…ho v D^Eugenio A rrieta, D. Ramón Trujillo. Pattido de Fuencarral. D. Isidro López, presbítero. Idem de Getafei D. Crisáuto Josef García Maroto, oura párroco de Idem de Valdemoro, D. Francisco. Herrero y Blanco. Idem de Valdemortilo, D. Juan Orduña y Angel. ■ „ - Dé Chinchón» pD.^ban Bautista Garrasco. j De Navalcarnero.^ 'D’. Ignacio Olarte. De Alcalá. D: Casimiro Verdá. ‘ De Almonacid de Zorita, D. Manuel Anchuelo.</t>
  </si>
  <si>
    <t>…aís llama desde el referido D. Mariano, dejando herederas á sus dos hermanas luego la atención del observador; y su civilización , muy Doña Ines y Doña Teresa, con el hijo de esta D. Francisco adelantada ya bajo diversos aspectos, presenta un espectá Salavert; que habiendo avisado inmediatamente á h.spaña, se culo digno de fijar la consideración mas profunda. les ha informado haber muerto dichos tres herederos, en cuyo Esta es la única sociedad mod…</t>
  </si>
  <si>
    <t>…r mano del secretario D. Vicente Vargas, chapa, ó de pólvora fulminante, dirigida desde Santo Do relativa á un proyecto de aumento de milicias provinciales mingo de la Calzada por D. Francisco llera. para reemplazar la reforma que en aquel año se hizo del Memoria sobre las tropas de seguridad pública, por el egército activo, y á la cual se adiciona ahora un plan de mariscal de campo D. Miguel Haro. egército, que contesta á los 45 poblanas de los 50…</t>
  </si>
  <si>
    <t>…o que de su Real orden comunico -á VV. SS. para su inteligencia y efectos correspondientes. Palacio 2} de Junio de 1820." ANUNCIOS. En atención á los méritos y buenos servicios de Don Francisco de la Guerra y Navarro ha tenido á bien S. M. Se halla vacante la plaza de maestro y maestra de primeras conferirle el empleo de ministro contador de las cajas de letras de la villa de Pezuela de las Torres: su dotación es de Guayana, en las provincias de Ven…</t>
  </si>
  <si>
    <t>…donde esté restringido su comercio. El Sr. Vitorica pidió legítima, entrará A suceder en el trono el citado Sr. Infan que se modificara este artículo, expresando que esto fuese te D. Francisco dé Paula , hermano segundo , y su descen á'juicio de la diputación provincial: después de algunas dencia también legítima : A falta de esta, la Sra. Infanta Do contestaciones entre varios Sres. diputados, dijo el Sr. To ña Qlrlota Joaquina , hermana primera,…</t>
  </si>
  <si>
    <t>…oderes se mandaron pasar los del se de esta muy heroica villa, que conoce de los autos'del concurso ñor Rubin de Celis, primer suplente nombrado por la pro formado á los bienes de D. Francisco y D. Sebastian Nevares vincia de Búrgos. de Santoyo y sus incidencias, y especialmente de los formados Se leyó el dictamen de la comisión de Legislación pre en el año de 1/85 á instancia de D. Josef Ignacio de Arrieta, sentado á las Cortes en la sesión del 11 de este mes sobre sien…</t>
  </si>
  <si>
    <t>…índicos de la quie bra de Lloret y Sobrino de. Zaragoza, radicada en la escriba Continuación délas memorias, proyectos y demas traba nía de provincia que despacha por habilitación D. Francisco jos militares que han llegado á la junta consultiva Montoya, se ha servido convocar á junta general de acreedores del ministerio de la Cr tierra, y que se anuncian al para el domingo iy del corriente, á las 9 en punto de su mapúblico para justa satisfacción d…</t>
  </si>
  <si>
    <t>…tra la seguridad del Estado enseñanza de Cirugía, respecto del nombramiento de di que sean definidos por la ley, y á los artículos 87, 88 y sector del colegio de Madrid á favor de D. Francisco 89 del código penal, oido nuestro consejo, hemos decreta Sánchez. do y decretamos lo que sigue: El Sr. Mqreno Guerra, deseando que se diese un testi ' Art. i.° Se convoca el tribunal de los Pares. Los Pa monio público á Madrid y á la Nación entera del estado'…</t>
  </si>
  <si>
    <t>…suspensión de oficio si fuese por de cuido, v pri de Alb.íres varios arbitrios. vación perpetua de él, sin perjuicio del resarcimiento de da A la de Infracciones una exposición de D. Francisco ños, si fue e por malicia Alvarez de Boadilla, alcalde de Carrion de los Condes, sin Después de apoyarla su autor, manifestó el Sr. Cala-racerándose de una queja dada contra él; y otra del ayunta va que Ja cornijón no tendria inconveniente en admitirla; mient…</t>
  </si>
  <si>
    <t>…de un alcalde mayor de la Co- Asimismo se aprobó otro dictamen de la comisión de ruña , solicitando que los jueces de primera instancia de la Guerra, en visra de la solicitud det coronel D. Francisco misma les continuasen satisfaciendo una pensión asignada Moreno MalJen, para que se declarara servicio relevante el sobre aquella vara por los méritos de su padre, con el, dic de espía. La comisión , conceptuando que el servicio á que tamen del Gobierno para…</t>
  </si>
  <si>
    <t>…Miguel puesto reducido á cerca de 61 millones. Abad , avecindado en el mismo pueblo de Huancayo , y á los El Sr. Ochoa, manifestando que no se presentaban en hijos de sus hermanos D. Francisco , D. Antonio , D. Josef y el dictamen rodos los pormenores de los gastos de recauda t). Nazario Abad, residentes en la Península, para que repre ción y distribución de la Hacienda pública , procuró demos sentando cada familia un heredero, sean cinco partes ig…</t>
  </si>
  <si>
    <t>…l tomar disposiciones aisladas, das en Cádiz y á sus beneméritos representantes: y en y mucho mas en un a'unto de tanta importancia como el providencia de 6 de Setiembre último el Sr. D. Francisco estado actual de los negocios de Ñapóles, el cual exige un Guerrero Tomas, juez interino de primera instancia de la convenio general y un consentimiento unánime éntrelos que ciudad de Murcia, ha mandado se recojan todos los egemhan salido garantes del orden p…</t>
  </si>
  <si>
    <t>…manifestando ha Igualmente se aprobó el de la segunda de Legislación , re ber sido compañeros del desgraciado general Porlier , y co lativo. á que se sentenciase el pleito entre.. D. Francisco de mo tales comprendidos'en su causa,"y pidiendo se les de Herrera y consocios con D. Fernando de Carbia, vecinos clarase dignos de la consideración del Gobierno por los per de Granada , sobre intereses, por una junta de letrados, juicios sufridos á causa de…</t>
  </si>
  <si>
    <t>…xposición del Se recibió con aprecio, y se mandó) pacar á la comisión colegio nacional de S. Carlos de esta corte, léase, después: mani de Beneficencia una memoria fi'antrópica de D. Francisco festando no ser necesario el tribunal supremo de Salud pública, González barro, presentada por el Sr. Ruiz Padrón, sobre antes bien perjudicial y estar derogadas sus principales atri buciones por la Constitución.diferenci.: en re los pobres y los verdaderamen…</t>
  </si>
  <si>
    <t>…iosos y exceóvos deseos que D. Antonio Ruiz de Flores, D. Gerónimo Gambo», Doña «tos príncipes mezclan con el uso de la autoridad , lejos de María Antonia Niño, D. Vicente Fraile, D. Francisco de «extenderla, la debilitan. Se hacen menos poderosos cuando Mata, D. Rafael de Pinos, D. Amorfo de Castro, D. An «quieren &lt;er superiores á las leves , y pierden su poderío drés Montalvo , el Sr. duque del Parque, D- Francisco Xa «perdiendo el amor de ‘lis s…</t>
  </si>
  <si>
    <t>Francisco'Bu'ch-Vert</t>
  </si>
  <si>
    <t>de! expediente seguido por D. Francisco'Bu'ch-Vert y Don El Sr. Cavaleri creyó sería útil permitir que los posee M iximo Elias sobre tus persecucio. es y ganos de tes can dores de viiaücios capitalizaren sus intereses como lo-' emplea sas. La comisión era de parecer que te lo- recomendase al do, cesantes, y q e pudiesen…</t>
  </si>
  <si>
    <t>Francisco'Cantero</t>
  </si>
  <si>
    <t>…Andrés Crespo CantoIIa de la de León; á D. Guillermo Montis de la de las islas Baleares; á D. Mi guel Escudero de la de Navarra; á D. Bernardo de. los Ríos de la de Palen— cía; á D. Francisco'Cantero de la de Salaipanca; á D. Josef Qúeipo de la de Segovia ; á D. Josef María Puente de la de Soria; á D. Antonio Leonardo de Letona de la de Vizcaya» y á D. Josef Pintón y Lorenzana de la de Za mora. Asimismo ha venido S. M.ven nombrar gefes políticos interinos…</t>
  </si>
  <si>
    <t>Francisco, D</t>
  </si>
  <si>
    <t>D Francisco</t>
  </si>
  <si>
    <t>…Venecia, sedientas ambas recer del tribunal especial de Guerra y Marina, acerca de de riquezas. Las dos colonias italianas se disputan pues el la causa de puriticaeíi n formada al coronel D Francisco de tridente del mar Negro. El enemigo común de ambas (es Quesada y. Silva, conde del Dor.adio , sobre su conducta decir, tos tártaros) es llamado á intervenir en esta con mientras permaneció en la provincia de Jaén , ocupada por tienda : las dos potencias se…</t>
  </si>
  <si>
    <t>Francisco, Juan Josef</t>
  </si>
  <si>
    <t>Juan Josef Francisco</t>
  </si>
  <si>
    <t>…evilla en la de Hidalgo; en Cádiz en la de Zarago Otro con su casa y 230 fanegas de tierra de secano, en za; en Granada en la de Gabaldon ; en Cartagena en Ja de el pago anterior. D. Juan Josef Francisco; en Murcia en la de Benedicto ; en Bur Otro con su casa y 2 2 2 fanegas de tierra de secano, ea gos en la de Villanueva; en Salamanca en la de Blanco, y en el pago de Macian. León en la de Candanedo. Siete suertes de tierra de secano, compuestas todas de Teso…</t>
  </si>
  <si>
    <t>FranciseóG'órbea</t>
  </si>
  <si>
    <t>…egladas, y cuyo remate se ha de celébilÚUbtit en éliaelr'ait'6*116*1-—-iAbrilpróximóI fiS "r i ii oí. :. ■ 7 l1;; \&gt; \c ,cz 2 de su mañana. ' ^ , En 9 de Febrero últimócscríbíérbn D. FranciseóG'órbea ysobrínos á IX Pedro Pablo de Urquidi, de Válladolid, remitiéndole dos recibí» de intereses de vales dé léales. 1083, num. 46^4 , y 541 con ty, nurrn 950Ó, y una acción del Banco nációnal de S. Carlos de 2© rs. vn., su número 123337, cuyos documentas-íe baUan…</t>
  </si>
  <si>
    <t>Franco, Benito de XJrrutia y</t>
  </si>
  <si>
    <t>Benito de XJrrutia y Franco</t>
  </si>
  <si>
    <t>…D. Mariano Navarro "y Avellañ, D. Juan Basco y Sarria; Den Ramón Nuñez de Haro, D. Josef Rulz del Burgo y Basabrú, D. Benito Osma y Osma, y el soldado distinguido de la misma arma D. Benito de XJrrutia y Franco, que han concluido el curso general de estudios, ha tenido á bien promoverlos á subtenientes efectivos de dicho cuerpo, aunque con solo el suel do que en la actualidad disfrutan hasta que sean colocados en subtenencias de número. En consideración á los distin…</t>
  </si>
  <si>
    <t>Franctsco, P.</t>
  </si>
  <si>
    <t>P. Franctsco</t>
  </si>
  <si>
    <t>…er por el Rey en todas las escuelas desús dominios , se hallarán en; la librería de Ranz, calle de da Cruz, i . 16 rs.' en pasta el primero y el segundó á 6.. * Retrato del Sermo. Sr. P. Franctsco de,Paula, Infanté de España, dibujado por Luis de la Cruz, y grabadopor un buen profesor, se hallará en el almacén de» es tampas de la calla del Gato , y en las librcrias.de Goveo y Gómez, calle de las Carretas, á 3 rs. en negro y 6 iluminados. EN LÁ IMPRENTA…</t>
  </si>
  <si>
    <t>Fraquemont</t>
  </si>
  <si>
    <t>…nombrado embajador de nuestra corte, en Madrid. El Principe; de Kauríiiz. se está;disponiendo para volver á Roma en clase de embajador. ' WURTEMBERG. ^ Stuttgardt ? de Febrero. El general Fraquemont, ministró de la Guerra, ha presentado a íá segun da Cámara, para sostener el proyecto de ley que le propuso relativo á los re emplazos anuales del egército-, un informé sobre el estado miliitar del reino, sumamente curioso , como que en él se desenvuelve en p…</t>
  </si>
  <si>
    <t>Fráyle</t>
  </si>
  <si>
    <t>…nguez. ^Eí-Congreso decretó también lirt censo .general de la po COMISION ECLESIASTICA. blación, sin que se eximan mas que los indios no contri Los Sres. limo. Sr. CastriÜo, limo. Sr. Fráyle, Sres. buyentes.-Creemos que pasará nuestra población de 10 mi Villanueva , Cantero, San Miguel , Muñoz Torrero, Ramos llones de individuo^, y. «jue en su consecuencia se aumen García, Bernabeu , Couto. tará el número de representantes en el Congreso. COMISIO…</t>
  </si>
  <si>
    <t>Fréderic</t>
  </si>
  <si>
    <t>…nteramente restablecida.. . V ■ La Cámara levantó la sesión. CORTES» FRANCIA. Sesión de! »j de Julio.' París, g de Julio. Se leyó el acta de la anterior, y á continuación el vo El caballero Fréderic d"AdseIung, conscjerode Estado to particular, de los -Sres» Arnedo, Gaseo, González ATIén-</t>
  </si>
  <si>
    <t>Freemantle</t>
  </si>
  <si>
    <t>…de tomará el pabellón del almirante sir Graham Moore (hermano del general ingles del mismo apellido, que pereció en el campo de batalla en Galicia), el cual reemplazará al difunto almirante Freemantle en el mando de las fuerza» navales, británicas en el Mediterráneo. De algunos días á esta parte son bastante satisfactorias las noticias sobre</t>
  </si>
  <si>
    <t>Frei</t>
  </si>
  <si>
    <t>…iero se les hnga la indi a en España: la Constitución de las Cortes. El general cación correspondiente, que darán en esta ocasión pruebas Ferversham, puesto en observación como el general Frei especiales de su beneficencia para el pronto alivio de sus ré, reducia sus operaciones militares á manilestar su in hermanos, á imitación de lo que con mucha satisfacción mía acción forzada y la diaria deserción de sus tropas. El joven y alabanza general ha e…</t>
  </si>
  <si>
    <t>Freí</t>
  </si>
  <si>
    <t>…cción de novelas que publica Don El Sr. Calatrava dijo serie muy sensible que fuera la co Mariano de Cabrerizo, en Valencia, acudirán á recoger dos misión tan desgraciada, pues el Sr. Freí re la tachaba de in entregas, que contienen : Reinaldo y Elina, ó la anécdota pe fractora de la Constitución , y lo mismo el Sr. Cañedo. Que ruana; Zulinda y Zorbelyó las costumbres de Suecia; las pa se debía evitar el que bajo el nombre de detenido entrase s…</t>
  </si>
  <si>
    <t>…timos tiempos, y que tan perjudiciales son á'la del artículo adicional del Sr. Fondeviía , relativo todo á la juventud. amnistía de disidentes de América, que se le habían pasa El Sr. Freí re apoyó al Sr. Calatrava, suponiendo no ser do en 18 de este mes, presentaba el decreto redactado con conveniente hacer el ensayo del establecimiento de jueces de arreglo á las mismas adiciones, y opinaba en vista de ellas hecho en la calificación de los esc…</t>
  </si>
  <si>
    <t>…el médico de la ciudad de-Gan- mente la seda en rama, el cáñamo y e! lino.” día D. Mariano Pesit, presentada por el Sí. Traver, en la Tampoco se admitieron las siguientes: una del Sr. Frei que patentiza los trabajos que sufrió en la priuon.de la Tor ré, dirigida á que se permitiese la introducción de manu re de la puerta de Cuadre, en Valencia , por 1a implicación, facturas extranjeras en América; v otra del Sr. Echevarría, en el sacudimiento d…</t>
  </si>
  <si>
    <t>Freí, O. Manuel</t>
  </si>
  <si>
    <t>O. Manuel Freí</t>
  </si>
  <si>
    <t>…ades entre las tropas. CADtz y seviwua, . ; El dia io de, este mes, recibió en Sevilla el Excmo* Sr. t&gt;. Juan de O^Donoju, gobernador militar de dicha ciudad, un oficio del Excmo. Sr. O. Manuel Freí re, capitán general de la provincia y general en gefe del egército, con fe cha de Cádiz el dia 9, participándole, para que lo comunicara^ á, las auto ridades civiles y militares de la provincia, que el vecindario de la plaza de Cádiz y los gefes militares que…</t>
  </si>
  <si>
    <t>Freicinet</t>
  </si>
  <si>
    <t>…consejo áulico y la de los Soberanos reunidos en sin duda ver á esre personage apoyar un ministerio , ó me Troppau. didas hostiles contra una muger que él mismo ha declarado __ El capitán Freicinet ha desembarcado en el Havre la se ser el ornamento de la sociedad. mana próxima pasada, trayendo consigo todos los instru — Según cartas recibidas de Norfolk, quedan prohibidos en mentos y diarios de su viage, igualmente que un gran nú Sta. Lucía desde el 21…</t>
  </si>
  <si>
    <t>Fréire</t>
  </si>
  <si>
    <t>…quirieron, y las que se recibieron por otra parte, es taban contextes en que solo se esperaba la noche para romper los diques de la obediencia, y poner la ciudad en convulsión. El general Fréire y yo con nues tros ayudantes y otras personas paseamos juntos por la plaza d® $• Antonio,) donde la inquietud de las gentes daba Indicios bastantes de la disposición de los espíritus : sin embargo, nada se determinó, retirándonos á comer á núes* tra casa. No…</t>
  </si>
  <si>
    <t>Freire</t>
  </si>
  <si>
    <t>…nvitar al pueblo reunido á que esperasen tranquilos noticias cier tas de lo que pasaba en lo interior del reino y ordenes de la superioridad: en* el momento que empezó á hablar el general Freire, fue interrumpido cdn una' aclamación espantosa y unánime de viva la Constitución, repitiéndose las voces con exaltación y júbilo, que eñ el instante fue acompañado de repique de campanas de la parroquia de la misma plaza. Fue necesario ceder al tor rente , y…</t>
  </si>
  <si>
    <t>mo£parados; asegurándose al mismo tiempo de que los habitantes, de:&lt;Jááiz permanecerán uñidos más indisolublemente que nunca al justo Gbhiérno de S. M. ,,El Sr. general Freire ha salido está madrugada para Utrera á reunirse con la división que mandaba el general'O-DonelI, y con lá que manda el ge neral Cruz, con el objeto de saber qué íin ha conducido ál conde del Abisbaí á Córdoba, donde dicen se hallaba dos dias ha con algunas tr…</t>
  </si>
  <si>
    <t>…o que su conducta en estas circunstancias Via merecido su Real-agrado y aprobación. Lo que traslado a y. E. para que tenga da bondad.de elevarlo al conocimiento del Rey/1 El mismo general Freire en 26 del referido mes remite el parte siguiente*' ■ „ El Exento. Sr. D.fJuan O-Donójú, en papel fecha de ayer desde Sevi lla ? me dice ¡que en todo el día de mañana llegará á este destino con e! obje to de encargarse formalmente del mando del egército y prov…</t>
  </si>
  <si>
    <t>Freiré</t>
  </si>
  <si>
    <t>…uyo abuso pedia se ciri;.' y militares, la milicia nacional de caballería y toda siástica. ia tropa de la guarnición ; se concluyó á las 2 de la tarde; Se leyó una reclamación del Sr. Freiré, en que pedia se</t>
  </si>
  <si>
    <t>…se declare la renta que con arreglo al artículo 92 te requiera tener para ser elegido diputado de Cortes. En la ciudad de Betanzos se establece una cátedra de gramá Otras dos del Sr. Freire, una para que no se pasen á tica latina con ia dotación de 400 ducados, satisfechos del fon comisiones sino los asuntos que por su mayor graveaad ño do de propios, y 3°o ducados mas de renta, que por fundaciónpuedan despacharse desde luego; y otra para que no…</t>
  </si>
  <si>
    <t>…ación, sin preceder censura de la junta, la Regencia del Reino en el citado decreto, quedó aprobado. por los manifiestos que habia publicado relativos á lo ocurri Se leyó otra del Sr. Freire, dirigida á que no se pasa do en el cuartel de su cuerpo la noche del 8 al 9 del cor ran á las comisiones sino los asuntos que por su gravedad riente; y que declarada que fuese la infracción se le forme no pudieran resolverse en el acto: que no se abriera nin…</t>
  </si>
  <si>
    <t>…granos que estuviesen fondeados en los puertos de 1.a Penín ticia para los efectos correspondientes. Habiendo impugna sula y adyacentes al tiempo de recibirse esta determina do el Sr. Freire el dictamen de la comisión, justificó este el ción; que fuesen excluidas de ella las islas Baleares durante Sr. Calatrava . demostrando las razones en que se había fun su actual penosa situación. El Sr. Moreno Guerra , indivi dado aque’la , y quedó aprobado.…</t>
  </si>
  <si>
    <t>…. general en que haya la mayor armonía posible en todas El Sr. Ezpeleta se opuso A lo expuesto por el Sr. Ban- ellas. queri, porque reduciendo el asunto á expediente seria eter El Sr. Freire apoyó este parecer ampliándolo, con hacer no , y haciendo ver que la abundancia de granos era notoria, ver que aun aquellos autores de economía política , q _e sien y que habia dos cosechas estancadas en la provincia de León, tan por base la libertad absoluta…</t>
  </si>
  <si>
    <t>…on el debido acierto.” dos marítimos por los que se habia de regular el precio , y Leyó después el Sr. Quiroga un proyecto de reglamento que esto lo debía egecutar el Gobierno. El Sr. Freire opi provisional para la milicia nacional, presentado por la co nó que en la palabra granos debía entenderse trigo , y que misión respectiva, el cual después de algunas reflexiones de bajo este supuesto habia girado la cuestión cuando se presen varios señores…</t>
  </si>
  <si>
    <t>…o procedido las Cortes A la renovación de su en ¡2Ual eia-.e ó caso con impedimento oculto otra se re presidente, vice-presidentc, y del mas antiguo de sus secre probo también del Sr. Freire: «que se exprese que se excep tarios D. Diego Clemencin, han sido nombrados para pre túan de la milicia nacional los abogados.” sidente el Sr. D. Ramón Giraldo, diputado por la provin Se aprobaron la siguiente adición del Sr. Villanueva: «que cia de la Mancha…</t>
  </si>
  <si>
    <t>…proponga sus ideas la diputación. separado, sin omitir el lugar donde deban custodiarse. , A la de Poderes el del suplente de Asturias que debe No se admitió á discusión otra del Sr. Freire, que de entrar en lugar del Sr. obispo de Mechoacan. cía «que se añada al artículo 1 2 , que las fatigas que hacen Se dio cuenta del dictamen de ¡a comisión de Instruc los voluntarios se repartan con igualdad entre los demás in ción pública acerca de la solic…</t>
  </si>
  <si>
    <t>Freíre</t>
  </si>
  <si>
    <t>…comandante de Marina en aquella isla que tuviere la insubordinación y” pero no se admitió á dis al ministerio de este ramo, que el 15 del citado Mayo se cusión esta indicación del Sr. Freíre: »Pido que la comi juró allí la Constitución con el mayor júbilo y entusiasmo sión minore !a pena que ha propuesto.” de todos sus habitantes. Se fueron aprobando sin discusión todos los artículos re&gt;.rentes de este capítulo, y se pasó a! vil, que trata del un…</t>
  </si>
  <si>
    <t>…on la mayor rigido á S. M. el Rey una carra, yá pocas horas tuvo con brevedad vposible-la precisa información sumaria." testación; pero se ignoraba su contenido. Los periódicos El Sr. Freire dijo que no nos hallábamos en el caso en •que la Constitución da la facultad de suspender algunos de franceses indican 3ra el nombre de los regimientos y generales sus artículos, y que esto-en todo caso seria con respecto á austríacos que han de ir á Italia:…</t>
  </si>
  <si>
    <t>…formado y constituido el Parlamento , que dará principio del Sr. Navarro (D. Feipe) contra los cuatro artículos, y á sus sesiones el dia t.° de Octubre, conforme á los artícu del Sr. Freire, contrario al tercero. los 114, n 5, 117, 118,119, 120, 121, 122 y 123 de Se mandaron archivar los ejemplares correspondientes la Constitución. remitidos por el ministerio de la Guerra del decreto de S. M., Art. 9.0 «Por otro decreto se señalará un local para…</t>
  </si>
  <si>
    <t>…dejando lo demas tal como se halla deliberación del Congreso el orden otte hn'fi.-i creido mas na en la ordenanza. tural, esto es, desvanecer en el primero la? calumnias imputa El Sr. Freiré exclamó , que no quisiera ¿1 que se dijese das á la Constitución, atacar el mal en su origen en el segun que se había ocupado el Congreso en la formación de una</t>
  </si>
  <si>
    <t>…ara justa satisfacción de sus autores. vísta de fas demas noticias é informes remitidos por el Go bierno, han acordado, que siendo justo que dichos hospita Memoria dirigida pOT el general Freiré sobre la consti les no padezcan menoscabo por los derechos que adeudan tución y organización del egército , con observaciones so en las puertas los géneros ae su consumo, y no siendo bre puntos de constitución militar. compatible por otra parte con la Constit…</t>
  </si>
  <si>
    <t>…o, vidado la comisión que ésta obligación no podía extenderse prisión y arresto de los delincuentes.” á los casos de una imposibilidad física ó moral. El tercer artículo decía: El Sr. Freiré se opuso á que se aprobara el artículo, di 3.0 Toda persona , de cualquiera clase, fuero y condición ciendo que se oponia al ya citado de la Constitución ; y que sea, cuando tenga que declarar como testigo en un3 añadió que La obligación que se impone á los e…</t>
  </si>
  <si>
    <t>…orificios; y opinó'gue debía pasarse á la.comisión con ur- _ Se mandó pasar A la comisión correspondiente una adi gencia y con recomendación , para que teniendo presentes ción def Sr. Freire, dirigida’ á aclarar la última'parte del alguna*- ideas manifestadas, propusiese limitaciones en extre artículo 17 del proyecto aprobado ayer sobre el exterminio mo liberales. ’ ‘ ’■*' 1 - ■ de los.- malhechores. El Sr. Calatrava expresó que los verdaderos li…</t>
  </si>
  <si>
    <t>…ho exhíban las órdenes y resoluciones que hayan Acuña, y que iba á hacer otra para que los secretarlos del dado sobre el particular." Despacho diesen cuenta de sus operaciones. El Sr. Freire apoyó esta indicación; pero el Sr. CaEl Sr. Vitorica dijo que no solo debia tenerse una ab latrava se opuso á ella , porque dijo ser la misma que el soluta confianza en que seria sostenida la representación na Congreso habia desechado con diferencia de palabr…</t>
  </si>
  <si>
    <t>…5 reales de gratificación al malhechores ( sesión del 5), que esta presentaba reformado mes á los fusileros; 20. reales á los granaderos y cazadores, en vista de la indicación del Sr. Freiré, en estos términos: y 2; á los de caballería y artillería. en las segundas y terceras instancias de causas criminales Se leyó una indicación del Sr. presidente para que la no concederán nunca nuevo término de prueba sinc&gt; sobte qomhíon determine el premio- pa…</t>
  </si>
  <si>
    <t>…y absolutos, y nunca habia habido ni nobleza ni cutido el asunto por 77 votos contra j8 , por lo q;.e tomó mayorazgos; por lo que aprobaba en todas sus partes el ar la palabra el Sr. Freire. tículo i.°, sin temer que el Gobierno pudiese negarle la Creyó que para el objetó que el Congreso se propone sanción, pues entonces las Corte- le negarían los subsidios, en esta medida ■ bastaría privar que en adelante &lt;e funden como que no puede haber contr…</t>
  </si>
  <si>
    <t>…s de banco, créditos contra el Estado, ó cua nes vinculados hayan pasado á la clme de libres. lesquiera otros derechos diferentes de los bienes raices, y Después de haber hecho el Sr. Freiré la observación, que que no impidan la libre circulación de estos no se haga no en seguida apoyó el Sr. Banqueri , de que se tendia un lazo vedad por ahora, y subsistan las fundaciones respectivas á los compradores de estos bienes, porque hnbriande perder con…</t>
  </si>
  <si>
    <t>…e Los Sres. Oiiver, Isturiz y Florez Estrada, individuos ducidas á 13 las 16 columnas ó nominillas que contiene el de las comisiones reunidas de Comercio y Hacienda, y el modelo.” Sr. Freire, hicieron ver la justicia y la política con que se Se levantó la sesión. habia procedido cu señalar una misma base para toda la Monarquía, no pudiendo ademas separarse de esta unidad Sesión ordinaria del // de Setiembre. prescrita por la Constitución; y que s…</t>
  </si>
  <si>
    <t>…llamarse al segundo suplente; y Se leyó el acta de la ordinaria de ayer, á la que se otro en que proponía la aprobación de los poderes de Don mandó agregar el voto particular del Sr. Freire, contrario Juan de La Madrid, diputado suplente por Burgos. á la resolución de los artículos 11 y 18 del proyecto de ley Se mandó pasar á las comisiones de Comercio y Legis sobre aranceles, acordada en la sesión de anoche. lación la siguiente proposición del…</t>
  </si>
  <si>
    <t>…uencia legítima del anterior, opinó que debia apro que ésten en sus facultades, la secularización de todos los barse. regulares que la soliciten, impidiendo toda vejación ó vio El Sr. Freire juzgó que seria acaso dañosa esta disposi lencia de parta de sus superiores; y promoverá el que se les ción en América, en donde por las diferentes circunstan habilite para obtener prebendas y curatos." cias en que se hallaban los regulares, podría tener tras…</t>
  </si>
  <si>
    <t>…la falta de presentación ae los demandados............ ^4! No se admitieron á discusión las tres siguientes. Id. de menor cuantía no contestados............ 4^ *42 Una adición del Sr. Freire al art. 48 *. «No podrá de Id. de matrimonios no conformes é injurias { clararse que ha lugar á la formación de causa sino cuando *0 remitidas............................................... ........... .... i6j los jueces de hecho esten persuadidos plenamente…</t>
  </si>
  <si>
    <t>…” lo , modificado con las expresiones del art. 366 de la Consti No se admitió á discusión la indicación siguiente del tución j es decir: «un catecismo de la religión católica, que Sr. Freire: comprenderá también una breve exposición de las obligad ti «Pido que también se tengan presentes para calificarlos ñes civiles.” de públicos ó privados algunos establecimientos literarios; Se aprobó el g.°, que decia: como el colegio de S. Cárlos de Lima , q…</t>
  </si>
  <si>
    <t>…ra de lengua cas mo sucedía con othis ciencias ; pof lo cuál, se habían puesto tellana.” . ", ■ .. i .. v. muchas unidas.en "atención á la economía , ;y ;á que solo se Ni esta del Sr. Freire: «Que la comisión fije el orden •habían de dar en las universidades de provincia: upos: de en qué.hayan de estudiarse estos ramos,-, pues unas ciencias ntemos de cada ciencia. flo..pueden aprenderse bien sino después de otras.” El Sr. conde:de’Toreno manifest…</t>
  </si>
  <si>
    <t>…udadano acerca del modo de extinguir la deuda El Sr. conde de Toreno creyó que debia adoptarse un nacional: se mandó pasar á la comisión de Hacienda. medio entre lo que deseaba el Sr. Freiré y la extensión que Al Gobierno se pasó una exposición de ocho concejos la comisión proponía , sin embargo de que conocia la difi de Asturias, pidiendo se estableciese en uno de ellos un cultad de dar leyes justas en un punto en que estaban en juzgado de prime…</t>
  </si>
  <si>
    <t>…a del departamento de Cartagena. tario al joven D. Leonardo Idiaquez , ndrural de Vitoria. A la comisión de Hdcienda se pasó una exposición de Se mandó agregar al acta el voto.del Sr. Freiré, con D. Anseln\o Rivas, ex-conse¡ero de Estado, sobre la duda trario á lo resuelto sobre aranceles. ocurrida en la tesorería general acerca de si ha de disfrutar Asimismo se mandó agregar el de los Sres. Gollin y la pensión que le concedió S. Al., ó - el suel…</t>
  </si>
  <si>
    <t>Freire, Ma-nuel</t>
  </si>
  <si>
    <t>Ma-nuel Freire</t>
  </si>
  <si>
    <t>…sta plaza estaba decidida á la subver sión, y habia pocos datos para dudar de esta verdad. En momentos tan crí ticos llegó á mi casa morada el general en géfe del egército reunido D. Ma-nuel Freire, que con iguales noticias que las que yo tenia venia con ánimo de desvanecer con su presencia los males que se temían: se impuso de mi deter minación cón respecto á lá escuadra , pareciéndolé bien; y queriendo obser var la misma conducta de contemporizar , si…</t>
  </si>
  <si>
    <t>Freiré, Manuel</t>
  </si>
  <si>
    <t>Manuel Freiré</t>
  </si>
  <si>
    <t>…y extraordinarias de 1812, autorizando el acto los Exemps. Sres. D. Juan Ma ría de Villavicencio, general en gefe de la escuadra; el del egército y capitán general de la provincia D. Manuel Freiré y demás autoridades, y mandando cesar las hostilidades entre las tropas de S. M. y las que se hallaban en la Isla, de León. A consecuencia dé estos avisos, y de haberse extendido la voz de todo lo ocurrido, acordó la Junta de gobierno de Sevilla entre otras p…</t>
  </si>
  <si>
    <t>Freire, Manuel</t>
  </si>
  <si>
    <t>Manuel Freire</t>
  </si>
  <si>
    <t>…aoiseJuan' Viílávicencio. =;Sr¿; D.-Diegó.•Butrón.” . y ,!*(,. V --V .•:-!r?:or¡ ¡.:o . r. P. D; . Acabado de firrtiar este;¿nfja iiverme;;el generjd^en géfe del égército: reunido D. Manuel Freire: hemos acordado celebrar una junta, y de sus fe- * •sultas pasaré acaso á la escuadra. . r ' v , En la misma fecha, se traslado’al comandante;de la cortadura el .oficio; antecedente; añadiéndole lo siguiente: ,,Y lo traslado!» V.S. para-suinteli-i gencia: y .…</t>
  </si>
  <si>
    <t>Fréire, Manuel</t>
  </si>
  <si>
    <t>Manuel Fréire</t>
  </si>
  <si>
    <t>…rido en la referida ciudad con el expres^o motivo. Lo participo á V. E.de Real orden para su .puntual cumplimiento. Dios guarde á V. E. muchos años. Madrid 15 de Marzo de 1820. =Á D. Manuel Fréire.” , ' _ ,( 2.0 . j, El Rey se ha.enterado del oficio de V. E..,de 14 del corriente ,,en que manifestando sus rezéíos de qúeeseegérciro de su mando carezca de la necesaria subsistencia en el próximo mes de Abril, propoqe se retiren á su$ respectivas, capitales…</t>
  </si>
  <si>
    <t>Freíre, Manuel</t>
  </si>
  <si>
    <t>Manuel Freíre</t>
  </si>
  <si>
    <t>…procedentes de la Carraca, los generales conde de Calderón, D. Estanislao Sán chez Salvador, y D. Blas de Fournás. Con igual fecha había dispuesto el general en gefe del egéreito D. Manuel Freíre que el mariscal de campo D. Francisco Ferraz y el brigadier D. Manuel de Jáuregui pasasen á Cádiz á relevar el primero al mariscal de campo D. Josef Ignacio Alvarez Campana, y el segundo al brigadier D. Alonso Rodríguez V aldes. EN LA IMPRENTA NACIONAL.</t>
  </si>
  <si>
    <t>…lo y conocimientos le dicten sobre las mejoras que crea mas convenientes. Lo comunico á V. de Real orden para su inteligencia y cum plimiento en la parte que le toca.” El teniente general D. Manuel Freire, en oficio de 23 del corriente desde el Puerto de Santa María, avisa que en cumplimiento de la Real orden del 20, que acababa de recibir, esperaba la llegada del teniente general D. JuanO-Donojú para entregarle el mando. •» ' _ . El Sr. conde de Ezpelefa, con…</t>
  </si>
  <si>
    <t>El teniente ger&gt;eraí D. Manuel Freire ha dirigido ah ministerio de la Guerja en 25 de Marzo ultimo el oficio siguiente: , Ei general gobernador militar interino de la plaza de Cádiz en oficio de fooy me dice lo^que sigue: ,,Excmo. Sr.: Tuve el honor de manifestar á V. E. el orden y entusiasmo con…</t>
  </si>
  <si>
    <t>Freiré, Mfnuel</t>
  </si>
  <si>
    <t>Mfnuel Freiré</t>
  </si>
  <si>
    <t>…&gt;ericiá y cumplimiento; reiUitréndomé en lo démas dél referido oficio de V. E. á 16 qiíe le tengo advertido en;mis oficios de fyer y antes dé ayer. Dios 8¿c. Marzo 18 de 1820. = A D. Mfnuel Freiré.*** -tea a.aquel punfp; que.es cuanto,por hoy puedo decir á V. E. 9 de Marzo de 182#. =r IíxExcmo. Sr. ministro de la</t>
  </si>
  <si>
    <t>Freive</t>
  </si>
  <si>
    <t>…sobre puntos de aranceles. tes , y se aprobaron'las dos ert que se disidió, no admitién Se leyó un. oficio del Sr. secretario de Hacienda con las dose á discusión la siguiente del Sr. Freive: «Pido que el listas que acompañaba de ias pendones, paga, y sobresueldos plazo señalado se extienda á un mes tnas.” que se gozaban por la imprenta nacional y por la renta de Se leyó el siguiente dictamen de las comisiones reunidas loterías. Después de alguna…</t>
  </si>
  <si>
    <t>Frerre</t>
  </si>
  <si>
    <t>…á las mugeres en la recolección de algunos halla en Ja bajada de Sta. Cruz, frente del almacén de las agujas. frutos. Las labores de ¡os montenegrinos no son muy peno Apología del general Frerre: un cuaderno en. 8.a Se halla sas: tienen pocas mi eses; y como su principal sustento con rá en la librería de la viuda de Barco López. siste en la carne de sus ganados, se contentan con tener Tercera advertencia reverente á S. M. y á las Cortes so bien provi…</t>
  </si>
  <si>
    <t>Freycinet</t>
  </si>
  <si>
    <t>…lde Ali-Bajá, y destruirlo;. habiendo tomado esta resolu dres , dicen que la fragata francesa la Urania, al mando ción en-virtud de órdenes-qüe lá Sublime Puerta le había re-’ dél capitán Freycinet, había llegado á PoVt-Jackson, prin mitido. Para facilitar su empresa militar se le han enviado á cipal puerto de aq-ella colonia ingle a, en Diciembre de 1819. Duvnzzd varios barcos careados' dé víveres y provisiones mi- Parece que ha tenido un viase feliz;…</t>
  </si>
  <si>
    <t>Friego</t>
  </si>
  <si>
    <t>…la cual participaba á las Cortes hallarse aquella isla libre gaban á pagarle los derechos territoriales y solariegos. de la epidemia, y que para atender á las grandes necesida El Sr. Friego, individuo de la comisión especial de Ar des actuales se había visto obligada á cargar un i por roo reglo de cárceles , leyó el proyecto de ley sobre este objeto, á los tres ramos de agricultura, industria y comercio; y á consecuencia de la memoria y modelo q…</t>
  </si>
  <si>
    <t>Frigola, Mariano</t>
  </si>
  <si>
    <t>Mariano Frigola</t>
  </si>
  <si>
    <t>sanos discípulos de la Real aeadeínia de' S. Carlos * uno en la sala de flores y ornatos,y otro en la de principios y clase de cabezas; y á D. Mariano Frigola, de edad de 11 años¿ una medalla «de planta, por el dibujó .de üna figura copiada del antiguo-, . . Agricultura. Quinientos .jcv.yn. á D., Juan pañuelos.,, vecino de estaciudad, por haber presentado mas de; seis. arrobas de.algpdon de las plantas que cultivó…</t>
  </si>
  <si>
    <t>Frimom</t>
  </si>
  <si>
    <t>…clinación, y atravesó la sala, pasando por delante del trono, de Iíesse-Hombourg; y que el primero estará bajo las ór para dirigirse al sitial que se le habia prevenido. denes del general Frimom, que mandó el cuerpo de tropas El lord canciller leyó una carta ael duque de Sussex, austríaco en el egército aliado que ocupó la Francia. El Ar quien por motivos de delicadeza, como hermano del Rey, chiduque Ranerio, virey de Italia, tendrá el mando gene ped…</t>
  </si>
  <si>
    <t>…nuestros venideros. ¡ ornados denes el 29 de Octubre para que el egérciro austríaco es compatriotas! va á aman.-cer el día que formará la primera tuviese pronto á marchar: que el general Frimom hizo no época de nuestra historia, y en que principiarán á tener obstante retrogradar algunos cuerpos para proporcionarles- efecto nuestros esfuerzos por ia libertad nacional , entrando subsistencias, y esto dió esperanzas de paz; pero que por en posesión y u…</t>
  </si>
  <si>
    <t>Frimont</t>
  </si>
  <si>
    <t>…aumentar la guarnición de aquella mento es poner á Dios por testigo de que es inocente del plaza. crimen que le imputan , y esperar con una total confianza El cuartel general del general Frimont no ha salido aun el resultado definitivo de esta pesquisa sin igual. =.Firma de Treviso; pero hay circunstancias que acaso le obligarán do. = Catoliua, Reina.” á hacerlo luego. El lord canciller dijo que le parecía que después de fa Llegan y salen frecuenteme…</t>
  </si>
  <si>
    <t>…por costumbre juntarse una vez ai año dicho periódico, amante de la guerra: &gt;»Ya no se habla de á repasar sus anales. A la sombra de algunos árboles se gtlerra contra'N..poIe‘; el general Frimont ha sido llamado congregan en junta general á tratar de sus negocios públi á‘Viena, y el egército austríaco volverá á sus acantona cos: el orador mas elocuente-toma la palabra, y después mientos." Y concluye poniendo' en duda' la voz que había de haberle escuc…</t>
  </si>
  <si>
    <t>Frrnando</t>
  </si>
  <si>
    <t>…se administran por cuenta del Cré déla M. N. y M. L. villa de Bilbao, aprobadas y confirmadas por las Magestades del Sr. D. Felipe v en a de Diciembre de dito público ¿rr. 1737 y D. Frrnando vii en 27 de Junio de 1814, con in VALLADOLID. serción de privilegios, y la provisión de 9 de Julio de i8j8 , que Capellanía de D. Manuel Joaquín Zubiaurrey sn mnger. contiene las alteraciones hechas á solicitud del mismo consula Una casa, calle de Zúñiga, nú…</t>
  </si>
  <si>
    <t>Fuentes, Josef Mor de</t>
  </si>
  <si>
    <t>Josef Mor de Fuentes</t>
  </si>
  <si>
    <t>…nto dijo que no podían, Su triunfo. 5.0 Sus glorias; con una dedicatoria á S. M., y al so pena de exponerse á que no jurasen nada , reducirle á la fin un himno al Ser supremo: por D. Josef Mor de Fuentes. Se hallará á 4 rs- en la librería de Calleja; en Zaragoza en la defórmula con que se presenta á las clases ilustradas. Polo y Monge; en Barcelona en la de Piferrer; en Valencia en Se leyó de nuevo el artículo, y se fueron aprobando la de Mallen , y en Pamplo…</t>
  </si>
  <si>
    <t>…, conformándose con lo que sobre el riales hasta el fin de año al escribano del ayuntamiento. particular ha expuesto el consejo de Estado en consulta de Las estaciones: poema, por D. Josef Mor de Fuentes, pri mera parte, que comprende los tres cantos de la primavera. Él 18 de este mes, declarar en su fuerza y vigor, no obstante J.u, después del exordio, contiene el derretimiento de Ja nie la nota 26 del referido reglamentode retiros, las Reales ór ve , el can…</t>
  </si>
  <si>
    <t>Fueron</t>
  </si>
  <si>
    <t>…ión hecha con motivo de las doles tres prisioneros, de los que dos murieron poco des ocurrencias de Madrid del 6 y 7 del corriente. pués por sus heridas, y el otro fue remitido al brigadier Fueron nombrados para la junta de censura de Vene Morales, á quien Martínez da el parte. zuela los sugetos que proponía la suprema. López escapó á carrera, y dos leguas después logró re Accediendo las Cortes á la solicitud del comandante In unir los que le quedaban…</t>
  </si>
  <si>
    <t>Fuerte-</t>
  </si>
  <si>
    <t>…lis demostraciones de cuya señal rindieron sus armas los realistas, y se juntaron cómo aprenden á leer y pronunciar al mismo tiempo ; co á los insurgentes. El gefe de aquellos el duque Fuerte- piaron en el encerado caracteres de todas ciases , los unie Real huyó viéndose abandonado ae sus soldados; pero le ron , formaron sílabas , y dieron evidentes pruebas de-la in alcanzaron 6 hicieron prisionero. Asi que Cristóbal supo teligencia con quedo hacía…</t>
  </si>
  <si>
    <t>Fulloa, Pedro</t>
  </si>
  <si>
    <t>Pedro Fulloa</t>
  </si>
  <si>
    <t>…a misma audiencia. bierno y demás efectos que puedan corresponderle. Madrid 6 de Setiembre de 1820. Bálsamo anti-reumático de JFulloa. Este remedio pro digioso fue descubierto por D. Pedro Fulloa, vecino de El capitán genera! del departamento de Marina de Car Zaragoza, de quien tomó el nombre. Habiéndose hecho de tagena ha remiádo al ministerio de Marina una copia de la orden de S. M., y por los facultativos de mayor crédito representación que él mism…</t>
  </si>
  <si>
    <t>Funes, María Tomasa de</t>
  </si>
  <si>
    <t>María Tomasa de Funes</t>
  </si>
  <si>
    <t>…imo concurso, llevando el alcalde en sus manos El dia 30 se celebró el examen de las niñas que están el libro venerable de la Constitución, y acompañándole el bajo la dirección de Doña María Tomasa de Funes, y re comandante general, toda la oficialidad, autoridades y cor sultaron igualmente sobresalientes 10 de primera clase, á poraciones , que al efecto fueron convidadas. El dia 2 ae Ma las que se premió del mismo modo que á ¡os niños, ponién yo se solemnizó en…</t>
  </si>
  <si>
    <t>Fuster, Joaquín Cabañíes y</t>
  </si>
  <si>
    <t>Joaquín Cabañíes y Fuster</t>
  </si>
  <si>
    <t>…aplica ción y aprovechamiento en los estudios que han acredíradó los caballeros ca detes dei Real cuerpo de Artillería D. Joaquín Pavía y W-erminghan, Don Ramón Ruiz de Labastida, D. Joaquín Cabañíes y Fuster, D. Jesualdo Pé rez de Lema , D. Mariano García y Saleta , D. Josef Guerrero y Sedaño 3 Don Santiago Olloqui y Martínez, D. Manuel La-Cerda y Paiafcx, D. Juan Ló pez Larrainzar , D Francisco Cascajares y Bardnxí, D. Josef Aivarez Reyero , D. Cárlos Casaprin y…</t>
  </si>
  <si>
    <t>F’reire</t>
  </si>
  <si>
    <t>578' facultad que envolvía; pues si no era posible negar á las Cor do habló el Sr. F’reire, dijo^ cjue en la América se hace tes el derecho de suprimir en España las órdenes religiosas, tanto mas necesaria esta.medida, cuanto que allí los religio tampoco habia duda de que podía poner condiciones á las sos suelen estar mas frecuentemente distantes-d…</t>
  </si>
  <si>
    <t>G, Jacinto</t>
  </si>
  <si>
    <t>Jacinto G</t>
  </si>
  <si>
    <t>…servicios. Por providencia cfel Sr.. D. Angel Fernandez de los Ríos, ministro togado de S, M., v jue J de primera instancia de esta villa, refrendada por el escribano del núr mero D. Jacinto G«ona y I.oeehes. se cita, llama y emplaza á María Antonia Ru fina • js.íus, natural de la ciudad de Jaca, obispado de Zaragoza, que en 6 de Abril de S794 se casó con Fructuoso Ortiz de Tgay y Osorio , natu al de lá villa de Sa ga rra , o!&gt;i&gt;pado de Calahorra.,…</t>
  </si>
  <si>
    <t>G, Moreno</t>
  </si>
  <si>
    <t>Moreno G</t>
  </si>
  <si>
    <t>…ro, del gremio y claustro Se dió cuenta de otro dictamen de la comisión primera de la universidad de Santiago, sobre sustituir la enseñanza de Legislación sobre la proposición del Sr. Moreno G erra, de derecho natural a la del romano. para que se permitiese volver á Empana á todos los que emi Se continuó la lectura del dictamen de las comisiones de graron con elegército francés , y sobre laí representaciones Marina v Comercio que se suspendió ayer,…</t>
  </si>
  <si>
    <t>…n mucho mayores, siendo el res, freires de las cuatro órdenes militares, de S. J ian de menor número las de 1 2® reales. Jerusalen y demas suprimidas que no esten ordenado-- in El Sr. Moreno G..erra dijo, que no se les debia dar suel sacris, se declaren hábiles é idóneos para obtener destinos dos ningunos; al contrario, los cónsules debian pagar mu de todas clases , según su suficiencia, asi como para llevar cho dinero á la Nación, pues los títulos…</t>
  </si>
  <si>
    <t>G, N.</t>
  </si>
  <si>
    <t>N. G</t>
  </si>
  <si>
    <t>…to. Núm. 714. El limo, Sr- deán y cabildo de la catedral de Oviedo 3®. Num. 71 ¡y» D. T. D. 6a. Núm. 716. Ei limo» Sr. obispo de Barbastro 300. Núm. 717. Doña J, G. 100, Núm. 718. Doña N. G. 100. Núm. 719. El limo. Sr. deán y cabildó de la catedral de Lérida 640. Núm. 720. Los gefes, oficiales y tropa del cuerpo de inválidos de Madrid, en unión con el depósito militar agregado á él, 1044, Núm. 721- La Excma. Sra condesa de Humanes, vecina de la c…</t>
  </si>
  <si>
    <t>Ga</t>
  </si>
  <si>
    <t>…decretaron norancia, inmediatamente se pasaran á los cuerpos militares antes de separarse, que sin dilación alguna se pondría en los decretos de las Cortes francos de porte, y el Sr. Ga^co cgercicio la libertad de navegación en toaos los rios de Ale pidió que se le dijera al Gobierno, pues la comunicación mania , según el principio establecido en el acta federal. de decretos era propia del poder egt’cuiívo, á lo q..e con testó el Sr. Salvado…</t>
  </si>
  <si>
    <t>…nes, Sres. Gisbcrt y Lobato la indicación siguiente, que no fue cada provincia tendría derecho de reclamar algunas , y el admitida á discusión: «que las proposiciones v representa Sr. Ga^co porque opinaba que no debían pasar al Gobierno ciones que se hagan relativas á puntos ecledasricos se pasen las proposiciones de los diputados. directamente por la secretaría á la comí-ion Eclet i istica ó ;í A las comisiones de Hacienda y Comercio se mand…</t>
  </si>
  <si>
    <t>…la de los mendi Lobato, Casaseca, Garcli, Caro, Moya, Gisbert, Navas, cantes ; porque estos prestan un servicio á los pueblos en el La Madrid, Linan, Puigblanch , Argaíz, Ugarté (D. Ga confesonario y el altar, que no les dan aquellos. briel), Clemencin, Espiga, Ramos García, García {Don Si fuece un argumento que debiera tener alguna fuerza el Amonio), Alvarez Sotomayor, Lecumberri, Dolarea, Frai del Sr. Navas para dejar á los monges la prop…</t>
  </si>
  <si>
    <t>Ga'co</t>
  </si>
  <si>
    <t>…n de todos los individuos que la Con fecha 2 de Agosto , desde la villa de Saeedon , dice componen. el Sr. secrerario del Despacho de Estado al Sr. secretario de En este estado el Sr. Ga'co trató de reformar su indi la Gobernación de la Península lo que sigue: cación ; pero á petición del Sr. Sancho y de la mayor par ,,S. M. sigue tomando los baños; y continúa sin nove te del Congreso que se oponía, se volvió á leer de nuevo. dad, igualmente que…</t>
  </si>
  <si>
    <t>Ga, Mariano</t>
  </si>
  <si>
    <t>Mariano Ga</t>
  </si>
  <si>
    <t>…fundamento y manantial de nues que se arreglen otras; que se midan los montes para que tra felcidad. La pastoral dice a-i: se formen val es; que h a inundaciones para que se fe El doctor D. Mariano Ga cía Zamora, dignidad de ar cunden 1"S campo- ; que aparezcan los eclipses para que cediano de Villena de esta Sta. iglesia catedral de Cartage prosigan en su curso los as ros ; que trabajen unos las mi na, gobernador de su di cesis, sede Episcopali vacan- ra'…</t>
  </si>
  <si>
    <t>Ga, Pedro González</t>
  </si>
  <si>
    <t>Pedro González Ga</t>
  </si>
  <si>
    <t>…ra de parecer quedar en poder del impresor. que se debía conceder la dispensa ; y asi sé aprobó. Art 27. «El impresor será responsable en los casos si Se aprobaron los poderes del Sr. D. Pedro González Ga guientes: i.° Cuando sido requerido judicialmente para pre llego , obispo de Mallorca , diputado por Soria. sentar el original firmado por el autor ó editor, no lo hi ¡. La comisión de Agricultura presentó adicionados lo* ciere: id Cuando ignorándose el domic…</t>
  </si>
  <si>
    <t>Gabriel</t>
  </si>
  <si>
    <t>…nes, sufrirían gra Junta provisional, para dar luego cuenta á las Cortes, y vísimos perjuicios si no se tenía particular atención á su son los Sres. Muñoz Torrero, Valle, Ugarte ( D. Gabriel], suerte, los Sres. Cepero y Martínez de la Rosa presentaron Caro, Argaiz, Cabalen, Fondevila, Cepeda y Moscoso, dos indicaciones relativas á esto mismo. y resolvieron las Cortes se pasasen á ella todos los papeles Decía asi la del Sr. Cepero: «supuesto que l…</t>
  </si>
  <si>
    <t>…irlos en sec que se dec’are no serle incompatible la depositaría que ha ciones, costarían 26© rs. mas anualmente: por último al to estado sirviendo de la testamentaría del Infante D. Gabriel. tal de sueldos de la secretaría se agregaban } 6® de seis pla Se dió cuenta del dictamen de la comisión de Legislación, zas del archivo , tres de oficiales, y tres de escribientes. reía ivo á una consulta hecha por el tribunal supremo de El Sr. Gaseo no se c…</t>
  </si>
  <si>
    <t>…del egército la siguiente carta: Rosa, Ramos García, Muñoz Torrero, Tapia, Cuesta, &gt;»Sr. general: No siendo mi Real ánimo que esta época López (D. Marcial), Ramírez Cid, Ugarte ( D. Gabriel), feliz de la regeneración política del reino, verificada con Gareii y Dolarea, contrarios á la resolución tomada sobre tanto orden y tranquilidad, se vea manchada con un nume la exposición de D. Alejandro O-Donell; y los de los señores roso sacrificio délas…</t>
  </si>
  <si>
    <t>…ulto cuadragesimal, á favor de persona alguna par S Miguel, Zubia, Casaseca, Ezpeleta, Martel, Zayas, ticular, ni se distraigan á otros objetos que á los actuales Gisbert, Ug^rte (D. Gabriel), Yandiola, Zapata, Arrieta, hospitales, hospicios, casas de misericordia y de niños ex Cepero y López (D. Marcial). pósitos , y demas de esta clase, á quienes por los brews de A la comisión de Hacienda se mandó pasar un oficio su concesión están asignados es…</t>
  </si>
  <si>
    <t>…Península , con el que remitía una instancia lución tomada acerca de la cria de ganado mular ; y' el de de doYTwrmanas del Dr. D. Miguel Pascual, víctima de su los Sres. Ugarte ( D. Gabriel), Lecumberri y Ramírez Cid zelo en asistir á los enfermos del contagio de Mallorca, pi contra la resolución de que fuese tercera lectura la del pro diendo una pensión, por haber quedado en la indigencia; yecto de reforma de regulares. lo que apoyaban la junta…</t>
  </si>
  <si>
    <t>…gado á favor de los emigrados de que se reunieron Odali, Azaotla. Romero, Rotas Clemente, Cepeda. Quial usurpador, desesperanzados de que se pudiese resistir á sus roga , Ugarte:i(D. Gabriel), Cleméncin , Martínez de ta Rosa, fuerzas, resultaría que todos los deberes del ciudadano, res Ramos Garch», Marte!', Espiga . García (D. Antonio), Alpecto de su patria, estañan reducidos á un simple cálculo varez de Sotomuiyor, Lecumberri, Fraile, Dolaren .…</t>
  </si>
  <si>
    <t>…o de vivir en una casa, que si esta se le quema culos 8.° y 9.^ dd proyecto sobre regulares; y otro de los le deja libre de su voto; y que con recpecro á lo insinua Sres. Ugarte ( D. Gabriel), Lecumberri y Ramirez Cid, do por el Sr. ministro, no podía menos de advertir que no contrario á las resoluciones que recayeron acerca de la pri es el mejor médico el que mas sabe de medicina, sino el mera indicación del Sr. Navas y á la del Sr. Fagoaga. que…</t>
  </si>
  <si>
    <t>…l Sr. conde de Toreno: dinaria de Cortes del 19, se omitió insertar y hacer mención del»Oue se diga al Crédito público que para la pr'xima le voto particular de los Sres. ligarte (D. Gabriel), Ramire? G’d, gislatura presente á !ns Corres ¡a tasación de todas ¡as fincas Espiga y Ramos García, en que dijeron lo siguiente: «No que están ya 1 &gt;u disposición . y que estuvieren de aquí á » habiendo sido nuestro voto conforme á lo resuelto por las Coren…</t>
  </si>
  <si>
    <t>Gadea, Josef de Espiga y</t>
  </si>
  <si>
    <t>Josef de Espiga y Gadea</t>
  </si>
  <si>
    <t>Gaceta del Gobierno n.º 7 (extraordinaria)</t>
  </si>
  <si>
    <t>…tituido las Cortes ordinarias de la Nación Es pañola , convocadas por Real decreto de 2 2 de Marzo próximo pasado para los años de 1820 y 1821; y han elegido para su Presidente ai Señor Don Josef de Espiga y Gadea, Arzobispo electo de Sevilla, Diputado por la provincia de Cataluña; para Vice-Presidente al Señor Don Antonio Quiroga, Diputado por la de Galicia; y para Secretarios á los infrascritos que lo somos respectivamen te por las de Murcia, Sevilla, Jaén y Aragón,…</t>
  </si>
  <si>
    <t>Gaetani</t>
  </si>
  <si>
    <t>…. DINAMARCA. sus deberes como el egemplo de un rigor inflexible contra los que por idesgracia los quebrantan, hago saber al egército Copenhague jo de Julio. constitucional que el coronel Gaetani se halla arrestado por Escriben de Cristiania que el' 16 fueron recibidos allí con ocho dias, por haber concedido en 25 de Julio un permiso toda solemnidad el Rey y el Príncipe Real de Suecia, y al capitán León, ayudante mayor de las milicias de Avezqiie^S. M…</t>
  </si>
  <si>
    <t>Gaiarza, Manuel</t>
  </si>
  <si>
    <t>Manuel Gaiarza</t>
  </si>
  <si>
    <t>…es de Mar. dro Vida!, del comercio de Barcelona , sobre la causa que Igualmente se aprobó, el de la misma comisión acerca se le formó en estos últimos años. de que se concediese á D. Manuel Gaiarza la dispensa de A ia de! Código civil una exposición del colegio de pro dos años de edad piara administrar sus bienes. curadores de Zaragoza, pidiendo se les conserve en el có Se mandaron pasar al Gobierno las observaciones de digo civil sus ordenanzas y aranc…</t>
  </si>
  <si>
    <t>Galafat, María Teresa</t>
  </si>
  <si>
    <t>María Teresa Galafat</t>
  </si>
  <si>
    <t>…nes á una de las huérfanas de los militares ó patriotas que hubiesen muerto en defensa de la justa causa de la nación, ha cabido en suerte deí primer extracto de la de este' dia á Doña María Teresa Galafat, hija de un teniente: de fragata de la armada' nacional y muerto en el-campo del honor; * En el sorteo de la lotería moderna nacional celebrado ef dia 8 del cor riente salieron sorteados con los premios mayores ios números siguientes:</t>
  </si>
  <si>
    <t>Galani</t>
  </si>
  <si>
    <t>…contra él otro periódico de Después de muchas propuestas, y de haberse leído va París, que está pronto A aprobar cuanto se desaprueba en rias exposiciones de poca importancia , el diputado Galani la península, y A declamar contra las ideas justas que do leyó un informe de la comisión encargada de presentar el minan en la Europa. arreglo de una nueva nomenclatura para el reino y sus pro Es bien conocido que su objeto no puede ser otro que vincias. La c…</t>
  </si>
  <si>
    <t>Galante</t>
  </si>
  <si>
    <t>…icia á la Reina á causa de la ausencia de Rastelli, y que otra para nombrar los consejeros de Estado por provincias. -la suspensión del proceso seria la mayor injusticia contra El Sr. Galante hizo la proposición de si debia nombrarse S. M. tina comisión que examinase si los consejeros de Estado de- Esta larga sesión se terminó compareciendo en la barra, hian ser amovibles ó perpetuos; y se opinó que perpetuos. á petición de un vocal, Mr. Pow.ell,…</t>
  </si>
  <si>
    <t>Galarrava</t>
  </si>
  <si>
    <t>…r á una comisión especial. Circular del ministerio de ftaciend.1. A otra comisión especial se mandó pasar una propo ,,Conformándose el Rey con el parecer de! Con'íjo de sición del Sr. Galarrava, leída por primera vez en 10 del Estado, en vista de una consulta hecha por el intendente de actual, relativa á que nombren las Cortes una comisión de la provincia de Asturias, de acüerdo con el Gefe político su seno, que con el debido examen y con la breveda…</t>
  </si>
  <si>
    <t>Galdi</t>
  </si>
  <si>
    <t>…o; el caba bía asombrado al mundo sucedieron una indiferencia y una llero Pedro Antonio Ruggieri, abogado; el caballero Mateo apatía, que desfiguraron enteramente la Nación. En el reina Galdi ; Cesar Ginessau , comerciante. Y para suplentes do de Felipe 11 tue la primera potencia del universo ; en el Fernando Visconti, coronel; Nazarlo Colanari, y Lorenzo de Carlos 11 la mas miserable y abatida de cuantas compo Bocea pianola. nían el mundo civiliz…</t>
  </si>
  <si>
    <t>…ebia considerarse como clérigo secu’.ar des aquel ministerio, y la depo itó sobre la mesa» de que pidió el breve de secularización , y desde que se negó ' Conch ido e&gt;te acto , el diputado Galdi, actual presiden fe volver al claustro después de restablecida su orden. La te de la junta preparatoria, pronunció un discurso, del cual Nación, que no puede menos de sentir-Jas honoríficas, ex ■sfe pudieron recoger las expresiones que tnavimpresión hi cepcio…</t>
  </si>
  <si>
    <t>…dos , 12 abogados y profesores de derecho , 8 milita ARTICULO ÜE OFICIO. res , 6 nobles ó títulos, 6 médicos y 4 empleados efectivos, 2 jubilados con sueldo (el uno de estos es el Sr. Galdi, pre Madrid 1 $ de Noviembre. sidente), 2 comerciantes y un cardenal. La misma carta Con fecha 14 de Noviembre derde el Real sitio de San añade que según el prospecto de los elementos de que se Lorenzo dice el Sr. secretario Je Marina al Sr. secretario de com…</t>
  </si>
  <si>
    <t>Galeffi</t>
  </si>
  <si>
    <t>…iembros particulares: co sagrado Colegio: para la de Oporto al cardenal de Píetro, cinas, cuadra y asientos comunes en gran número. Se ha penitenciario mayor: para la de Albano al cardenal Galeffi: hecho a! Gobierno una prolija exposición de cuanto se juzga para la de Sabinas al cardenal Arezo : para la de Tarrago conducente para mejorar tan útil establecimiento , y no se na al limo. Sr. Crees, obispo de Menorca: para la de B01- duda que atenderá esta…</t>
  </si>
  <si>
    <t>Gali, Costa y</t>
  </si>
  <si>
    <t>Costa y Gali</t>
  </si>
  <si>
    <t>…procurar el alivio de los pueblos, nada es lativo á la duda manifestada por el ministerio de Gracia y mas digno de elogio que reparar los daños que se les han Justicia sobre si el Sr. Costa y Gali, diputado de Cortes causado , evitando su total ruina. por Cataluña, podía ser nombrado ministro de la audiencia Habiendo opinado en la discusión el Sr. Lorenzana que territorial de Madrid para que había sido consultado por el era muy corto el término de xo d…</t>
  </si>
  <si>
    <t>…o con el menor gravamen de los Sr. Navarro para deshacer una equivocación que habia pa decido el Sr. Larriva, dijo que entre los antecedentes que pueblos. Se prorogó el permiso al Sr. Costa y Gali para perma se habían pasado á la comisión debía obrar una representa necer en Miradores de la Sierra, y no asistir al Congreso ción Hecha por el ayuntamiento constitucional de Valencia' hasta el completo restablecimiento de su salud. al Rey en 15 de Julio de…</t>
  </si>
  <si>
    <t>Gali, Josef Costa y</t>
  </si>
  <si>
    <t>Josef Costa y Gali</t>
  </si>
  <si>
    <t>…bución general en el próximo tercio, se extienda á un referida cuando fue elegido diputado. La comisión , concep mes.” Habiéndose admitido á votar el dictamen con la adi tuando al Sr. D. Josef Costa y Gali comprendido en el de ción del Sr. Lorenzana , se aprobó aquel, con la diferencia creto de 16 de Abril de 1812, opinaba que se le debía de de «señalar el dia 30 en lugar del 10.” clarar en aptitud de obtener su plaza en la audiencia de Se ley ó después la sigu…</t>
  </si>
  <si>
    <t>…a tarde de ayer en medio de las acla FRANCIA. maciones de los pueblos del tránsito. Se mandó pasar -á laicomision segunda de Legislación Parts 1$ dé Octubre. una representación de D. Josef Costa y Gali, diputado por Según anuncian los periódicos alemanes , ha sido arresta Cataluña,1 en la que manifestaba serle imposible asistir al do eu Hannóver, á petición de nuestro Gobierno, un ofi Congreso, ni aun en la legislatura siguiente, por habérsele cial francés,…</t>
  </si>
  <si>
    <t>…. tamiento de Zafra por su instalación , y recibieron con La comisión de Legislación, en vista de lo expuesto aprecio 8 egemplares de la noticia de los festejos y regocijos por el Sr. D. Josef Costa y Gali, diputado por Cataluña, conque se habia celebrado en aquella villa. acerca del mai estado de su salud, opinaba que se debían Igualmente oyeron con agrado una felicitación de la dar las órdenes convenientes para que el Gobierno hiciese sociedad patriótica de S…</t>
  </si>
  <si>
    <t>Galiadiócesis, Antonio</t>
  </si>
  <si>
    <t>Antonio Galiadiócesis</t>
  </si>
  <si>
    <t>…lde constitucional leyó una de D. Ramón de VíIIalba, sobre organización del egcrcito. proclama análoga al asunto. El Sr. obispo auxiliar de esta Se dió cuenta de una exposición de D. Antonio Galiadiócesis y la primera autoridad militar descorrieron las no, natural de Turin , pidiendo que el proyecto de D. Jocortinas, que ocultaban una hermosa lápida de la Constitu sef Madrazo (-erase la sesión del'iG de Julio), propuesto ción. La música marcial, lo numeroso de…</t>
  </si>
  <si>
    <t>Galiano, Manuel</t>
  </si>
  <si>
    <t>Manuel Galiano</t>
  </si>
  <si>
    <t>…aplausos de la multitud al nuase pagando á razón de i83&gt; rs. anuales, ínterin se le co borozada. locaba en destino correspondiente á sus méritos y servicios; El benemérito párroco D. Manuel Galiano, capellán á cuyo fin se pasara por el mismo al Consejo de Estado, pa del segundo batallón, que hacia de preste, bendijo las ban ra que le tuviese presente cuando se hubieran de proveer las deras, las cuales ele mano de los Sres. regidores Muñoz y dignidades e…</t>
  </si>
  <si>
    <t>Galias, Josef</t>
  </si>
  <si>
    <t>Josef Galias</t>
  </si>
  <si>
    <t>…ue tendrían buen cuidado de ver quien en el campo por tres bandoleros el alcalde constitucional de tenia ó no riqueza para pagar. Por lo tanto dijo que apoya ésta villa, |unto con D. Josef Galias , vecino también de ella. ba las bases que presentaba la comisión. Estos y otros tres individuos fueron robados impunemente El Sr. conde de Torc-no manifestó que los dos señores por aquellos malhechores, pues aunque se practicaron des preopinantes se habian a…</t>
  </si>
  <si>
    <t>Gallardo, Josef Antonio</t>
  </si>
  <si>
    <t>Josef Antonio Gallardo</t>
  </si>
  <si>
    <t>…ido plitz, donde se detendrá todo el mes de Agosto. El 4 del al jurar la Constitución, ha acordado, á propuesta de &lt;u mismo está: señalado para la salida del príncipe canciller de secretario D. Josef Antonio Gallardo, que -in peri .icio de Estado hácia Pirmont. explicarse la Constitución los días festivos en la parro quia, como se egecuta de-de el 9, se entere también al pue INGLATERRA. blo en los mismos dias en las casas consistoriales de las ór denes que vayan emanando…</t>
  </si>
  <si>
    <t>Galleano, Santiago</t>
  </si>
  <si>
    <t>Santiago Galleano</t>
  </si>
  <si>
    <t>…ritmética, grartiática y ortogra Francisco Xavier Machado y D. Manuel Andrade Silva, 1600. fía castellana elemental, humanidades, matemáticas puras, é D. Antonio C.'Carvalho, 800. D. Santiago Galleano, 10. idiomas ingles, francés é italiano, ofrecen dar lecciones de di D. Joaquín de los Santos Lomba, 400. D. Manuel Gonzá chas ciencias é idiomas, y enseñar el latín en dos años, y la lez Estrada, foó. D. Pablo Bertuzi, 80. D. Juan Morales, taquigrafía en tre…</t>
  </si>
  <si>
    <t>Gallego, Diego González</t>
  </si>
  <si>
    <t>Diego González Gallego</t>
  </si>
  <si>
    <t>…se admiran de ..las siniestras noticias que se la continuase pagando ia viudedad de zoo ducados. que han circulado, y del desasosiego que se advertía en to A la de Poderes los de D. Diego González Gallego, di dos los ánimos. Si sé averiguase el origen de estos perniciosos putado por Soria. rumores, 'se veria claramente que eran parto de aquellos Adonde están los antecedentes una exposición de Don hombres, á quienes es necesario el desorden para poner en Alejan…</t>
  </si>
  <si>
    <t>Gallego, Juan</t>
  </si>
  <si>
    <t>Juan Gallego</t>
  </si>
  <si>
    <t>…Prado: otra de una capellanía y vina de Juan López: otra donde dicen: ja cupsta.da Mata asnos, de caber dos «fanegas, á 200 rs., linde tierra de Felipe de lapiiente* ma juelos de D. Juan Gallego* otro de un vecino deísta co?te ,,ry cpn-otro d^l dueñy , de dicha tierra; y un majuelo nuevo en el mismo sitio, que tiene 475 cepas vivas, inclusas 50 marras, linde la tierra antecedente y con el del vecino de esta,porte,.tfj sido en 950 rs., á dos cada cepa…</t>
  </si>
  <si>
    <t>Gallego, Teobaldo Rodríguez</t>
  </si>
  <si>
    <t>Teobaldo Rodríguez Gallego</t>
  </si>
  <si>
    <t>…en la li brería /¿e.Pa», frente á ia». gradas de S, Felipe, y en la de Escribano, calle (de las Carretas.' ,i.j: , ,-t /&gt;:;( ¡\ Exljoi^ciop.que ha ididgido&gt; súbditos el llmo. Sr. (D. Teobaldo Rodríguez Gallego, ^b^d. bendito y perpetuo,.de S. Isidoro de León. Se vende ,en lasljbyqríaí: dfe Giíá, cálle de fes Carretas,vy de Cruz y Miyar, calle del Príncipe, á 10 cuartos. Defensa de las inchhiClAfifle nnr í»l Ha R ncm Al^I&lt;in/4i*/Ti «v uv xuai c.yj uu 1 uxu* y jcuuva…</t>
  </si>
  <si>
    <t>Gallego, Victoriano María</t>
  </si>
  <si>
    <t>Victoriano María Gallego</t>
  </si>
  <si>
    <t>…párroco y feligreses de la parroquial de Carchalejo, diócesi de Jaén, 187. Núm. 792. El prior y fe ligreses de la parroquial de Torre del Campo, diócesi de Jaén, 179. Número 793. D. Victoriano María Gallego, vecino de la Carolina, 100. Núm. 794. EJ prior y feligreses de la, parroquial de Bedmar, de ídem, 505. Núm. 795. Él prior y feligreses de la parroquial de S. Esteban de Santistéban del Puerto, diócesi de Jaén, 86. Num. 796. El Sr. alcalde mayor y vecinos de…</t>
  </si>
  <si>
    <t>Galleta-</t>
  </si>
  <si>
    <t>…én rel cerro de las TsaanloraS, y al' momento se dirigid él capitUív graduado í&gt;. JoseLSegador con sen |4ufatt-Jtería de Zaragoza , y el teniente "del batallón ligero dé Queretaro D. Galleta-* no Montoya con el piquete de su mando, y reunidos comenzaron te g¡x¡é irme á batirlos con vivo fuego graneado. Advirtiendo dichos oficiales él estra go que les causaban, dispusieron cargarles á la bayoneta, y este movimiento Jicos ateri rá de tal manera, que…</t>
  </si>
  <si>
    <t>Gallitzín</t>
  </si>
  <si>
    <t>…rar de este el departamento de manufacturas y de comer cio , agregándole al ministerio de Hacienda. El departamento de correos segui rá interinamente á carge^de stí actual gefe el príncipe Gallitzín, ministro del C ulto y de la Instrucción pública. StJÉCtA. Siockoltno 2 de Noviembre. El barón de Maunerheim, comisionado por los Estados generales del rei no para velar sobre la recta administración de justicia, ha pedfdo que se for me causa al gobernador y…</t>
  </si>
  <si>
    <t>Gallitzin</t>
  </si>
  <si>
    <t>…o unos? pocos pudieron salvarse; los demas.quedaron muertos en el campo. Anuncian las últimas cartas de Petersburgo que el Emperador Alejandra ha confiado al general de caballería príncipe Gallitzin el importante empleo de gobernado* militar de Moscow* ■ ■ • GRAN B R E T A Ñ A. v. '■ * _ s; * ¿ • Portsmouth 8 de Febrero. Ayer celebraron en el café de Londres una junta varios comerciantes de los qué hacen el comercio, con;lá Holanda, para convenir en los…</t>
  </si>
  <si>
    <t>Galsríel</t>
  </si>
  <si>
    <t>…dad; pero que en cuanto al escrúpulo de que mandaron agregar los siguientes votos particulares: uno de habia hablado el Sr. Cepero, repetia, que aunque no había los Sres. Ugarte ( D. Galsríel), Ramirez Cid y Govantes, potestad humana que bastase á desatar el vínculo de los vo contrario á la resolución sobre no admitir á discusión la in tos; sin embargo, en cuanto al de sujeción de los religiosos dicación del Sr. Cortés: otro de los Sres. Lecumberr…</t>
  </si>
  <si>
    <t>Galvez</t>
  </si>
  <si>
    <t>…dias, con fecha de 5 de Agosto, la plaza de oficial cuarto deélla, aceptó con satisfacción del mismo conde este nuevo y ventajoso cargo. El primer negocio que puso á-su cuidado el ministro Galvez fue la fórrnacion délí reglamento y aranceles para él libre comercio de la península con la América, que se dió al ^publico en Octubre del mismo año. ; ; Declarada en fines de 1779 la guerra á los ingleses, se le dió encargo en Junio de 780 para que pasando á…</t>
  </si>
  <si>
    <t>Galvez, Bernardo de</t>
  </si>
  <si>
    <t>Bernardo de Galvez</t>
  </si>
  <si>
    <t>…ualmente se hallaba de guarnición en aquella plaza. • ■ . , , Declarada la guerra á los ingleses, se embarco en 12 de Noviembre de di cho año para la Luisiana nombrado segundo del general D. Bernardo de Galvez su oobernador; é inmediatamente después de su arribo se dispuso la ex pedición5 para la conquista de la Movila, á la que salió con el convoy á bor do de la fraoata de S. M. la Volante; pero á la entrada de la bahía de la Movila naufragó con otros siete buques…</t>
  </si>
  <si>
    <t>Galvez, Diego</t>
  </si>
  <si>
    <t>Diego Galvez</t>
  </si>
  <si>
    <t>…a, situada en la villa Congreso , que la Constitución habia estado vigente en to de Puente Don Gonzalo. das sus partes derde tal dia, porque se supone que la Cons Idem fundada por D. Diego Galvez. titución rige desde el dia que se dió la orden para que se Una suerte de olivar de 21 aranzadas en siete suertes, jurase; y sin embargo, las circunstancias particulares, con situadas en el término de dicha villa. especialidad la opresión horrorosa que ha suf…</t>
  </si>
  <si>
    <t>Gambo, Gerónimo</t>
  </si>
  <si>
    <t>Gerónimo Gambo</t>
  </si>
  <si>
    <t>…an su tranquilidad. Las pasiones, los ñor general Pnlafox, Doña María de Loreto García de Roa, «injustos caprichos, los ambiciosos y exceóvos deseos que D. Antonio Ruiz de Flores, D. Gerónimo Gambo», Doña «tos príncipes mezclan con el uso de la autoridad , lejos de María Antonia Niño, D. Vicente Fraile, D. Francisco de «extenderla, la debilitan. Se hacen menos poderosos cuando Mata, D. Rafael de Pinos, D. Amorfo de Castro, D. An «quieren &lt;er superiores…</t>
  </si>
  <si>
    <t>Gamboa, IX Manuel Fernandez</t>
  </si>
  <si>
    <t>IX Manuel Fernandez Gamboa</t>
  </si>
  <si>
    <t>374</t>
  </si>
  <si>
    <t>…á cuyo dia, hora y sitio ha sido trasladado; ei señalamiento an terior para esta junta , anunciado en el diario y gaceta de Madrid- de 4 y 7 del corriente mes. Por el juzgado del Sr. IX Manuel Fernandez Gamboa ,• juez de primera instancia en esta muy heroica villa,&lt;y por la escribanía del numero de IX Tomas de Sancha y Prado, se vende á voluntad dé su dueño uña casa sita en esta corte , y sú, calle dé los Dos Amigos, núm. 10, manz. 539, con 5847 pies de superficie,…</t>
  </si>
  <si>
    <t>Gamboa, Manuel Fernandez</t>
  </si>
  <si>
    <t>Manuel Fernandez Gamboa</t>
  </si>
  <si>
    <t>…renta 3050, se gún se anunció en al diario de ó del actual ; y habiéndose señalado nuevamente para celebrar su remate el día 7 del mes próximo de Abril á las 12 en el juzgado del Sr. D. Manuel Fernandez Gamboa, juez de primera instancia, por la escribanía de número de D. Tomas de Sancha* y Prado , se ;hace notorio para que quién quisiere hacer postura*á las tres dichas Casas y méjóra á la del húm;- 5 , por la que ofrecen el vafor de-sú tasa, á pagar en^tres plazos…</t>
  </si>
  <si>
    <t>…ito, propia del estp^.o del señor marques déjíiíirabel, el día 25 del corriente mes de Abril, continuará en los mismos términos, que en estos dos años pasados. Por providencia dél Sr. D. Manuel Fernandez Gamboa, juez letrado eqjjrimera instancia dó esta muy heroica villa, refrendada de su escribano del numero D. Ja cinto Gaona y Loeches, se ha señalado el dia 18 del corriente,en la audiencia de.S. S. y hora dé lásJ 12 y media para el remate de una casa sita en la! p…</t>
  </si>
  <si>
    <t>…ia el medicamento y. ia cantidad"de onzas que contiene, á 2 rs. cada una de estas, y en donde también se da gratis otro impreso con la explicación de su uso. ' Por providencia del Sr. D. Manuel Fernandez Gamboa, juez letrado en primera</t>
  </si>
  <si>
    <t>…o juzgado, del cargo de D. Custodio Henriquez; apercibidos que á los que hq comparezcan les parará el perjuicio que haya lugar en justicia. Por el juzgado de primera instancia del Sr. D. Manuel Fernandez Gamboa, y escribanía del numero de D. Bernardo Díaz de Antoñaria, se cita, llama y emplaza a la Sra. marquesa de Salinas para qu'e en el término preciso y perentorio de 20 dias, contados des&lt;d« 5 del cordente', acuda á usar del derecho que la asista sobre la per ten…</t>
  </si>
  <si>
    <t>Gamboa, Manuel Fernandez de</t>
  </si>
  <si>
    <t>Manuel Fernandez de Gamboa</t>
  </si>
  <si>
    <t>…rmidad con el dictamen de la Junta provisional, nombro in- = terina y provisionalmente para jueces de primera.instancia- de esta^H. villa á los que lo fueron anteriormente de ella D. Manuel Fernandez de Gamboa, , D. Josef Martínez Moscoso y D. Julián Sojo, quienes prestando antes, el correspondiente juramento prevenido en laConstitujcion;;y decreto de las Cor tes generales y extraordinarias de 9 de Octubre de 1812, principien desde híégb á fe^írcer sus respectivas,…</t>
  </si>
  <si>
    <t>Games, Pedro Josef de</t>
  </si>
  <si>
    <t>Pedro Josef de Games</t>
  </si>
  <si>
    <t>…libertad de imprenta, notando la diferencia hacia á las Cortes el sargento mayor del Real cuerpo de también en las costumbres; ademas de que la Constitución Guardias de la Persona D. Pedro Josef de Games , tratán es una ley fundamental de la Monarquía. Concluyó dicien dose de la conducta del marques de Castelar, que se halla do que aun cuando se declare que el marques de Castelar ha ausente al lado del Rey. infringido la Constitución, rio por eso queda impune…</t>
  </si>
  <si>
    <t>Gamo</t>
  </si>
  <si>
    <t>…inos de los cuatro individuos de la junta suprema de Censura, pro todas partes. puesto por la comisión de Libertad de imprenta , había se Como individuo de la comisión contestó el Sr. Gamo á ñalado el Sr. presidente las nueve de la noche de! día de las objeciones de sus preopinantes, conviniendo con el señor mañana i 2 en sesión extraordinaria, y que en la misma se Sancho en lo peligroso é impolítico de !a discusión. procedería, si quedase tiem…</t>
  </si>
  <si>
    <t>Gamoneda, Pedro</t>
  </si>
  <si>
    <t>Pedro Gamoneda</t>
  </si>
  <si>
    <t>…contados desde ese supremo tribunal en la causa seguida a! teniente agrega la publicación de e-.te anuncio, comparezcan por sí ó por medio do :&lt;¡ regimiento infantería de Granada D. Pedro Gamoneda, de procurador, con poder bastante, á decir de su justicia en los actuado de haber servido al intruso, se ha servido S. M. de autos que en el juzgado de primera instancia del Sr. D. Manuel clararle diurno de cuantas gracias le hayan podido corres Fernandez Ga…</t>
  </si>
  <si>
    <t>Gamrboa, Manuel Fernandez</t>
  </si>
  <si>
    <t>Manuel Fernandez Gamrboa</t>
  </si>
  <si>
    <t>…é la villa de Tarancon, todas del territorio de las Ordenes Militares, á D. Josef María de la Escalera Ruiz. Ea virtud de providencia de 4 de Diciembre del año último, dada por el Señor D. Manuel Fernandez Gamrboa, del Consejo dé S. M., alcalde dé su Real Casa y Corte , refrendada del escribano de provincia D. Valdoméro Moraleda, ¿instancia del hermano Plácido Luzurtaga, procurador de 3a causa de beatificación de la vene rable madre Sor María de Jesús de Agreda, se cit…</t>
  </si>
  <si>
    <t>Gañas, Tiburcio</t>
  </si>
  <si>
    <t>Tiburcio Gañas</t>
  </si>
  <si>
    <t>' ‘: 'F arte' del coronel y comandante FX.J'cfsef Crisíóbnl'VHhiseñor. ^ ,, A las ocho de la noche del i.° recibí*un oficio del comandante del des; tacamento de la Noria teniente D. Tiburcio Gañas, en que me ¡decía-que el : rebérde Borja‘don la gavilla de Jalpa se hallaba en el puerUKde Üosa en espera . del cabecilla-Ortiz , alias el Pachón, y .que segeinnel confidente que lé dsba es.te aviso v se dirigían sobreestá jurisdicción. La cas na !i d ad q u…</t>
  </si>
  <si>
    <t>Gándara, Felipe Argumosa</t>
  </si>
  <si>
    <t>Felipe Argumosa Gándara</t>
  </si>
  <si>
    <t>…lios y de las estancias de hospitales, en los gastos de maes Oviedo á su muger Doña Ramona González Belandres, ó al tranza, y en lo asignado para fortificación estable, de que Dr. D. Felipe Argumosa Gándara. resultaría en su concepto un considerable ahorro. Catón el censor. Nñm. a.“, reducido á variedades políticas sobre los males que experimenta la madre Patria, y sobre la El Sr. Sánchez Salvador pidió que se discutiera el dic provisión de empleos y piezas ecle…</t>
  </si>
  <si>
    <t>Gaoná, Jacinto</t>
  </si>
  <si>
    <t>Jacinto Gaoná</t>
  </si>
  <si>
    <t>…' ■■*■■■■ ' !——■wmmmmmmwmmm■————^mm Por providencia del Sr. D. J.oséf Martínez Moscqso, jaez letrado de primera’ instancia en esta muy heróicaivilla , y escribanía del miniero de D. Jacinto Gaoná y&gt; Leedles,se ha mandado citar* iiamar; y.emplíizat á los parientes, hermanos y-demás' personas que tengan derecho á. los bienes quedados por fallecimiento de Doña Josefa de Gondovía, difunta, viuda de D. Francisco Arrauté, y natural de la villa de Monforte d…</t>
  </si>
  <si>
    <t>Gaoná’y, Jacinto</t>
  </si>
  <si>
    <t>Jacinto Gaoná’y</t>
  </si>
  <si>
    <t>…o que haya lugar. Por providencia del Sr. D. Manuel Josef Rubio , del Consejo de S. M., y te jiente de corregidor de esta muy heroica villa, refrendada de su escribano del nu mero D. Jacinto Gaoná’y. Loecnes ^ sei há máridado^sacar á publica subasta una casa sita en está corte, y su calle c(e Alcalá,. señalada doh el número 5 de la. manz. 289, con accesorias a la dérCáballéro de GraclaVqué JCoin¡ptehtlesu sitio 2893 P,es cua drados superficiales, y se ha…</t>
  </si>
  <si>
    <t>Gar</t>
  </si>
  <si>
    <t>…que acrediten ñor Quiroga que de ningún modo pueden estar bien em el pago.” pleadas las armas en un hombre de esta naturaleza, y que Por último no se admitió á discusión otra del Sr. Gar mal servirían en sus manos para la conservación de la tran cía (D. Antonio), que decía asi: » ¿que deberá hacerse con quilidad. los pueblos que no puedan pagar sus contribuciones en el Los propietarios, dijo el Sr. García (D. Antonio), son rérmíno prefijado?…</t>
  </si>
  <si>
    <t>Gar-, Josef</t>
  </si>
  <si>
    <t>Josef Gar-</t>
  </si>
  <si>
    <t>…documentos y enseres que le fueron ocupados. Tendreislo entendido, y dispondréis lo correspondiente á su puntual cumpli miento. =Esrá rubricado. = Palacio 19 de Marzo de 1820.5: A D. Josef Gar-, cía de la Torre.” El Rey ha nombrado para la embajada de Londres en lugar del duque de S Carlos al duque de Frías: para la de París en el del duque de Férnan-Nuñez al duque del Parque: para la de Ñapóles en el de D. Pedro Labrador á D. Luis de Onís: para él…</t>
  </si>
  <si>
    <t>Garav</t>
  </si>
  <si>
    <t>…adre de la patria, cu dído menos de hacer la rebaja que proponía, sirviéndole yo título no creta nunca admitiría nuestro Rey , pues no de apoyo para ello la reflexión de que si el ministro Garav : era por ningún concepto inferior al Emperador de R.usia, había creído suficientes en 1817 tío millones de rs. para el cual el año de 814 se negó á recibir de¡ Senado honores cubrir el presupuesto de la Península y Ultramar, mas bien ■ y títulos lisonjeros,…</t>
  </si>
  <si>
    <t>Garavíto, Francisco</t>
  </si>
  <si>
    <t>Francisco Garavíto</t>
  </si>
  <si>
    <t>9</t>
  </si>
  <si>
    <t>9 I I 2 su buena intención y modo de pensar), encargándole hablase con Zúñiga y el presbítero D. Francisco Garavíto, á fin de que ambos se viniesen á ver , conmigo en la noche, con ebóbjeto de que'me informasen el estado de. la plaza; los puestos que cabrían los .enemigos; el número de ellos; y el motivo con que se hallaba en el puesto de S. Antonio el teniente Miguel Góme…</t>
  </si>
  <si>
    <t>Garavito, Francisco</t>
  </si>
  <si>
    <t>Francisco Garavito</t>
  </si>
  <si>
    <t>…íd.Qi^n.t&amp;’^telIos Jos gastos que se hicieron, y acompañándome el primero y últuriO: con ¡el obrje.to de estimular á los demas. Asimismo recomiendo á D. Luis Züñiga, al presbítero D. Francisco Garavito * Josef Andrés y ^.Francisco; Moren,,y Blas Válverde; pues este y JZúñiga ’ no solo &gt;se! hállacpny portaron bien* en-la ac-</t>
  </si>
  <si>
    <t>Garay</t>
  </si>
  <si>
    <t>…la comisión , pidió el Sr. Palarea, sición y la desconfianza con la falta de cumplimiento, des-, apoyándole el Sr. San Miguel, que atendida la importancia pues de haber salido el Sr. Garay del ministerio, á todas, del asumo, quedara el expediente sobre la mesa, y se seña las promesas que se.hablan hecho en tiempo de este; aña lara después día para la discusión; lo que se acordó. diendo que tendría mucha fuerza la reflexión del Sr. MarSe aprobó…</t>
  </si>
  <si>
    <t>Garay, Martin</t>
  </si>
  <si>
    <t>Martin Garay</t>
  </si>
  <si>
    <t>…ebiendo componerse de los siguientes consejeros: D. &gt; Joaquín Blake, decano, D. Pedro/Ágar, D* Gabriel Ciscar* el reverendo en Cristo Padre Cardenal de Borbon * D. Andrés García + Don Martin Garay, D. Francisco Xavier Castaños; D. Josef Mariano Almanza, D- Pedro Cevallos , el marques de Piedrablanca, D. justo.Marta Ibar-Na^ai-* ro, D. Josef Aycinena, D. Antonio Ranz Romanillos, D. Francisco Reque-. na i D. Estéban Varea,' y de los secretarios D. Josef…</t>
  </si>
  <si>
    <t>Garay, Martin de</t>
  </si>
  <si>
    <t>Martin de Garay</t>
  </si>
  <si>
    <t>…de .la Mqiiarqüía promulgada en Cádiz el año de 1812; habiendo prestado el juramento * qué la" misma previene el Excmo. Sr. marques de Lazan , capitán general de Aragón; el Excmo. Sr. Don Martin de Garay, consejero de Estado ; el Excnw&gt;. Sr. d&gt;. Antonio Amar, teniente general de ios egérettos nacionales; el Excmo. Sr. D. Antonio Tor res, mariscal de campó dé los mismos; y los Sres. D. Jpséf Blanco González, intendente y corregidor de esta ciudad; él marques d…</t>
  </si>
  <si>
    <t>García</t>
  </si>
  <si>
    <t>…ñadiendo otra* circunstancias relativas al mismo nombramiento, hay ya muchas pretendientes, Ja. mayor o! ;e;u. . ■ parte militares de buenos servicios ; y quedó aprobado. Otra del Sr. García para que con arreglo al decretó de Se aprobó igualmente el dictamen de la comisión de Le Corte: de.4 ele Enero de 1 tí 13 , :e reparta una suerte de los gislación acerca de lo expuesto en 1814 por'la diputación terrenos de propios .1 i o-, jornaleros conforme…</t>
  </si>
  <si>
    <t>…dos y cada uno de los ramos de la administra jornaleros y labradores poco acomodados de tener que pa ción p: Nica. sar á la capital por las di-pensas de proclamas para catarse. El Sr. García hizo patente el perjuicio que podia seguir Se aprobaron con separación los do; artículos del dicta se de continuar el enanco del tabaco, estando los pueblos men presentado por la comisión de Instrucción pública persuadidos de que de*de el re- tablea miento de…</t>
  </si>
  <si>
    <t>…cer la variación indicada por el ner el plan sobre la mesa para que se viera si estaba reduci Sr. Romero Alpuente, advirtiendo que en algunas provin do á un informe particular. El Sr. García manifestó ser el cias no se habia desestancado; pero creía qué podria hacer autor de la indicación retirada; y por fin se acordó hacer se general la providencia. la enmienda, diciendo simplemente que se leyó. El Sr. Vadillo, conceptuando que con decir se sobr…</t>
  </si>
  <si>
    <t>…ue tenia trabajado acerca de los establecimientos de «S. M. continúa felizmente los baños, y sigue con per que se trataba. fecta «alud con su augusta Esposa; habiéndose disuado El Sr. García hizo observar que durante la canícula es SS. MM. asistir A la corrida de toros que hoy ha dado eni mucho mayor el número de enfermos que en ninguna otra villa en su obsequio, y en que atieste vecindario, como el estación del año, y que en ella es eft la que s…</t>
  </si>
  <si>
    <t>…encíicencia, y por consiguiente Sr. Torre Marín, y otra del Sr. Ledesma , y dos indicacio creia no haber lugar á la aprobación del articulo. nes , una del Sr. Banqueri, y otra del Sr. García (D. Antonio). Otro señor diputado recordó la necesidad de que se Preguntó el Sr. Cepero si se concedía al Sr. diputado adopte esta medida para no dejar abandonadas á muchas Sandino permiso para tratar con el Gobierno. Deseando sa gentes, que acudiendo á los h…</t>
  </si>
  <si>
    <t>…guanta, pero de nada se olvida: Se leyó el acta de la sesión anterior, á la que se mandó apenas man i fiesta su interior á sus mas íntimos amigos, y agregar un voto particular del Sr. García (D. Antonio), oculta en su corazón el resentimiento que antes evaporaba contrario á la resolución tomada ayer por ei Congreso de por una expresión picante ó divertida. Sufre sin alegría el no admitir á discusión la indicación de los Sres. Desprat, peso que le…</t>
  </si>
  <si>
    <t>…la conservación de la tran cía (D. Antonio), que decía asi: » ¿que deberá hacerse con quilidad. los pueblos que no puedan pagar sus contribuciones en el Los propietarios, dijo el Sr. García (D. Antonio), son rérmíno prefijado? ¿y en este calo no gozarán del beneficio los mas interesados en el orden ; y algunos de ellos, por de la rebaja del pago de contribución?” deudores á los caudales públicos, se ven privados de los de Se dió principio á la d…</t>
  </si>
  <si>
    <t>…dades de aprovechamiento , previo examen , y la de asis del dia 9 de Julio próximo; y opinó que debia formar con tencia. preferencia al egérdto permanente; pero el Sr. conde dé El Sr. García (D. Antonio) hizo una adición, que re Toreno, para conservar la igualdad debida , fue de parecer formó el Sr. Ledesma en estos términos: «Que se extienda que alternasen el egército y la .milicia , recordando que esta jo resuelto respecto de la universidad de…</t>
  </si>
  <si>
    <t>…an instancias de individuos del egército premios militares.” También se mandó pasar á la comi ó armada que los soliciten ; y habiendo resuelto S. M., da sión de Agricultura la del Sr. García (D. Antonio) por ser conformidad con el Consejo de Estado, que la citada dis idéntica. posición de 22 de Abril se haga extensiva y egecute en to Se aprobaron artículo por artículo los seis que la comi das las provincias ultramarinas, lo aviso á V. de Real sió…</t>
  </si>
  <si>
    <t>…e habían publicado sobre el objeto, origen v trabajos de adiciones del Sr. Sotomayor sobre dotación de curas , y aquel establecimiento; y pidiendo determinase si había de otra del Sr. García (D. Antonio) para que se tenga presente continuar en sus privilegios, cor otros particulares. que en la villa de Osuna no hay mas que una parroquia fue Se dio cuenta de una representación de D. Evaristo Pe- ra del pueblo y en lo aito de una colina. tez de lía…</t>
  </si>
  <si>
    <t>…líí idi*»— c.--í v,n t ,-On -S-"1 lal~ .U*&lt;Tr»&gt;r*i*j£,w“ f —-j odiosa de que el egército ha debido mirarse como un castigo. secretaria de HACIENDA.—-Vacantes. Después que habló el Sr. García ( D. Antonio) sobre la Se hallan vacantes las administraciones principales de lo Variedad que debiera haber en las penas, con respecto á la terías en Málaga y Oviedo. -La dirección general de la Renta diferencia entre vagos, mal entretenidos Scc., y que el se…</t>
  </si>
  <si>
    <t>…los casos señalados por ln la provincia de Cuenca, sucedido én aquel pueblo. ley, ó la diputación permanente de estas. Lejos de esto En seguida se leyó la siguiente indicación del Sr. García veo haber adoptado como base el principio conocido en to Page: «Que las Corres recomienden eficazmente al Gobier da legislación, de que uo puede existir un cuerpo civil, no la viuda é hijo del difunto D. Antonio Cuartero , por eclesiástico ó de otra cualquier…</t>
  </si>
  <si>
    <t>…d eclesiástica; pues no parecia justo, votación, y se aprobó este artículo. político ni prudente expeler á todos los regulares de Espa También se aprobó el art. 12, después que el Sr. García ña, único medio que se presentaría en algunas ocasiones Page expuso que se había tomado por término medio la para salvar todos los inconvenientes. congrua de 100 ducados en la diferencia que se observaba El Sr. Cuesta hizo ver que no se trataba de un punto po…</t>
  </si>
  <si>
    <t>…el sello de la y expedientes presentados á las Cortes, y remiudos per los languidez. respectivos ministerios. «El ministro termina su circular recordando á los pre Se concedió al Sr. García ( D. Antonio), diputado por</t>
  </si>
  <si>
    <t>…ados Droia asi el art. 7.0: «En el caso de que un autor ó directamente á las Cortes, se leyó la siguiente indicación editor publique un libelo infamatorio, no se eximirá de la del Sr. García ( D. Antonio): «Que las Cortes se sirvan pena que mas adelante se establece en esta ley, aun cuando mandar pase esta indicación á la comisión que corresponda, ofrezca probar la imputación injuriosa, quedando ademas ai para que fijando la significación de las…</t>
  </si>
  <si>
    <t>…pañola, halló el orador una miento de la independencia y libertad de Europa. porción de razones para probar que existían medios, no so No se admitió á discusión una indicación del Sr. García lo para conservar la libertad, sino para defenderla, sin nece pata que declarasen las Cortes si los diputados ecle sidad de esas reuniones, que en el estado en que se halla siásticos que hay en ellas tienen obligación de residir en sus ban eran incompatibles…</t>
  </si>
  <si>
    <t>García, Andrés</t>
  </si>
  <si>
    <t>Andrés García</t>
  </si>
  <si>
    <t>…o de los pueblos, debiendo componerse de los siguientes consejeros: D. &gt; Joaquín Blake, decano, D. Pedro/Ágar, D* Gabriel Ciscar* el reverendo en Cristo Padre Cardenal de Borbon * D. Andrés García + Don Martin Garay, D. Francisco Xavier Castaños; D. Josef Mariano Almanza, D- Pedro Cevallos , el marques de Piedrablanca, D. justo.Marta Ibar-Na^ai-* ro, D. Josef Aycinena, D. Antonio Ranz Romanillos, D. Francisco Reque-. na i D. Estéban Varea,' y de los se…</t>
  </si>
  <si>
    <t>…ambos ? ¿Quién ocasio partida de 60 nombres del regimiento infanrería id de Cata nó la separación ? ¿Se dirá que hay una ley para los parti luña, 2. ligero, al mando del capí tan D. Andrés García, culares y otra para los Reyes? ¿Se dirá que el juramento después de haberte batido tres cuar:os de hora con orra de que obliga á cualquier otro individuo no te entiende con contraba..distas de 140 hombres, en el sitio del Toril viejo, un Rey? ¿Y no es cosa v…</t>
  </si>
  <si>
    <t>García, Bartolomé</t>
  </si>
  <si>
    <t>Bartolomé García</t>
  </si>
  <si>
    <t>…Conformándose las Cortes con el dictamen de la comi •alud. sión de Poderes, aprobaron los de los Sres. D. Manuel S. M. ha despachado hoy con el Sr. secretario del Des Echeverría y D. Bartolomé García, diputados por Canarias, pacho de la Guerra. y en seguida juraron y tomaron asiento en el Congreso di chos señores. CORTES. Se procedió después-4 la diicusion pendiente del proyec to de reforma de regulares, y se leyó él art. 20, que de Sesión del vg de Setie…</t>
  </si>
  <si>
    <t>…idad de la Nación. Madrid 11 de Setiembre de 1820.= dice D. AngeL Ararte!, léase París si._En la del 16, col. 4 El conde de Toreno, presidente. = Juan Manuel Subríé, lín. 10, dice D. Bartolomé García, léase D. Bernalí García. MADRID EN LA IMPRENTA NACIONAL.</t>
  </si>
  <si>
    <t>García, Bernalí</t>
  </si>
  <si>
    <t>Bernalí García</t>
  </si>
  <si>
    <t>…1 de Setiembre de 1820.= dice D. AngeL Ararte!, léase París si._En la del 16, col. 4 El conde de Toreno, presidente. = Juan Manuel Subríé, lín. 10, dice D. Bartolomé García, léase D. Bernalí García. MADRID EN LA IMPRENTA NACIONAL.</t>
  </si>
  <si>
    <t>García, Donato</t>
  </si>
  <si>
    <t>Donato García</t>
  </si>
  <si>
    <t>…den de S. Juan al caballero comendador D. Diego Escovedo, en atención á ser el mas antiguo del priorato de Castilla y León. '•— ■ -•■■■■• - . . . ¡ ... , . . -------------—■ ' ■ ~ D. Donato García, profesor de miñeralogia del museo de Ciencias, em pezará las lecciones públicas de geognosia en el Real gabinete de Historia Na tural el dia 4 de Febrero á las i i de la mañana, y las continuará todos los miércoles y víérnes que no sean festivos. La geognosi…</t>
  </si>
  <si>
    <t>García, Esteban</t>
  </si>
  <si>
    <t>Esteban García</t>
  </si>
  <si>
    <t>…rtes y oficios dados por I06 teso cabeza de provincia, como pedia se le declarare. reros é intendentes de provincia, el estado de las rentas era Se dió cuenta de una exposición de D. Esteban García muy penoso , y muy grande el contrabando. Rodenas, vecino de Navalmoral, sobre el abuso que se ñor Calculaba el déjicit en ttS millones, y opinaba que no taba de vender los monges las posesiones y demas bienes habla mas recursos para cubrirle que, r.° economí…</t>
  </si>
  <si>
    <t>García, Florencio</t>
  </si>
  <si>
    <t>Florencio García</t>
  </si>
  <si>
    <t>…empleados del antiguo.Gobierno. Igualmente se pasó á la diocesanos. miSma comisión, otra representación de D. Angel Sagaceta Se mando pasar al Gobierno., como opinába la combion y D. Florencio García, para que se les declare como ce de Hacienda, la representación de los sexmeros de- Sepulsantes. . . ■ veda, para la abolición de un.derecho que pagan;por-equi A la de Infracciones de Constitución se pasaron varias valente al voto de Santiago, y A ella se uni…</t>
  </si>
  <si>
    <t>García, Francisco</t>
  </si>
  <si>
    <t>Francisco García</t>
  </si>
  <si>
    <t>…estos gloriosos acontecimientos, y la 'casa tío niños y niñas, y tres hombres casados, con solo colocación de la lápida , la cual en la tarde del día 14 fue la ayuda del cirujano D. Francisco García&gt; preservándoles conducida en un carro dispuesto al efecto con elegancia , al por este medio de la plaga tan perniciosa ae las viruelasque acompañaban el ayuntamiento, el comandante general, ¡Cuán persuasiva no será la voz de este digno sacerdote, plana mayor,…</t>
  </si>
  <si>
    <t>García, Francisco Rodríguez</t>
  </si>
  <si>
    <t>Francisco Rodríguez García</t>
  </si>
  <si>
    <t>…como 2. a «Que tanto estos repartimientos como los que á constancia y laudable zeio, les ha enseñado su catedrático consecuencia de ellos hagan las diputaciones provinciales, las D. Francisco Rodríguez García. cabezas de partido y pueblos de su distrito, se impriman y Los 20 premios repartidos consistieron en las obras de Hu publiquen.” go Blair, Muratori, Iriarte y varias de la academia española, Se admitieron ambas , y se procedió á la discusión de la las mas á…</t>
  </si>
  <si>
    <t>García, Josef</t>
  </si>
  <si>
    <t>Josef García</t>
  </si>
  <si>
    <t>…n su acuerdo. Téndráse entendido en todo el reino, adonde se comunicará para su pronta inmediata publicación y cumplimientos Está rubricado, as En Palacio á 9 de Marzo de 1820.= A D. Josef García de la Torre, w EN LA IMPRENTA NACIONAL.</t>
  </si>
  <si>
    <t>Gaceta de Madrid n.º 35 (extraordinaria)</t>
  </si>
  <si>
    <t>…e de ella emanan, y esta blecen el modo y forma de verificar dichas elecciones. Tendreislo entendido, y dispondréis lo necesario á su cumplimiento. Palacio 9 de Marzo de 1820. = A D. Josef García de la Torre. =Está rubricado.” Asimismo S. M., de acuerdo con la Junta provisional, se ha servido ex pedir los dos decretos siguientes: ^ i.° ,, Exigiendo la marcha de los negocios en estas circunstancias extraor dinarias , que se pongan al frente de las inst…</t>
  </si>
  <si>
    <t>…r la Junta de censura, que deseo se instale sin demora." íTetidréislo-enténdiHb, y dispondréis lo necesario á su cumplimiento. = Está rubricado. = Palacio io d? Mar^o dt 182.0, =A D. Josef García de'la Torre." j f ¡ ;-7 ';"/r ' ’• ,:ry 4 -ir . .* •fqi.'i -u. '-ir :&gt;t í.}L:c.r i « ¡1 í. i l . ■■ '■ ; •‘ y • iJ., 1 . . ' 1J: ': ' ! . / .d • ' r • - : '!. ■ r [ r ■ - « . •/ / • &lt; &gt;1 i y r . r ! i Vi V * ¿-*t ; f !' i ' i • ^ t f: &gt; * ri I - f i v i ■' i.…</t>
  </si>
  <si>
    <t>…Estado- y del Despacho de Gracia y Justicia, he venido en. nombrar interinamente para esta secretaría , y mientras se arreglan los minis terios del Despacho como deban de estar, á D. Josef García de la Torre, fiscal del Consejo ,y. Cámara. Tendreislo entendido, y lo comunicareis á quienes corresponda.. Palacio 9, de Marzo de 1820. = Está rubricado..”' Asimismo ha dirigido S. M. con fecha de. 9 del actual al duque de San Femando el decreto siguiente t</t>
  </si>
  <si>
    <t>…enido, con acuerdo de la Junta provisional, en restablecer estos dos ministerios, y en encargar inte rinamente el Despacho del primero al Secretario interino de Gracia y Justi cia D. Josef García de la Torre, y el del segundo á D. Antonio González Salmón, Secretario del pespapfcpfdp ^n^rejlsfo entendido, y-dis-</t>
  </si>
  <si>
    <t>…íeles al Rey á los expresados Sres. Infantes, al Sr. cardenal presidente de la Junta, y á los ■Sres. Secretarios :de Estado los Excmos. Sres. duque de S. Fernando y de Qui-&gt; roga, D. Josef García de la Torre,.D. Josef Alós y D. Antonio González Salmón. Eri seguida el Srf cardenal recibió el juramentó á los Sres. vice-presidénte de la Junta el Excmo. Sr. D. Francisco Ballesteros &gt; á los demas vo cales de ella los limos. Sres. D. Manuel Abad y Queipo, o…</t>
  </si>
  <si>
    <t>…prevenido en decreto-: de las-Cor tes generales y extraordinarias' de la misma fecha. Tendreislo entendido, y dispondréis lo necesario á su cumpli miento. sé Está rubricado, sz A- D. Josef García de la Torre. = Palacio 14 de Marzo de’18 ¿o.” c: Por el ministerio de la Gobernación de la Península ha expedido el Rey1 los decretos siguientes: 1. ° ,,Para que la Constitución, política de la Nación española, sancionada en Cádiz por las Cortes generales y e…</t>
  </si>
  <si>
    <t>…ue se hallen instalados los ayun tamientos constitucionales. Tendreislo entendido, y dispondréis lo necesario 4 su cumplimiento. Palacio 14 de Marzo de 1820. p=Está rubricado. = A D. Josef García de'Ja Torre.” , • , 2.0 ,, Con arreglo i lo prevenido en la Constitución política deja moparquía española y decretos de las Cortes, conformándome pon el dictamen dq la Junta, he resuelto que cese inmediatamente-en el egercicio de sus funcio-, nes la sala de a…</t>
  </si>
  <si>
    <t>…sco Calvet y Rubalcava, que fueron llamados en clase de consultores; y por pri mera diligencia me nombraron presidente de la junta, y por secretario ai ayu dante mayor de la plaza D. Josef García. En seguida resolvió la junta que se depusiese al gobernador del mando militar y político, el que me fue confe rido en calidad de interino, y mientras que V. E. ú otra superioridad com petente no dispone otra cosa: acepté el mando, y estoy egerciendo ambas fu…</t>
  </si>
  <si>
    <t>…es decretos de las Cortes generales y extraordinarias. Tendréis lo entendido, y dispondréis lo correspondiente á su' cumplimiento. Palacio 20 deMarzo de 1820. = Está rubricado.= A D. Josef García de la Torre.” 2.0 j,Habiendo tomado conocimiento del estado en que se halla la impresión del papel sellado para las provincias de la Península y de Ultramar, con el fin de que en lo sucesivo se-haga con-el mismo-leraa que se adoptó después de sancionada la Co…</t>
  </si>
  <si>
    <t>Gaceta de Madrid n.º 61 (extraordinaria)</t>
  </si>
  <si>
    <t>…y pena por que justamente lloren la pérdida de sus padres y allegados Tendreislo enten dido para su publicación y cumplimiento. ~ Está rubricado, sz Palacio 3 de Abril de 1820.=A D. Josef García de la Torre.” !¡L/ :*i 2.0 ,, Deseando mi paternal corazón apartar los obstáculos que se oponen de todas partes á los progresos de la agricultura española y proporcionarla cuantos alivios necesita para su fomento y ventajas de que^ es susceptible por la ferac…</t>
  </si>
  <si>
    <t>…a suerte á que aquella catástrofe les haya re ducido. Tendreislo entendido, y dispondréis lo correspondiente á su cumpli miento. ss Está rubricado. =JPalacio 3 de Abril de 1820.=A D. Josef García de la Torre.” EN LA IMPRENTA NACIONAL.</t>
  </si>
  <si>
    <t>…............. " a^ti cuta :a e* ofició. ' . ÍJ J i: i'.', . .. ‘ I t\ El Rey ha expedido el decreto siguiente: ,,Teniendo en consideración los distinguidos servicios y méritos de Don Josef García de la Torre, y.el muy particular,que ha contraído en el despa cha de la Secretaría: de Gracia y Justicia, qüe iiTterinarhcníé puser á su /cui dado* y que ha desempeñado á toda mi satisfacción, he venídd en, coñce^ derle los honores del Consejo de Estado, nomb…</t>
  </si>
  <si>
    <t>…i y i c&gt; de Julio de 1813. Tendreísio entendido ^y dispondréis su cumplimiento, hacién dolo publicar y circular.^Rubricado,de 1a- Real mano. En Palacio á 13 de Abril de 1820. = A D. Josef García de-la Torre/’ El Rey ha «tenido fe mayor,satisfacción si -^Vv? fas p ruchas de- jubilo y aprecio: con que se ha&gt;recibfidb éafdaspprovtncÍ¿s su Reall decretó ?'códvocandó ¿ Cortes ordinarias paradas años de 1820 y r82C,y el manifiesto dé la Jun ta provisional…</t>
  </si>
  <si>
    <t>…para que lo tomen éri consideración. Tendreislo entendido, y dispondréis lo correspondiente á su cumplimiento. = Rubricado de la Real mano. =r En Palacio á 20 de Abril de 1820.=A Don Josef García de la Torre.” 2.0 „ Convencido mi Real ánimo de los justos motivos que excitaron á los ordinarios diocesanos en la época pasada de la incomunicación cón la silla •apostólica á reasumir la potestad que les compete , y que en uso de la pleni tud desús facultade…</t>
  </si>
  <si>
    <t>…e abinttestatp ; Con apercibimiento que pasado se le- datá1 tel1 cursó cbrrespbhdiehté'éiv justicia. ' T - • ¡ ^ # r Por Real orden-que con fecha *1 del. pisada comunicó el Excmo. Sr. D. Josef García dé la: Torre, secretario- dé Estado» y&gt; dtel 'Despacho de Gracia y Justicia, al' señor juez interventor de la. casa y estados: del Excmo. Sr. duque de Tamarnes, se hg servido-S-iM. mandar cese dicha intervención-, como no compatible al sistema ac tual^ debién…</t>
  </si>
  <si>
    <t>…s, tan usado en las naciones extrangeras como eficaz y sencido medio para criarlos sanos y robustos. Se hallará á 4 rs. e* 1* librería de Sojo, calle de las Carretas, y en casa de D. Josef García, cirujano den tista en la misma calle, esquina á la de Majáderitos, núm. 10, cuarto 2.0, donde vi vió también el expresado autor. Tratado.de la circulación artificial de la moneda por medio de un crédito públi co verdadero*. En esta obfita se establecen los p…</t>
  </si>
  <si>
    <t>…e el cura lo manifestaba, que no habia tratado ni convenio alguno vicario de esta ciudad D. Francisco Sitchyar y su teniente que obligase á este reino á desavenirse con la España. D. Josef García trabajan incesantemente y con un zelo ilus Lord John Russel manifestó quedar satisfecho con la res trado para desterrar de sus feligreses la ignorancia, y radi puesta del noble lord. car en ellos los sanos principios constitucionales, de que ha de derivarse s…</t>
  </si>
  <si>
    <t>…acho de la Guerra.” conquistados por las artes de la Europa, le bastará el tiem Nota que se cita en el oficio anterior. po solo para extender sus progresos, y realizar su triunfo. D. Josef García, vecino de Piedrahita; Policarpo Ca (Se continuará.) brera, cabo i.° del provincial de Segovia. Regimiento de Barbón. Cabos. Juan Santos, Manuel Salineros, Anselmo García, ANUNCIOS. Antonio Carros. Soldados. Manuel Fernandez, Manuel Reina, Alfonso Mercurio de…</t>
  </si>
  <si>
    <t>García, Josefa</t>
  </si>
  <si>
    <t>Josefa García</t>
  </si>
  <si>
    <t>…emadura-, una tablecerse , la cual concurrirá eficazmente á este saludable reclamación de D. Josef:Garrido , vecino de Cartagena, vo objeto. cal de su junta de sanidad , y otra de Doña Josefa García de El amor á las nuevas instituciones que tanto se ha ma Xiinenez contra el capitán general de Granada por la pri nifestado en esta ciudad , no ha hecho olvidar a los aman sión q te sufre im hijo suyp. - v tes de la literatura lo que esta exige en honor de la Nació…</t>
  </si>
  <si>
    <t>García, Juan</t>
  </si>
  <si>
    <t>Juan García</t>
  </si>
  <si>
    <t>…ujano de dicha villa de Zaorejas: destino, y el que correspondía á su jubilación.” su dotación too fanegas de trigo, casa de.balde, y lo que pa A consecuencia de una exposición de D. Juan García guen tres eclesiásticos. Se dirigirán los memoriales francos de porte por Molina de Aragón á D. Manuel Gonzalo Barcena,Arias , en virtud de un exhorto del juez de primera instan escribano del ayuntamiento de dicha‘Villa; en la inteligencia decia de Buítrago,…</t>
  </si>
  <si>
    <t>…no se di rigiesen sino contra alguna otra disposición ó principios de TRIBUNALES. los establecidos en la Constitución, sin persuadir que no se En la causa criminal, seguida por el Sr. D. Juan García debe observar, será castigada con una multa de 10 á 500 Arias, ministro togado y juez de primera instancia en est* duros, ó si no tuviese bienes, con una reclusión de ;un mes corte, contra D. Juan Bautista de Campos, autor’del papel hasta dos años, al prudent…</t>
  </si>
  <si>
    <t>García, Manuel</t>
  </si>
  <si>
    <t>Manuel García</t>
  </si>
  <si>
    <t>…garantía qúe podía ofre diente á sd cumplimiento. = Rubricado de la Real mano. = cerse; se repitió la lectura del irrfonnede las comisiones j y En palada a ó de Julio de 182c. = A D. Manuel García quedó aprobado; ' b ' Herreros." El Sr. Martínez dé lá Rósá indicó qúe se diesen graóias en norhbre de la Naclo'ñ á los que habían suscrito al em Expostcim de ta Junta, suprema gubernativa d S. AI. préstito sin ínteres; pero habiéndose.hecho presente' por los…</t>
  </si>
  <si>
    <t>…e Ju Capellanía de D. Diego A¿lo v Podamartinez. lio último exámenes públicos de la de niños pobres de la Una pieza de tierra de pan traer, de 3 robos, 11 almumisma , al cargo del profesor D. Manuel García de la Madrid. des, en el campo de Rabótales. Los niños, en número de 18 pobres y 4 pudientes , mani Otra pieza de 6 robos en Mosquera. festaron los adelantamientos que habían hecho en la doctrina Capellanía de Ana María Martínez. cristiana, primeras letras, a…</t>
  </si>
  <si>
    <t>…vidado con un armisticio, cu circule. = Está rubricado de la Real mano. = En S. Loren yo objeto parecía ser la paz de América; pero un armisticio zo á 20 de Noviembre de 1820. = A D. Manuel García semejante , sin ofrecer siquiera el reconocimiento de nuestro Herreros. gobierno, es demasiado perjudicial á los intereses de la re pública , cuando ella se lisonjea de un triunfo final y com Capitanía general del egército expedicionario pleto según todas ¡as…</t>
  </si>
  <si>
    <t>…los viages. jamas me canso de leerla, con espe en ty de Noviembre de 1820 en ios autos de concurso de cialidad el primer volumen.” = El Sr. Filangieri cita en muchos acreedores á D. Manuel García, de este comercio , se manda ci pisages de sus escritos al rector de la universidad de Editn- tar, llamar y emplazar á cuantos se consideren con derecho á la bourg por punto de apoyo de su doctrina. masa de la anunciada quiebra, para que en el término de la L…</t>
  </si>
  <si>
    <t>García, Pedro</t>
  </si>
  <si>
    <t>Pedro García</t>
  </si>
  <si>
    <t>…del Sr. Navas, que decían asi: Se aprobó el dictamen de la comisión de Premios, la cual, 1. a «Que lo acordado en favor de Aragón se extienda en visra de la solicitud y méritos de D. Pedro García de á las provincias que se hallen en el mismo caso. Gradocondo, cura párroco en Vizcaya, opinaba se le re 2. a «Que en consecuencia se releve á todos los pueblos comendase eficazmente al Gobierno para que, bien por una del obispado de Osma de los cuatro rtirs…</t>
  </si>
  <si>
    <t>García, Ramos</t>
  </si>
  <si>
    <t>Ramos García</t>
  </si>
  <si>
    <t>…blico se indemnice con otros arbitrios , y cese el pago eu ■ Leida-y aprobada el acta del día anterior, se mandó agre vales que se permitía con este motivo. gar A ella el voto del Sr. Ramos García, contrario A lo dis 7.0 «Que se den recibos ó cartas de pago, intervenidas puesto en la ley del máximum'. por la contaduría, de los derechos que se adeuden y satis- Se leyó un oficio del Sr. secretario de la Gobernación de ragamen la importación y exportación…</t>
  </si>
  <si>
    <t>…pellanías” se añadiera «vacantes ó que vacaren como vincia'.” habia propuesto el Sr. Oohoa ; y en suprimir, á petición El Sr. conde de Toreno manifestó que esta adición , sin "del Sr. Ramos García, estas «patrimonio laical y;” con producir ninguna ventaja á los acreedores ultramarinos , po cuyas variaciones se aprobó esta declaración. día disminuir las esperanzas de los europeos, por lo que si Se aprobó también esta indicación del Sr. Ramos Aris se con…</t>
  </si>
  <si>
    <t>Garda, Josef</t>
  </si>
  <si>
    <t>Josef Garda</t>
  </si>
  <si>
    <t>…as Cortes, generales y extraordinarias de 17 de Abril de 1812. Tendreislo entendido, y dispondréis lo necesario á su cumplimiento. Palacio 12 de Marzo de 1820. = Está rubricado.=A D. Josef Garda de la Torre.’* 2.0 ,, Deseando dar á la administración de justicia la actividad que exige el orden público y los benéficos principios sancionados en la Constitución po lítica de la monarquía española, y siendo uno de los medios mas conducentes para realizar e…</t>
  </si>
  <si>
    <t>Gardoqui, Francisco Xavier Antonio</t>
  </si>
  <si>
    <t>Francisco Xavier Antonio Gardoqui</t>
  </si>
  <si>
    <t>…151; por las terceras j6; por las cuartas 56; por las quintas 8, y por motivos desconocidos 50. Escriben de Roma que él 27 de Enero último falleció en aquella ciudad el presbítero cardenal D. Francisco Xavier Antonio Gardoqui. Nació en Bilbao en 9 de Octubre de 1747 , y en 181Ó obtuvo el capelo. ' De la misma ciudad escriben que una aldeana de la Sabina, de edad de 61 años y 14 dias, había dado á luz dos gemelos después de 9 años que ño había tenido hijos. ESPAÑA. Míxuo % de Octub…</t>
  </si>
  <si>
    <t>Gardoqui, Josef de</t>
  </si>
  <si>
    <t>Josef de Gardoqui</t>
  </si>
  <si>
    <t>…ndo otros de voluntarios, podrán ó no Por muerte de Doña Rosa O-Reylli y de las Casas, viu usar en todos los actos del servicio, y con el uniforme de da del intendente de egército D. Josef de Gardoqui, minis la milicia nacional, de sus respectivas graduaciones de egér tro que fue en el consejo supremo de la Guerra, se han forma cito, y cómo deberán ser juzgados por las faltas que puedan do autos de testamentaría en el juzgado de J3 capitanía general comete…</t>
  </si>
  <si>
    <t>Gareii</t>
  </si>
  <si>
    <t>…ado dos años sin adoptarle,. hasta que se mandó expre Se leyó y aprobó el acta de la sesión anterior. En se samente. guida la lista de los individuos nombrados pava la comisión El Sr. Gareii dijo que la universidad de Valencia, elu especial destinada á examinar, conforme á lo propuesto por diendo el cumplimiento de las órdenes, siguió en la en el Sr. Calatrava , los decretos y resoluciones de S. M. en los señanza por el plan de 1807 , hasta que s…</t>
  </si>
  <si>
    <t>Gareíi</t>
  </si>
  <si>
    <t>…dena, cuya apelación se -ha sustanciado -con empiece el pago de la'dotación de la Casa Real." Y tam pruebas por parte de dicho Rodrigo , Juan de Dios Brieba, bién otra adición del Sr. Gareíi á la indicación del Sr. Mar su procurador , "y el fiscal de esta audiencia.^:Vistos &gt;&amp;c =: tínez de la Rosa del día anterior. Fallamos que debemos confirmar y confirmamos la sentencia Anunció el Sr. Calatrava que la comisión de Legislación -dada por dicho jue…</t>
  </si>
  <si>
    <t>Garelí</t>
  </si>
  <si>
    <t>…poca en que re resultaría de la circulación del Diario, en lo que principal gían las suaves leyes constitucionales con la inseguridad de mente se fundaba la comisión , se opuso el Sr. Garelí en los años que la siguieron, no obstante que habían renacido el concepto de que se trataba de reformar ó hacer una al las leyes y el régimen tan apetecido por cierta clase de per teración en la ordenanza de correos de 1794, en el de ser sonas. Hizo ver el ab…</t>
  </si>
  <si>
    <t>Gareli</t>
  </si>
  <si>
    <t>…er á las Cortes trataba las proposiciones hechas posteriormente ; y en efec otros sugetos que reemplazasen á aquellos. to se acora 5 expedir el decreto propuesto en el dictamen El Sr. Gareli manifestó que en Valencia habia aconte aprobado de la comisión de Hacienda sobre nulidad de cido lo mismo, poco mas ó menos, que en las demas pro privilegios, sin esperar la resolución de las proposiciones vincias ; y que por fin reconociendo solo en las Cort…</t>
  </si>
  <si>
    <t>…lgunos que hayan ser Se leyó y aprobó la siguiente indicación del Sr. Martí vido muchos años en otro antes del que desempeñaban ú i ti nez de la Rosa despees de haberla apoyado el Sr. Gareli, y mámente, y podrían quedarse sin la recompensa á que fue hablado el mismo autor: «Siendo contra los principios del sen acreedores. También habite! Sr. Romero Alpuente en derecho canónico que los eclesiásticos reman dos ó mas be el mismo sentido que los preo…</t>
  </si>
  <si>
    <t>…habla estado esperando lo propusiera algún mitirán al Gobierno, y cuidando de su restitución, hasta eclesiástico. que las Cortes resuelvan sobre este punto lo que tuvieren por Ei Sr. Gareli, conviniendo en la necesidad de una refor mas conveniente.” ma , solicitó con el objeto de no chocar con la opinión, y Pidió el Sr. Arrieta que se restableciera igualmente la de que se creyera que se trataba de una extinción total, que cátedra de derecho natu…</t>
  </si>
  <si>
    <t>…sumamente reprensible y criminal esta ig Se leyó por segunda vez la siguiente proposición del noraría’:i que se pretexta. Sr. Moreno Guerra, que había reclamado el Sr. Oehoa en E! Sr. Gareli dijo que la discusión giraba sobre lo que la sesión de ayer: «Pido que las Cortes egecuten el art. 116 se llama el cuerpo de delito, que es medio para encontrar del reglamento para completar el Consejo de Estado, con al delincuente; pero que sin embargo no si…</t>
  </si>
  <si>
    <t>…res dias pre eos contra los incendios; y parece que este proyecto se cisos. realizará muy pronto. Las condiciones consisten en confor Después de aprobado este i.° artículo dijo el Sr. Garelí marse con los estatutos de la compañía, pagár anualmente que se debería poner uiia adición ,, con respecto á los gitanos, uno por mil del valor de Jas propiedades aseguradas ; un laque el Sr. presidente le advirtió podría traer por escrito cuarto por mil cada…</t>
  </si>
  <si>
    <t>…iones que habían y licencia; que extrañaba se hubiese llamado la atención de causado su venida. las Cortes por un Sr. diputado sobre- up , punto que creía , Empezó Ja discusión el Sr. Gareli diciendo: «Meabspropio del Gobierno en un-caso de peligro-, y que se debía • • tendría^ dé hablar si no conviniésemos antes en el hecho , el oir antes al ministerio acerca de cuáles fuesen los abusos hasta cual se halla consignado en las actas del Congreso, p…</t>
  </si>
  <si>
    <t>…s ganados trashumantes, y sobre medios de conseguir autoridad eclesi ¡stica en la parte que le correspondiese; y la mayor finura en nuestras lanas; y habiendo dado princi otro del Sr. Gareli, en que proponía también, entre otras pio á la discusión del proyecto de ley, que habia redactado variaciones del proyecto, la reforma de monges, sin supri la comisión en seis artículos, se aprobó después de algunas mirlos absolutamente, prescindiendo de ¡o q…</t>
  </si>
  <si>
    <t>…residente señaló para su dis oficio del mismo ministerio, participando que cuando se le cusión el día 18 á primera hora. comunicó el decreto de las Cortes para que la marina ma El Sr. Gareli, individuo de la comisión especial encar se los cáñamos del reino, lo había ya mandado el Rey, y se gada de dar reglas para que los ciudadanos puedan emplear •estaba egecutando, con otros particulares relativos al mis se en discusiones políticas, evitando los…</t>
  </si>
  <si>
    <t>…vida contemplativa, incompatible con Para prueba de que el Gobierno español, no solo ahora, el bullicio del mundo. sino siempre, ha conocido sus facultades, y' las ha sostenido El Sr. Gareli se levantó para advertir dos equivocaciones con vigor, citó las contestaciones entré el Sr. D. Carlos m que se advertían en el proyecto impreso que se habia repar y la corte de Roma con motivo de la expulsión de los je tido. Una en la colocación que se habia…</t>
  </si>
  <si>
    <t>…r al Gobierno, para que en consideración derarse como de una misma orden y reunirse en un con al mérito que pudo contraer en dicha época y los particu vento; á lo cual contestó el Sr. Gareli, que la comisión re lares de' su carrera , le colocase donde creyese conveniente. putaba por órdenes diferentes aquellas cuyos religiosos te Asimismo' fue aprobado otro de la misma comisión,' nían diferentes trages y estatutos. acerca de la representación del…</t>
  </si>
  <si>
    <t>…á res supuesto referido; y en ella los Sres. ministro de Gracia y tablecer su salud. Justicia, Giraldo, La anta, Golfín, Florez Estrada, Eche Se leyó la ¡-¡guíente indicación del Sr. Gareli; &gt;»$in per varría . Martínez de la Rota, ministro de Hacienda, Bejuicio del dictamen de las comisiones encargadas de exami nirez y Si!ves. imp gnaudo unos en parte, otros en el todo nar las representaciones de los presos de Valencia, excítese el d:camende la…</t>
  </si>
  <si>
    <t>…suspendido, se leyó, y que amajade todos ios franceses, y reproducen continuamente las dó aprobado. ideas de grandes propiedades , superioridades sociales, Se leyó una adición del Sr. Gareli á la indicación del mayorazgos, y otras instituciones desechadas por nuestras Sr. Cepero ( véase la sesión de ayer), que decía asi: «Se costumbres y por el e'píritu del siglo. Aquellos insultan rehabilitan civilmeate para la testamentifaccion activa y pa con…</t>
  </si>
  <si>
    <t>…riormente: durante sus campañas en la Pe A la segunda de Legislación y Salud pública se mandó nínsula habian conocido los beneficios de una Constitución, pasar una proposición del Sr. Gareli, relativa á que debienque no disfrutaban en su patria: habian combatido en unión do los españoles contribuir con igualdad, según sus respeccon los españoles, bajo las banderas constitucionales, y es tivas facultades, se quitase el derecho que pagan los botica…</t>
  </si>
  <si>
    <t>…creía que la comisión no tendría in la discusión sobre el dictamen de la comisión de Socieda conveniente en aprobar. des parrióticas con la lectura de los siguientes artículos El Sr. Gareli, apoyando el dictamen de la comisión, propuestos por la misma. dijo que por su parte no creía que esta se había excedido de 1.“ «Todos los españoles tienen libertad de hablar de sus facultades, como habia dicho elSr. Moreno Guerra , sino los asuntos públicos,…</t>
  </si>
  <si>
    <t>…tad de hablar de lo* Continuando en seguida la discusión sobre el dictamen asuntos públicos, y habiendo dejado de ser convenientes relativo á sociedades patrióticas, se levantó el Sr. Gareli para las reuniones de individuos, constituidas y reglamentadas vindicar á la comisión de las imputaciones hechas áesta por por ellos mismos bajo dos nombres de sociedades, confede algunos señores, lo que verificó haciéndose cargo de cada raciones, juntas patr…</t>
  </si>
  <si>
    <t>…a enseñanza de esta para las nueve universidades que S. A. R. continuase auxiliándole en los negocios , por lo que dio este gracias á su augusto Padre ; y habiendo res mayores. El Sr. Gareli manifestó que tratándose en el plan de es pondido también el presidente á S. M., se renovaron los tablecer dos cátedras de gramática castellana y latina, po aplausos. Después se acercó al trono el general en gefe y día entenderse de dos modos; el uno que se e…</t>
  </si>
  <si>
    <t>…y establecimiento de tina Fuerza armada, leyó el proyecto de organización general treintena, dirigida á las Cortes en 23 de Agosto de 1820. Se ó ley constitutiva del egército. El Sr. Gareli pidió que, vende en las librerías de Castillo y de Ranz. atendida su perentoriedad, se discutiera con preferencia á todo Ensayo sobre la investigación y causas de las riquezas de las na otro asunto; el Sr. Moscoso reclamó también la urgencia ciones relativame…</t>
  </si>
  <si>
    <t>…cepto abolido, cual era el descuento de inválidos, y otros se ha para no deferir á lo propuesto por algunos señores. bian agregado al presupuesto general de rentas, cuales eran El Sr. Gareli, conceptuando que el empezar á abrir las la tercera parte pensionable de las mitras, y la mitad del pro causas á los que persiguieron á los patriotas era una medi ducto del indulto cuadragesimal, quedando únicamente el da contraria al espíritu é ínteres del a…</t>
  </si>
  <si>
    <t>Garguilo</t>
  </si>
  <si>
    <t>…de la patria , y que en n. estra antigua Consti- tada en un cañón en los brazos de Burga mi, como lo había t 'don se harán las reformas que exi.an ios verdaderos inte asegurado el capitán Garguilo ; y en fin que cuando la Prin reses de la nación. Los vocales de la Dieta merecen del pú cesa dormía sobre cubierta, la condesa de Oldi dormía en blico un concepto que no permite dudar de sus buenas dis el mismo pabellón , el cual tentados separaciones, que s…</t>
  </si>
  <si>
    <t>Garrete, Rafael</t>
  </si>
  <si>
    <t>Rafael Garrete</t>
  </si>
  <si>
    <t>…ntra estos nuevos enemigos; pero quedan 45,925: D. Josef Francisco Ixart y Pí del 45,802 : D. Juan do expuesta á los ataques de los extrangeros y de los de Angel Ortiz del 51,489: D. Rafael Garrete del 52,819: Don lawares. Para salir de este apuro discurrieron los iroque- Josef Corminas del 52,890 : Doña Vicenta Conde y Puente del ses un medio que supone una profunda sagacidad política. 53&gt;52°- 53 &gt;5 '-7 &gt; 53-S-P y 53-5-17= D. Mariano Siguen del Entre e…</t>
  </si>
  <si>
    <t>Garrido, Antonio</t>
  </si>
  <si>
    <t>Antonio Garrido</t>
  </si>
  <si>
    <t>Gaceta del Gobierno n.º 164</t>
  </si>
  <si>
    <t>…do aun un resto de la que daba agua zón y matemáticas puras que tiene establecidas, otra de mezclada con ácido hidroclórico. He aqui, Señor, la ex idioma ingles, á cargo del socio D. Antonio Garrido, plicación del error cometido por el autor del artículo en el quien dará lecciones los lunes, jueves y sábados desde seis diario. Sacó una consecuencia falsa de un3 justa observación á siete de la noche, debiendo empezarlas el dia 11 del hecha por V. A. R. ac…</t>
  </si>
  <si>
    <t>Garrido, Josef</t>
  </si>
  <si>
    <t>Josef Garrido</t>
  </si>
  <si>
    <t>248 , Por disposición del Real tribunal del consulado de Málaga, en los autos de concurso que siguen á la masa de D. Josef Garrido, de este'comercio, ante su es cribano D. Juan Miguel Gutiérrez, se citan y emplazan por el término de 30 días, contados desde la publicación de.este anuncio, á los acreedores de dicha masa, para que por sí ó por sus apoderados se presenten en aquel tribunal á…</t>
  </si>
  <si>
    <t>…se actué y resuelva, el perjuicio que haya lugar. ( Por disposición del tribunal del consulado de comercio de Málaga en los autos de concurso que se siguen á la masa de bienes de D. Josef Garrido ante su escribano D. Juan-Miguel Gutiérrez, secitan nuevamente y emplazan por el término de 30 c|ias| contados desde.esta publicíjp.i.Qn^á -los acreedores de dicha masa? para que por sí ó .por medio de sus apoderados se presenten en dicho tribunal á pedir Iq…</t>
  </si>
  <si>
    <t>Garrido, Manuel Antonio</t>
  </si>
  <si>
    <t>Manuel Antonio Garrido</t>
  </si>
  <si>
    <t>…gen para los casos que se voten. Soto: para el de Valdepeñas i D. Agustín Fr ncisco de 5. “ Si las juntas parroquiales para las elecciones de ayun Cuenca ; y para el de Infantes á D. Manuel Antonio Garrido. tamientos pueden dirimir las dudas que se susciten sobre SF.CRETA.RIA DEL CONSEJO DE ESTADO. las calidades de los concurrentes á la votación, y si lo que decidiesen se egecutará sin recurso. Se halla vacante una ración de la catedral de GuadilajaResolución.…</t>
  </si>
  <si>
    <t>Garro, Juan de Mata</t>
  </si>
  <si>
    <t>Juan de Mata Garro</t>
  </si>
  <si>
    <t>…sufra dilación el servicio y despacho de las urgentes obligaciones de dicha Contaduría mayor,he venido én habilitar para las funciones de presidente de la misma al decano que era D. Juan de Mata Garro: para contadores mayo res á D. Nicolás de Oramcndi, D. Sebastian de Jócano, l&gt;. Carlos Espinosa, ¡IX Pabtet,Ruiz de la Bastida y íX Esteban Palacios, y que en cuanto á- las -demas clases de contadores, secretario y otros individúes de que debe com;*ponerse la…</t>
  </si>
  <si>
    <t>Garsi, Jacobo Joaquin de</t>
  </si>
  <si>
    <t>Jacobo Joaquin de Garsi</t>
  </si>
  <si>
    <t>…dieron las dispensas ción , sino la averiguación del reo y aplicación de la pena; siguientes: pero no la declaración abstracta , y aun hipotética, de que A D. Mariano Llórente y á D. Jacobo Joaquin de Garsi se habia hecho tal cosa, se habia infringido la Constitu ceran la falta de edad para revalidarse de médicos; yá Don ción , sin decir ni indagar quién fuese el infractor. Josef Blanco Moreno la de seis meses para examinarse en La comisión, continuó, no creía q…</t>
  </si>
  <si>
    <t>Garviso, Vicente</t>
  </si>
  <si>
    <t>Vicente Garviso</t>
  </si>
  <si>
    <t>683</t>
  </si>
  <si>
    <t>…por medio de los Por el ministerio de la Guerra se ha comunicado la Real Correspondientes libramientos, que les expedir &gt;n en México Don orden siguiente: Ramón Martínez Arellano y D. Vicente Garviso, que viven Hallándose vacante el empleo de teniente de Rey de la en dicha ciudad ,• portal de Agustinos, casa núm. t; advirtiendo píazade Vaiiacíoiid, provincia de Castilla la Vieja, corres a! mismo tiempo, que pendiendo la conclusión de dichos con pondiente…</t>
  </si>
  <si>
    <t>Gas</t>
  </si>
  <si>
    <t>…secu En la extracción de la primitiva lotería nacional, egelarización. ' cutada en la tarde de este dia, han salido por el mismo or El ir. Villanueva pidió que á la indicación del Sr. Gas den con que aq.ú se anotan los cinco números siguientes: eo del día 2 :e pusiera la adición siguiente: ,, siempre que 55, 87, 68 , 5 2 y 86. «la ¡ itisdfccion eclesiástica no haga su deber,” la cual en Eli premio de 2500 rs. vn., concedido en todas las ex sce…</t>
  </si>
  <si>
    <t>Gasaseca</t>
  </si>
  <si>
    <t>…n hizo una indicación , que no fue admiti que hubiese quien sostuviese unos principios tan erróneos da, para que se exceptuasen las dos casas de padres agoni como habia sentada el Sr. Gasaseca, explicó , cuál era la zantes de Madrid, por la utilidad que prestan espiritual y; obligación de los votos religiosos : en-qué consistía la del dere temporalmente al pueblo. cho divino con respecto áDíos que los aceptaba, y'cuál era Se aprobó el art. 15. «La…</t>
  </si>
  <si>
    <t>Gascoigñe</t>
  </si>
  <si>
    <t>…violencias á las suyas. En el escrutinio de las elecciones de Liverpool para el próximo Parla menta. tuvo á su favor Mr. Ganning .el día 13 una. gran mayoría de votos; seguíale el general Gascoigñe, y sus competidores el doctor Trompton y Mr. Ley latid les eran tan inferiores, que no hay probabilidad de que puedan ha«erles mal tercio. Con fecha de 13 del corriente escriben de'Manchester que en la tarde del mismo dia había llegado Hunt á aquella ciudad,…</t>
  </si>
  <si>
    <t>Gascoíne</t>
  </si>
  <si>
    <t>…rsa-* ñas, á quienes había extraviado del camino déla virtud. Haq resultada elegidos para ei próximo Parlamento en la junta electoral de Liverpool; el honorable Jorge Canning y él general Gascoíne; el primero por 163 , votos, y por 15 5,2 el segundo.; En, el aña de 181 ¿ tuvieron 1634 vo tes *Mt. Ciuning, y 153.2. el general Gáscoiné 5 y eas(i tos .m&amp;mos .cada üno en l8t8:, no. obstante haber sida uno de sus' édinpetidóres Mr. Broügham. Anteayer llegó'…</t>
  </si>
  <si>
    <t>Gaseo</t>
  </si>
  <si>
    <t>…documento se presentará á solicitar congrua, no se había derogado. El Sr. Lobato pidió la determinación ue se le adjudicará á continuación. 18. Con manifestación de las Cortes. El Sr. Gaseo dijo que no debía admitirse la el mismo documento pedirá la separación á sus respecti solicitud, y por último se resolvió no haber lugar á su vo vos ordinarios, que la concederán sin.exigir derecho algu tación. no. 19. Todos los regulares, bien se secularicen…</t>
  </si>
  <si>
    <t>…dose únicamente en que para Ja especulaciones, están expuestos A grandes pérdidas, y es importación se fijaran So. menester tener siempre Ala vista el hacer el irrnyor bren con El Sr. Gaseo dijo que el estado en que se halla la Na los menores perjuicios posihles , y que si no se cerraba ¡a en ción exige se atienda al dictamen que la comisión pre- trada A todos los barcos que vengan de fuera, seria nula ia ley.”</t>
  </si>
  <si>
    <t>…os pueblos, tanto para la subsistencia de! clero, men las Cortes abolida la ley de pagar diezmo; y primicias.” como para reemplazar la pérdida de lo que el Estado per Manifestó ej Sr. Gaseo cuan conforme es á justicia sos cibe de aquellos; y viendo una carga nueva , dirían que no tener el culto divino y sus ministros; pero cuan contrario es buena la Constitución.'1 era á la misma que aquella carga gravitara únicamente so El Sr. Vitorica dijo que…</t>
  </si>
  <si>
    <t>…asi para corregirlos, como para dotados compe go del Gefe político de Bi rgos, en que refiriéndose al par tentemente. te del alcalde de Sto. Domingo de la Calzada, y e'te al de El Sr. Gaseo manifestó que no juzgaba necesario revo Andiago , decia que á consecuencia de las r.ipidas y eficaces car la ley que habia despojado ñ los hospitales de los arbi providencias, tomadas por el de esta última villa , y una jun- trios que gozaban, pues quien habi…</t>
  </si>
  <si>
    <t>…obó la las medidas que juzgue mas convenientes para obviar los adición del Sr. Calatrava. obstáculos que puedan presentarse. Esta fue también apro Otra adición se leyó después del Sr. Gaseo, que decía: bada. «li ego que cualquiera religiosa pidiere la secularización , sea El Sr. Puigblanc presentó después la siguiente indicación, extraída del convento por el Gefe político, y constituida en que fue aprobada: «deseando que no puedan impedirse depó…</t>
  </si>
  <si>
    <t>…tería D. Josef Antonio Serantes, muerto en el campo del eciesi iSiica se habia opuesto á que pidieran, su seculari honor. zación. ARTICULO un OFICIO. El autor de la indicación, el Sr. Gaseo, recordó al Con Con fecha de 2 de Agosto , desdeña villa de Sacedon , dice greso que el dia anterior, c ando este se habia decidido en el Sr. secretario del Despacho de Estado al Sr. secretario de favor de su indicación , trató de reformarla en parte , y la G…</t>
  </si>
  <si>
    <t>…de regreso hacia tres días, me Se anunció que se iba á conrinuar la discusión que que nos una corbeta que dehia mantener su crucero durante 10 dó pendiente ayer , y á petición del Sr. Gaseo se declaró dias mas: que han hecho tres presas tunecinas, la una rica sesión permanente hasta la conclusión del negocio de qué mente cargada, y otras tres toscanas; habiendo renovado se trataba. sus hostilidades con esta potencia por haberse acabado la Consid…</t>
  </si>
  <si>
    <t>…empleados en él se alistaron para d servicio largo, dentro del cual deban pagar para gozar del beneficio;” de las milicias, y fue preciso buscar otros, que se encontra y esta del Sr. Gaseo : «la medida que ha propuesto la comi ron con mucho trabajo, para el socorro y asistencia de los sión de Hacienda , y lian aprobado las Cortes, pido que se enfermos. extienda á Madrid y demas capitales, rebajándose los dere Como los derechos de ciudadano se p…</t>
  </si>
  <si>
    <t>…talación en el dia ó de las Cortes, seria tan taría de la Gobernación de la Península y su archivo, el molesto y candado como inútil. A la llegada del que trajo que á petición del Sr. Gaseo se dejó sobre la mesa, señalan la noticia de haber jurado S. M. rodeado de toda su Real do para su discusión el dia 13. y augusta Familia la Constitución de la Monarquía, empe El Sr. Bahamonde volvió á reclamar el expediente so zó el mns ordenado desorden que…</t>
  </si>
  <si>
    <t>…las resultas que pueda tener su inobe á la casa de Gordon y Murphi, á D- Benito Patrón, á Don diencia. Luis Clouet, á D. Pedro Vargas , al duque de Alagon , al Se opuso también el Sr. Gaseo á la aprobación de este inarques de Echandía, al barón de Coly y á D. Bertoldo artículo, deseando que los señores de la comisión explicasen Schepeller para importar en la isla de Cuba y otros paí con mas claridad los casos en que deberia obedecerse á la ses d…</t>
  </si>
  <si>
    <t>…lgunas ligeras observaciones de los seño haya pagado mas de los. dos tercios de su contribución que res Ramonet y Freire sobre el. modo de hacer las eleccio le correspondapidió el Sr. Gaseo se expresara que lo sa nes , á las que contestaron los señores de la comisión. tisfecho de mas por. cualquiera interesado se le descontase También se aprobó el art. 22: «Del mismo modo y for del importe del tercio siguiente , y bajo este concepto se ma se har…</t>
  </si>
  <si>
    <t>…Se dió cuenta del dictamen de la comisión de Legislación, zas del archivo , tres de oficiales, y tres de escribientes. reía ivo á una consulta hecha por el tribunal supremo de El Sr. Gaseo no se conformó con los sueldos señalados, Justicia piara que se agregasen como auxiliares dos escriba pues aunque opinaba que debe dotarse bien á los emplea nos y dos relatores cesantes [véase la sesión del z8 de'Ju dos , conceptuaba sin embargo que en medio…</t>
  </si>
  <si>
    <t>…o las respec ivas comisiones reunidas especial de Hacienda y de Legislación; diputaciones provinciales y los ayuntamientos constitucio y se aprobó en su totalidad, aunque pedia el Sr. Gaseo que nales en los pueblos que deban tenerlos; refiriendo cuanto se votara por partes; esto es, en cuanto ¿í empleados y toque a su gobierno municipal y régimen económico; a sil sueldos. policía urbana y de salubridad , regularidad de su material Se concedió Uc…</t>
  </si>
  <si>
    <t>…seriamente en el de infantería, se le mandase juzgar por el tribunal compe código criminal. tente sí conceptuaba que había lugar á ello , y si no, se le Fue de la mi-ma Opinión el Sr. Gaseo , de que no nds restituyese á su anterior destino, igualmente que á los ofi hallamos en el caso de establecer el juicio de jurados por cíales que habían sido separados del citado regimiento. no haber suficiente ilustración todavía, á Lo cual contesto el Se pr…</t>
  </si>
  <si>
    <t>…s clases Se mandó pasar á la comi-ion del Diario de Corres una de decretos, esto es, á los que exigen la sanción Real. El exposición de D. Pedro Real, como director de la imprenta Sr. Gaseo apoyó esto mismo, y aú se acordó. de Collado , ofreciéndose á imprimir el número de Diarios A petición del Sr. Puigblanch se convino en sustituir la de las mismas que se le señalara, á 10 mrs. pliego á todo palabra seglares á legos seculares en el artículo 6.…</t>
  </si>
  <si>
    <t>…ea cual tuese el sueldo mayor de y se había dejado para este día. Era la primera, sí los ecle su último destino. siásticos que sirven empleos públicos, como soñ el patriar Dijo el Sr. Gaseo que hubiera querido que la comisión ca, el comisario general de Cruzada, el colector de Expo- no habiese dado tanta latitud á su generosidad, reduciendo lins, concejeros de Estado, jueces y auditor de Nunciatura, el número de los cesantes ó sobrantes que debe…</t>
  </si>
  <si>
    <t>…Cortes podrian desecharle si lo plan ; por lo que se aprobó la siguiente indicación del se creían conveniente. ñor Navarro : «Que se restablezca la cátedra de derecho na Apoyó el Sr. Gaseo la necesidad de que se admitiese á tural y de gentes, fundada en-estos estudios, y suprimida discusión este proyecto , pidiendo se pasara á la comisión; en tiempo del ministerio de D. Manuel Godoy.” y preguntando si se admitía á discusión, se resolvió que sí,…</t>
  </si>
  <si>
    <t>…presente en su informe á los hijos y hermanos de Don aquel su indicación, y se aprobó el art. 47. Sintbriano López. A pesar de la observación del Sr. Martínez de la Rosa Otra del Sr. Gaseo, concebida en estos términos: «Que de que no hallaba proporción entre la ditereneia de delitos la comisión proponga el modo de honrar á todos los que de los dos artículos 47 v 4S y la de las penas, puesto que desde el trastorno acaecido en el sistema constitu…</t>
  </si>
  <si>
    <t>…e España al roma comisario de misiones de Agustinos calzados en Filipinas, no Pontífice.” solicitando que no se entienda la prohibición de las profesio Y la que habia reclamado el Sr. Gaseo, concebida en es nes con el colegio que tiene su orden en Valladolid para tos términos: «Que la comisión Eclesiástica en vista de los proveer de religiosos aquellas misiones; y seis proposiciones concordatos celebrados con la Silla apostólica, y demas do del…</t>
  </si>
  <si>
    <t>…mo la existen de Noviembre.de 18,13 , relativo á la igualación de sueldos cia de la trama, y la prisión de sus autores.” . ; de los oficiares de la armada con "los del egér.citoEl Sr. Gaseo, á consecuencia .de haberle hecho reparar, NOTICIAS DEL REINO. ’ según dijo, algunos señores diputados que en la sesión de ayer al apoyar la representación de la diputación provincial Cádiz 22 de, Aggsto. - , ¡ de Tolúdo,,..relativa á la extracción de numerar…</t>
  </si>
  <si>
    <t>…ino prefijado, cumpliese con probar los hechos El 6.° también se aprobó después de una ligera discu sentado» en los papeles censurados, y confirmándole con costas sión , en que el Sr. Gaseo pidió una explicación de este artículo ; la que dió el Sr. Sierra , después de haber hablado El dia i.“ de Setiegibre á las cuatro de la tarde se prin los Sres. Martel y Vitorlca. cipiará el curso de taquigrafía, ó del arte de escribir con También se aprobaro…</t>
  </si>
  <si>
    <t>…ladar á V. S. la Real orden ' la absoluta decadencia que ya empezaba á observarse en es fecha 17 de Diciembre de t S 1, comunicada por el Sr. se te ramo ; y habiendo contestado el Sr. Gaseo, individuo de cretario del Despacho de Hacienda al de la Gobernación de la comisión , apoyándole el Sr. Ezpeleta, que la manía regla- la Península, cuyo contenido es el siguiente : «Al Sr. secreloIIA VlVUSáliMVIVItV» ii'inr’irvn f\r*S.V 1*1IV» P.iniiaci»!'*M…</t>
  </si>
  <si>
    <t>…a apogea, ó en su mayor distancia de la tierra , cuyo de la Constitución para poder exigirles la responsabilidad. diámetro aparente no pasa de 29' 22" según su anomalía de Dijo el Sr. Gaseo que sentia que una cuestión tan senci 344o, y el del sol es de 3 1' 38", por lo que aparece menorqne lla *e hubiera hecho ran complicada, á causa de haber ha el sol, y no puede ocultarle todo, aun donde sea centr.fi, blado de personas cuando se debia consider…</t>
  </si>
  <si>
    <t>…denes, y que hoy re-: discusión proporcionada por el Sr.'Moreno Guerra, que ha elbirian un plus, sobre su haber. bia dado la ocasión de oponer datos á sospechas, razones á ca . El Sr. Gaseo pidi - que se hiciera extensivo á mañana, á lumnias , virtude- á imprudencias. El primer punto que ha lo que el Sr. Vargas Poncedijo que le habian mostrado va- ■ llamado la atención del Congreso ha sido el estado de la se rios milicianos que la tropa estaba c…</t>
  </si>
  <si>
    <t>…de la ría de Ortega, vecino de Ubeda^; otro por Doña Rosalía guarnición , especialmente por su conducta en los días 6 y 7; López de Cárdenas , vecina de Montoro; otro por D. Pe el Sr. Gaseo recordó la patriótica y virtuosa que observa dro Morales Cardara y Doña María de la Concepción Al ron en los dias 7,8 y 9 de Marzo, y los sentimientos dé férez, y el cuarto por D. Ildefonso Valenzitela, vecino de modestia que les han hecho guardar siempre en…</t>
  </si>
  <si>
    <t>…al se mandó dejaron de probar en la primera instancia, .ó que por esto pasar con otra del Sr. Vitorica recomendando la brevedad á la comisión especial que se nombró á petición del Sr. Gaseo,no se hubieren admitido. . . para proponer los premios á que son acreedores los que han Se pasó á la discusión del dictamen de la comisión nom brada para examinar los premios á que es acreedor el egér— padecido por su adIlusión al sistema actual. Esta dijo qu…</t>
  </si>
  <si>
    <t>…s esto seria sación desús bienes, obligándoles al pago de cunrvas deu establecer la ari tocracia, contraria á ia igualdad constitu das contrajesen ; á todo lo cual le coivest &gt; e! Sr. Gaseo por cional : que tampoco era necesaria para conservar la Monar partes, dando solución á cada una de sus objeciones ' quía, pues en Asia no hay repúblicas, tino Gobiernos des Aun después de esto no se tuvo por suficientemente dis póticos y absolutos, y nunca h…</t>
  </si>
  <si>
    <t>…concluyó decidiéndose por la reforma parcial putación provincial de Mallorca el importe de los diezmos, de estos. .primicias y.préstamo de que se ha hecho mérito.” Defendiendo el Sr. Gaseo el articulo en cuestión, hizo A la comisión ordinaria de Hacienda se .mandó pasar •ver que la oposición de la opinión pública citada en el caso una exposición del superintendente de la fabrica de tabaco actual por varios señores no era tanta como se suponía,…</t>
  </si>
  <si>
    <t>…tud y menos perjuicios. roda ella con la intervención de los poseedores inmediatos." En cuanto á la injusticia que se atribula á esta proposi Se mandó pasar á la comisión otra del Sr. Gaseo, que ción , que era menester tener presente que todo legislador decia: «Que en los mayorazgos electivos se declaren ab debe caminar bajo el supuesto de que un padre no puede tra solutamente libres los bienes, y por consiguiente fuera de !a tar de perjudicar A…</t>
  </si>
  <si>
    <t>…bre este particular entre el Gobierno y los de las demas dictamen ( véase el suplemento de ayer), y tomó la pala naciones con respecto á los criminales de ciertas clases de bra el Sr. Gaseo para hablar sobre la totalidad del provec delitos. Con este motivo solicitó del Gobierno se le dijera to; advirtiendo que el objeto que habia motivado su indi •i habia algún tratado existente sobre este particular. cación, era el de que se premiara el mérito,…</t>
  </si>
  <si>
    <t>…sido el de los débiles, que no debían ser teni Concluyó demostrando con un egemplo ,.que era pre dos por culpados. ciso ó no permitirles absolutamente la entrada , y hacer que El Sr. Gaseo pidió la palabra como individuo de la co salieran los que se hallan ya en España, ó concederles Jos misión, diciendo quese limitaba á hablar sobre si habia lie— derechos de ciudadanos. .gado ya el tiempo de conceder ios derechos de ciudadanos Después de este…</t>
  </si>
  <si>
    <t>…situación á juicio del Gobierno; pero no podrán in acusado de delito de esta naturaleza. troducirse granos de ninguna especie que procedan de ellas Tanto el Sr. Calatrava como el Sr. Gaseo, individuos en los puertos donde esté restringido su ¡ comercio. Art. 6.° ambos de la comisión, se opusieron á que se expresara esto, Se exceptúan asimismo las islas Canarias ; mas no podrán porque ademas de que siempre se debe fiar algo á la pru introducirse…</t>
  </si>
  <si>
    <t>…derechos consulares para bre una equivocación material de la dirección de la Ha emplearlos en el nuevo muelle, conforme al reglamento que cienda pública. aprobará el Gobierno. El Sr. Gaseo propuso algunas dudas que le habian ocurri Se presentó otro dictamen de la comisión de Agricultu do de resultas ae la comparación de varías cantidades que ra, la que habiéndose hecho cargo de una representación le parecía estar comprendidas en distintos presu…</t>
  </si>
  <si>
    <t>…ridad y lebra la anual abertura de sus estudios el dia 2 de Octubre buena fe que les es debida por parte del Estado.” próximo á las diez de la. mañana con una oración inaugural El Sr. Gaseo creyó prematura la cuestión, pues debía facultativa, que leerá el doctor D. Pedro Castelló, catedrá discutirse mas adelante, y en su concepto se había devuelto tico del mismo. á la comisión el presupuesto para que le presentara con el Los sugetos que pretenda…</t>
  </si>
  <si>
    <t>…división det general Bonet: dejó luego el servicio, dando por último reducido el presupuesto á 322.696,972 rs. y se le formó caus3 por los españoles, habiendo estado arrestado El Sr. Gaseo deseó que la comisión manifestara si po en la ciudad de la Coruña, de donde se marchó en Enero de dría hacerse rebaja en el precio de las raciones, de los uten 1816 á Francia. Quien supiere de su paradero lo avisará en silios y de las estancias de hospitales,…</t>
  </si>
  <si>
    <t>…concluyó confor S. S., y en que el Sr. Cuesta, individuo de la comisión, y mándose con el dictamen de la comisión. el Sr. ministro de Hacienda manifestaron las causas que Dijo el Sr. Gaseo que la contribución general del año 17 habia para esta rebaja; se aprobó como se proponía. no excedía á las fuerzas de los pueblos , ni la habían reci Asimismo se aprobó la adición siguiente del Sr. Traver bido mal estos por sí misma , sino porque de las cuat…</t>
  </si>
  <si>
    <t>…misión de Guerra, y la proposiciones extranjeras por falta de nacionales; manifes segunda á la de Instrucción pública. tando por fin lo ventajoso del sistema con que entraba Es El Sr. Gaseo leyó uña exposición del ayuntamiento paña en este empréstito respecto de las demas naciones, constitucional de Madrid, en que manifestaba su gratitud por discutirse , como no se acostumbra en ellas , las bases y al Congreso por los dos decretos de extinción!…</t>
  </si>
  <si>
    <t>…de obligaciones pendientes de la resolución tar ¡os proyectos que presentaba el Sr. Alpuente. Trató de del Congreso. probar que el empréstito entre los nacionales serla mas per El Sr. Gaseo, después de algunas reflexiones, entró á judicial que el de los extrangeros, pues no se lograría el au examinar si el préstamo del extrangero traería las utilidades mentar el numerario, sino que se disminuiría y agotaría los que se habian dicho, y que él no e…</t>
  </si>
  <si>
    <t>…ones en Por lo demas respecto del número, cuestión que consi que los Sres. Gaseo y Vadillo apoyaban su voto particular. deró subalterna, juzgó deberían nombrárselos 40, no solo El Sr. Gaseo de tendió este voto, manifestando que no &gt;aia cumplir con la Constitución, sino para evitar también había una razón suficiente en su concepto para probar que (as imputaciones,dé la maledicencia; pero nombrando hasta los consejeros de Estado no debían consider…</t>
  </si>
  <si>
    <t>…e sejo sobre este asunto y cualquiera otro decreto, orden, raciones y conducta eran bien marcadas y conocidas. costumbre ó práctica que hubiese en contrario. Tomando la palabra el Sr. Gaseo, si las Cortes anterio Los Sres. Toreno y Givaldo manifestaron ia importan res, dijo, no se han restablecido, ni las diputaciones provin cia de este asunto , por lo que después de una ligera discu ciales ni ayuntamientos ; si el Gobierno en los nombra sión en…</t>
  </si>
  <si>
    <t>…ha de proveer aunque era mayor el sueldo, era en razón de ser mas cara el Gobierno , indicando la dotación que se les ha de señalar ” la subsistencia en Madrid que en Zaragoza. E¡ Sr. Gaseo pidió que se aclarase quién debia nombrar • Se leyó la indicación del Sr. Montoya, aprobada en 30 á los consultores, si el Gobierno ó el Crédito publico, pues del anterior ( -véase la gaceta eiel 31), y la del Sr. Silves, estaba extendido el artículo con ambi…</t>
  </si>
  <si>
    <t>…á libre Ja extracción de todo ga sión de Poderes, aprobaron los de los Srcc. Zayas y Beni nado, excepto el ganado merino.” tez, y los de D Antonio Modesto del Valle , diputados El Sr. Gaseo presentó la indicación que sigue: «Que se por la isia de Cuba, entrando después á jurar el tercero, diga al Gobierno impida quu se impriman, publiquen y</t>
  </si>
  <si>
    <t>…otro papeleen el nombre de resolu 7. ° «Devueltos lds expedientes pof el Gobierno con su ción de las mismas Cortés.” aprobación á' las diputaciones provinciales, y por estas i El Sr. Gaseo la apoyó, recordando lá dilapidación que los ayuntamientos, .se procc-Jera por ellos á la adjudicación había producido la anticipada publicación del decreto de de las mitades correspondientes al Crédito público; y de las regulares , y los efectos que producía…</t>
  </si>
  <si>
    <t>…cia se pasó una en atención á que sus productos no se invierten en estos exposición del ayuntamiento de Madrid sobre derechos de objetos. puertas y municipales , presentada por el Sr. Gaseo. Las comisiones especial de Hacienda y de Premios pre Se leyó el dictamen de ía comisión de Salud pública, re sentaron su dictamen acerca del oticio que pasó el Sr. se lativo á. la abolición del tribunal del proto-medlcato, en cretario de Hacienda, relativo á…</t>
  </si>
  <si>
    <t>Gaspar</t>
  </si>
  <si>
    <t>…pago cómodo por todo individuo. Se hallará 4 3 rs. en las librerías' de Hurtado, calle de las Carretas, y en Ja de González,[calle de la Luna. Oda al 10 de Marzo, por el ciudadano D. Gaspar* Aguilera. Se vende á &lt;5 cuar tos en la librería de Orea, y su producto se invertirá en beneficio de las desgraciadas víctimas de Cádiz. Retrato de D. Rafael del Riego, comandante general de la primera división del egército nacional, sacado del original que s…</t>
  </si>
  <si>
    <t>…ede disponer. En las naciones hay de Reales Guardias de la Persona de S. M., por la prisión que cuidar ante todo de cubrir los gastos , porque si no se del cadete del mismo cuerpo D. Gaspar - Aguilera, cuya disolvería la sociedad. La dotación de la fami.ia Real es, discusión estaba, y quedó señalada para la sesión de mañana. •demas, asunto que se halla ya prescrito por la Constitución Las comisiones opinaban que había lugar A la formación de se…</t>
  </si>
  <si>
    <t>…jabón extrangero. que se le formase causa , y se le impu ieran las ponas que A la comisión de Infracciones de Constitución, una que señalan las leyes por la tropelía cometida con D. Gaspar ja de D. fosef María Barona, vecino de Reinosa, contra el Aguilera, cadete del mismo cuerpo, por haberle preso sin la alcalde, juez de primera instancia, y electores de la misma; previa calificación de los dos números 1.' y 2.- publicados y otra de D. Diego C…</t>
  </si>
  <si>
    <t>…opuesta de la di s ¡prcino de la Guerra, tuvo el Rey á bien declarar á Doña rección general de Correos, que todos los impresos del rei María Josefa Parrada, viuda del coronel vivo D. Gaspar no que circulen de unos puntos á otros cerrados con fajas Gisberr, teniente coronel mayor que fue del regimiento in devenguen solo medio porte; advirtiendo que el ancho de fantería de León, la pensión de 6600 rs. vn. anuales en e[ las insinuadas fajas ha de s…</t>
  </si>
  <si>
    <t>…n otra dirección. Las calles por donde pa dose observado que el oficio sobre este punto no guardaba saron estaban llenas de gente. todas las formalidades que las leyes prescriben, D. Gaspar ----El fiscal de !a corona (dice el periódico ministerial Vigodet, actual capitán genera!, y nombrado consejero de The Courriér-) ha demostrado últimamente con una pre Estado , comunicó en el día de ayer al ministerio esta nocisión matemática, en un discurso…</t>
  </si>
  <si>
    <t>Gassol, Gerónimo de</t>
  </si>
  <si>
    <t>Gerónimo de Gassol</t>
  </si>
  <si>
    <t>…presado ministerio , en que participaba á las Cortes la una noticia que el embajador de Genova dió al secretario cesión hecha por S. M. en decreto de 28 de Abril último de del Rey D. Gerónimo de Gassol contra la peste introdu las fincas de su patrimonio que debían aumentar los fondos cida por unos franceses el año de 15,50 en el estado de Mi de la Nación. lán y del Genovesado por medio de cierto específico, que tam Igualmente á las comisiones de Legislación…</t>
  </si>
  <si>
    <t>Gastambide, Diego</t>
  </si>
  <si>
    <t>Diego Gastambide</t>
  </si>
  <si>
    <t>…eliciano.del Corral, su escribano de número, ,se cita., llama y emplaza 4 D. Melchor de Urra, D. Antonio (^onsez Villaboa, Don Joaquiq;txaniza de Vitoria, D. Josef Antonio Arriba, D. Diego Gastambide, Don Termin Antonio Arriaga, D. Antonio Lázaro y Pozo, D. Pablo González, Don Francisco Xavier Guerra Balboa, D Juan de la Torre, D. Mariano Mamar, Don Juan Pió Jaén, D. Manuel Vacas y Pinilla y los señores Balmaseda ¿ hijo, últimos tenedores de 37 vales, cit…</t>
  </si>
  <si>
    <t>Gastlefeagh</t>
  </si>
  <si>
    <t>Gaceta de Madrid n.º 98</t>
  </si>
  <si>
    <t>…ara dar la sanción Real á la lista civil y á otros várioS bilis, y por todas partes recibid las aclamaciones del pueblo. &lt; i: • , ..--V r ; ,r ; ; Ayer se dirigió á; la Cariará el lord Gastlefeagh, y-presentó áiu presiden te un mensage del Rey, én que se dicé: que S¿ M., en virtud-de haber-ilegal do la R.eina, juzgaba necesario comunicar á la Cámara varios papeles concer nientes á la conducta de SU M. desde su salida de Inglaterra, y los recomen— daba¿…</t>
  </si>
  <si>
    <t>Gatalan, Jósef Maríá</t>
  </si>
  <si>
    <t>Jósef Maríá Gatalan</t>
  </si>
  <si>
    <t>…su inteligencia y gobierno. D. Félix dé Ovalle, alcalde primero constitucional de esta villa, certifico: Que en el día 19 de Mayo compareció á mi presencia á juicio conciliatorio D. Jósef Maríá Gatalan, dé esta vecindad , asociado de D. AtfónW Giralda Bergaz, én córiceptó de hombre bueno; y expuso qué D; Juan Salcedo hábia publicado un attíctiló'comunicado én el Diario de esta corte y en el Consti' tticioháli calumniándole con el dicterio de iniposfor , por…</t>
  </si>
  <si>
    <t>Gatalani</t>
  </si>
  <si>
    <t>…ncias en lo relativo á la confianza y crédito de la Ha entre los cuales 'habrá-dos eclesiásticos, y no mas. cienda pública, pues todos se apresuran á confiar sus fondos Propaso el Sr. Gatalani que el Parlamento declarase be al Gobierno español. Los especuladores que creyeron que neméritos de la patria al general Pepé y á los demas valien las Cortes lograrían restablecer muy luego el crédito públi tes, y que se llamase al expresado general para info…</t>
  </si>
  <si>
    <t>Gatel, Josef María</t>
  </si>
  <si>
    <t>Josef María Gatel</t>
  </si>
  <si>
    <t>…hizo, la representación dirigida á las Cortes por el pa Igualmente fue aprobado otro dictamen de la misma co-. dre general de la orden de capuchino?. misión sobre una solicitud de D. Josef María Gatel, capí- Concluida la lectura, el mismo Sr. Martel rebatió los. tan de la columna del general Riego. La comisión hacia re principios que en ella se hallaban esparcidos, graduándola ferencia de los servicios de este oficial, de los cargos que' de sediciosa y sub…</t>
  </si>
  <si>
    <t>Gateo</t>
  </si>
  <si>
    <t>…ta parte la provincia cíe Asturias: para vice-pre&gt;¡dente el Sr. D. Joá aquellos á quienes verdaderamente pertenecen. sef María Calatrava , qne lo es por la de Ext rema Jura ; y El Sr. Gateo dijo con este motivo que cuando se ve para secretario el Sr. D. Josef María Couto , diputado su-</t>
  </si>
  <si>
    <t>Gauiboa, Manuel Fernandez</t>
  </si>
  <si>
    <t>Manuel Fernandez Gauiboa</t>
  </si>
  <si>
    <t>…s provincias en todas las administraciones principales y agregadas de correos. —1----------------------------- i 1 ..........--f —^ ------------' ... 1 . . ' . ___ Por mandado del Sr. D. Manuel Fernandez Gauiboa , juez de primera instancia da esta muy heroica villa, y á voluntad de su dueño, se ha sacado á pública subasta una casa á la malicia, sita en la calle de S. Bernardo, barrios de S. Lorenzo, demar cada con ei núm. 26 de la manz. 19, que tiene de sitio 2282 pi…</t>
  </si>
  <si>
    <t>Gay, Miguel</t>
  </si>
  <si>
    <t>Miguel Gay</t>
  </si>
  <si>
    <t>…e popularidad, conozcan perfectamente la Opinión pública, y esten en disposición de trabajar con la actividad que exige el servicio; y atendiendo á los méritos y circunstancias de D. Miguel Gay oso dé Mendoza, señor de Rubianes, he venido en nombrarle gefe políti co de la provincia de Madrid. Tendreislo entendido, y lo comunicareis á quienes'corresponda. Palacio á 9 de Marzo de 1820. =Está rubricado.” 2.0 ,, Considerando que es incompatible la exist…</t>
  </si>
  <si>
    <t>Gayón, Joaquín</t>
  </si>
  <si>
    <t>Joaquín Gayón</t>
  </si>
  <si>
    <t>…los mismos problemas, por aun se ven por todas las calles y plazas como si estuvieran el comandante del 2.0 batallón del regimiento de Guadalaautorizadas para tal ocupación. jara D. Joaquín Gayón. Es preciso pues amonestarles primero, y proceder en Solución á los problemas indicados, dada por el coman seguida á lo que dispoiie la.ley : todo to que bajen los pro dante del 2.0 batallón del regimiento infantería de la Prin ductos de. las rentas por la de…</t>
  </si>
  <si>
    <t>Gáyoso, Manuel</t>
  </si>
  <si>
    <t>Manuel Gáyoso</t>
  </si>
  <si>
    <t>…■del Consejo y Gámara dé S. M., D. Matea Valdemoros, D. Vicente Sancho, D. Francisco Crespo de Tejada , D&gt;; Bernardo Tarrius y D. Ignacio Pezuela.. Presenciaron el acto el Excmo. Sr. D. Manuel Gáyoso, señor de la casa de</t>
  </si>
  <si>
    <t>Gazon, Josef</t>
  </si>
  <si>
    <t>Josef Gazon</t>
  </si>
  <si>
    <t>…ola. jfán, ademas de los veteranos que se han reunido en gran A la comisión segunda de Legislación se pasó una soli número al egército, 24© legionarios y milicianos, pues citud de D. Josef Gazon, de nación francés , para que se le «olo el batallón de Avelino, al que pasé revista en 27 dé conceda carta de ciudadano , remitida por el Sr. secretario Setiembre último', me presentó 3200 legionarios. Las Ca de Gracia y Justicia. labrias están impacientes d…</t>
  </si>
  <si>
    <t>Gaztañaga, Martin de</t>
  </si>
  <si>
    <t>Martin de Gaztañaga</t>
  </si>
  <si>
    <t>…heredera del Sr. D. Luis Melendez Bruna, del JÜonsejo de S. M. en el supremo de Castilla, marques que fue de Negron, y en virtud de pro videncia del señot alcalde de Casa y Corte D. Martin de Gaztañaga, se ha mandad» volver á llamar, citar yemplazar por el improrogable, último y perentorio término de 10 días:, contados^ desde esta publicación, á todos los que se contemplen acreedo res é interesados por cualquier concepto en la testamentaría del precitado se…</t>
  </si>
  <si>
    <t>…que pagan cinco rs. mensuales, y seis los forasteros, y según la locali dad del pueblo se puede prometer mas discípulos. En virtud de providencia del señor alcalde de Casa y Corte D. Martin de Gaztañaga, refrendada del escribano de provincia y comisiones de la misma D. Manuel López de Rivas, se cita, llama y emplaza á todas las personas que por cualquiera causa ó motivo se creyesen con mejor derecho á los bienes de Doña Juana Zaldivar Caamaño, de estado viud…</t>
  </si>
  <si>
    <t>Gaztelu, Pedro</t>
  </si>
  <si>
    <t>Pedro Gaztelu</t>
  </si>
  <si>
    <t>33^ blo, el arrestar en su casa ál Gobernador marcees de Zambrano, al teniente de Rey de la plaza, y al brigadier D. Pedro Gaztelu, coronel del regimiento de Aragón; pero en virtud de la orden de S. M. de 9 del corriente, en qm» se manda poner en libertad á todos los individuos que esten presos por opi niones , mandaré se les dé. ,,Igualmente en Matar.ó el pueblo ha manifestado á su gobe…</t>
  </si>
  <si>
    <t>Ge</t>
  </si>
  <si>
    <t>…gobierno. Palacio 12 de Febrero de 1820. El 17 dé Octubre del año próximo pasado ,, á las io.de la noche, falleció tn Sevilla, á los 78 años, 4 meses y te días de edad, el Excmo. Sr. D. Ge rónimo Giren¿ Mote^iíma, Ahumat|a y. Salcedó',.marques .de' las Amarillas, vizconde de las Torres de Luzonregidor perpetuo?jde las ciudades de Ronda y Marbella, alcaide del castillo y fortaleza de da primera, é individuo de su Real maestranza , noble patricio…</t>
  </si>
  <si>
    <t>Gefe</t>
  </si>
  <si>
    <t>…ién se dispuso que se adoptasen las medidas necesarias para que se jure la Constitución en todos los pueblos de la provincia. ; Se acordó se fijase un edicto en esta ciudad por el Sr. Gefe político, in-r vitando á los vecinos para las juntas parroquiales que deben elegir los 25 elec tores que han de noníbrar los individuos del apuntamiento constitucional de esta ciudad;; advirtiendo qüe -en este aviso se -incluyesen, los artículos de- la Consti…</t>
  </si>
  <si>
    <t>…s del Gobierno con tribución de premios á los alumnos y demás sugetos be tener tamaño desordenad si tendrán que tomar las Cortes neméritos de esta provincia. Presidió la sesión el Sr. Gefe las medidas necesarias. ' político interino, á qvien acompañaron para solemnizar este ‘ Entraron los secretarios del Despacho; y el de la Go acto de beneficencia muchos individuos de las principales bernación de Ultramar en una memoria sobre el estado de corp…</t>
  </si>
  <si>
    <t>…tamente en la escriba tición del suceso que motivó esta causa, se le destina á nía del escribano cartulario D. Pedro Josef de Ibahe. Ma una de las casas de locos, que designará el Sr. Gefe político drid 13 de Julio de 1820. de esta provincia, á quien se oficiaría al efecto Juego que mereciese- egecucion este su auto, con encargo especial al LITERATURA. , director ó gefe de la casa designada á la custodia de su per sona hasta stí perfecto restab…</t>
  </si>
  <si>
    <t>…anzas. No Se leyó una exposición del coronel £&gt;. Francisco More fue quien menos estaba penetrado de estos sentimientos el no Mallen, en que haciendo presente sus servicios contraí Sr. Gefe superior político de esta provincia, el cual con este dos en la última guerra, desempeñando el cargo de espía, motivo dirigió al Sr. secretario de ¡a Gobernación la si pedia se declarase relevante este servicio , para el que nin guiente exposición : guna reco…</t>
  </si>
  <si>
    <t>…e Cotilla. ó calendarios civiles de esta provincia y la de Extremadura Siete idetn en el partido de Hervd. el dia señalado 28 de Agosto último, se ha mandado por MADRID. el Excmo. Sr. Gefe político superior se saquen nuevamente Capellanía fundada por D. Diego Hernández Canencia á pública subasta por término de ocho dias mas, contados en Valdemoro. desde esta fecha, señalando su remate, bajo de las propias Una tierra de 4-'- fanegas en el camino…</t>
  </si>
  <si>
    <t>…e Se dio cuenta del siguiente dictamen de la comisión de lentísimo ayuntamiento bajo las mazas, presidido por el Premios acerca de la representación del presbítero D. Jaime Excmo. Sr. Gefe superior político, é incorporados en sus Gil Orduña, en que hacía presentes sus méritos patrióticos, filas los Sres. cónsules del tribunal de comercio y gefes de de los cuales decía la comisión no podía dudarse, y propo la guarnición , y se dirigió al templo…</t>
  </si>
  <si>
    <t>…r si ignoraba la comisión , que aunque las leyes civiles y Pueyo, camino de Tafalla , un hombre muerto, á puñala criminales de la Recopilación estaban vigentes ( porque desdas, el Sr. Gefe político interino de esta provincia tomó raciadamente no tenemos formados los códigos que nos varias disposiciones para ver si podia lograrse la aprehensión acen tanta falta), las leyes políticas habian sido deroga de aquellos malvados, que sin duda fueron lo…</t>
  </si>
  <si>
    <t>…Norte cristiano y culto al Mediodía musulmán y bárba Peñaranda de Bracamonte y Noviembre i ? de 1820.:=Jo- ro. Se ve pues claramente que la civilización se ha situadosef Mendez. = Sr. Gefe superior político.” Lo que traslado á con ventaja respecto de su enemiga, que la ha envuelto V. E., con inclusión de la adjunta nota de los individuos de para destruirla ; y que si los griegos, los romanos , los gela gavilla de facciosos, que con su caudillo…</t>
  </si>
  <si>
    <t>…zelo, y al ayuntamiento de Barcelona, que sona alguna, sin los datos que debe tener para semejantes los aprecia, estima y favorece. publicaciones. S. Sebastian 2y de Noviembre. E! Sr. Gefe político de esta provincia ha dirigido á Don Joscf Ramón de Berroetá , cura párroco de Villafranca, el Las not iciasde Lóndres llegan hasta el 2t de Noviembre. siguiente oficio; Mr. Canning habia llegado ya á aquella capital, y sti »En una de mis exposiciones…</t>
  </si>
  <si>
    <t>…entendido para su cum nos de la consideración del ayuntamiento, ha acordado es plimiento, y dispondréis se imprima, publique y circule.= te en sesión de hoy representar al Excmo. Sr. Gefe supe Rubricado de Ja Real mano.= En S. Lorenzo á 6 de No rior político de esta provincia, entre otras cosas, la nece viembre de 1820.= A D. Antonio Porccl. sidad de remover de sus empleos á aquellos generalmente conocidos por desafectos á la Constitución, y d…</t>
  </si>
  <si>
    <t>Genove</t>
  </si>
  <si>
    <t>…ía stiperflua supuesto que se dejaba vidente la primera instancia por algunos excesos. ordenanza de vagos, á excepción de la variación'de las A la de Premios una representación de Doña Genove penas, y no se admitió á discusión. va Mariana González y hermanos, hijos de D. Josef, cono Se leyó el dictamen de la comisión nombrada para pro cido por el Turonense , sobre que se declare á este benemé poner medidas á fin de exterminar los malhechores, sobr…</t>
  </si>
  <si>
    <t>Genoves, Juati Bautista</t>
  </si>
  <si>
    <t>Juati Bautista Genoves</t>
  </si>
  <si>
    <t>…un siste ración , opinaba que había lugar á la formación de causa al ma que aman. juez de primera instancia D. Josef Martínez Arroyo y al Madrid f&gt; de Setiembre. audiror de guerra D. Juati Bautista Genoves. SS. MM. y AA. siguen sin novedad en su importante Se opuso al dictamen el Sr. Vitorica, en el concepto de salud. que en la época en que sucedieron las prisiones citadas de S. M. ha despachado hoy con los Sres. secretarios de bían estar perplejas las autorida…</t>
  </si>
  <si>
    <t>Gere</t>
  </si>
  <si>
    <t>~ Tsé! fést^tjíédá^ePdla ib cíe Abril, y eítt eV rnismó áctd prestaran el- juramentó á la Gonístitucíorí en manos del Hx-: oelestíwmo Sr. Gere político ,{ su presidente, los Sre*. D. Vicente Jaudenes, intendente, D. Antonio Marte!, D. Francisco Crespo de Tejada , D. Joaquín' Manrique .y Manrique;, T?. Martin 4e rGoicoecheay el secretario D. Juan Francisco Morate; y los señdres D. Jóséf López Alonso,…</t>
  </si>
  <si>
    <t>Gerson</t>
  </si>
  <si>
    <t>…on el título de Reglamento^ método.par-a, las escuela '# de caridad- de la parroquia de S. Gervasio s da, motivo á presumir. qu£ á principios del siglo xv practicaba en Francia ei doctor Gerson mucha? partjg? rdel mismo método i ; n, Idem 4. :iil! Va vr‘'&lt;1' i- ' La sociedad Real establecida para la mejora de las prisiones ha determi nado conceder un premio de una: medalla de oro dé /fíilor de mil francos al</t>
  </si>
  <si>
    <t>Gi</t>
  </si>
  <si>
    <t>…uno, aun hasta que aquel se presentase; después de una discusión, en que se debía mirar con atención aquel proyecto. Las Cortes que ej Sr. Navas, rectificando una equivocación del Sr. Gi oyeron con agrado la exposición del Gefe político, y la raido, hizo ver que solo estaban privados de ser miembros oferta de la séptima compañía de la milicia del Ferrol. de las juntas de. Censura los empleados con jurisdicción, y Las Cortes quedaron enteradas…</t>
  </si>
  <si>
    <t>…uir el objeto, evi ber sido corregidos una vez sufrirán irremisiblemente una tando un camino tan lleno de peligros.: pena doble de la que se les impuso en lá primera sentencia. El Sr. Gi raido, individuo de Ja comisión, convino én lo Madrid ri de Setiembre de- 1820. = E1 conde de Torenrt* sensible que debería ser á los ministros eit* negocio y ,ase presidente. =e Juan Manuel 'Subrié-, diputado secretarlo. = guró que por su parte correría con…</t>
  </si>
  <si>
    <t>…a verse por otro decreto del mismo mes de Octu y restablecer el crédito nacional. Se añadiran á los indivi bre de 18 r 3. duos que la componen dos letrados con el título de con El Sr. Gi raido opinó que no se trataba en esta ocasión sultores, y voto en todo lo relativo á enagenacion de bie de ascenso, sino de traslación de un ministro de una au nes nacionales y redenciones de censos y cargas: la junta diencia á otra para el mejor servicio de…</t>
  </si>
  <si>
    <t>Gi-, Ignacio</t>
  </si>
  <si>
    <t>Ignacio Gi-</t>
  </si>
  <si>
    <t>…9,431 , 39,433, I9»47i una porfiada y sangrienta guerra; y para continuaría con 41,020: D. Josef Antonio de Sta. María del 23,994', 23,999 y 24,008: D. Manuel Velasco d-el 24,016: D. Ignacio Gi- ventaja se confederaron con otras muchas tribus contra los rona del 24,022 y 55,193= D. Meliton López del 32,523, delawares. En medio de esta contienda se aparecieron los 33,S2bí, 3JÓ4-’ , 32"&gt;545 * 32-55D ¡?2»S53 &gt; 32-556» iD»5^» franceses en el Canadá, y la…</t>
  </si>
  <si>
    <t>Gil, Jaime</t>
  </si>
  <si>
    <t>Jaime Gil</t>
  </si>
  <si>
    <t>…ón , escrito por el La comisión de Premios, en vista de cuanto exponía el ciudadano D. Francisco Martínez Marina , canónigo que fue de teniente de vicario general de los egércitos D. Jaime Gil ía L’dro de Madrid, y actualmente de la de Lérida, Orduña, proponía se manifestase !o gratos que habian sido individuo de número de ¡as academias Española y de la Historia, á las Cortes los servicios del interesado, anunciándolo en el y de la de buenas letras…</t>
  </si>
  <si>
    <t>Gil, Juan de Dios</t>
  </si>
  <si>
    <t>Juan de Dios Gil</t>
  </si>
  <si>
    <t>….que formen y acompañen á Jos memoriales los extractos El Avaro , comedia de Moliere, traducida c ilustrada con no-impresos de sus méritos en la forma que esta establecida tas por D. Juan de Dios Gil de larra , ¿«pitan del cuerpo na para el mejor método y orden, y por utilidad de los in cional de artillería. Se vende en las librerías de la viuda da teresados. Quiroga, en la de González, y en Segovia en 1» da López. MADRID. EN LA IMPRENTA NACIONAL</t>
  </si>
  <si>
    <t>Gil, León</t>
  </si>
  <si>
    <t>León Gil</t>
  </si>
  <si>
    <t>…mnos patriótico-religíosos. saber, D. Josef Ramirez y Cid, D. Ramón Ramcnet , Don El ayuntamiento ofreció 12 dotes de ¿50 ducados á Qtras Gabriel Ugarte y Alegría, y para suplente D. León Gil tantas doncellas sorteadas entre las aspirantes; y por la tar Muñoz, el segundo por unanimidad de votos, faltando á de leyó en la asamblea patriótica D. Manuel de la Rocha,' los demas uno. prebendado de esta catedral, un elocuente y persuasivo dis Se leyeron…</t>
  </si>
  <si>
    <t>…guas después logró re Accediendo las Cortes á la solicitud del comandante In unir los que le quedaban : hizo frente, y fue derrotado por terino de la milicia nacional de la Coruña D. León Gil de tercera vez, en términos que escapó con 18 hombres, de Palacio,, mandaron pasar al Gobierno la exposición de di jando los caballos y armas. cho Palacios, implorando la generosidad del Congreso ha cia sus' hijas, en atención á sus méritos patrióticos, que r…</t>
  </si>
  <si>
    <t>Gil, Mariano</t>
  </si>
  <si>
    <t>Mariano Gil</t>
  </si>
  <si>
    <t>…e todas las autoridades civiles y militares reunidas en condone parre del cupo de este año; un proyecto de aran el sitio compiten en zelo y actividad; pero el desastre es celes de D. Mariano Gil; y otro, presentado pnr el señor terrible, y sus pérdidas serán inmensas. Mañana daremos Vadillo, de un vecino de Cádiz sobre conformar la renta os pormenores de tan deplorable acontecimiento. de lotería con el sistema del Estado.</t>
  </si>
  <si>
    <t>Gil, Ramón</t>
  </si>
  <si>
    <t>Ramón Gil</t>
  </si>
  <si>
    <t>…do inmediatos, hizo la flechera un vivo tuego de de la Gobernación de Ultramar, he venido en nombrar pa fusilería, y tiró tres cañonazos.con metralla, cayendo al ra este destino A D. Ramón Gil de la Cuadra, oricial ma último el comandante herido de la pierna derecha, con cu yor de la expresada secretaría , en atención á sus méritos y yo-motivo tomó el mando el citado Carnero para conti conocida adhesión al sistema constitucional. Tendreislo en nuar…</t>
  </si>
  <si>
    <t>Gil, Salvador</t>
  </si>
  <si>
    <t>Salvador Gil</t>
  </si>
  <si>
    <t>…isco de Martin. En el despacho de la imprenta Real se halla de venta el tratado de Matemáticas para la instrucción de los militares. Principios de música y guitarra compuestos por D. Salvador Gil, que se dio a luz en el año de 1814, y tuvo tan buena acogida entre los profesores y aficionados , cjue sm embargo de haberse estampado bastantes egem piares, hace mas de cuatro mesesque se concluyeron, y Como en este tiempo no se ha podido complacer á muchos…</t>
  </si>
  <si>
    <t>Gimbernat, Antonio.de</t>
  </si>
  <si>
    <t>Antonio.de Gimbernat</t>
  </si>
  <si>
    <t>…s honores fúnebres que le han-hecho sobre su En la librería de Escribano se hallan de venta las siguien sepultura, usan de este gracioso circunloquio. ,,Ya sé cual es tes obras de D. Antonio.de Gimbernat, cirujano de Cámara de la causa de tu dolor: he cubierto un sitio con tierra frésca, S. M., que han merecido el mayor aprecio de todos los profe y encima he esparcido hojas, y plantado unos arbolitos sores mas sabios de Europa.rcrNuevo método de operar en la…</t>
  </si>
  <si>
    <t>Gimbernat, Carlos</t>
  </si>
  <si>
    <t>Carlos Gimbernat</t>
  </si>
  <si>
    <t>…n NOTICIAS DEL REINO. diciones bajo las cuales rerfnneiabari Ibs turcos roda pretension'sóHre las Siete-Islas ; y ásímismo verá que se han tomado Barcelona 7 de Julio. F.1 español D. Carlos Gimbernat acaba de comunicar al todas las medida* oportunas para asegurar la suerte de los público las particularidades siguientes acerca de las erupcio parganiorns. indemniz'mdolos de las pérdidas que sufrieron. nes del Vesubio , de que Se habló én la gaceta de Madrid…</t>
  </si>
  <si>
    <t>Gimbernat, Cdrlos</t>
  </si>
  <si>
    <t>Cdrlos Gimbernat</t>
  </si>
  <si>
    <t>…aría para rectificar un descuido, que no es indiferente para los observadores de los fenómenos vol VARIEDADES. cánicos, he querido no dejar duda alguna sobre la exactitud Carta dt D. Cdrlos Gimbernat al Príncipe heredero de lo que he publicado yo , á saber , que hay en el Vesubio de Dinamarca sobre los vapores del Vesitvio. á un mismo tiempo vapores de agua sin ácido, otros con «Muy Sr. mió: suplico á V. A. R. me permita mani .ácido, y otros con muríate d…</t>
  </si>
  <si>
    <t>Gimbernat, Cirios de</t>
  </si>
  <si>
    <t>Cirios de Gimbernat</t>
  </si>
  <si>
    <t>…da patria, y que en esta el volcan quede para siempre Gobierno el decreto de las Cortes ordinarias, en que se extinguido! acordó que el tratamiento de Magestad fuese exclusivo del D. Cirios de Gimbernat ha hecho én el Vesubio im Ruy ; pues como no se,llegó á publicar, ocurría cou mucha portantes descubrimientos físicos, de que hablan con reco frecuencia dárselo á las Cortes en representaciones,y Otros mendación los sabios extrangeros. papeles que se las diri…</t>
  </si>
  <si>
    <t>Gimiauo, Antonia Tijeros</t>
  </si>
  <si>
    <t>Antonia Tijeros Gimiauo</t>
  </si>
  <si>
    <t>…lo menos, ó la tercera parte que debía disminuirse de la montañas de Búrgos, hijo legítimo de D. josef Abad y García cantidad consignada para empleados cesantes, con arregto y de Doña Antonia Tijeros Gimiauo , habiendo fallecido en el á lo resuelto últimamente por las Cortes, y 2.749,649 rs. pueblo de Huancayo, del partido de Jauja, provincia de Tur ma , en el Perú , instituyó por sus únicos y universales herederos que se incluían con destino á limosnas, dejando…</t>
  </si>
  <si>
    <t>Gines</t>
  </si>
  <si>
    <t>…salvado de las sente hallarse entendiendo en la averiguación del sugeto que garras de sus mas crueles enemigos, y de las maquinaciones tomando el nombre del diputado por Cataluña D. Gines é intrigas de otros no menos crueles, aunque descubiertos en Quintana, había oficiado al alcalde de Alcobendas para que su-principio : por la felicidad de su nuevo gefe, cuya memo indagara si procedíale aquella villa cierro papel sedicioso; ria tan grata para…</t>
  </si>
  <si>
    <t>Giordano</t>
  </si>
  <si>
    <t>…sen lugar á que se les hicie familia resonaban sin intermisión, mezclados con los vivas se otra vez esta Ind’cccion. y bendiciones del pueblo, El 16 volvió el gran duque á re-, El Sr. Giordano propuso se fijase el sueldo de los con petir que su deseo mas vehemente y sincero es de que ¡a sejeros de Estado, v se eligiesen 20 por ahora, y hasta que nueva Constitución que han de presentarle los Estados pue lleguen los demas diputados de Sicilia. da ser…</t>
  </si>
  <si>
    <t>Gira</t>
  </si>
  <si>
    <t>…imera: Adurriagp, Izquierdo y Zorrilla'de Velas- sentaciones, con el objeto de q,-e lo tuviese presente la co co en la segunda ; y en la tercera Castro , Romero y Monte misión. El Sr. Gira i do manifestó que esta, corno las demás, ro. Se mandó pasar á la comí: ion que enriende en el asunto! estaban autorizadas para pedir al Gobierno los expedientes A la de Guerra una memoria de D Josef Antonio Oñez y documentos necesarios para la ilustración de…</t>
  </si>
  <si>
    <t>Giraido</t>
  </si>
  <si>
    <t>…co de made ' 7í &gt; 6&lt;5&gt; 3o’ y 67. ras finas, construido por el mismo Negro. Después de hacer El premio de &gt;, 00 rs. vn., concedido en todas las ex Varios Señores, y en esjtecial el Sr. Giraido, el justo elogio tracciones rí una de las huérfanas de lo&lt; militares o patrio de la acción patriótica de este ciudadano, se aprobó la in tas que hubieron muerto en detensa de la justa cama ce la dicación del Sr. Martínez de la Rosa , en que propuso pa Nación,…</t>
  </si>
  <si>
    <t>…atándose de fijar por término la próxima reunión de Cor casez , carestía v dependencia de! extrangero en lo sucesivo. tes, dijo el Sr. Lasanta que estas tienen facultad de dero El Sr. Giraido recordó que la agricultura ha sido siem gar las leyes cómo y cuándo les parezca, y por tanto se po pre oprimida por los moralistas y por el Gobierno ; por dia suprimir este artículo: el Sr. Alvarez Guerra , que la ley aquellos, calificando de usura y monopoli…</t>
  </si>
  <si>
    <t>…os Morales y González Allende contra la de los tres últimos por el ayuntamiento y pueblo con el decoro y distinción artículos del referido dictamen. correspondientes. Se nombró al Sr. Giraido para la comisión de Gobierno interior de las Cortes en lugar del Sr. Castañedo. NOTICIAS DE LA PENINSULA. No se admitió á discusión una indicación del Sr. Ban queri para que el Gobierno remitiese los documentos origí Cubo (partido de Benavente) 25 de Agosto.…</t>
  </si>
  <si>
    <t>…tasen las Cortes que de cada instituto monástico quedase de la colegiata de Ronces-Valles. que se hallan en ¡cual ca por ahora una casa en España para que se reuniesen los so.” El Sr. Giraido hizo presente que los primeros son unos monges que lo descaen, manteniéndose con las rentas de verdaderos monees, como lo prueba el nombre de Real ella, si alcanzasen, ó añadiendo las que fuesen suficientes monasterio que tiene, la admisión de novicios, y el…</t>
  </si>
  <si>
    <t>…s autoridades, asi civiles co tes seis proposiciones, dirigidas á conciliar todos los extre mo militares y eclesiásticas, de cualquiera ciase y dignidad, mos. Después de apoyar el Sr. Giraido , individuo de la co que guarden y hagan guardar , cumplir y egecutar la presen misión, el dictamen de esta, recomendando la urgencia de te ley en todas sus partes. Tendreislo entendido para su cumsu despacho, y el honrado proceder de algunos magistra ]iiníen…</t>
  </si>
  <si>
    <t>…en la clase de personas de que se del enemigo. trataba, propuso que se les descontara de las pensiones que FRANCIA. debían gozar, se aprobó por último la siguiente indicación del Sr. Giraido: París 1~ de Octubre. «Que vuelva al Gobierno, para que tomando las rnas A mediados de Setiembre hubo un pequeño tumulto en enérgicas providencias se eviten los daños que se indican, y el teatro de León. se tomen las cuentas á los superiores, procuradores ó a…</t>
  </si>
  <si>
    <t>…erno propondrá los medios de organizar la parte , y á la comision-de Premios en cuñnto á la segunda. guardia Reai de caballería , de maqeraque sirya.de estimu Habiendo reckmado el Sr. Giraido l» urgencia del dic*lo y premio á los individuos de esta arma.” Él Sr. Díaz tamen de la comisión primera de Legislación, relativo á la &gt; : • i.;-.' , . v . v : .v.</t>
  </si>
  <si>
    <t>Giral-</t>
  </si>
  <si>
    <t>144 principio con las del Sr. presidente que se han puesto antes, gado este aviso pór residir en pueblos que disten dé los deotras de los Sres. Isturiz y Carrasco , las tres del Sr. Giral- partamentos, y otras, que sin pertenecer á la armada quie do , y otra de Muñoz ( D. Pedro ). ran exponer sus ideas sobre todos 6 cada uno de los puntos ti Sr. conde de Toreno pidió que se pasaban todas las que conviene consultar; ha determinado publicar lospr…</t>
  </si>
  <si>
    <t>…ra reversión se Este articulo sufrió algunas objeciones de los Sres. La- añada: «tenuta, administración y demás contenidos en el santa , Dolarea y Banqueri , á las que contestó el Sr. Giral- artículo anterior y después de las últimas palabras estas do, conviniendo únicamente con el Sr. Palarea en que po otras: «y las demandas de reivindicación de bienes vincula dría señalarse un te'rmino para la terminación de los litigios dos que se poseyeren po…</t>
  </si>
  <si>
    <t>…a Monarquía; y convino en que no se trataba de dejar impunes los delitos por consiguiente queda suprimido desde ahora el tribuna! de los eclesiásticos; pero apoyándole de nuevo el Sr. Giral- establecido en aquella con el- nombre de Breve, desde el do , individuo de la comisión , dijo que esperaba que la año de 1525. posteridad hará justicia al Congreso español, pues no lle Fue este último aprobado sin discusión; y habiendo va otra mira que la de…</t>
  </si>
  <si>
    <t>Giraldo</t>
  </si>
  <si>
    <t>…ida esta lec tura , se retiraron dichos Sres. secretarios dtíi Despacho. Faltando la Diputa ción permanente, que debía presidir á esta primera junta preparatoria , pro puso el Sr. diputado Giraldo que interinamente la presidiese el Sr. Casta ñedo , en atención á su estado y ancianidad; é igualmente que fuesen se cretarios interinos los Sres. Martínez de la Rosa y Clemencin y para co menzar en virtud de esto á la elección de presidente y secretarios; y…</t>
  </si>
  <si>
    <t>…los vireyes y demas gefes de aquello? países pusie semejantes, y nohabian logrado esta satisfacción. ran en libertad á todas las .personas detenidas por disidencia. A petición del Sr. Giraldo se declaró el punto suficien Se leyó otra del Sr. Villa, relativa á que se pidiese una temente discutido por 68 votos contra 66. Sin embargo, nota al Gobierno de lo que se hubiese adelantado en la ins el Sr. Castañedo manifestó tenia entendido que ¡a Junta ib…</t>
  </si>
  <si>
    <t>…bligando tí la milicia nacional á que depo apertura de estas, para repartir á los Sres. diputados; y ha site las armas en lugar determinado." El Sr. Cepera mani biendo indicado el Sr. Giraldo que debería incluirse la con festó que debía reformarse la exprerion instancia de Pam testación que dieron las Cortes , dijo otro Sr. diputado que plona , sustituyendo instancia de la milicia nacional de tenia entendido no se había acabado de imprimir. Pamplo…</t>
  </si>
  <si>
    <t>…á S. M. En-la audiencia territorial de e ta provincia se ha dado; desde Lóndres en defensa del Gobierno representadvo ; y á y pronunciado hoy la sentencia siguiente: propuesta del Sr. Giraldo se mandó decir en el acra qué En la causa criminal que en segunda insrancia ante noshabia sido grata á la' Cortes la expresada representación, y va y pende entre paites, de la una el oficio fiscil de e'ta audiencia, y de la otra el curador ad ¡ítem de D. Igna…</t>
  </si>
  <si>
    <t>…retos! de las rían, en .algunos puntos las memorias de lps secretarios del Cortes pertenecientes á Ultramar. l,as Cortes quedaron en Despacho» , teradas. Con este motivo indicó el Sr. Giraldo se insinuase Se leyó una proposición del Sr. Mqscoso , para que la al Gobierno que dispusiese la venta de .los tomos de decre del Sr. Golfín, sobre aprobar las promesas del gefe del ejér tos de Cortes que están impresos ', pues es muy necesario cito de S. Fer…</t>
  </si>
  <si>
    <t>…Galicia, de cuyo carácter todavía no se testado á varias objeciones los Sres. Martel, Navas y Gar puede juzgar, si se examinan las fechas, se encontrará an cía Page, y hablado el Sr. Giraldo, renovando lo ante terior á la jura de S. M. Concluyó añadiendo otras reflexio riormente dicho acerca del colegio de San Fulgencio en nes para convencer de que no se estaba en el caso que la Murcia. proposición indicaba. Se pasó igualmente otra del Sr. Subrjé…</t>
  </si>
  <si>
    <t>…del teriormente designados , se habia entendido por el admi caso que se oyera á las diputaciones provinciales; pero el nistrador de Málaga que estos eran los anteriores á la época Sr. Giraldo hizo ver que la división de partidos que ahora de Diciembre últirtío. Las comisiones en vista de todo pro se propoma era provisional é interina; y todas estas discu ponían *» que dejando subsistente el pago de un cuartillo siones se fundarían en la diferencia…</t>
  </si>
  <si>
    <t>…cta de al contrabando no son las debidas , atendida la calidad del dichas elecciones para dar dictamen acerca del poder del delito; y pido por tanto q-e se moderen.” El autor para Sr. Giraldo, diputado por la Mancha, apareció que la jun apoyar sus proposiciones, leyó el dictamen que di í á las ta de Provincia no tenia culpa de que hubiesen faltado los Cortes la comisión de Hacienda en tSt;, añadiendo por dos electores, procediendo esta ademas con…</t>
  </si>
  <si>
    <t>…ntos inconvenientes políticos como se suponia para la dicación que queda referida contra los funcionarios públicos; formación de causa á los ministros que habian concedido pero el Sr. Giraldo respondió que no podia admitirse, pues los privilegios, sumergiendo á la Nación en un abismo de cuando se tratase de discutir entonces se podría hablar de males, cuyo fruto acaso estarían en el dia disfrutando, pi ello ; mas como insistía el Sr. Sierra en que…</t>
  </si>
  <si>
    <t>…providencias que evitarían también presente á la discusión , trató) de dar satisfacción á muchos males. algunas ae las objeciones del Sr. Fb'rez Kstrada, diciendo Habló después el Sr. Giraldo, y se propuso demostrar que en cuanto á los persas el Gobierno hizo lo que pudo y por la- leyes y reglamentos dados en todas las épocas ante lo que debia hacer, y que no debió hacer mas porque hu riores que el número de ladrones ha sido en todos tiempos biera…</t>
  </si>
  <si>
    <t>…as da do daba la propo icion de que á las monjas se las señalase la te, y parece natural que se cuide de mantenerlas. Congrua. Explicó el principio y motivos de señalarla á los El Sr. Giraldo apoyó esta adición , diciendo que la creia sacerdotes, y terminó diciendo que la monja secularizada sumamente necesaria, y bastaba para conocer esto examinar podrá ponerse á servir, tendrá bienes con que mantenerse, el corazón del hombre: es preciso pues, dij…</t>
  </si>
  <si>
    <t>…vas, el Sr. Toreno lo cre yes de la libertad de imorenra. yó inútil, por cuanto en cada comirion habia siete ó nueve; Otro Sr. diputado, o o ó en seguida que la pririon de pero et Sr. Giraldo dijo que deberían pasar para formar el Aguilera ‘era itn e'ecto del prurito de interpretar 'as es 3i expediente; y asi lo resolvieron las Cortes. para eludir ur ob ervaucia; y pidió finalmente ai Conyugo También se aprobó, conforme al dictamen de la comi que…</t>
  </si>
  <si>
    <t>Gíraldo</t>
  </si>
  <si>
    <t>…s, es la base política de la Monarquía, y la que ase tenido respectivamente 50, 28 y 63 votos, quedando ele gura la felicidad de la Nación, del Rey y de cada uno de gido por 86 el Sr. Gíraldo. Resultaron electos en primer es nosotros, sí se observa religiosamente." crutinio el Sr. Vadillo para více-presidente por 97 , y el Sr. Diaz del Moral por 103 para secretario; saliendo de es G razalema 31 de Julio. te cargo el Sr. Clemencin, Deseando el ayun…</t>
  </si>
  <si>
    <t>…l término de poniendo ser bien claro que se oponía a la Constitución este 30 d i as, contados desde la publicación de este aviso; con aper art. 4.0, y pidió que se suprimiera. Til Sr. Giraldo á conti cibimiento que pasados se continuará en la sustanciacion , y les nuación leyó otras dos leyes de la Recopilación sobre este parará el‘perjuicio que haya lugar. punto. Los suscriptores á la colección de novelas que publica Don El Sr. Calatrava dijo ser…</t>
  </si>
  <si>
    <t>…que no esperaba menos el Con fuesen"haciendo en 30 ó en 40 anos á que se hiciesen en un greso de la atención de S. M. momento , y pidió que en caso de que se llegara a aprobar El Sr. Giraldo dijo que la comisión sabia bierrqúe en el art. i.3 en cuanto á la desestancacion de los bienes raí contraría grande oposición en esté primer artículo; pero, no ces y estables, se añadiera la de los juros, censos y demás. creía se la haría la imputación de sep…</t>
  </si>
  <si>
    <t>…s de España;” la que dero de lós ríos; por lo que se devolvió el articulo á las co no fue aprobada. r: •; misiones para que señalaran otro límite que no causara Se aprobó otra del Sr. Giraldo referente al mismo asun dudas, ni impidiera á los dedicados á la -pesca de los rios to; que decia asi: «Que cada una de las comisiones pro el egercitar esta industria.- ponga al Congreso los sugetos de fuera de él que estime ne *Se aprobaron después lós artíc…</t>
  </si>
  <si>
    <t>…culo y la adición del Sr. Torre Marin . que mero de decretos de los emperadores Romanos y de los con adoptó la comisión , «y conserven este derecho” después de cilios; á lo que el Sr. Giraldo, individuo de la comisión, las palabras «mientras vivan los que en el dia los perciban/’ contestó que no habia en aquel articulo mas que una medi Se mandó parar á la comisión una indicación del señqr da que estaba en las facultades de la autoridad civil; y lo…</t>
  </si>
  <si>
    <t>…robó el ar te: «Entre los monacales y conventos suprimidos se pon tículo como estaba. drán los trinitarios, mercenarios y demas ordenes que hu Se aprobó igualmente una adición del Sr. Giraldo, que decía: «Continuando en el egercicio de sus curatos los que biese de redentores de cautivos.” Otra semejante presentó el Sr. Díaz de Morales, y se creyó que podrían dejarse para los tienen en el dia en el territorio de las órdenes, en virtud de la present…</t>
  </si>
  <si>
    <t>…de ellos que,llevaban ocho y que entendían , á todas aquellas personas que creyesen po fí Uivt&lt;1 tía uuuan rtr’ uv.✓-l ra n*.«tiArsjn 1 dían suministrarles luces en la materia. El Sr. Giraldo expuso que debía tomarse esto en consi Se leyó el dictamen de la comisión de Bellas artes, en deración, extendiéndolo á todas las provincias, pues acón-, vista de la proposición del Sr. Moreno Guerra, reducida á tecia lo mismo en todas ; que se pasase á una.…</t>
  </si>
  <si>
    <t>…os individuos de las fabricas de cigarros nero para las obras necesarias al efecto, se hiciese una cues establecidas en esta corte sobre que se conserve este esta ta general; y el Sr. Giraldo que para el mismo fin se valie blecimiento ; y se mandó pasar á la comisión ordinaria de se el Gobierno de todos los medios que estuviesen á su al Hacienda. cance; y por último quedó aprobada la indicación , añadién A la misma se mandaron pasar el plan de la…</t>
  </si>
  <si>
    <t>…unciado Art. 71. «En los dos recursos de que se ha hablado en el impreso, y otra al.reo, si la pidiere.” los artículos anteriores, sí se declarase q::e han sido infunda Pareció al Sr. Giraldo poco conforme á justicia que no dos, se condenará en las costas al que los hubiese imerptL" 10. se entregase una copia igualmente al reo, aunque no la pi Arr. 72. «Las Cortes, en uso de las .facultades; que leí diese; pues eri este caso seria privarle de la a…</t>
  </si>
  <si>
    <t>…e pasase este reúna á los demas ramos de la Hacienda pública.” asunto á las comisiones de Fuerza armada y Legislación; El Sr. Sierra Pambley rogó al Sr. Ochoa dijese á qué pero el Sr. Giraldo dijo que debía pasar á la comisión de rentas quería se agregase, supuesto que en las provincias no Legislación y Guerra coq urgencia; y asi se aprobó. habia ya administrador de rentas, sino únicamente el guar- Quedaron enteradas las Cortes y se mandaron repar…</t>
  </si>
  <si>
    <t>…solamente por este año, que Se continuó entre tanto la discusión ; y pasando á la dando suprimido para el siguiente. del indulto cuadragesimal , cuyos productos regulaba la co El Sr. Giraldo manifestó que pasase á la comisión para misión en millón y medio de reales, se aprobó su dicta que esta diese su dictamen; y asi se mandó. men , reducido A que se aplicase íntegro A la tesorería. Se leyó otra del Sr. San Miguel para que se anulasen Proponia e…</t>
  </si>
  <si>
    <t>…cas del Prado, remitida por et Sr. secre El Sr. presidente nombró en su lugar para la comisión tario de la Gobernación de la Península, dirigida á que se primera de Legislación al Sr. Giraldo; para la de Poderes le dispense el tiempo de estudios que le falta para concluir al Sr. Vecino , y para la especial de exterminio de malhe su carrera literaria. chores al Sr. Govanres. Ademas nombró para completar la A la primera de Legislación se pasó un ofi…</t>
  </si>
  <si>
    <t>…teórica del dictamen de la comisión de Hacienda sobre Crédito pú aplicada á la nación española. Esta obra constará de nueve tomos, blico, que se presentaria de un dia á otro ; el Sr. Giraldo, que irán saliendo á luz sucesivamente. Se publica ahora el i.° atendiendo á lo interesante de uno y otro, y á que parecía dividido en dos partes: la primera contiene la demostración de estar ya impreso el primero, y que se estaba imprimiendo algunos de los d…</t>
  </si>
  <si>
    <t>…® rs., y hallarse en suma escasez por no tener otra sub dándose igual orden á los tribunales y á los prelados de sistencia. las órdenes regulares , como también al Emmo. y Rmo. El Sr. Giraldo expresó hallarse muchas viudas en igual cardenal patriarca , lo que con efecto se ha verificado. caso, por lo que pidió se tomase una providencia general -----Con motivo de la ceiebridad del cumple años de S. A. R. en este asunto. el Príncipe Real D. Pedro se…</t>
  </si>
  <si>
    <t>…tes en la materia.” invertir su producto en obras públicas. Admitida ,á discusión fue apoyada por el Sr. Várgas Se dio cuenta de un oficio del Sr. secretario de Haden- Ponce; y el Sr. Giraldo manifestó que lo mejor era tardar</t>
  </si>
  <si>
    <t>…sará.en el artículo siguiente. El Sr. Romero Alpuente , manifestándolo enredoso del 2.® «Por ahora, y mientras se restablezca el cultivo y asunto , opinó , como lo hizo también el Sr. Giraldo, que el el comercio del algodón en nuestras provincias de Europa volver el asunto al poder judicial seria enredarlo mas y mas, y de Ultramar, se permitirá la entrada del algodón en rama añadiendo que con esto se lograba en obsequio de la misma de Fernambuco y…</t>
  </si>
  <si>
    <t>Giraldo, Amonio Josef</t>
  </si>
  <si>
    <t>Amonio Josef Giraldo</t>
  </si>
  <si>
    <t>…tercio de contribución Dictamen sobre el tribunal de Ja Inquisición, que en lasdel presente año. Madrid 13 de Agosto de 1820.= Ramón Cortes generales y extraordinarias dió el Dr. D. Amonio Josef Giraldo , presidente. = Manuel López Cepero, diputado se Ruiz de Padrón, diputado por Canarias, el 18 de Enero de cretario. = Juan Manuel. Snbríé , diputado secretario.” 2813. Se hallará en las librerías de Sanz ,■ de Brun y de Orea. Por tanto mandamos á todos los tr…</t>
  </si>
  <si>
    <t>Giraldo, Ramón</t>
  </si>
  <si>
    <t>Ramón Giraldo</t>
  </si>
  <si>
    <t>…mismo tribunal á D. Francisco Nogués, D. Benito Hermosilla, D. Francisco Xavier Caro, D. Francisco Alfonso de Tuero, D, Josef Calatrava, D. Pedro Silves, D. Antonio V ilíaurrutia, D. Ramón Giraldo y Don</t>
  </si>
  <si>
    <t>…e sus secre probo también del Sr. Freire: «que se exprese que se excep tarios D. Diego Clemencin, han sido nombrados para pre túan de la milicia nacional los abogados.” sidente el Sr. D. Ramón Giraldo, diputado por la provin Se aprobaron la siguiente adición del Sr. Villanueva: «que cia de la Mancha; para vice-presidente el Sr. D. Josef Ma se exceptúen los maestros de latinidad que enseñan en es nuel Vadillo , que lo es por ¡a de Cádiz, y para secretario c…</t>
  </si>
  <si>
    <t>Girardin</t>
  </si>
  <si>
    <t>…esultado, yen seguida pasó á sortear los individuos de que se había de componer la diputación que há de presentar al Rey esta contesta ción; y se declaró la suerte por los señores conde Girardin, Casimiro Perier, Fradin, Hay, de Salís , Paul Chareaudouble, marques de Villafranca, Becquey, barón Fabre, de Bauvoir, Dannou, Canmartin , Saint-Aignan, Lecar— lier, Barthe-Labasride, conde de la Bourdonñaye, Jobez, Chevaiier-le-More, Bourdeau, Hargan y baró…</t>
  </si>
  <si>
    <t>Giraucf</t>
  </si>
  <si>
    <t>…Strasburgo á 1899, y el de los muertos á 1761, y ha habido 404 ca samientos. En el año anterior de ,i8i8 hubo 1671 ¡nacidos &gt;1-750 muertos 432 casamientos. Idem rij'. Dicen que el doctor Giraucf, médico-químico residente en- Baltimore, de los Estados-Unidos, ha conseguido descubrir, después de muchas observadan.es y repetidos experimentos, un remedio infalible para la curación de la fiebre amarilla; y añaden que cree el autor se puedeóaplicar con igu…</t>
  </si>
  <si>
    <t>Girón, Antonio Félix García</t>
  </si>
  <si>
    <t>Antonio Félix García Girón</t>
  </si>
  <si>
    <t>…ia 8 del pasado se celebraron exámenes públicos de con la comedia de Roma libre, que fue egecutada perfecta los discípulos de primeras letras que están bajo la dirección mente. de D. Antonio Félix García Girón, su maestro. Se dio prin Madrid 2 g de Julio. cipio al acto con un discurso, que pronunció Diego Basiliso SS. A A. continúan sin la menor novedad'en su impor García , de edad de siete años , sobre los dos artículos de la tante salud. Constitución , que tratan…</t>
  </si>
  <si>
    <t>Girón, Pedro Agustín</t>
  </si>
  <si>
    <t>Pedro Agustín Girón</t>
  </si>
  <si>
    <t>…o este título como inmediato vuestro en el egercício de las funciones que os corresponden. Tendreíslo entendido, y dispondréis lo nece sario á su cumplimiento.=Está rubricado. = A D. Pedro Agustín Girón.” Circular de la Gobernación de la Península. „Penetrado el Rey de la importancia de las funciones de las diputaciones provinciales en el sistema constitucional, que ya felizmente rige á la Nación; atendiendo á que según el artículo 328 de la Constitución, do…</t>
  </si>
  <si>
    <t>…. Evaristo Perez de Castro. Tendreislo entendido, y ib comunica-r reís á quienes corresponda para su debido cumplimiento, Dado en Palacio a 6 de Abril de 1820. —Está rubricado-- A D. Pedro Agustín Girón.” Por providencia del imperial y Real tribunal dé primera instancia civil de Milán , con fecha de 18 de Mayo del año pasado, se cita y emplaza, á pe-| dimento de Bárbara Bluter, á Josef Zemp, su marido,, ausente de aquelí^ ciudad seis años hace, para que en e…</t>
  </si>
  <si>
    <t>…seguirá aquel encargado de ella. Tendréis lo entendido, y le comu nicareis á quienes corresponda para su debido cumplimiento. = Está rubrica* do.as Palacio 3 de Abril de 1820.2 A D. Pedro Agustín Girón.” Nota. Se ha comunicado este decreto por extraordinario á D. Manuel</t>
  </si>
  <si>
    <t>Giroud, Pedro</t>
  </si>
  <si>
    <t>Pedro Giroud</t>
  </si>
  <si>
    <t>…e se cobraban' para el canal de Cas ti i la se emplea dada contra el alcalde constitucional de dicha villa. sen precisamente en este obje o. ... A la de Comercio una exposición de D. Pedro Giroud El Sr. secretario de la Gobernación de la Península, fun de Villcte, director de la fabrica de papel pintado de Ma dándose en la opinión del Sr. Cid, manifestó ios perjuicios drid, pidiendo se prohíba la entrada del extranjero. que se seguirian al servicio público…</t>
  </si>
  <si>
    <t>Gisbcrr</t>
  </si>
  <si>
    <t>…propongan medios para que obe debía imprimirse por separado, y repartirse £ los ¿i puado» decida la Constisucion , no se enerve la disciplina ini!i:ar todo proyecto de ley ; y el Sr. Gisbcrr propuso un medio, en los puntos'.fftte tfatan de -subordinación rcpecto á ge-, cual era el de qte se imprimiesen inmediatamente como fes.” La que dijo ¡su amor hahia hecho á consecuencia del apéndices al diario de Cortes todos estos proyectos, por espediente…</t>
  </si>
  <si>
    <t>Gisberr</t>
  </si>
  <si>
    <t>…on esta institución ; y aun en la ni una sola habia que se hubiese atrevido á decir que eran Segunda época no se conocían mas que las oblaciones de los de derecho divino ; y ya el Sr. Gisberr habia manifestado al fieles, introducie'ndose después de varios siglos esta costum Congreso que la autoridad de la Iglesia era únicamente es bre de un modo en unas partes, y de otro en otras. piritual , y que en su disciplina exterior dependía absoluta Dejand…</t>
  </si>
  <si>
    <t>Gisbert</t>
  </si>
  <si>
    <t>…sión lo que estima ciones sobre si debia adifiltirse ó no esta representación y se útil para cortar tantos abusos. otras de igual clase, se declaró no haber lugar á votar, y el El Sr. Gisbert dividió la cuestión en dos puntos, uno Sr. presidente levantó la sesión pública, quedando las Cor sobre evitar la extracción del dinero , y otro acerca de seña tes en secreta. lar el sistema que se debe seguir con la corte de Roma, puntos que dije tenia prese…</t>
  </si>
  <si>
    <t>…todos querrían entrar en ellos con pre monasterios de las órdenes monacales, inclusos los de Ja ferencia á los demas. claustral benedictina de Aragón y Cataluña, como asimismo El Sr. Gisbert, después de haber hecho varias Tefiexiolos conventos y colegios de las cuatro militares, de S. Juan nes sobre la facultad y derecho que tenia la Nación pata de Jerusalen,, de comendadores hospitalarios, y de hospi tratar de los regulares , habiendo sido neces…</t>
  </si>
  <si>
    <t>…de Cuentas para que se aumentasen 16 escribientes con de la legitimidad de dicho motivohabiendo antes he ja dotación de 2200 rs., suprimiendo ; plazas de oficiales cho presente el Sr. Gisbert que no se podía negar el permi de libros. La comisión era de parecer que no se hiciese no so para las reuniones por las autoridades, y que no care vedad en la planta'de la conraduría, en atención á la gra cían estas de responsabilidad. vedad dé los asuntos qu…</t>
  </si>
  <si>
    <t>…nstitución , ó que por razón de sus empleos dados en el en lugar de la siguiente expresión , equivocadamente atribuida mismo intermedio haya conocido en causas de la naturaleza al Sr. Gisbert por otro Sr. diputado: « La disciplina exterior de de las llamados de Estado . se entienda que por él mismo la Iglesia depende absolutamente de la autoridad civ’il •;** se leerá hecho renunció su empleo de consejero.” esta otra : » La autoridad civil puede in…</t>
  </si>
  <si>
    <t>…o mero el no haber sabido decir cuántas horas habia andado el Sr. D. Manuel de la Bodega, diputado suplente por Lima. cierto dia, si ocho ó cuatro, excusándose con que no lleva El Sr. Gisbert apoyó la indicación deí Sr. Villanueva, ba relox; y segundo que cuando se le preguntó cuánta era apoyado en los buenos resultados que obtuvieron las Cortes la tripulación del buque á cuyo bordo iban la Princesa y él, de su declaración sobre no admitir tratado…</t>
  </si>
  <si>
    <t>…d y el tercio, lo que plan los requisitos que exige el artículo 287 de la Constitu ptoduciria gran confusión en las oficinas de Hacienda. ción. Madrid 11 de Setiembre de 1820.” El Sr. Gisbert apoyó la indicación del Sr. López, aña Por tanto mandamos á todos los tribunales, justicias, diendo que sabia que las justicias de algunos pueblos no ha gefes, gobernadores y demas autoridades, asi civiles como bían publicado el decreto de las Cortes sobre la…</t>
  </si>
  <si>
    <t>…dación.” los dornas aurores de la indicación, en suspenderla para que Se mandaron pasar A la comisión las siguientes; se propusiera sobre el particular lo mas conveniente. Una del Sr. Gisbert: «Pido al Congreso se sirva man* dar que las capellanías y pías fundaciones agregadas á los be Se leyó el art. 1 4. , que decia : 14. «Se exceptúan del-eontenido de los tres artículos neficios curados que constituyen parte de su congrua, no se anteriores los…</t>
  </si>
  <si>
    <t>Gisbert, Francisco Xavier</t>
  </si>
  <si>
    <t>Francisco Xavier Gisbert</t>
  </si>
  <si>
    <t>…y de Barco, carrera'*cí&lt;s S. Gerónimo. , Variaciones para piano forte sobre el tema del primer himno patriótico que se, canto en el tea tiro del Príncipe por la Sra. Moreno : por D. Francisco Xavier Gisbert,. maestrode capilla de las Descalzas Reales, grabadas por Wirmbs. Se hallarán en la. librería de Ortega, calle dejas Carretas, á 8 rs. EN LA IMPRENTA NACIONAL.</t>
  </si>
  <si>
    <t>Glinbouri</t>
  </si>
  <si>
    <t>…correspondiente juramento) que ha decia «no puedo acordarme por ahora de esas cosas como biendo viajado por Italia en ifst;, había visitado en NA- »no tengo eso en la memoria.” El lord Glinbouri «nada poles cotí mucha frecuencia A la Princesa, como lo hacian podia afirmar." La señorita Lindsay halla improbable que otros muchos caballeros ingleses y napolitanos : que nunca haya dicho tal cosa;, de modo que en ellos se observa el habla notado la mas mí…</t>
  </si>
  <si>
    <t>Go, Félix</t>
  </si>
  <si>
    <t>Félix Go</t>
  </si>
  <si>
    <t>…ueblos contagiados de su diócesi é inmedia tos á ella. A R ,T I C V X. O I&gt; E O F I C I O. El Rey nuestro Señor se ha servido promover al alcalde mayor de la nñ— lía de Manzanares D. Félix Go zalez Vizcaíno á la vara, dé 1 gobierno de lí . ciudad de Almagro, y nombrar para la dé la villa de Tarancon, todas del territorio de las Ordenes Militares, á D. Josef María de la Escalera Ruiz. Ea virtud de providencia de 4 de Diciembre del año último, dada…</t>
  </si>
  <si>
    <t>Gó, Francisca</t>
  </si>
  <si>
    <t>Francisca Gó</t>
  </si>
  <si>
    <t>…n de la diputación los particulares. provincial de Córdoba sobre abolición de varios derechos. Habiendo tomado la palabra el Sr. Romero Alpuente, A la de Infracciones una queja de Doña Francisca Gó previno el Sr. presidente que ni proponía ni pedia nada el mez de Meneses contra los alcalde; de la villa de Zafra, por general Riego , y que ti_ se quisiese hacer alguna proposi la prisión de sú marido D. Josef Ponce de León. ción, debia verificarse por escr…</t>
  </si>
  <si>
    <t>Gó, Pedro</t>
  </si>
  <si>
    <t>Pedro Gó</t>
  </si>
  <si>
    <t>…e dió conocimiento de la Masdevall, D. Manuel de Fortuny , D. Miguel de Prats y mencionada Real resolución en 24 del mismo Enero último "Villalba, D. Juan de Medinabeitia, fiscal; D. Pedro Gó á ese ministerio, y al inspector general de infantería por lo mez de las Casas, alguacil mayor; D. Jaime Parera, fiscal relativo á la enunciada Parracia, y debiendo tener su entero en el dia de Valíadolid. efecto con todas las viudas y familias que se hallan…</t>
  </si>
  <si>
    <t>Godiner, Agustín Perez Zaragoza</t>
  </si>
  <si>
    <t>Agustín Perez Zaragoza Godiner</t>
  </si>
  <si>
    <t>…tracon un tono pausado y magestuoso. Los indios gustan mu ducidos y recopilados de diferentes autores franceses y otros por cho de metáforas, y las usan con profusión en su estilo D. Agustín Perez Zaragoza Godiner. Esta edición constará de oratorio. Cuando quieren expresar que aunque la guerra rei tres tomos en. 8.J, y se abrirá suscripción en las librerías de Sánz y ne con todo su furor , no se debe pensar en la paz, dicen: Brun ,• á'n rs. el tomo para los suscriptore…</t>
  </si>
  <si>
    <t>Godoy, Atanasio Echevarría y</t>
  </si>
  <si>
    <t>Atanasio Echevarría y Godoy</t>
  </si>
  <si>
    <t>…y restos de ias paredes y cercas que han que osteología y miologia para el uso de pintores y escultores, tra dado en la referida ciudad del edificio donde estuvo el ex ducidos por D. Atanasio Echevarría y Godoy : idem en la de tinguido tribunal de la Inquisición. 27,940-23. Calleja, y en las principales de las provincias. Memoria premiada por la junta suprema de Caridad el dia VARIEDADES. 30 de Mayo de 1819 , y dedicada al soberano Congreso de la heroica Nación espa…</t>
  </si>
  <si>
    <t>Godoy, Diego</t>
  </si>
  <si>
    <t>Diego Godoy</t>
  </si>
  <si>
    <t>…ue se establézca una au de México, y fondos de azogue de Nucva-España. diencia en aquella capital. A |a de Caminos, Canales y Agricultura reunidas un Al Gobierno una exposición de D. Diego Godoy, pi oficio del mismo Sr. secretario, incluyendo una memoria diendo se declare que está en posesión de los derechos que de la junta de dirección de la empresa de desagüe y riego la Constitución concede á todo español, y que se le permita de Albacete, en .que t…</t>
  </si>
  <si>
    <t>Godoy, Manuel</t>
  </si>
  <si>
    <t>Manuel Godoy</t>
  </si>
  <si>
    <t>…a necesidad de que se admitiese á tural y de gentes, fundada en-estos estudios, y suprimida discusión este proyecto , pidiendo se pasara á la comisión; en tiempo del ministerio de D. Manuel Godoy.” y preguntando si se admitía á discusión, se resolvió que sí, Se aprobó el dictamen presentado por la comisión do y se leyó la lista de los individuos que nombró el Sr. presi Legislación , en virtud de haber consultado la audiencia de dente para la comí-ion…</t>
  </si>
  <si>
    <t>Godoy, Manuel de</t>
  </si>
  <si>
    <t>Manuel de Godoy</t>
  </si>
  <si>
    <t>…salud.” 26. El producto de los estados de la última duquesa de Al ba , y demas que se incorporen á la Nación, y los que ha Debiendo salir del puerto de Cádiz el dia 20 de No ya de D. Manuel de Godoy. 27. Las rentas de las preben viembre próximo el bergantín Voluntario, correo de la ar das y de otro cualquier beneficio eclesiástico que disfrutan mada nacional, con la correspondencia para Ultramar, se los individuos residentes fuera del territorio español,…</t>
  </si>
  <si>
    <t>…ARIEDADES. 24. El producto de los estados de la última duquesa de Alba, y demas que se incorporen á la nación, y los que Conclave el artículo de la gaceta del dia de arer. haya de D. Manuel de Godoy. Si la Vínvopa no tiene por qué gloriarle absolutamente de 2t. Las rentas de las prebendas y de otro cualquiera la legitimidad y resultados de sus mas nobles empresas bé beneficio eclesiástico que disfrutan los'individuos residentes licas", tampoco tiene un m…</t>
  </si>
  <si>
    <t>Goicoechea, Agustín</t>
  </si>
  <si>
    <t>Agustín Goicoechea</t>
  </si>
  <si>
    <t>…nas llegan á cubrirlos. solicitado el último en la sesión de ayer para proceder á la Se aprobaron sin discusión los siguientes hasta el artículo elección de un regidor en lugar de D. Agustín Goicoechea. 38 , al que hizo el Sr. Rovira la adición «después de recibi El Sr. López (D. Marcial) presentó dos exposiciones do su reemplazoy siguieron aprobándose los demas hasta de la diputación provincial de Aragón: una sobre la nece el 44, que después de algunas obj…</t>
  </si>
  <si>
    <t>Goilin</t>
  </si>
  <si>
    <t>…lo, y el Sr Rampnet que creía que podrían su stiro euro de íi milicia nacional, y se aprobó la indicación primirse los dos renglones" últimos; á^ lo. que respondió el hecha por el Sr. Goilin para que se añadieran al art. 16 es Sr. Romero Alpuentc desvaneciendo sus dudas. y haciendo tas palabras: »&gt;Y con aprobación del gefe.” Ver que seria muy laudable la-'acción deún hombre que des</t>
  </si>
  <si>
    <t>…o salió electo en primer escrutinio el esta ob ervacion no debia Ser un obstáculo ¡rara que se apro Sr. conde de Toreno por 113 votos de 146. bara d dictamen. Esto mismo aprobó el Sr. Goilin. Para el segundo no resultó elección en primer escrutinio; El Sr. Martínez de la Rosa dijo que siendo este decreto y habiendo entrado en el segundo los Sres. Calatrava , Cues el mejor medio de aumentar el número de partidarios del ta, Zayas y Moscoso, recayó…</t>
  </si>
  <si>
    <t>Golfín</t>
  </si>
  <si>
    <t>…de algunos diputados que se nombraron ,,con lo que se conformó el Sr. Toreno subrogando la pahbrrt para las comisiones que recibieron a SS. MM. en lugar de indicados"; y otra del Sr. Golfín acerca de un tratado con otros que no pedieron asistir á ellas, se aprobaron las dos cluido con el Rey de los Países-Bajos en 1S16 relativo á acta'. la conducía de la regencia de Argel, al que parecía darse En seguida se leyeron las Ir-tas de los individuos n…</t>
  </si>
  <si>
    <t>66 seguro para evitar la desagradable necesidad de que se ventí del dia anterior. El Sr. Golfín hizo la observación de que lase el asunto en una disensión púijblica &amp;c.” al hablar de la denunciaTiecha por et Sr. Riego, solo .je ■ Sir F. Burdett apoyó esta enmienda, y después habló decía que era respectiva al abuso de la libertad de-imprenta, extensament…</t>
  </si>
  <si>
    <t>…la parte del co ción otra de Manuel de Burgos, vecino de Llerena, sobre razón. haberla infringido el alcalde y juez de primera instancia. Idem 7 de Julio. Habiendo manifestado el Sr. Golfín que iba á hacer una Según la lista de las cantidades recaudadas por el comi proposición para que se aprobasen las ofertas hechas por los sario D. Francisco Mota y D. Buenaventura Martoreli para geies del egárcito de S. Fernando á sus soldados, se leyó ererniz…</t>
  </si>
  <si>
    <t>…oña Alaría Luisa y los suyos; y en su defec ue las Cortes tomaron ayer , relativa á las proposiciones to la Sra. Doña ,Alaría Isabel, 'hermana tercera del Rey, el Sr. Moscoso.” El Sr. Golfín expresó que no habia firma Princesa heredera de las Dos-Sicilias , siguiendo después las do el voto particular por el modo con que estaba extendi demas personas Reales, que deban suceder conforme A la ley do; pero que no se le impidiese presentar el suyo en l…</t>
  </si>
  <si>
    <t>…oposicio se acordó pasar todas las proposiciones hechas sobre el par-, nes su autor. ticular á la misma comisión, á que se remitió la del conde Se leyeron varias proposiciones del Sr. Golfín , relativas de Toreno. ,. , á que se extienda, con respecto á los caimientos délos mi El Sr..Moreno Guerra propuso como urgentísimo com litares, lo mandado acerca de no admitirse pruebas de no pletar el número de individuos del Consejo de Estado, opo bleza en…</t>
  </si>
  <si>
    <t>…eso que puedan tener estas to de su importancia, y creyendo convendrían en ello los renta». demas individuos de la comisión. F.1 Sr. Rodríguez de Ledesma opinó que se llevase á El Sr. Golfín añadió que se imprimiese la memoria del efecto el dio amen de la comisión . mientras no se propu ministro, y se repartiese á los diputados antes de tratar del siese oto medio que mp i :ra interinamente los productos as1 nto , para poderlo verificar con mas ac…</t>
  </si>
  <si>
    <t>…ndiendo la última de Real presados, cometidos desde el día-1»° de Enero dé este año; resolución, v pretendia que pidieran las Cortes al ministe indicación que apoyó enteramente el Sr. Golfín , y repitió rio su expediente. el Sr. Quirojga en otra, respecto de la ciudad da S- Fernan Juró y tomó asiento en el Congreso un Si*, diputado. do , en que se publicó la Constitución al principió del año. Se feyó y aprobó la indicación siguiente del Sr. Trave…</t>
  </si>
  <si>
    <t>…maba último aprobado el dictamen de la comisión. ! Esta aprobación dii lugar á otra discusión promovida en esta parte. A consecuencia se leyeron las dos indicaciones que si por el Sr. Golfín, sobre si era una ley ó restricción de ley, guen del Sr. presidente: «r.a que una combion especial, pues tal debía considerarse la ordenanza de correos, en la teniendo en consideración todas las reflexiones que se han que estaban señalados los portes, en los…</t>
  </si>
  <si>
    <t>Golfin</t>
  </si>
  <si>
    <t>…uestros obtenido los derechos de ciudadano, y no tos han podido jornaleros son los mas infelices de la sociedad. perder; y siendo el objeto que en esto se propone la comi Apoyó el Sr. Golfin et artículo en cuestión . y que se sión exceptuar á las personas que no merezcan la confianza admitiese la aclaración del Sr. Sancho; y el Sr. Florez Es » a la vo pública, sucederá que habrá personas que deberán ser ex trada propuso lo mismo, con lo que se.pr…</t>
  </si>
  <si>
    <t>…perder ó tener sus lla la Vieja , dio muerte con arma blanca Manuel García pensos los derechos de ciudadano. Casado A Vicente Galan en la mañana del 24 de Abril úl Se leyó la del Sr. Golfín, «que el art. 1° ya aprobado, timo; y presentándose A la sazón el miliciano del provin vuelva á la comisión para que lo extienda conforme á la idea cial de Salamanca Juan Josef Hernández , desarmó al agre ya expresada por el Sr. Sancho, que ha admitido el Con…</t>
  </si>
  <si>
    <t>…, que en vez de correcponder con el exacto desempeño dante, y que el sustituto fuese También miliciano. Lo mis de sus deberes á la consideración de gratitud y de honor mo creyó el Sr. Golfín, y que se podria poner un sustitu por la distinción que han recibido con los nombramientos, to con aprobación Jet ¿efe. Se declaró suficientemente dis han abandonado obligación tan respetable, irrogando per cutido el artículo, y fue aprobado. juicios á la org…</t>
  </si>
  <si>
    <t>…so de reunirse á hacer el servicio con herir el amor propio, y a-m la virtud de la- perronas que el egircito permanente. van á pretender; y que mientras tenga la infelicidad de El Sr. Golfín presentó una adición al drt. ty para que estar encargado del ministerio, se vera precisado á respe se dijera al fin en ¡ ¡so necetar¿&gt;, con el objeto , según tar el mérito ó méritos que ;e aleguen. Hizo ver ade manifestó, de que ‘iendo obligación de ¡a miieia…</t>
  </si>
  <si>
    <t>…ión de Beneficencia so si se le daba la sesión á las tres de la tarde en caso de no consbre los artículos 1. y 7.J, que presentó á la deliberación de taj- mas q:¡e de un pliego El Sr. Golfin pidió , y fue aproba las Cortes en la seion de 4 de Agosto, y se mandaron vol do, que parara con urgencia, porque del retrato que sbfre ac ver á la misma con varias indicaciones de algunos Sres. di tualmente resulta el que se venden pocos Diarios á cau-a puta…</t>
  </si>
  <si>
    <t>…leyó fue el artículo 14, por el que dos meses desp'es de A las reflexiones desenvueltas en la discusión añadió» otras publicado este reglamento no estarán obligados á continuar el Sr. Golfín; el que hizo ver que de la representación se «n la milicia nacional los que tengan alguna de las condicio deducía, ó que su autor no habia leido la Constitución , 6 nes citadas en el art. 2.0, y quedo aprobado. que procedía maliciosamente para dar á entender…</t>
  </si>
  <si>
    <t>…s el uno por el Gefc político ó alcalde generales Lacy, Porlier y al coronel Acevedo,” á la que primero constitucional, y el otro por el segundo alcalde ó se añadió á petición del Sr. Golfín «el coronel Vidal y sus por los regidores, del mismo modo qus se prescribe para compañeros.” las elecciones parroquiales. En el segundo se manda que los Otra del Sr. Díaz Morales , para que se conceda al ge individuos que entraren al servicio por haber cumpli…</t>
  </si>
  <si>
    <t>…viano. Se vende en la librería de Paz. ñor Horez Estrada, y se mandaron pa'ar á la comisión las nota. En la gaceta del dia 25 de Agosto, col. 4.“, lín. 50, dos siguientes: una ael Sr. Golfín para que comprenda en donde dice ¿o miñones , léase 20. MADRID EN LA IMPRENTA NACIONAL.</t>
  </si>
  <si>
    <t>…e dijera haberse recibido tes remitidos por la secretaría de Gracia y Justicia con in los egemplares con aprecio. forme del Gobierno ; promovidos uno por D. Ignacio Ma Continuó el Sr. Golfín elogiando á los cuerpos de la ría de Ortega, vecino de Ubeda^; otro por Doña Rosalía guarnición , especialmente por su conducta en los días 6 y 7; López de Cárdenas , vecina de Montoro; otro por D. Pe el Sr. Gaseo recordó la patriótica y virtuosa que observa…</t>
  </si>
  <si>
    <t>…ión pública citada en el caso una exposición del superintendente de la fabrica de tabaco actual por varios señores no era tanta como se suponía, re de Alicante , presentada por el Sr. Golfín , sobre reforma cordando para prueba que habían sido recibidas con mucho económica y aprovechamientos en dicho ramo. entusiasmo otras disposiciones de las Cortes, contra las A las de Comercio y Hacienda reunidas una represen cuates se había querido hacer vale…</t>
  </si>
  <si>
    <t>…mbargo de ser el con de propiedad sancionado por el decreto de las Cortes de 8 curso numerosísimo cual jamas se ha visto, pues reinó la de Junio de mejor armonía y cordialidad. El Sr. Golfín observó que la medida propuesta no pa Cádiz ir de Setiembre. saría de sostener el ganado por este año, pues si se reducían Por un parte dado al capiian general de Marina de Cá como estaba mandado á dominio particular los baldíos, vol diz por el vice-consul de…</t>
  </si>
  <si>
    <t>…ro Alpuente: la 1.a para que s? tos residan en España ó fuera de ella.” : añadiesen a! art. 2.0 estas palabras: «Por ahora hasta la re No hubo lugar á votar sobre otra adición del Sr. Golfín, solución definitiva de las Cortes sobre este asunto , á cuyo para que después de la palabra «respetar” se pusiera «y obe fin vuelva á la comisión;” y la 2.a para que se añadiesen al decer;” porque, como dijo el Sr. Cortés, entre las ieyec esc art. 4.0 estas…</t>
  </si>
  <si>
    <t>…s pre España y Aragón , quienes hoy desempeñaron las funciones mios , se desaprobó el dictamen , y á petición del mismo de abanderados hasta dejarlas depositadas en el cuartel. Si Sr. Golfín se mandó pasar al Gobierno para que le señalara guióse la soémne misa imperial del celebre Haiden ; mere el premio correspondiente. ciendo el desempeño vocal é instrumen'al la aprobación de Se dió cuenta de otro dictamen de la comisión especial los inteligent…</t>
  </si>
  <si>
    <t>…fuese .ípmupueaa del Res- , ó por á no haberse votado por partes el dictamen de la comisión resolución de las Cortes. Por último,u„ &lt;»a msndd pasar á la sobre amnistía ; otro del Sr. Golfín, contrario á lo mismo , y comisión de Legislación para quocj^aptusfrecra v-ti dictamen. á haberse declarado el punto suficientemente discutido; y Se mandaron pasar á la cornijón,D|,de: Gu erra , y después otro de! Sr. Dolarea contra la resolución de no habers…</t>
  </si>
  <si>
    <t>…con la nota servancia de las leyes, ó á desobedecer á las autoridades le de subversivos j” cuya indicación se mandó pasar á la co gítimas &amp;c.” misión. Tampoco se admitió otra del Sr. Golfín, que decía así; Después se leyó el art. 12 , que decía asi: «Esta nota «Que se añada al artículo 14: «sin perjuicio del derecho que de subversión se graduará por los jueces de hecho de que tiene todo ciudadano para examinar la conveniencia ó des se tratará de…</t>
  </si>
  <si>
    <t>…de su empeño.” de la independencia. Los Sres. Ramonet y Quiroga creyeron que debia dar Aprobada la proposición 3.a salió para palacio la di se mas claridad á la Indicación ; y el Sr. Golfin dijo que putación que debía llevar á la sanción Real varios decretos. si no quería et Sr. Zapata anticipar la cuestión , vería cum Prosiguió la discusión . leyéndose la 4-a proposición. plidos sus deseos cuando la comisión de Fuerza armada pre Como en ella se…</t>
  </si>
  <si>
    <t>434 Madrid (Tde Octubre. El Sr. Martínez de la Rosa volvió á tomar la palabra S. M. ha despachado hoy con los Sres. secretarios del para contestar al Sr. Golfín , y dijo : no es posible suceda lo Despacho de Estado y de Hacienda. que S. S. recela, pues siendo mayor el número de los indi viduos de los ayuntamientos que el de las diputaciones pro CORTES. vinciales , no es fácil haya mayor parcialidad entre aquellos que…</t>
  </si>
  <si>
    <t>…bierno. A la de Comercio una exposición de la diputación dé Se procedió en seguida á la discusión de la indicación Mallorca , en que hacia presente la suma de moneda, falsa que el Sr. Golfín hizo en la sesión de ayer (véase ), la que que circulaba por aquella provinciapara-que las Cortes lo volvió á I'eerse. tomasen en consideración. .. , • ■ .. EISr. Priego se opuso á que se suspendiera la d:«cusion Otra de la misma diputación, haciendo presente…</t>
  </si>
  <si>
    <t>…oyeron con agrado la felicitación del regi rena por la queja dada contra ellos por D. Josef Miguel de miento de caballería de España por su instalación, presen Romero. tada por el Sr. Golfín. La misma comí ion presentó su dictamen acerca de la El Sr. Gutiérrez Acuña presentó una exposición de Don queja dada por Valen.in Ibañez contra el ayuntamiento y Manuel de Velasco-y D. Evaristo San Miguel, pidiendo á juez d. primera instancia de Carrion, por…</t>
  </si>
  <si>
    <t>…apital de la respectiva provincia ; y por sancionados en la Constitución política de la Monarquía;’’ lo que hace á Ultramar, si la gran distancia no lo permitie tomó la palabra el Sr. Golfín , manifestando su deseo de que, re en alguna provincia, se harán los exámenes en las cabe sin coartar la libertad, se propusiese un camino para que el zas de partido.” Gobierno influyese en la enseñanza privada, con el fin de Igualmente el 12, que decia: «El…</t>
  </si>
  <si>
    <t>…o de la comisión para el breve despacho de tan de perjudicar á los americanos , pues no se formaba empe grave asunto. ño en hacer extensiva esta medida á las islas , sino á ios El Sr. Golfín presentó una memoria que le habia dirigi continentes. do un ciudadano acerca del modo de extinguir la deuda El Sr. conde de Toreno creyó que debia adoptarse un nacional: se mandó pasar á la comisión de Hacienda. medio entre lo que deseaba el Sr. Freiré y la e…</t>
  </si>
  <si>
    <t>Golfin, María</t>
  </si>
  <si>
    <t>María Golfin</t>
  </si>
  <si>
    <t>…as tres y media. Un pedazo de terreno infructífero. Lina huerta llamada de la Inquisición. ARTICULO DE OFICIO. Una hacienda sita en la villa de Cáceres, conocida cor» el nombre de Doña María Golfin. El Rey se ha servido expedir el decreto siguiente: Tribunal de Toledo. Don Fernando vji, por la gracia de Dios y por la El edificio principal que poseyó el extinguido tribunal, Constitución de la Monarquía española, Rey de las Espa dividido en cuatro casas p…</t>
  </si>
  <si>
    <t>Goli, Miguel</t>
  </si>
  <si>
    <t>Miguel Goli</t>
  </si>
  <si>
    <t>…llará en el almacén de estampas de la calle del Gato, á 3 rs. en negro y 6 iluminada. Retrato del Exorno. Sr. L). Mariano ALi^arez de Castro, gobernador de Gerona, dibujado por el teniente D. Miguel Goli, y grabado por D. Domingo Estruc; de dicado al Kxcrno. Sr. duque del Infantado., por ei teniente coronel D. Francisco Antonio Satue y del Cos. Se hallará á 6 rs. en la librería de Higuera, gradas de San Felipe el ReaT. ía estampa de su cenotafio á 4; y la rel…</t>
  </si>
  <si>
    <t>Gollin</t>
  </si>
  <si>
    <t>…19J de la Constitución; declaran que el tratamiento de mas largo para determinar sobre cosa de tanta importancia; Mxgest.id corresponde exclusivamente al Rey. = Lo ten y añadió el Sr. Gollin que no era asunto rara tratado en drá entendido la Regencia del Reino para su cumplimien público; que era objeto de una ley; que se debían seguir to to, y dispondrá que se imprima, publique y circuie.rrDa dos los trámites prescritos para ello; que con este fo…</t>
  </si>
  <si>
    <t>GolobarMarruecos, Ignacio Torres</t>
  </si>
  <si>
    <t>Ignacio Torres GolobarMarruecos</t>
  </si>
  <si>
    <t>…marinería. Tiene ademas unas 30 embarcaciones mer gertnan, D. Francisco Cortés, D. Juan Pons, D. Manuel cantes , y muchos barcos pequeños de cabotage. Forner, D. Francisco Coima , D. Ignacio Torres GolobarMarruecos se halla actualmente sin marina. des, D. Josef Aranijo, D. Josef Antonio Carerach y Don Los periódicos alemanes dicen que Ali-Bajá ha recibido Alejo Baulenas. en su egército á algunos oficiales extrangeros; y que habien El objeto de esta reunión y de la forma…</t>
  </si>
  <si>
    <t>Golowkin</t>
  </si>
  <si>
    <t>…ocer igualmente el de un país tros de las cinco grandes potencias ; A saber: el príncipe de donde se ha establecido otro semejante sin derramamiento ’Metternich por el Austria, el conde Golowkin por la Ru-' de sangre ,-sin la menor oposición, y con la mas admirable sia, Mr. de Caraman por Francia, lord Stewart por la unión de los pueblos. Gran Bretaña, y el general Krusenmarck por Prusia: es La Inglaterra parece estar indiferente: el embajador in tos…</t>
  </si>
  <si>
    <t>…, al a 2, y el Rey de Prusia debe llegar precisamente en el: todos los datos necesarios para formar esta Constitución, y mismo dia. someter su proyecto á la sanción de S. A. R. El conde Golowkin irá áTroppau por parte de la Ru Mr. HotFmann concluyó su discurso, asegurando que sia , y el barón de Krusemark por la Prusia: ambos son em-, S. A. R. el Gran Duque quería gobernar con la seguridad baj adores cerca de nuestra corte. Vuelve á decirse que du de…</t>
  </si>
  <si>
    <t>Golrin</t>
  </si>
  <si>
    <t>…es pudiesen premiar a i el mérito de sus hijos par» que noticias de su buen comportamiento durante ias sesiones. estimularlos á la vir’ud, mientras que con e.-&gt;ta otra ley , le El Sr. Golrin habló también en favor del dictamen ; y el jos de conseguir bien alguno, se perjudica A la agricultura, Sr. Florez Estrada, individuo de la comisión, manifestó sacando de la circulación grandes haciendas: al comercio, que esta habia creído escaso el premio ;…</t>
  </si>
  <si>
    <t>Goltin</t>
  </si>
  <si>
    <t>…cusión, que estaba se el comandante en gefe duque de Yorck, se dirigió á los ñalada para el dia anterior. cuarteles acompañado de muchos oi'.ciales. Se pu o toda la A petición del Sr. Goltin se acord "&gt; expresar en el acta tropa sobre las armas, á excepción de los refractarios, y que el número de los sublevados , presos en la provincia de los mas descontentos fueron llamados uno por uno ante los Burgos, era el de 11 , ademas del canónigo Barrios.…</t>
  </si>
  <si>
    <t>Gómez</t>
  </si>
  <si>
    <t>…mente los demas. ,, Cuando llegué á la plaza ya hablan comenzado á. hacer fuego al enemi go los pocos hombres que estaban en ella, y el cabo Clemente 1 guaran en el arrabal con el teniente Gómez, haciéndote tirar , precipltadamente-á cuantos encontraron en las calles al castillo d„e, S, Jorge ,, dondeose.hicieroq fuertes, comenzando á hacernos un fuego muy ,vivo de canon, y fusilería.,, .¡Y,. ,, Inmediatamente hice cubrir el .frente del castillo con.…</t>
  </si>
  <si>
    <t>Gómez, Casimiro Antonio</t>
  </si>
  <si>
    <t>Casimiro Antonio Gómez</t>
  </si>
  <si>
    <t>…reguen inmediatamente en la escriban!? del nú conocimiento y tino con que el autor examina las costumbres de los ingleses del dia, y por la finura y gracejo con que maneja mero de D. Casimiro Antonio Gómez, donde pende el asun* en ciertos pasages las armas de la sátira r la traducción no ha •o.yque á este fia se publique en este periódico. desmerecido del original: un tomo en 8.° marquida. Se hallará, á 11 rs. en rústica y 14 en pasta, en la librería de Collado…</t>
  </si>
  <si>
    <t>Gómez, Estefanía García</t>
  </si>
  <si>
    <t>Estefanía García Gómez</t>
  </si>
  <si>
    <t>…de Rincón de una sola firma dijo á tantos millones de súbditos: «Ya sois Seca, jurisdicción de dicha ciudad. «libres; ya teneis leyes; ya formáis un cuerpo sabio, vigo- Idem idem Doña Estefanía García Gómez. «roso y temible: en fin, ya sois hombres. Haced ver al mun Treinta y tres tahullas y 8 brazas de tierra, y una bar ido que si con las armas fuisteis inconquistables, con las raca en el partido de Torrevieja, y jurisdicción de la villa «leyes y un buen Gobier…</t>
  </si>
  <si>
    <t>Gómez, Fernando</t>
  </si>
  <si>
    <t>Fernando Gómez</t>
  </si>
  <si>
    <t>El Rby se ha servida nombrar gobernador y comandante general de la plaza de Ceuta al mariscal de campo D. Fernando Gómez ele Butrón. , J * Por providencia del Sr. 0. Julián Sojo, juez de primera instancia, dada en y del corriente, y* refrendada- por el escribano de provincia D. Luis López de Castro, se han mandado sacar i pública subasta por término de 30 dias un pedazo de tter…</t>
  </si>
  <si>
    <t>Gómez, Gertrudis</t>
  </si>
  <si>
    <t>Gertrudis Gómez</t>
  </si>
  <si>
    <t>…Dos objetos se propone el autor en esta obra. 1Manifes Asimismo comulgó en el propio día una niña de Mála tar qué obligaciones tienen entre sí los Soberanos y las nacio ga llamada Doña Gertrudis Gómez, sordomuda de naci nes , los grandes y los pequeños, los padres y los hijos, los po miento , cuya educación de año y medio á esta parte cor bres y los ricos, los esposos, los militares, los magistrados &amp;c.; re á cargo del director del colegio D. Tiburcio Hern…</t>
  </si>
  <si>
    <t>Gómez, Joaquín</t>
  </si>
  <si>
    <t>Joaquín Gómez</t>
  </si>
  <si>
    <t>…séf Blanco González, intendente y corregidor de esta ciudad; él marques de Viilafranca de Ebro, I&gt;. Joaquín'Diez de Tejada , D. Pedro Car isa, D. Juan Romeo, D. Francis co Barber, D. Joaquín Gómez , D. Vicente Ibañez de*Aoiz , D. Andrés Ma? rin, el barón de Torrefiel y D. Pedro Vidal, regidores del ayuntamiento de la misma; D. Bernardo Segura y D. Pablo Treviño, diputados del común de ella, y-D¿ Agustín Conde, síndico procurador general en nombre de es…</t>
  </si>
  <si>
    <t>Gómez, Josefa</t>
  </si>
  <si>
    <t>Josefa Gómez</t>
  </si>
  <si>
    <t>…o; á saber : él trabajo de los monges, obstáculos que se oponen á ellas, á pesar de hallarse muy la propiedad de'su's bienes, y el destino de estos. Manifestó adelantadas; otra de Doña Josefa Gómez , viuda, vecina de lo esencial que habia sido á la vida monástica la labor-der Tuy , sobre perdón de la mitad de lo que debia su marido manos con.el testimonio de Rufino-, S. Agustín, y-otrosj como arrendador de frutos decimales, y otra de la so demostró que…</t>
  </si>
  <si>
    <t>Gómez, Juan</t>
  </si>
  <si>
    <t>Juan Gómez</t>
  </si>
  <si>
    <t>…itulada Za- de Marzo de 1808 en el registro de dicha escribanía del propioaig; y también ha traducido el viage de Anterior, que va á tribunal, para percibir de la testamentaría de D. Juan Gómez dar á la prensa. Este apreciable comerciante está versadí de Figueroa 245,404 rs. con 9 mrs. vn. , bajo obligación de simo en la literatura francesa, y su zelo por la propagación estar á derecho, y responder con lo que cobrase á todo otro de las luces 3- por…</t>
  </si>
  <si>
    <t>Gómez, María</t>
  </si>
  <si>
    <t>María Gómez</t>
  </si>
  <si>
    <t>…iones. Semejante metamorfosis moveria á risa en una Josef Arenas Montealegre , para dar satisfacción á los acreedo comedia ó sainete; pero realizada en el teatro de la vida res de Doña María Gómez, difunta, por el importe de una humana, debe excitar afectos de una naturaleza bien dife casa que dejó en el propio Sitio, destinada al efecto por Real rente. ¿Quién habrá por ventura que no se horrorice y tiem orden que se comunicó, se ha mandado, con vista…</t>
  </si>
  <si>
    <t>…ados en las cátedras de No habiendo podido tener efecto la rifa de la casa pertene Constitución y economía política establecidas en esta corte; y ciente en el' sitio de Aranjuez á Doña María Gómez, destinada piden que respecto de ellos, y de los que esten en su caso, al pago de sus acreedores, por el orden y método que sí anunció se declare que no tiene lugar la aplicación de lo establecido en la gaceta del Gobierno del 13 de Junio de 1817, á instancia…</t>
  </si>
  <si>
    <t>Gomez, MigueI</t>
  </si>
  <si>
    <t>MigueI Gomez</t>
  </si>
  <si>
    <t>…e aquel sitio,; y unidos con los del -Paso^atacasen al enemigo, !cuya operación ya ía encontraron- verificada dichos ofiéiaíes á su arribo á la ciudad por las del Paso é indios de D. MigueI Gomez ; y replegado en el castillo de S. Jor ge, cuya fortaleza á las tres horas de un vivísimo fuego contra la ciudad ^su frió una explosión por haberse pegado fuego á la pólvora del enemigo, cuyo accidente fes obligó á' arbolar bandera blanca, y á este llamamient…</t>
  </si>
  <si>
    <t>Gómez, Miguel</t>
  </si>
  <si>
    <t>Miguel Gómez</t>
  </si>
  <si>
    <t>…, con ebóbjeto de que'me informasen el estado de. la plaza; los puestos que cabrían los .enemigos; el número de ellos; y el motivo con que se hallaba en el puesto de S. Antonio el teniente Miguel Gómez con 20 indios , á pesar de no haber dudado ni un mometato del buen modo de pen sar de dicho oficial, de quien á las nueve de la noche recibí un recado en que rne avisaba hallarse en aquel puesto para reunírseme y atacar al enemigo, á quien había hecho entende…</t>
  </si>
  <si>
    <t>…enga presentes en su caso respectivamente. «Acompaño también á V. E. dos cartas que los rebel 1 Con motivo de hallarse presentes los secretarios del des de Rio-Hacha han escrito á D. Miguel Gómez y á sil Despacho de la Gobernación de la Península y de Gracia y hijo Simón , procurando seducirlos y engañarlos. Justicia , se dio principio á la discusión señalada para este «Lo que traslado á V. S. para su inteligencia, y á fin dia del tercer proyecto de l…</t>
  </si>
  <si>
    <t>Gómez, Miguel Josef</t>
  </si>
  <si>
    <t>Miguel Josef Gómez</t>
  </si>
  <si>
    <t>…e: uniforme para presentarlos prontamente á las Cortes. «Excmo. Sr.: En virtud de las prevenciones'que tenia A la primera de Legislación una exposición de'la con hechas al capiran D. Miguel Josef Gómez,' comandante de desa de Morata , marquesa de VillaVerde , quejándose dé las avanzadas de la Guagira, se dirigió con su tropa al sitio qiie sus colonos se niegan á pagar los derechos territoriales de Moreno , donde sorprendió el 22 del anterior un desta y sola…</t>
  </si>
  <si>
    <t>Gomez-Rubio, Domingo</t>
  </si>
  <si>
    <t>Domingo Gomez-Rubio</t>
  </si>
  <si>
    <t>…bién que^quedo muy reconocido por sus atencio nes. Dios guarde á vmds. muchos años. Calzada deOropesa 3 de Abril de 1820.=: Alvaro Gómez. = Sres. D¿ Francisco Oonzález Izquierdo y D. Domingo Gomez-Rubio/1 : .i:j : u- :■ ■ ^ r' &gt; Madrid ij de Ábrih ARTICULO DB OFICIO. . REY ba expedido el decretó siguiente: t: c.{, Noticioso rdeL júbilo'y entusiasmo con que las provincias y pueblos de esta'¿heroicaiNacién sufétos á los señoríos jurisdiccionales recibieron los…</t>
  </si>
  <si>
    <t>Gon, Manuel</t>
  </si>
  <si>
    <t>Manuel Gon</t>
  </si>
  <si>
    <t>…ando los perjuicios que se siguen de agregar clusivos. estos al partido de Sepúlveda. Se hizo la segunda lectura de la proposición del Sr. Ló A la de Premios una representación de D. Manuel Gon pez ( D. Marcial) leída por primera vez en 2 1 de Julio pa zález del Campo, D. N. Polo y D. Francisco Belda, pi sado, acerca del establecimiento de jueces de hecho, fiján diendo se establezca una distinción para premiar y clarificar dose al mismo tiempo las c…</t>
  </si>
  <si>
    <t>Gondovía, Josefa de</t>
  </si>
  <si>
    <t>Josefa de Gondovía</t>
  </si>
  <si>
    <t>…de D. Jacinto Gaoná y&gt; Leedles,se ha mandado citar* iiamar; y.emplíizat á los parientes, hermanos y-demás' personas que tengan derecho á. los bienes quedados por fallecimiento de Doña Josefa de Gondovía, difunta, viuda de D. Francisco Arrauté, y natural de la villa de Monforte de Lernus, en el reino de Galicia, comparezcan dentro del término de 30 días, contados desde el 2 del presente mes de J unió, por sí ó:por medió de procu radores coi) poder bastante ,…</t>
  </si>
  <si>
    <t>Gonsalvi</t>
  </si>
  <si>
    <t>…que las recibió,' ofrecido ninguna especie de recompensa; pero que no obs igualmente que sus ofertas. tante, si la Princesa queria hacerle algún regalo, lo acep ’ Hace dias que el cardenal Gonsalvi está súmanteme ocu taría. pado. Nuestra correspondencia exterior no ha sido nunca A este testigo sucedió en la barra Josef Garolini, maes tan activa como al presente: salen correos con mucha fre tro de obras, y en sus declaraciones estuvo acorde con el cuenci…</t>
  </si>
  <si>
    <t>…usto que semejante conducta le privase pudo menos de pronosticarle la resolución del Parlamento en del derecho de sucesión, que el adoprar el bilí contra la este grande asunto. El cardenal Gonsalvi fue el instrumen Reina, aun cuando todos los hechos contenidos en él fuesen to de -que se echó mano para despojarla de sus títulos, y ciertos al pie de la letra.” jrivaria de los honores que la correspondían por su ciase en El orador continuó su defensa con l…</t>
  </si>
  <si>
    <t>Gonzá</t>
  </si>
  <si>
    <t>…a haber lu lencia , se les recomiende el pronto despacho de este asunto.'’ gar á votar sobre el cuarto artículo solamente, ó sobre la to Se promovió una larga discusión, en que el Sr. Gonzá talidad del proyecto, basta que por último se resolvió que lez Allende hizo presente que el no haberse evacuado el in seguiria la discusión á cada uno de los artículos, y se apro forme provenia de haber recibido la comisión nuevos docu bó el 4.0 mentos que ha…</t>
  </si>
  <si>
    <t>Gonzá, Juan</t>
  </si>
  <si>
    <t>Juan Gonzá</t>
  </si>
  <si>
    <t>…ey por D. Blas Ametller.Antonio Torrija, Antonio López, Josef García y un com Se vende en el despacho de la calcografía de Ja imprenta Naciopañero de este, jo. El cónsul de España D. Juan Gonzá nal á 10 rs. vn. lez de Rivas, 390. Discurso sobre contribuciones, escrito por D. Rafael Moranr, AMICUO DB OFICIO. oficial de la secretaría.-de Estado y del Despacho universal de Hacienda de Ultramar. Se hallará en la librería de Castillo. Circular del minist…</t>
  </si>
  <si>
    <t>Gonzá, Manuel</t>
  </si>
  <si>
    <t>Manuel Gonzá</t>
  </si>
  <si>
    <t>…s, matemáticas puras, é D. Antonio C.'Carvalho, 800. D. Santiago Galleano, 10. idiomas ingles, francés é italiano, ofrecen dar lecciones de di D. Joaquín de los Santos Lomba, 400. D. Manuel Gonzá chas ciencias é idiomas, y enseñar el latín en dos años, y la lez Estrada, foó. D. Pablo Bertuzi, 80. D. Juan Morales, taquigrafía en tres meses, en su casa ó en la de los alumnos; 500. El cónsul de los Estados-Unidos D. Henrique M. bajo cuyo supuesto, y para…</t>
  </si>
  <si>
    <t>González, Agustín</t>
  </si>
  <si>
    <t>Agustín González</t>
  </si>
  <si>
    <t>…roblemas 7.0 y de los publicados en la gamundos conocidos enEranciacon el nombre de bohemios gaceta. ó egipcios j en España y Langüedoc con el de gitanos , en Exposición hecha por D. Agustín González, D. Eusebio Inglaterra con el de gypsies ; en Italia con el de zingareMartínez y D. Bartolomé Morey, oficiales de la brigada lli, y en Alemania con el de Zigeugner. de artillería de Mallorca , manifestando que para que se ve En el tomo 8.°: extractos de Fehze…</t>
  </si>
  <si>
    <t>González, Babel</t>
  </si>
  <si>
    <t>Babel González</t>
  </si>
  <si>
    <t>…ro.del Río, píovinpiá:d¿ O.ir'dóba,quejándose y 'opontóit que hubiesen muerto en defensa de la fusta causa deja Na ción, cupo eo la suerte del primer! extracto derla de este día á Doña Babel González, hiiít de'D.,Alonso,'teoíearequé fue del regimiento de Infantería de Jaén, muérto.etxid'cam »blos, que veqden splos ,,suí-frutos,v.Jjécen. i,.su,,gusto laspo del honor. ... ' ■ , 3tc.”" : ■;! - ,;,r v.;r '..V. MADRID: EN LA IMPRENTA1 NACIONAL:</t>
  </si>
  <si>
    <t>González, Cárlos Casaprin y</t>
  </si>
  <si>
    <t>Cárlos Casaprin y González</t>
  </si>
  <si>
    <t>…D. Josef Guerrero y Sedaño 3 Don Santiago Olloqui y Martínez, D. Manuel La-Cerda y Paiafcx, D. Juan Ló pez Larrainzar , D Francisco Cascajares y Bardnxí, D. Josef Aivarez Reyero , D. Cárlos Casaprin y González, D. Rafael Rodríguez Solís, D. Josef Canals y Mayéis, D. Rafael Galinno y Guillelmi, D. Francisco Rívadeneira y Acevedo, D. Mariano Navarro "y Avellañ, D. Juan Basco y Sarria; Den Ramón Nuñez de Haro, D. Josef Rulz del Burgo y Basabrú, D. Benito Osma y Osma,…</t>
  </si>
  <si>
    <t>González, Diego Antonio</t>
  </si>
  <si>
    <t>Diego Antonio González</t>
  </si>
  <si>
    <t>…caída del despotismo, la mayor des A la de Instrucción pública dos memorias, que recibie gracia de los pueblos consiste en concebir desconfianzas in ron las Cortes con agrado, de D. Diego Antonio González, justas con respecto al poder egecutivo, considerándole em juez de primera instancia de Toro, escriias con motivo de pleado en trabajar sin intermisión en menoscabo de la liber las ocurrencias de tos dias 6 y 7 de este mes en la corte. tad nacional. Mas para…</t>
  </si>
  <si>
    <t>González, Francisco</t>
  </si>
  <si>
    <t>Francisco González</t>
  </si>
  <si>
    <t>…njusticia de privar absolutamente á la sociedad/entera de Se leyó y mandó pasar á la comisión de Premios una admitir para su uso otros géneros mas perfeccionados que exposición de D. Francisco González , diputado de las Cor los del pais, perjudicando á la numerosa ciase de consumi tes extraordinarias, presentada por el Sr. Fiorez Estrada, dores para favorecer á la de fabricantes por medio de un manifestando hallarse en su última enfermedad, y recomen monopo…</t>
  </si>
  <si>
    <t>González, Francisco de Paula</t>
  </si>
  <si>
    <t>Francisco de Paula González</t>
  </si>
  <si>
    <t>….” Para la de Marina los Sres. Rovira, Ciscar, Oliver, Las Cortes recibieron con aprecio una memoria sobre Benitez, Losada, Romero, Alonso, Vargas Ponce y Coinstrucción pública de D. Francisco de Paula González de rominas. Cándano. Para la de Pesos y Medidas ios Sres. Vargas Ponce, A la comisión de Hacienda se pasó un oficio del señot García (D. Juan Justo) , Coraminas, Liñan, Alvarez Guer secretario dé este ramo sobre que se le remitiesen los expe ra, Subercases, C…</t>
  </si>
  <si>
    <t>González, Guadalupe</t>
  </si>
  <si>
    <t>Guadalupe González</t>
  </si>
  <si>
    <t>…TARO. Oficio del comandante general brigadier T). Melchor Alvarez. ,, Excino. Sr.: Habiéndoseme asegurado por dos de mis confidentes que el cabecilla de rebeldes titulado teniente coronel Guadalupe González se hallaba con su gavilla en un cantón que tenia formado en el cerro del Reparo, distan te de esta ciudad 13 leguas, y queriendo yo por mi parte d«x el debido cumplimiento á los justos deseos de V. E. en orden á la total pacificación del reino, no.perdono med…</t>
  </si>
  <si>
    <t>González, Josef Blanco</t>
  </si>
  <si>
    <t>Josef Blanco González</t>
  </si>
  <si>
    <t>…a de Za mora. Asimismo ha venido S. M.ven nombrar gefes políticos interinos al bri gadier D. Josef Marrón de la provincia de Burgos; á D. Manuel Riva Her-? rera de la de Alava; ai intendente D. Josef Blanco González de la de Aragón; á D. Josef Somoza de la de Avila; al brigadier D. Josef del Castellar de la de Cataluña; á D. Pedro Lainez de la de Córdoba; al brigadier D. Ra món Losada de la de Galicia; á D. Joaquín Montesoro de la de Guadalajara; al brigadier D. Francisc…</t>
  </si>
  <si>
    <t>González, Josef Miguel</t>
  </si>
  <si>
    <t>Josef Miguel González</t>
  </si>
  <si>
    <t>…muchos-años. Marayatio Julio 28 de 1819. =r Ex celentísimo Sr.=Juan Bilbao la Vieja.=Excmo¿ Sr. virey conde del Venadiro.’*' ■ • Lista dé indultados que cita el oficio anterior. i D. Josef Miguel González, alias el Chino; D. Juan Josef Silva, D. Pon«iano Campa, D. Norberto y D. Josef María González, Francisco Hérnondez, Eugenio Trejo , Mariano Alaniz , Guadalupe Hernández , Guadalupe Gachuzo, Quirico Osornio , Vicente Navarrete, Manüef Villano , Pablo Alaniz,'…</t>
  </si>
  <si>
    <t>González, Jpséf Blanco</t>
  </si>
  <si>
    <t>Jpséf Blanco González</t>
  </si>
  <si>
    <t>…consejero de Estado ; el Excnw&gt;. Sr. d&gt;. Antonio Amar, teniente general de ios egérettos nacionales; el Excmo. Sr. D. Antonio Tor res, mariscal de campó dé los mismos; y los Sres. D. Jpséf Blanco González, intendente y corregidor de esta ciudad; él marques de Viilafranca de Ebro, I&gt;. Joaquín'Diez de Tejada , D. Pedro Car isa, D. Juan Romeo, D. Francis co Barber, D. Joaquín Gómez , D. Vicente Ibañez de*Aoiz , D. Andrés Ma? rin, el barón de Torrefiel y D. Pedro…</t>
  </si>
  <si>
    <t>González, Manuel</t>
  </si>
  <si>
    <t>Manuel González</t>
  </si>
  <si>
    <t>…i■ • • • ' • - ’• ' 1 guíente: ’ i.° Que los enemigos tenían empajados y dispuestos para embarcar 1013 panes de azúcar, que se les quitaron en la acción del 13 , y se entregaron á D. Manuel González, sobrino del dueño de la hacienda llamada del Conven-» to, por inventario que formó en el mismo dia 13 el capitán de milicias Don Nicolás Camiíoaga.- : w!.! ;• •* • :.á /. ■ 2.0 Que de todo el ganado robado en la hacienda de Potao y sus inme diaciones se inte…</t>
  </si>
  <si>
    <t>González, Marcelo</t>
  </si>
  <si>
    <t>Marcelo González</t>
  </si>
  <si>
    <t>…de allí por el Varal al punto del * Potrero. Con el teniente coronel Villaseñor fue el de igual clase D. Pablo María Mouliaa y el de realistas Don Epitacio Sánchez y el indultado D. Marcelo González ; con la del capitán Ja bera no fue nadie por ser e&lt;te práctico dei Terreno; con la del capitán Nogue^rol fue el indultado D. Patricio GonzaLez y el prisionero hecho en Santa</t>
  </si>
  <si>
    <t>González, Pablo</t>
  </si>
  <si>
    <t>Pablo González</t>
  </si>
  <si>
    <t>…. Melchor de Urra, D. Antonio (^onsez Villaboa, Don Joaquiq;txaniza de Vitoria, D. Josef Antonio Arriba, D. Diego Gastambide, Don Termin Antonio Arriaga, D. Antonio Lázaro y Pozo, D. Pablo González, Don Francisco Xavier Guerra Balboa, D Juan de la Torre, D. Mariano Mamar, Don Juan Pió Jaén, D. Manuel Vacas y Pinilla y los señores Balmaseda ¿ hijo, últimos tenedores de 37 vales, citación de fi.° dc Enero de 1809., señalados: 9 de ñocrpesos con los número…</t>
  </si>
  <si>
    <t>González, Patricio</t>
  </si>
  <si>
    <t>Patricio González</t>
  </si>
  <si>
    <t>…nmediaciones con par tidas, se encontraron varias cuevas en donde tenían los rebeldes maíz, garban zos y fríjoles , que sirvió para la tropa y caballada. Por la tarde el indultado D. Patricio González con otro llamado Homogon me dijeron sabían donde tenían enterrada la artillería: en efecto fuimos al parage, y después de largo rato se desenterraron dos cureñas , una de á 4 y otra de á 3 , con un cañón de este calibre , sin que por mas diligencias que se pr…</t>
  </si>
  <si>
    <t>…cienda de la Cebada para adquirir-al 1 i mejores noticias, y en espera de que se me reuniese-el- citado teniente'Cañas con 6o caballos del re gimiento de Sierragorda y compañía de D. Patricio González; y habiéndolo verificado al amanecer del 2, me puse en marcha para el puerto de Sosa, con firmada ya la noticia de hallarse allí Borja. ' i;S‘erian las 1 í debdia cuando lá'gñ'ervilia de vanguardia, compuesta de 40 hombres de Sierragorda , realistas de Sánche…</t>
  </si>
  <si>
    <t>González, Rafael</t>
  </si>
  <si>
    <t>Rafael González</t>
  </si>
  <si>
    <t>…os Sres. Baha monde y Perez Costa ; y a la tras de la Hacienda pública D. Rafael de Lima y un abo comisión de Guerra un manuscrito presentado por c! Sr. Díaz gado de mucho crédito D. Rafael González; y se están es Morales. perando los de los otros partidos para realizar la elección Se aprobó el dictamen de la comisión de Legislación so de los diputados á Cortes, que serán cuatro propietarios y bre que se acceda á la solicitud de Doña María Vicenta So dos…</t>
  </si>
  <si>
    <t>González, Ramón</t>
  </si>
  <si>
    <t>Ramón González</t>
  </si>
  <si>
    <t>Al Inspector general ele caballería digo con esta fecha VARIEDADES. lo siguiente: «He dado cuen*a al Rey de la instancia de Don Ramón González , mariscal mayor del regúnjjjito de caba Erupción volcánica. llería de Santiago, en solicitud de que á él y á todos los de El día ir de Junio último hubo en Goonoug-Api una su clase se les considerase como oficíales subalternos para el erupción volcánica. Est…</t>
  </si>
  <si>
    <t>González, Simón</t>
  </si>
  <si>
    <t>Simón González</t>
  </si>
  <si>
    <t>…1' y 423,252, endosados en esta corte á Mr. Hemet, del comercio de Tolosa de Francia: otro dé 250 pesos de i.° dé Enero de 1809, señalado con el núm. 247,445, endosado en Búrgos á D. Simón González; y otro de 150 pesos de i.° de Enero de 18094 nú* mero 243,985, endosado últimamente en favor .de la depositaría de B. N.; y no habiendo noticia del domicilio ó existencia de los referidos últimos tenedores, 10 da este aviso á fin de que ellos ó su» herederos…</t>
  </si>
  <si>
    <t>González, Tiburció</t>
  </si>
  <si>
    <t>Tiburció González</t>
  </si>
  <si>
    <t>…e la Gobernación de Ultramar, se herídole otros varios, sin mas desgracia por sü parte que k de un soldado muerto. pasó á discutir el del ministro de Gracia y Justicia. El alférez D. Tiburció González avisa desde Laztcuaro La comisión rebajaba á i 2 millones los 17.174,148 rs« con fecha de 19 de Diciembre haber atacado junto á Santa que se pedian para cubrir las obligaciones de este ramo, en Clara 14 bandoleros que estaban robando á unos rragineros, esta f…</t>
  </si>
  <si>
    <t>González, Tomas</t>
  </si>
  <si>
    <t>Tomas González</t>
  </si>
  <si>
    <t>…qué me acon r iñaban son dignos de la ma yor recomendación, y entre ellos él alférez D. Mariano Navarro, queá pesar dé no ir empleado me ayudó en cuanto fue posible, y el paisano D. Tomas González, que sufrió la penosa expedición del Tajamanil, y el prisionero ula de dicho cerro, pues por su buena dirección conseguimos la total ruin» fe aquellos: todo lo que pongo en conocimiento de V. para que lo parti cipe al comandante general. ,,Y lo traslado á’V.…</t>
  </si>
  <si>
    <t>González, Valentín</t>
  </si>
  <si>
    <t>Valentín González</t>
  </si>
  <si>
    <t>…ender exclusivamente los efectos de algodón decomisados, A la comisión segunda de Hacienda úna exposición de la y estos se vendan en lo Sucesivo bajó las reglas , forma y viuda de D. Valentín González, manifestando que su difunto método establecidos ó que set establezcan.” marido habia sufrido varias persecuciones por haber sido se El tercero estaba concebido en estos términos: »Que Con cretario del Gefe político de la provincia de León, y que arregla al a…</t>
  </si>
  <si>
    <t>González-Salmon, Antonio</t>
  </si>
  <si>
    <t>Antonio González-Salmon</t>
  </si>
  <si>
    <t>…:*r ■ \r ¿, j lt •- ... 1 ■ » &lt;,. -í* V f : ~ - ’EI-Ríeyha ¡espedido los decretos siguientes.:!iíj ! j ;.íc T. ^Teniendo'en conside?aci°n -los.’ relevantes méritoscontraidos por *D. Antonio González-Salmon^n las interesantes^ y delicadas comisiones que íé te confiaron én Marruecoslos. singulares servicios: patrióticos que le debió él -Estado* durante todo el tiempo que las, tropas francesas ocuparon Ja penín sula !, y el &lt; -buen » zelo con que ¡últimamente 1 ha…</t>
  </si>
  <si>
    <t>Gonzalo</t>
  </si>
  <si>
    <t>…ión; pero que creía antes necesario que declarase el Una casa principal, calle de la Mosca, situada en la villa Congreso , que la Constitución habia estado vigente en to de Puente Don Gonzalo. das sus partes derde tal dia, porque se supone que la Cons Idem fundada por D. Diego Galvez. titución rige desde el dia que se dió la orden para que se Una suerte de olivar de 21 aranzadas en siete suertes, jurase; y sin embargo, las circunstancias particula…</t>
  </si>
  <si>
    <t>…e levantó la sesión. Otro ídem de 82 píes al sitio de la casa, término idem. ARTICULO DE OFICIO. CUADALAJARA. ‘ Por el ministerio de Guerra se ha dirigido al capitán Idem idem por D. Gonzalo. general de esta provincia la Real orden siguiente : Cinco inedias de tierra blanca én Sigiienza. Los Sres.' diputados secretarlos de las Cortes con esta Cuarenta y cinco idem, 2 celemines ídem en Bújar. fecha me dicen lo que sigue: Idem idem por Doña Gerónim…</t>
  </si>
  <si>
    <t>…el núin. 12 de su Una cara en Sigüenza. periódico de 7 de Abril insertaron un artículo comunicado Otra en idem. por J. P. de Mendoza, injurioso á la reputación y con Idem idem de D. Gonzalo, ducta política'y militar del Excmo. Sr. conde de S. Ro Otra en idem. mán, reconocen de buena fe la doble imprudencia que co metieron, ya en admitir el comunicado sin tomar ames co granada. nocimiento y garantía de su autor, y ya en publicarle Idem de Doña An…</t>
  </si>
  <si>
    <t>Gonzalo, Miguel</t>
  </si>
  <si>
    <t>Miguel Gonzalo</t>
  </si>
  <si>
    <t>148</t>
  </si>
  <si>
    <t>148 en los derechos de los acreedores que hayan fallecido, se acreditará con Jos compe tentes documentos por la escribanía'del número cíe D. Miguel Gonzalo; con'aper cibimiento que al que no lo haga ni comparezca le parara «1 perjuicio que haya lügafí Por providencia del tribunal’del consulado de Cádiz y escribanía de D. Elias Izquierdo, dictada en los autos de concurso de acreedores ádá compañía de.Campo, herma…</t>
  </si>
  <si>
    <t>Gordon, Miguel de</t>
  </si>
  <si>
    <t>Miguel de Gordon</t>
  </si>
  <si>
    <t>…l muy noble y muy leaf señorío de Vizcaya, el Excmo. Sr. marques, de Vaímedíano, grande dé' Es paña de primera clase, gentilhombre de Cámara de S. Mí con egérckió &amp;c.# y los Sres. D. Miguel de Gordon., caballero de la orden de, Santiago , dej Con-, sejo de S. M. y secretario de la Cámara de Castilla , D. Josef Cafranga y Costilla, caballero pensionado de la Real y distinguida orden de Carlos Jir,. del Consejo «de S. M., gentilhombre de Cámara con entrada,…</t>
  </si>
  <si>
    <t>Gorosavel, Vicente</t>
  </si>
  <si>
    <t>Vicente Gorosavel</t>
  </si>
  <si>
    <t>…tividad y conocimientos militares de ponerlas pronto á cubier to. Lo son igualmente el gefe de Estado mayor de la segunda división D. An tonio Vázquez, y el de la columna de Arana D. Vicente Gorosavel, y mi ayudante interino D. Narciso San Just, quienes comunicaban mis órdenes en el rigor del fuego con la mayor serenidad: se han distinguido también en está jornada los tenientes de la Reina D. Juan Llamosa y D. Pedro Antonio Fer nandez, siendo los primeros…</t>
  </si>
  <si>
    <t>Gorostiza, Manuel Eduardo de</t>
  </si>
  <si>
    <t>Manuel Eduardo de Gorostiza</t>
  </si>
  <si>
    <t>…é Indias para el año de i-SUo, con ei retrato-de N. M* S. P* Pió vu. Se hallará en el despacho de la imprenta* Real. ’ - ■ . Las costumbres de Antaño.;, comedia original, su autor D. Manuel Eduardo de Gorostiza, función que -se egeputó en el teatro dd Príncipe en celebridad del augusto enlacé del Rey nuestro Señor D. Fernando ni con la Señora Princesa Doña Ma ría Josefa Amalia de Saxonia. Se hallará en las librerías de Orea, calle de la; Montera, viuda de Quiroga, c…</t>
  </si>
  <si>
    <t>Gosalhes, Salvador</t>
  </si>
  <si>
    <t>Salvador Gosalhes</t>
  </si>
  <si>
    <t>227</t>
  </si>
  <si>
    <t>…rap número de profesores de .medicina, y cirugía , que tanto eñ esta corte como en otros puntos de la península han ensayado en Jos casos mas desesperados las fumigaciones del Dr. D. Salvador Gosalhes, que de Real or den se anunciaron en la gaceta de 4 deMayodel año próximo pasado, se ha# •convencido de que-este específico cura las, enfermedades venéreas mas rebeldes, y las erupciones de la piel mas obstinadas; lo que se hará constar ai público ;muy en bre…</t>
  </si>
  <si>
    <t>Gosalves</t>
  </si>
  <si>
    <t>…epción Gerónima, y én las librerías de Minutria, calle de Toledo; de Escribano, calle de las Carretas, y de Ramirez, en la de Alcalá; en las que se vende también el manifiesto del doctor Gosalves. &lt; EN LA IMPRENTA NACIONAL.</t>
  </si>
  <si>
    <t>Govanres</t>
  </si>
  <si>
    <t>…Giraldo; para la de Poderes le dispense el tiempo de estudios que le falta para concluir al Sr. Vecino , y para la especial de exterminio de malhe su carrera literaria. chores al Sr. Govanres. Ademas nombró para completar la A la primera de Legislación se pasó un oficio del señor comisión de Beneficencia al Sr. Azaola. secretarlo de Gracia y Justicia sobre la duda ocurrida acer Se leyó en seguida el dictamen de la comisión de Ha ca de si seria com…</t>
  </si>
  <si>
    <t>Govantes</t>
  </si>
  <si>
    <t>…los Sres. Secretarios del para no causar fastidio , haciendo mencion'de ellas en di •Despacho de Gracia y Justicia y de la Guerra. versos lugares. J Se leyó un voto particular del Sr. Govantes acerca de CORTES. la petición de la viuda de Lacy , el que pidió se uniese al acta ; y habiendo hecho sobre esto algunas reflexiones varioi Sesión extraordinaria del 12 de Julio por la noche. señores, se quedó sin resolución. ' jj Abierta la-sesión por el Sr.…</t>
  </si>
  <si>
    <t>…nservará en nuestros marinos aquella noble emula dinaria de ayer. Se mandó agregar á las actas e! voto parti ción, que han perdido enteramente en el servicio interior de cular del Sr. Govantes del mismo dia acerca de la petición los puerto*.’’ de la viuda de Lacy, reformado del modo que se-acordó y Prosiguió el orador analizando el presupuesto en todos previene el reglamento. sus pormenores; y al comparar los gá?to* del año de t 789 Se aprobó el po…</t>
  </si>
  <si>
    <t>Gracia, Secretario de</t>
  </si>
  <si>
    <t>Secretario de Gracia</t>
  </si>
  <si>
    <t>…Hacienda y Comercio se pasó una consulta alguna discusión quedó aprobado este dictamen. hecha por la dirección de la Hacienda pública al ministerio Se dio cuenta de un oficio del Sr. Secretario de Gracia del misino ramo sobre el abuso que se nota de que algunos y Justicia sobre la duda que ocurría acerca de si podía ser barcos mercanies c rgaban aceites y otros géneros con de vir de obstáculo á D. Josef Ramírez Cid la calidad de di rechos moJcndos, llevándolo…</t>
  </si>
  <si>
    <t>Granada, Lá de Corte de</t>
  </si>
  <si>
    <t>Lá de Corte de Granada</t>
  </si>
  <si>
    <t>…la mas solemne publicidad de esta declara S. Sebastian ig de Noviembre. ción que el Gobierno mande que en los libros de la cárcel Se ha establecido en esta ciudad por el ciudadano D. Lá de Corte de Granada, en los del presidio y en el proceso 6 zaro Iglesias una academia de comercio. Cuanto mas grande expediente se ponga nota bien expresiva de ella , y se pu es la influencia del comercio , tanto mas importante es su blique dicha declaración en el Ayuntamiento á…</t>
  </si>
  <si>
    <t>Granados, Juan</t>
  </si>
  <si>
    <t>Juan Granados</t>
  </si>
  <si>
    <t>…riótica; y las otras dos de la dipu matándoles 2, hadándoles 2 prisioneros, cogiéndoles varias tación provincia! y Gefe político de Valladolid, con motivo armas y algún ganado. El teniente D. Juan Granados da parte i gual mente des de lo ocurrido en Madrid en los dias 6 y 7 esJe mfs* Tin seguida se continuó 1® discusión pendiente del dicta— de Tuxpan el 21 de Diciembre de haber sorprendido y ahu men de la comisión ordinaria de Hacienda; y habiendo re yentado un…</t>
  </si>
  <si>
    <t>Grao, Fernando Miranda de</t>
  </si>
  <si>
    <t>Fernando Miranda de Grao</t>
  </si>
  <si>
    <t>…e que los ayudantes generales del egér- determinó que pasara á la comisión da Hacienda para qu« cito expedicionario de S. Fernando D. Evaristo de S. Mi la tuviera presente. guel y D. Fernando Miranda de Grao remitían á las Cor- Sé leyeron v aprobaron dos minutas de decreto, la pri</t>
  </si>
  <si>
    <t>Gravina</t>
  </si>
  <si>
    <t>…u: iones. do” estas otras «para que proceda inmediatamente á su ven Luego habló del breve sin firma ni fecha, y sí solo una co ta con arreglo al decreto dado.” pia remitida por el Sr. Gravina, y concluyó exponiendo «Precisamente el jnbmo, dijo el Sr. Calatrava, habia que creia que las comisiones habían hecho lo que debían. sido el objeto de la comisión pero que no veía inconvenien Se declaró suficientemente discutido, y se aprobó el ar te en que s…</t>
  </si>
  <si>
    <t>Gravína</t>
  </si>
  <si>
    <t>…e haberse sabido por cartas de Ñipóles del que había ademas suscripciones particulares para - ¡ministrar á los pobres sopa y fuego. Sin embargo era exfemada la ne 3 j de Julio. El cardenal Gravína, arzobispo de Palermo, es presiden cesidad , y aun era mas terrible en el S.affor dshire , en don te de una junta encargada de la provisión de víveres , la cual de á principios de año los pobres se morían realmente de empieza i tener alguna autoridad. Los des…</t>
  </si>
  <si>
    <t>Gregorio</t>
  </si>
  <si>
    <t>…nardo Díaz de zuelo de! Asia puede ser antepuesto en la gerarquía de la Antoñana, á usar del derecho que le asista en los autos egecutivos que por dicho juzgado y escribanía sigue D. Gregorio verdadera grandeza Real al mayor Monarca de la Europa,1 Via le, vecino y del comercio de esta corte, con el propio Santa y preferida la limpie y ridicula pretensión del uno á la Ma ría sobre pago de 4,625 rs. vil. metálicos; apercibido quef tiránica hinchazón…</t>
  </si>
  <si>
    <t>Grenville</t>
  </si>
  <si>
    <t>…compañeros de armas, que conmigo teneis el ho fundamento que el Gobierno está vacante. ,,La conferen nor de servir á la madre patria en el regimiento de Borbon, cia del Rey con el lord Grenville, dice este diario, no ha 5.0 de caballería de línea, sabed: que aun hay algunos hijos tenido ningún resoltado. El estado de su salud no permite á espúreos, que olvidados de lo que como á madre la deben, este noble lord tomar por sí mismo una parte muy activa…</t>
  </si>
  <si>
    <t>…rá el mi embajador dicen que nada mudará las disposiciones de las nisterio. Mr. Canning no piensa de ningún modo retirarle; tres gra ides potencias. Sin duda que sir C. Stewart no lord Grenville está siempre pronto á sostener el ministerio, es el ministro mas á propósito para semejantes casos. El y se lo ha asegurado asi al Rey, según dicen , en la au noble lord será bueno a la cabeza de su regimiento; pero diencia que obtuvo de S. M. Sabemos que el…</t>
  </si>
  <si>
    <t>Gres, Francisco</t>
  </si>
  <si>
    <t>Francisco Gres</t>
  </si>
  <si>
    <t>…te; el Reverendo Obispo de Valladolid de Mechoacan D. Manuel Abad y Queipo, D. Ma nuel Lardizabal, D. Mateo Valdemoros, D. Vicente Sancho, Coronel de Ingenieros, Conde de Taboada, D. Francisco Gres?o de Tejada, D. Bernardo Tarrius, y D. Ignacio Pezuela. odas las providencias que emanen del Gobierno hasta la ins talación constitucional de las Cortes serán consultadas con esta Junta, y se publicarán con su acuerdo. Téndráse entendido en todo el reino, ado…</t>
  </si>
  <si>
    <t>Grev</t>
  </si>
  <si>
    <t>…declaraciones á favor de la desean derribar el ministerio para trastornar el Estado? Reina le habían convencido de su conducta indecente, (óe Véase la conducta y lo* discursos del lord Grev , del lord 'continuará.) Grenville y del lord Hoiland. So puede dudarse que si -—Las noticias de la Madera de principios de Octubre anun hubiese caído el ministerio no estuviesen en primer lu cian que aquellos habitantes habían sabido con la mayor sa gar para…</t>
  </si>
  <si>
    <t>Grey</t>
  </si>
  <si>
    <t>…e verificase antes de aquel día una compo finito la pronta terminación de este desagradable negocio, sición amigable. no consideraba que seria posible lograrlo si los ministros El conde Grey, al mismo tiempo que declaró que no no procedían en la forma que él habla aconsejado, persua se oponía á esta dilación, censuró agriamente la conducta diendo al Rey á que reconociese de un modo mas claro y de los mini tros, que en su Opinión 110 habiatt refle…</t>
  </si>
  <si>
    <t>…parecer á la comisión. cipio, conservador que forma su base', y evita el riesgo-de .•■■* :tDéspoes de unñ latga discusión desechó la Cámara lá -las innovaciones. - ' - • ésta del conde Grey por 102 votos contra 4Ó,-resm«Los diputados volveránr,á-;sus hogares acompañados hna mayoría de i 6 a favor de los ministros. :&lt;3el • aprecio-del-Rey, y serán ^recibidos, con placer-'pof-sus ■-;:Ta éómisión secreta 'de la Cátnará dé los Pares ha con— -conciud…</t>
  </si>
  <si>
    <t>Núm. 26. [7 cuartos.] X09 GACETA DEL GOBIERNO. LUNES 24 DE JULIO DE 1830. NOTICIAS EXTRANGERAS. El conde Grey observó que los ministros, después de haber sufrido que la Reina se haya conducido por espacio ALEMANIA. de tantos años de una manera horrible, si son ciertas las acu saciones , se aceleran demasiado en la actualidad; y que de Heidelbcrg 28 de Tunta. berían e…</t>
  </si>
  <si>
    <t>…en á Carlsruhe, y asistan á las sesiones de la Dieta badesa; El conde de Liverpool les respondió que seria tnejoif lo mismo se ha hecho respecto de Mr. Duttlinger, profesor que el conde Grey, en lugar de hablar por incidencia de de la universidad de Friburgo. Por semejantes órdenes se des este pünto , hiciese tina propuesta determinada , porque de truye enteramente el obstáculo que habia impedido hasta lo contrario no podía la Cámara ventilar la…</t>
  </si>
  <si>
    <t>…repetidos, vivas y sensación peligrosa; y concluyó por fin pidiendo que no se aclamaciones. . ' llamase á los abogados. i, A las 9 y 2; minutos habia subido el lord canciller a El conde Grey manifestó cuan.sensible le era entablar la su asiento de presidente , y los cefes de justicia y jueces discusión , y que había votado muy á su pesar contra la ocuparon el suyo á tino y otro lado de aquel. Leyó las pre proposición del duque de Leicesrer. Despu…</t>
  </si>
  <si>
    <t>…y todos los oficiales de la guarnición, y con F.l conde de Liverpool reconoció la exactitud de las ob testando á la arenga que le hizo la diputación , entre otras servaciones de! conde Grey ; pero manifestó que por ahora cosas dijo: »Si desenvainé la espada que actualmente ciño no se podía criticar la conducta de! Gobierno de S. M., y que para cooperar al establecimiento del sistema que felizmen cuando llegase el ca(o no le seria difícil justifi…</t>
  </si>
  <si>
    <t>…a ruta militar para las tropas, las cuales marcharán en continuase la causa, quedó admitida por una gran mayo dos columnas, pasando una el Danubio por Deggendorff, y ría , hizo el conde Grey una corrección con el objeto de la otra por Straubing. que se suspendiese, y fue desechada por 179 votos con SUIZA. tra 64. Se llamó después á la barra á los abogados de la co rona y los de la Reina; y el abogado general pronunció un La» sana 17 de Agosto. di…</t>
  </si>
  <si>
    <t>…re cuyos cuatro pri pero no con Bérgami, y que nunca los había hallado juntos. meros artículos pronunció el catedrático un discurso, con el En respuesta á upa pregunta que le hizo lord Grey, que se concluyó el acto. dijo que Raganti, juntamente con Rastelli, habían hablado con el testigo sobre el modo que debía adoptarse para de Madrid 8 de Noviembre. clarar en aquel asunto, y quería acordarse de lo que le.ha CORTES. bía dicho Raganti. El procur…</t>
  </si>
  <si>
    <t>…Cámara por la indulgencia con que se habia es su reverente demostración, pues en los mayores traspor dignado oírle. tes de placer se vale regularmente naturaleza de es:a expre El lord Grey tomó» la palabra después del Dr. Ludiing- sión. Con la mayor asegura ene cuerpo que hubiese queri rorr, y d:¡o q je siendo ya muy tarde, no podía el procu do tener parte en la gloria que ha cánido a la vanen e guar ra)3or general principiar su respuesta, con…</t>
  </si>
  <si>
    <t>…lan convencido enteramente su entendimiento El duque de Monrose se opuso fuertemente á la pro del crimen de la Reina, citando entre las mas poderosas la puesta del ministro , y el lord Grey habló' con la mayor declaración de Bárbara Kranz. El hecho de haberse sentado vehemencia contra los ministros por haber causado tanta in en la cama de Bérgami , de haber estado entre sus brazos, quietud á la nación . v haberla tenido tanto tiempo en aquel y h…</t>
  </si>
  <si>
    <t>…to que casi no se oirá hablar de nosotros. Trataremos y ya se dice que un personage de alto carácter ha propues con sosiego de la consolidación de nuestras instituciones, de to al conde Grey carta blanca de S. M. para renovarlo en la organización de nuestro egército, de nuestra marina y teramente; que el noble lord se contenta con el despacho de nuestra adminisrracion: investigaremos los medios de de Negocios extrangeros, y propone á sus amigos p…</t>
  </si>
  <si>
    <t>…intores catalanes anti tarla , decía el Mor ai ng-Chronicle , para disipar estas pre guos y modernos, mejorando los dibujos de los artefactos, venciones: que elija por ministro a! lord Grey, al lord y trasmitiendo á la posteridad los bellos títulos de nues Erskine, al lord Ilollaud, al lord Lansdown, sus antiguos tras glorias, ha acordado no solo admitir con el mayor y verdaderos amigos; cue vuelva á ellos, y desaparecerá la gusto el referido cu…</t>
  </si>
  <si>
    <t>Gri</t>
  </si>
  <si>
    <t>…nosa ; y dieron pruebas de s .s adelantamiento» en la doc da de la Coneiera, compuesta de 43, olivos, li ide con los trina cristiana, leer, escribí r, contar y gramática caste de D. Gri t bal Manzano, vecino de Bujalance, y otros de llana. Según el voto general de los Sres. concurrentes y el D. Francisco Jurado, vecino del Carpió, en. 22,217 r». del profesor, merecen ser citados por el estado de su ade Un olivar ídem de la capellanía de D.~…</t>
  </si>
  <si>
    <t>Grijaiva, Ramón de</t>
  </si>
  <si>
    <t>Ramón de Grijaiva</t>
  </si>
  <si>
    <t>…béis dejado abonar!.... Los gobernadores del ción de D. N. l’ardo sobre dispema de edad, y Un expe reino, únicos depo:i arios legítimos de la anoiidad Real en diente promovido por D. Ramón de Grijaiva, pidiendo ausencia de nuesiro amado boberauo, acaban de dar á to permiso para enagenar varias fincas vinculadas. da la nación la mis evidenre prueba de los paternales senti A las comisiones q te entienden en el a unto de Diezmos mientos de S. M., adoptando en…</t>
  </si>
  <si>
    <t>Grimarest, Pedro de</t>
  </si>
  <si>
    <t>Pedro de Grimarest</t>
  </si>
  <si>
    <t>…mariscal de campo D. Joaquín Ruiz de Porras, destitu yendo al teniente general D.. Francisco de Coponsy Navia, como igualmente al mariscal de campo, gobernador de esta ciudadela, D. Pedro de Grimarest, sustituido este por el coronel del regimiento de infantería de Murcia D. Fer mín Escalera, y asimismo el gobernador del castillo de Monjui, coronel D. Juan Desvalls, por el de la propia clase D. Josef Ortega. „Como mi mando, según Constitución, se reduce sol…</t>
  </si>
  <si>
    <t>Groellman</t>
  </si>
  <si>
    <t>…licénciamiento de los cumplidos se formarán 12 nuevos cuerpos de in fantería. El autor de este plan es, según sé dice, el general Thiele: Mr. deBoyer, ministro de la Guerra,.y el-general Groellman le han impugnado con teson. Elfin de esta reforma es economiárar gastos. , El Príhcipe:GQillérmb, segbndo hijo dél Rey, bfr tteñido la desgracia de herirse gravemente una mano en una&lt; cacería , y Se temé qué set- preciso cor,» tarle un dedoi •-y . Se mantiene…</t>
  </si>
  <si>
    <t>Grósvenor</t>
  </si>
  <si>
    <t>…se la peste, y mueren diariamente 40 personas. G R A N BRETAÑA. Londres 26 de Febrero. Entre'varias reflexiones que con motivo de la discusión sobre la ley de íos tumultos hizo el conde Grósvenor á la Cámara de los Lores, relativas al esta do actual de la Inglaterra, pidió que se examinara si antes de disolverse ei</t>
  </si>
  <si>
    <t>Grosvenor</t>
  </si>
  <si>
    <t>…conde de Lauderdale, quien manifestó que no podía permitir se jus tificase ó'disminuyese el‘delito mas odioso, atribuyéndole al sistema que los ministros han seguido. Contestó el conde Grosvenor que su ánimo era solamente hacer ver la necesidad de adoptar algunas disposiciones que aquietasen al pue blo,' y no el de interesar á la Cámara en favor de los autores de un asesinato; pero que indudablemenre convenía ganar el afecto de una gran parte de la p…</t>
  </si>
  <si>
    <t>Grosvenow</t>
  </si>
  <si>
    <t>…necesidad de que se' disolviese el Parlamento, desenvolvi%esta opinión extensamente, y concluyó votando contra el proyecto propuesto, cuyo dictamen apoyó el conde de Harrowby. El conde Grosvenow habló y votó en el mismo sentido que el marques de Lansdown; pero habiendo sostenido la mocion los ministros, el conde Bathurst, lord canciller y el conde de Liverpool, fue adoptada al cabo’por la Cámara. CAMARA DE LOS COMUNES. Lord Castlereagh propuso á egém…</t>
  </si>
  <si>
    <t>Gtraldo</t>
  </si>
  <si>
    <t>…quedó aprobado. gía-médica de España, particularmente el de S. Carlos. Esta obra, ue forma dos volúmenes en 8’.°, saldrá á luz por cuadernas de Asimismo lo fue una indicación del Sr. Gtraldo, que de 80 páginas cada uno, y al precio de’ 3 rs. El primero de lo*cía : «Adviniéndose la novedad de que no se vende el papel seis, que compone el total de la obra, estará de venta el 15 delsellado de pobres, y resultando varios perjuicios á los infe corrien…</t>
  </si>
  <si>
    <t>Gu, Juan Miguel</t>
  </si>
  <si>
    <t>Juan Miguel Gu</t>
  </si>
  <si>
    <t>…us cañones y sus estevas. Por providencia del consulado y tribunal de Alzadas de la Pero sí el ínteres de lo pasado llama nuestra atención ciudad de Málaga, y por la escribanía de D. Juan Miguel Gu hacia este punto céntrico del mundo antiguo, el interes de tiérrez, se manda convocar, de resultas de la quiebra ocurrida á lo venidero nos excita todavía con mas fuerza á abandonar la casa que en este comercio se tituló Lagarde, Puente y com por un instante…</t>
  </si>
  <si>
    <t>Gu, Manuel de Chacco y</t>
  </si>
  <si>
    <t>Manuel de Chacco y Gu</t>
  </si>
  <si>
    <t>…idad y vagancia, manantial de íos A la comisión de Comercio un papel de advertencias so delitos, y facilitar en el tercero, lerdo por primera vez en bre aranceles , presentado por D. Manuel de Chacco y Gu este dia, la pronta y recta administración de justicia, des tiérrez ; y á la de I ¡ucienda un informe sobra plan de Ha cendió á contestar al Sr. Romero Alpuente , haciendo ver cienda de D. Joaquín de Acosta. que en el artículo que se discutía no se había trat…</t>
  </si>
  <si>
    <t>Guardiola, Beatriz de</t>
  </si>
  <si>
    <t>Beatriz de Guardiola</t>
  </si>
  <si>
    <t>…nvenga; en el concepto que de no hacerlo les parará el perjuicio que haya lugar.Al Sr. conde de Campo Rey, su viuda ó herederos, corresponden varios papeles interesantes de su tía Doña Beatriz de Guardiola, de quien fue testamentario el Señor I). Francisco de Ulloa, oidor decano de la Real chancillería de Vallado!id., que murió el 9 de Abril del año próximo pasado; dejando por uno de sus testamen tarios al Sr. D. Esteban Moyano, alcalde del crimen de la nysrna,…</t>
  </si>
  <si>
    <t>Guarnan, Pedro Ochoa y</t>
  </si>
  <si>
    <t>Pedro Ochoa y Guarnan</t>
  </si>
  <si>
    <t>…porte; para las islas adyacentes á 74, y para los di secretaria del consejo de del ferentes puntos de las América* á 137 rs., también francos da estado.Cuenca Perú. Por ascenso de D. Pedro Ochoa y Guarnan á una porte. MADRID EN LA IMPRENTA NACIONAL.</t>
  </si>
  <si>
    <t>Guaseo, Antonio</t>
  </si>
  <si>
    <t>Antonio Guaseo</t>
  </si>
  <si>
    <t>…tomo en 8.°, con una es Hamet Beggia, 160. D. Ambrosio Felipes , 40. D. Pascual tampa fina. Véndese en la librería de Rodríguez, y en Cádiz en la de Hortal y compañía. Francia, 40.D. Antonio Guaseo, 160. D. Juan Pyne, 60. Retrato de la Reina Católica Dona Isabel, grabado por el cuaD. Abram de J. Taurel, 80. Los jornaleros Josef Alonso, dro que se guarda en el palacio del Rey por D. Blas Ametller.Antonio Torrija, Antonio López, Josef García y un com Se v…</t>
  </si>
  <si>
    <t>Guasque, Josef</t>
  </si>
  <si>
    <t>Josef Guasque</t>
  </si>
  <si>
    <t>…ación, se conseguiría perjudicar á algunos frendada del escribano de provincia D. Pedro Jo-ef de Ibasubalternos beneméritos, que serian los únicos áquienescom- be ,se haCe saber á D. Josef Guasque que dentro de tercero prendiera este artículo, teniendo todos los inquisidores otra? dia de éste anuncio cumpla con lo que tiene ofrecido en el prebendas con que acudir á su subsistencia; por lo que se juicio de conciliación, celebrado en 26 de Junio último a…</t>
  </si>
  <si>
    <t>…ue se incluyan en el presupuesto los gastos de la togado de primera instancia de esta villa, se cita, llama y recaudación de las rentas en vez de deducirlos de su valor, emplaza á D. Josef Guasque, editor que fue del periódico como lo ha hecho la comisión cuando trata de ellos en la titulado l.t Ley , para que dentro del término preciso y pe segunda parte de su informe.” rentorio de 20 dias, contados desde la publicación de este Los Sres. Ochoa y Banqu…</t>
  </si>
  <si>
    <t>…, se h;n recibido á prueba por térmi SS. MM. y AA. continúan sin novedad en su impor no de 15 días comunes en 4 del corriente, y:se ha man tante salud. dado que para hacer saber á D. Josef Guasque, sin per S. M. ha despachado hoy con el Sr. secretario del juicio de notificarse en dichos estrados, se anuncie por Despacho de Gracia y justicia. diario y gaceta, como se hace para que llegue á su noticia. 1RT1CUIO DB OFICIO. VARIEDADES. Circular del ministe…</t>
  </si>
  <si>
    <t>Guaytés, Josef Romea de</t>
  </si>
  <si>
    <t>Josef Romea de Guaytés</t>
  </si>
  <si>
    <t>…ias, proyectos y ciernas traba males, é igualmente para preservarse y curarse de las enferme jos militares que han llegado d la junta consultiva dades que Tos producen: por el Dr. D. Josef Romea de Guaytés. Se vende en esta corte en la librería de Quirós, y en Tole del ministerio de la Guerra, y que se anuncian al do en la de Soria , á 4 reales. público para justa satisfacción de sus autores. Examen de las causas que en 1814 contribuyeron á la abo lición del si…</t>
  </si>
  <si>
    <t>Gucrta, Moreno</t>
  </si>
  <si>
    <t>Moreno Gucrta</t>
  </si>
  <si>
    <t>…contrario en nada á ios derechos de la provincia de nexión de materias. Esto promovió una discusión acalorada, Burgos. en que muchos Sres. diputados apoyaban la indicación del El Sr. Moreno Gucrta leyó un informe de las comisio Sr. conde de Toreno; y el Sr. López ( D. Marcial) dió la nes reunidas de Agricultura y Comercio sobre su proyecto misma indicación por escrito, que no fue admitida por ser acerca de exportación é importación de granos. En él ha…</t>
  </si>
  <si>
    <t>Guer, Alvarez</t>
  </si>
  <si>
    <t>Alvarez Guer</t>
  </si>
  <si>
    <t>…ricas , dél yendo necesario que se tomase un término medio; el que A mismo modo que las de cañones Scc. su parecer se encontraba en los 8o rs. Después de algunas observaciones del Sr. Alvarez Guer El Sr. Sánchez Salvador pidi &gt; que concurrieren á la dis ra sobre si las comisiones habían ó no fijado un precio para cusión los secretarios del Despacho de ia Gobernación y de todas partes, ó si e&lt;ue era el precio medio, se preguntó si Hacienda. estaba suficientem…</t>
  </si>
  <si>
    <t>Guer, Moreno</t>
  </si>
  <si>
    <t>Moreno Guer</t>
  </si>
  <si>
    <t>…de 15 de Agosto y 13 de Setiembre de 1813. lidad , y en la tercera superfluo. 1 o. Se revocan todos los decretos, órdenes c instrucciones an Se aprobó la siguiente indicación del Sr. Moreno Guer teriores en la parte que no esten conformes con este decreto. ra : «estando nombradas las comisiones para la formación de Madrid 9 de Agosto de i82o.=Ramon Giraldo , presiden códigos, pido que se nombre otra para la formación del có te.;^uan Manuel Subrié, di…</t>
  </si>
  <si>
    <t>…decir el estado nia á acusar á nadie, pero no he podido resistir. El Go del sumario. bierno ha dado algunas providencias que desgraciadamente El Sr. conde de Toreno dio gracias al Sr. Moreno Guer han sido objeto de la animadversión pública: creyó y des ra por haber proporcionado esta discusión. Ño puedo me cansó en que no habiendo salido de los estrechos límites de nos , dijo, de aprobar la moderación; pero no podré menos las facultades egecutivas, nu…</t>
  </si>
  <si>
    <t>…a que podría conseguirse que No hubo lugar A votar, por hallarse comprendida en ¡3 fuesen poco á poco disminuyéndose estas grandes acumula del Sr. Moscoso, sobre asta adtctori del Sr. Moreno Guer ciones de bienes, al mismo paso que iría creciendo la clase ra «con intervención del inmediato.'” Tampoco hubo lugar á votar sobre otra del Sr. Vareas de propietarios. Se declaró el punto suficientemente discutido, y que no Ponce: «Que los padres no puedan ha…</t>
  </si>
  <si>
    <t>…de lágrimas. También se apoyó tados , pido que se deje su derecho á salvo.” en los egemplos que desde la guerra de sucesión ofrecía la Su autor la refundí.* en l.-t'siguiente del Sr. Moreno Guer historia de nuestros días. Por último , después de otras varias ra, que fue aprobada: «Que «i alguno de los 69 ex-diputa-; reflexiones aprobó la indicación en todas sus partes. dos quisiese ser juzgado por el tribunal de'Cortes, no se le El Sr. Romero Alpuent…</t>
  </si>
  <si>
    <t>Guereña, Pedro Díaz</t>
  </si>
  <si>
    <t>Pedro Díaz Guereña</t>
  </si>
  <si>
    <t>…ño panegírico para dejárselas quitar por los bajaes, que infestan sin cesar sus los principales misterios de Jesucristo, y festividades de su san frontera^. ta Madre y santos. Por D. Pedro Díaz Guereña: ídem en la El wladifca, es decir el obispo , se separa dé la sencillez de Paz. de ¡os pastores de la comunión griega , pues gusta de títu Barajita nueva de í8 preguntas y »8 respuestas, española, los, y se llama metropolitano par'.ibus. lia sabido apo puesta…</t>
  </si>
  <si>
    <t>Guerra, Ab'arez</t>
  </si>
  <si>
    <t>Ab'arez Guerra</t>
  </si>
  <si>
    <t>…de propios ó baldío arbitrado: 1 o.- el mo virtud de la orden del Sr. D. Carlos nf en el año de 1770.” do de dividirle según prescribe el decreto de 4 de Enero: Habiendo dicho el Sr. Ab'arez Guerra que bastaría para ii. las pretcnsiones de militares retirados y cumplidos, y el efecto añadir en el art. ^.u después de las palabras «4 de de inutilizados en acción de guerra que: se Ies hayan pre Enero,” estas, «prefiriéndose en las suertes ó divisiones á se…</t>
  </si>
  <si>
    <t>Guerra, Alvarcz</t>
  </si>
  <si>
    <t>Alvarcz Guerra</t>
  </si>
  <si>
    <t>…comisión ordinaria de Hacienda de que arruinaran el pais, y que de no aprobar este 2. ar una memoria de D- N. Delgado, relativa a ia extinción de tículo se hacia nulo el I o; y el Sr. Alvarcz Guerra añadió la deuda pública. que el artículo no era relativo solo al trashumante, óno á Se leyó el dictamen de la comisión de Agricultura so toda clase de ganados ; pero no hubo lugar a votar sobre él. bre una representación hecha por tre? criadores de yeguas Se…</t>
  </si>
  <si>
    <t>Guerra, Alvarez</t>
  </si>
  <si>
    <t>Alvarez Guerra</t>
  </si>
  <si>
    <t>…ó que la agricultura ha sido siem gar las leyes cómo y cuándo les parezca, y por tanto se po pre oprimida por los moralistas y por el Gobierno ; por dia suprimir este artículo: el Sr. Alvarez Guerra , que la ley aquellos, calificando de usura y monopolio el comercio de sobre granos debe ser anual, y debe hacerse en vis a de la granos, habiéndote permitido el de todos los demas frutos; cosecha: el Sr. Martínez de la Rosa, que se exprese que es por el Gobi…</t>
  </si>
  <si>
    <t>…pérdidas de empleo á los contadores, caje esta decisión se hiciera en el momento, el Sr. Mu oz Tor ros y demás. rero quiso que se leyeran los artículos de la Con'tiuicion Otra del Sr. Alvarez Guerra, dirigida á que no diesen que tratan de la formación de las leyes , para hacer ver que cuenta los secretarios de ninguna solicitud, memorial ni ex no podía admitirse a di se sion ha-;a pasado el termino que posición , de cualquiera clase que fuese, sí no estu…</t>
  </si>
  <si>
    <t>…espués de algunas reflexiones de bajo este supuesto habia girado la cuestión cuando se presen varios señores se mandó imprimir antes de pasar á su dis tó el dictamen principal. El Sr. Alvarez Guerra fue de cusión. Opinión de que el Gobierno, que tiene datos frecuentes del Las Cortes oyeron con particular satisfacción el parte precio del trigo, debía inarcar el termino medio, en cuyo comunicado por la secretaría de la Gobernación de la Pe concepto estimó…</t>
  </si>
  <si>
    <t>…bajo 22140.......... 10000 p.' f.\ .. Madrid. el régimen actual la secretaría de la Gobernación , y que la 12 4ÓS.......... 4000............... C.tdiz. desempeñó perfectamenre el Sr. Alvarez Guerra; y aun el 26492.............. 2000........... Madrid. mismo secretario actual el Sr. Arguelle-, en la época en que 3 7 í d**».»..»* 1000............. Idem. mas ha habido que hacer, ha dado una prueba de su labo 22939.............. IOOO............ Cor uña. ri…</t>
  </si>
  <si>
    <t>…gecucion el decreto de 4 de Enero de 1813, que traía del didas , como proponía dicho tribunal. Se levantó la sesión. •vpuríi¡Tiivruo du terrenos tjslcí ios* ARTICULO DE OFICIO. El Sr. Alvarez Guerra decia, que existiendo en la secre taría antecedentes, se debia unir á ellos, y no pasarlo á una Circular del ministerio de Hacienda de Indias.. comisson; y el Sr. Calatrava que era de parecer que debia «Por Real orden de 22 de Abril de 1816 se sirvió el acced…</t>
  </si>
  <si>
    <t>…endo perjudicar al honor y buen nom cediesen los individuos que componían las asociaciones, que bre de algunos de dichos magistrados la privación de liber pasase la indicación del Sr. Alvarez Guerra á una comisión. tad y suspensión de empleos que sufrieron desde aquella Se declaró el punto suficientemente discutido, y se apro ¿poca, se les abonasen los sueldos que hubiesen dejado de bó que pasara dicha indicación á una comisión especial, pa percibir por…</t>
  </si>
  <si>
    <t>…s en 4 regimientos de á 3 batallones, y cada bata titulada:' Principios de economía general y estadística llón con la fuerza proporcionada á la población de cada res de España. El Sr. Alvarez Guerra retiró la indicación que tenia he- pectivo cuartel á razón de 1 por too. Cada regimiento tendrá -cha anteriormente paira que no se diese cuenta de represen un estado mayor compuesto de un coronel, un teniente co taciones que no estuviesen firmadas por particu…</t>
  </si>
  <si>
    <t>…de Londres. El uso y las. costumbres han tolerado estas re ocuparse las Cortes del asunto á que alude la indicación del uniones en Inglaterra , y el Gobierno ni las aprueba ni las Sr. Alvarez Guerra, y para formar un juicio exacto dei es reprueba; pero cuandó ve que toman un carácter serio se tado de ia seguridad y tranquilidad pública , asistan á esta pone eri observación; y. aun exige saber el objeto que ha de misma sesión los secretarios del Despacho,…</t>
  </si>
  <si>
    <t>…bernación de la Península no se debían equivocar los medios de adquirir la- libertad que-no podia contestar en el acto : que acerca de la indica con los de. conser varia. ción del Sr. Alvarez Guerra, habia apurado la materia el El Sr. Lasvarria afirmó que es un derecho natural el de Sr.-Gareli; pero que habia omitido una reflexión que juzga reunirse y conferenciar los hombres unos con otros, siendo ba del mayor peso , á saber, que toda persona', corporac…</t>
  </si>
  <si>
    <t>…aciones, por muchas razones poli icas y eco chos menos bienes que sus demas hermanos, y aun que los nómicas , y porque ademas le era A él mas perjudicial, pues mismos sobrinos. el Sr. Alvarez Guerra le concedía dos terceras parres de sus Luego manifestó que tambien-se oponía á la convenien mayorazgos, y el Sr. Martínez de la Rosa solo la mitad; cia pública, porque como se habia dicho ya en el Congre que ninguna contradicción advertía entre el artículo i.…</t>
  </si>
  <si>
    <t>…a el nombre del inventor, la fecha, y los objetos en egecucion su invento, perfección ó mejora.” que encierra c! paquete; y dándole una copia de esta rela Concluido el proyecto el Sr. Alvarez Guerra , individuo ción, á fin de qtie en virtud de ella se le expida por el se de la comisión, para evitar perjuicios que podrían irrogarse, cretario de la Gobernación el certificado correspondiente que .propuso como adicional el artículo siguiente: le a segure la…</t>
  </si>
  <si>
    <t>…rtenían en la época anterior á la introducción en ellos de Iqí la comisión especial encargada de examinar la proposición del religiosos de la Compañía de Jesús, haciéndose í quien Sr. Alvarez Guerra , relativa á sociedades patrióticas , precedi corresponda entrega formal del edificio, fondos, rentas, bi do de la defensa de las mismas: por el ciudadano M. M.yy Rl blioteca, máquinas y demas efectos que Ies pertenecían. 2.* Véndese á 2 rs. en las librerías…</t>
  </si>
  <si>
    <t>…A D. Juan Jabat. lio municipal;” laque se mandó pasar á la comisión. No se admitió á discusión la indicación siguiente del 2.0 «A consecuencia de la resolución de las Cortes de 8 Sr. Alvarez Guerra : «Que se admita á los pueblos en pago del corriente, aprobando que la nueva provincia de Málaga se de la contrib-, cion la cuarta parte en frutos de la cosecha coloque entre las de segunda clase , y acordando que la de del pais , arreglando el predo los inte…</t>
  </si>
  <si>
    <t>…l tabaco de polvo que se elabora en nuestras bertad bajo un moderado derecho, pues si no, no se facilita fábricas" ría el consumo. Opinó que el déficit no sería tan considera _ El Sr. Alvarez Guerra manifestó que seria conveniente ble como se creía por la comisión; y Concluyó diciendo, discutir esros artículos en su totalidad, y reducir la cues que podría continuar el estanco como proponía la comisión tión á si debían continuar ó no los estanco'. hasta e…</t>
  </si>
  <si>
    <t>…los 200 millones, sobre el cual autorizaron las Cortes al plares de sus obras de matemáticas; y se acordó que pasa Gobierno para que oyera proposiciones.” sen á la biblioteca. El Sr. Alvarez Guerra, analizando el empréstito de que El Sr. Cortés expuso que habiéndose dado cuenta en se trataba, presentó el punto de vista bajo que debia consi una de las sesiones anteriores de un escrito remitido por la derarse, refutando los argumentos con que la mala fe y…</t>
  </si>
  <si>
    <t>…6 del corriente, dado por un pastor, de que reglas á las sociedades patrióticas, para evitar sus abr'o;, habian entrado en el monte cinco hombres, que andaban va conforme pedia e! Sr. Alvarez Guerra en la proposición que gando hacia el camino de Tafalla. Inmediatamente salió en había dado margen al nombramiento de la comisión. su busca , y habiendo registrado varías bordas ; chozas), los Por consiguiente concluyó pidiendo que las Cortes de encontró en un…</t>
  </si>
  <si>
    <t>…putados no pudieran ausen Sin embargo de que el Sr. Florez Estrada dijo, que si se tarse de Madrid en el intermedio de una A otra legislatura admitía la variación propuesta por el Sr. Alvarez Guerra de sin licencia de la diputación permanente de Cortes , y A que bia también variar la discusión, impugnó el dictamen, ha esta solo concediese licencias por 15 dias, y soloá una cuar ciendo varias reflexiones á favor de la subsistencia de las so ta parte de lo…</t>
  </si>
  <si>
    <t>…das los gastos ordinarios, eventuales y extraordinarios, tuyendo la palabra conocimiento á permiso, como había y extendiéndose á expresar hasta el mas mínimo sueldo y propuesto el Sr. Alvarez Guerra, y el 4.a ( víase la sesión gasto que ocurra; igual extensión proponía en cuanto á las extraordinaria del 14)', y quedaron aprobados en su to oficinas que no estuviesen sujetas á ningún ministerio, y á la talidad. tesorería general, á fin de que la comisión d…</t>
  </si>
  <si>
    <t>…, se apro las Cortes podían acceder á su abolición , y acordar que los bó el dictamen de la comisión en sus dos partes. raeblos pagasen sus atrasos, según lo acordado en una de El Sr. Alvarez Guerra hizo la siguiente adición; «Qué Ías sesiones anteriores con los de otras contribuciones, en se deje expedita á los inquilinos la repetición por las me vales reales y otros créditos contra el Estado. Se acordó joras que hayan hecho en el concepto de posesión e…</t>
  </si>
  <si>
    <t>Guerra, Juan Alvarez</t>
  </si>
  <si>
    <t>Juan Alvarez Guerra</t>
  </si>
  <si>
    <t>681</t>
  </si>
  <si>
    <t>…os, amadísimo Hermano, con ceda á V. M. muchos años ¿le vida, y le colme de todo género de felici dades. =x De V. M. afectísima Hermana=María Luisa. Lúea 15 de Mayo de 1820.*’ , ,;D. Juan Alvarez Guerra ha acudido á S. M. haciendo presente que desde la secretaría del despacho de la Gobernación de la Península, que servia en propiedad en 1814, fue trasladado á un calabozo, y desde él á diferentes en cierros y presidios ;-habiendo debido su libertad al Real de…</t>
  </si>
  <si>
    <t>Guerra, Juan Alvarpz</t>
  </si>
  <si>
    <t>Juan Alvarpz Guerra</t>
  </si>
  <si>
    <t>…se le reconviniese por ellas. Enterado S. M. de esta exposición, y habiendo oido sobre ella el dictamen de la Junta provisional, ha tenido á bien declarar que, no. existan contra, D. Juan Alvarpz Guerra tachas; ni. motivos algunos que perjudiquen el buen nombre y reputación que justamente. h4, tenido y debido t^ner, y que en tnada le .ofenden Jos. prpcedimiento,s.ó^t£a^ persona en el año de |814^; qpe S. M. se halla muy!.sí^sfech6 déVsns^eríüiicIqs ¿ y de lo…</t>
  </si>
  <si>
    <t>Guerra, Moreno</t>
  </si>
  <si>
    <t>Moreno Guerra</t>
  </si>
  <si>
    <t>…tas de Pamplona, Tarragona y otras, que estaban en igual caso , y á la guarnición de Ma esquina á la de los Jardines. drid , que tanto contribuyó al mismo objeto. Se leyó otra del Sr. Moreno Guerra, para que supuesto no existia ya el influjo de Napoleón, y atendiendo al tris ANUNCIOS. te estado ae los españoles refugiados en Francia, se Ies per mita la venida á todos, con la devolución de bienes y goce Mercurio de España. Mayo de 1820. Véndese á 4 rs. e…</t>
  </si>
  <si>
    <t>…al que se le dirigió sobre la falta de tratamiento á los se Cortes, destinado á juzgar las causas de los diputados. cretarios de Cortes , en el cual citaba, como prueba de qu¿ El Sr. Moreno Guerra opinó que no debian ser nombra no era culpable de aquel descuido, que en el primer ofició dos para el tribunal los que habian sido perseguidos, con habia puesto su firma entera; y añadía que había' tomado ■el fin de evitar que pudiesen ser recusados; á lo que…</t>
  </si>
  <si>
    <t>…dente le Se dió cuenta de un oficio del ministerio de Hacienda, ofreció qüe las Corres lo tomarían en consideración. con que se remitían seis ejemplares» del Real decreto de 30 El Sr. Moreno Guerra hizo la observación de que dife de Junio último, mandando restablecer los decretos! de las rían, en .algunos puntos las memorias de lps secretarios del Cortes pertenecientes á Ultramar. l,as Cortes quedaron en Despacho» , teradas. Con este motivo indicó el Sr…</t>
  </si>
  <si>
    <t>…a agricul que se prohibiese la introducción de aquel artículo en la tura y de la indu'tria. isla de Cuba y demas de las Antillas, como sucede en la Por segunda vez se leyó una del Sr. Moreno Guerra península é islas Baleares, cuya solicitud la apoyaba la co para que se prohíba la introducción de trigo extrangero por misión ; añadiendo que se diese parte de ello a los cónsules todos los puertos de Andalucía. Habiendo manifestado el españoles residentes e…</t>
  </si>
  <si>
    <t>…Na sucediese alguna fermentación, que se atentase contra las ción y de la autoridad civil están subordinados á la autori personas que se suponía complicadas. dad eclesiástica. El Sr. Moreno Guerra, después de expresar que no asen Se acordó continuar la discusión de cada artículo sepa tía á la suspensión pedida, manifestó sentimiento de que radamente} y habiéndote leído el primero, se manifestó por no estuviera el ministro de Estado, para saber qué medi…</t>
  </si>
  <si>
    <t>…acho los informes necesarios, ( D. Ledro ), Carabaño , Solana , Ist„riz y Golfin. asi como piden las noticias oportunas. Se con inuó la lectura de las proposiciones, una del se El Sr. Moreno Guerra, leyendo un artículo de la gaceta ñor Lagrava para que al tratarse de los premios ofrecidos de este dia, dijo que equivocaba totalmenre la discusión tiel por el general Quiroga á las tropas de la Isia se tuviesen anterior, pues suponía haberse dicho si la Con…</t>
  </si>
  <si>
    <t>…s carruages, acordada por decreto de 2 2 de blecidas al plan mencionado de 1807 : 2.0 continuará por Marzo de 18 t i . ahora la enseñanza de medicina en todas las universidades El Sr. Moreno Guerra creyó que en el dictamen de la en que se hallaba establecida, con tal que se conformen con comióon se comprometia en cierto modo al Gobierno, diel plan de 1804 , que rige en esta materia. cléndoie que usase de sus facultades, y exponiéndole á que Se dió cuent…</t>
  </si>
  <si>
    <t>…te: ,,que la blicado la Constitución en los pueblos de una misma pro arroba de aceite extraído en bandera extrangera pague 10 rs , vincia. y que sea libre en bandera nacional.” Kl Sr. Moreno Guerra apoyó al Sr. Florez, añadiendo Despees de algunas rellexiones que hicieron los señores que los contrabandistas antes, cíe la publicación en muchos Oliver, Toreno y Golfín, se pasó á votar el dictamen de pumos hacían el doble servicio de traer los géneros, é i…</t>
  </si>
  <si>
    <t>…omisión, justificó este el ción; que fuesen excluidas de ella las islas Baleares durante Sr. Calatrava . demostrando las razones en que se había fun su actual penosa situación. El Sr. Moreno Guerra , indivi dado aque’la , y quedó aprobado. duo de la comisión, deshizo la equivocación padecida en Se aprobó igualmente el dictamen de la comisión de Le señalar el mismo precio al quintal que á la fanega de trigo, gislación , en que proponía se concediese cart…</t>
  </si>
  <si>
    <t>…esario para los habia inclinado A la comTsion al dictamen presentado, cre gastos A que haya que atender por el pronto. yendo que comunicándose las órdenes con reserva , podrían El Sr. Moreno Guerra dijo que lo que se conseguirla con embarcarse algunos efectos, aprovechando la seguriuad del permitir hacer el comercio con bandera extrangera es que pabellón extrangero; pero que haciéndose pública la discu en los mismos buques extrangeros se introdujeran ba…</t>
  </si>
  <si>
    <t>…* cias deberán observarse para los ascensos de escala, á fin de porcionado. Apoyó el Sr. Caco esta observación ; pero eL asegurar el premio á los beneméritos oficiales con ventaja Sr. Moreno Guerra opinaba que era artículo aprobado, y del mejor servicio del Estado? no se debía tratar de él. Después de oir al Sr. Lasan'a, se 4.0 . ;Cómo deberán darse por los gefes los informes de aprobó que la indicación del Sr. Banqueri pasara á la comi los oficiales de…</t>
  </si>
  <si>
    <t>…gir un 25 en toda laPenin ula, tiendo, podian vivir tranquilos los que aun no hubie*en li que la comisión de Hacienda romaria este pumo en conside quidado. Respecto de la duda del Sr. Moreno Guerra, ma ración al tratar del Crédito público, y que la de Legisla nifesté. que solo se halda propuesto la admisión de créditos ción presentaría sobre él un proyecto; se mandó archivar la liquidados , para evitar las dilapidaciones que pudieran su proposición cita…</t>
  </si>
  <si>
    <t>…as que convendría que no estu .pasen todos los expedientes de permisos y privilegios exis viesen en los conventos. tentes en la comisión, de Hacienda á la de Comercio. Se opuso el Sr. Moreno Guerra á la opinión del señor El Sr. Ramos de Arispe hizo una indicación , pidiendo Vítorica, porque no creia fuese perder tiempo dedicar me .que el Gobierno hiciera se cumpliese el artículo 17 del re dia hora á la decisión de este negocio. glamento del consejo de E…</t>
  </si>
  <si>
    <t>…á vo En la afirmativa se expresará todo lo relativo A su ins tar sobre la adición del Sr. Villanueva. trucción , clases, ascensos y servicio A bordo. Se aprobó una indicación del Sr. Moreno Guerra, adi Capellanes. 24. ¿Si es absolutamente indispensable, cional á la del Sr. Zapata , para que el breve que se pidiera .i uti! y conveniente que haya un número permanente de ca Su Santidad , autorizando á los RR. arzobispos para secula pellanes para el servic…</t>
  </si>
  <si>
    <t>…queliberha la queLo éstaque designare."de Real Orden Comunico á V* para ru inteli tad al momento‘el cadete Aguilera. gencia y exacto cumplimiento , bajo la mas estrecha, respon El Sr. Moreno Guerra fue el último que habló, dicien sabilidad. Madrid 23 de Julio de 182c. do que desde aquel lugar habia manifestado que no temía á grandes empleos ni á grandes empleados, y asi que apoya Estado clasificado de los juicios de conciliación celebra ba el dictamen d…</t>
  </si>
  <si>
    <t>…a juan, Gutiérrez, Sánchez Salvador, Medrano, Lobato, Mu decía mucho la atención del Congreso. ñoz (D. Pedro), Priego, Casasec3, Canabal, Zubia, San- Sobre el artículo 3.0 dijo el Sr. Moreno Guerra, que las dino , Couto, Fagoaga, Camus , Ramírez Cid, Gobantes, pendones debian pagarlas los que los pidieron á nombre de JJgarte (D. Agustín), La Riva, Valle, Bahamonde, Huer los pueblos, siéndolos mas enemigos de los mismos pueblos, ta, Cepero, y López ( D.…</t>
  </si>
  <si>
    <t>…a la extracción de frutos este dia se había incluido equivocadamente sil nombre en los en buques extrangeros. votos particulares contrarios á la aprobación de la planta ds Leyó el Sr. Moreno Guerra una exporicion que le habiá la secretaría de la Gobernación de la Península. sido remitida desde Córdoba con ino.ivo de que en la li ta Se oyeron con agrado varias felicitaciones, y se manda dada por el Mayordomo mayor de las ce iones hechas por ron archivar…</t>
  </si>
  <si>
    <t>…ías y saludables medidas, dejando á los eclesi ¡'.ti sando á votar, declararon que no aprobaban ei artículo. cos que se hallan en e&gt;re caso, la faeulrad de optar entre Presentó el Sr. Moreno Guerra su indicación, en que los beneficios que actualmente obtengan." pedia «que se nombre una comisión para oue clarifique Retiró el Sr. Florez Estrada otra en que pedia que los los cesantes Síc. que deben cozar sueldo, excluyendo á ios inquisidores cesantes. q te…</t>
  </si>
  <si>
    <t>…formar el proyecto de divi tablecimientos de beneficencia, se acuerden en su tiempo y sión del territorio español. caso sobre ios fondos destinados á estos objetos. Este dicta El Sr. Moreno Guerra opinaba que debía aprobarse aun men se aprobó después de su lectura, y se pasó al de la quin mas que por las razones geográficas expuestas por la comi ta cuestión. sión por otras mercantiles, cual es la de la inmediación de 5.a Si han de examinarse ó no las p…</t>
  </si>
  <si>
    <t>…contribución á los que emplearan desentenderse de los importantes servicios que había presta en ello sus tierras. do á la patria , juzgaba debian concedérsele sobre los fondos El Sr. Moreno Guerra pidió, que se pasara á la comisión de Ebpoiios. de Hacienda para que lo tuviera presente, advirtiendo que No se permitió leer por ser muy larga la lista que el el pueblo sentia mucho no tener el tabaco libre, como lo mismo secretario de Hacienda pasaba de ord…</t>
  </si>
  <si>
    <t>…stema. las conducciones de presos y caudales nacionales de'de su Esto dií» lugar .1 las indicaciones siguientes: pueblo ha«ta el inmediato, donde haya milicia nacional que Una del Sr. Moreno Guerra, que decía asi: «pido que se los continúe. suspenda A los neníales jueces de primera instancia , quedan Igualmente se aprobó e! 20. también añadido, por el do solos los alcaldes constitucionales hasta el nombramiento que si el pueblo no tuviere el suficiente…</t>
  </si>
  <si>
    <t>…leyes que pro titución se hallaba ya en ellas, y que el a fectar ignorarlo híben el interes del dinero, se permita un 10 por loo. era una prueba de malignidad, Una indicación del Sr. Moreno Guerra que decia asi: Luego para que se viera que la comisión se habia pro «Pido que con arreglo á la Constitución se muden tos tro puesto por objeto aclarar el espíritu de la ley sobre este pun queles de las monedas, poniendo en ellos el nombre del Rey to , se leye…</t>
  </si>
  <si>
    <t>…publicándose asi, y. que se tilde y borre de En la misma, col. 8.a, lín. 3.a, añádase en la comisión da los libros donde se halle estampada la referida orden gene Código rural el Sr. Moreno Guerra, autor de la propoiician. MADRID EN LA IMPRENTA NACIONAL.</t>
  </si>
  <si>
    <t>de provincia, para el mas pronto y conveniente reemplazo El Sr. Moreno Guerra, recordando lo que egecutaron del egército permanente de mar y tierra, por medio de las las Cortes extraordinarias con el duque de Ciudad-Rodri milicias provinciales. go cuando se pre ento en Cádiz, pidió que hallándose en A la de Agricultura una exposición d…</t>
  </si>
  <si>
    <t>…ecto, se mandó imprimir, y se encargó la comisión ó convendría dejarlo para mas adelante, sustituyendo el de de ello. Grande, se procedió á la votación del dictamen por partes, El Sr. Moreno Guerra hizo presente al Congreso que á y se aprobó la primera. repetidas instancias del mismo general Riego y de varios Se aprobó igualmente la segunda, con la adición á ins diputados, cuyas opiniones respetaba mucho, se habia re tancia del Sr. Palarea nen el seno d…</t>
  </si>
  <si>
    <t>…ó manifestando que ¡as reuniones de que se tra dictámenes de la comisión de Agricultura, uao acerca de la taba , habian hecho mucho bien á la patria en las circuns proposición del Sr. Moreno Guerra sobre el libre uso de ca tancias en. que se crearon; pero que en su concepto debie ballo padre y garañón, y otro acerca- de la memoria de ron haber imitado A la junta de Galicia; y concluyó pi D. Baltasar Zapata sobre el ganado trashumante; y para diendo que…</t>
  </si>
  <si>
    <t>…s se suspendió restar estas voces? Me consta que algunos sugetos,. prontos la lectura. á perecer por sostener este sistema, fueron solamente con Se volvió á leer la indicación del Sr. Moreno Guerra; y el objeto de observar; oyeron esas voces, se echaron sobre tomando la palabra el Sr. Arguelles, dijo: ,,Los secretarios del los facciosos que las dieron, y los obligaron á decir: viva Despacho habian resuelto venir á presentar al Congreso una el Rey consti…</t>
  </si>
  <si>
    <t>…&amp;OfeiQi sassossoscsQQSGQOüfsesesc GACETA DEL GOBIERNO. VIERNES 8 DE SETIEMBRE DE i8ao. NOTICIAS EXTRÁNGERAS. CORTES. FRANCIA. Sesión del 7 de Setiembre. Abierta la sesión pidió el Sr. Moreno Guerra la palabra París 27 de Agosto. para después de leida el acta y los oficios del Gobierno, pues tenia que hablar un asunto de suma importancia. Luis por la gracia de Dios, Rey de Francia y de Na En seguida se leyó el acta de la sesión anterior; y sd varra, á to…</t>
  </si>
  <si>
    <t>…agan esas embargo de que estaba este muy distante de haberle dado declaraciones, se habra ese lihro, y se vuelva esa página. un castigo, como se ha querido snponer por algunos. El Sr. Moreno Guerra pidió que se hiciera la manifesra- ■ El Sr. Quirosa se levantó con el objeto de deshacer una clon de las providencias tomadas en las noches anteriores, equivocación de hecho, diciendo que la opinión del egér habiéndose dicho solo de la última, y siendo ya sei…</t>
  </si>
  <si>
    <t>…emado Gobierno sobre asuntos propios por la comi-ion. y otros que sólo era un decrco .1 conse Se contínu ' en seguida la discusión del proyecto de de cuencia de la proposición del Sr. Moreno Guerra, que ya creto para contener los vagos y ociosos, presentado por la habia sido leida por dos veces, con la cual se conformaba comí-ion enea ruada del exterminio de malhechores, y cuyos en un todo. dos primeros artículos fueron aprobados en la sesión de aó Por…</t>
  </si>
  <si>
    <t>…suficientemente discutido, porque se necesita un varón, y dando margen á seguir plei se declaró no estarlo todavía. tos escandalosos contra las infelices mujeres. Después de es El Sr. Moreno Guerra dijo: Que la bárbara institución tas y otras reflexiones semejantes, haciendo ver que e! dic de los mayorazgos no fue conocida de los indios, de. los tamen del Gobierno no podía remediar estos miles, propo magos ó caldeos, ni de los egipcios, griego- ni roman…</t>
  </si>
  <si>
    <t>…ecesarias, apoyó pueden recaer en cualquiera de ios hermanos, que tienen un la indicaeion del Sr. Martínez de la Rosa. derecho común á ellas, y este no se le da la comisión. De El Sr. Moreno Guerra dijo, que prefería la indicación este modo podría suceder que el que desde que nació tuvo del Sr. Martínez de la Rosa para que se repartiesen los ma una esperanza que le dieron las leyes, y aun si se quiere yorazgos por mitades y en solas dos generaciones, A…</t>
  </si>
  <si>
    <t>…ue se ex Yandíola que la comisión no podía adoptar semejantes prin tendía también á las personas. cipios ; y después de haber dicho el Sr. secretario del Des Apoyándole después el Sr. Moreno Guerra, se puso á pacho de Hacienda que no solo era un medio injusto, sino votación, y aprobado tal como estaba, se mandó expresar inútil y mezquino, y que concluida la guerra era preciso ademas que lo había sido por unanimidad. acudir á las indemnizaciones , en ¡o…</t>
  </si>
  <si>
    <t>…siciones, que se leyeron para perpetua memoria, como uu testimonio de la gratitud Se leyeron dos dictámenes de la comisión de Bellas Ar nacional.” te' acerca de la propo'icion del Sr. Moreno Guerra , en que Se procedió á la discusión del dictamen de la comisión pidió se mudasen los troqueles de las monedas ; y de un de Legislación sobre la propo.icion del Sr. Mo en o Guerra, oficio del mini'tro de Hacienda obre lo mismo. F.l Sr. vi- para que se permitie…</t>
  </si>
  <si>
    <t>…o de los men de la comisión de Legislación acerca de los emigrados mejores agüeros que pueden tener las Cortes , no solo ahora, con el gobierno intruso. sino en lo venidero,... E¡ Sr. Moreno Guerra, autor de la proposición, dijo 'Continuó manifestando que ni era aplicable, ni favore que cuando la hizo Ja presentó como de pura gracia, para cía la causa de los partidarios de Josef nada de lo dicho evitar una discusión muy espinosa; pero que una vez pro po…</t>
  </si>
  <si>
    <t>…idad aquellos que han sido condenados en virtud de ni mucho menos para ser ascendidos cuando les corres una sentencia dada por haber habido daño de tercero ; y en ponda. la que el Sr. Moreno Guerra mostró que se perjudica ria á ^ 9.0 El oficial que no se presente en el término perento muchí irnos que hubiesen abierto sus juicios de purificación rio que se le señale cuando le toque ser reemplazado, ó en si no se Ies permitía con.inuarlos, cuando en ellos…</t>
  </si>
  <si>
    <t>…erno no destine á otros objetos de utilidad pú nombre de predicadores de Sto. Domingo. blica.” Prevj;]....alguna discusión, se aprobó la primera, aña Lo mismo sucedió con otra del Sr. Moreno Guerra, que diendo la palabra «profesos,” después de «regulares;” y no se reputó hallarse en igual caso que la primera del señór se admitió á.discusión la segunda. i Puigblanch: «Existiendo las mismas rozones y aun mayo Se mandó pasar á la comisión otra indicación d…</t>
  </si>
  <si>
    <t>…rá el que se les ción en América, en donde por las diferentes circunstan habilite para obtener prebendas y curatos." cias en que se hallaban los regulares, podría tener trascen El Sr. Moreno Guerra dijo, que aunque habia pensa dencias políticas; y pidió se oyese sobre este punto al Go do no tomar parte en la discusión por ser seglar,«y por ha bierno. ber tantos y tan ilustrados eclesiásticos en el Congreso, sin El Sr. Cepero convino con el Sr. Ochoa en…</t>
  </si>
  <si>
    <t>…18. r86,700 rs., rebajaba una ter se levantó la sesión. cera parte, reduciendo este presupuesto á 12 millones sola mente, , Extracto di los parles dados por tos comandantes de El Sr. Moreno Guerra apoyó él dictamen dé la comi , los distritos de Nueva-España d sus respectivos gesión, esperando que se dará principio á esta reforma desde fes acerca de varias acciones. el año de 1S21, en atención á que España no se halla yn la actualidad en estado de hacer…</t>
  </si>
  <si>
    <t>…puso que debía tomarse esto en consi Se leyó el dictamen de la comisión de Bellas artes, en deración, extendiéndolo á todas las provincias, pues acón-, vista de la proposición del Sr. Moreno Guerra, reducida á tecia lo mismo en todas ; que se pasase á una. cginision para que se mudasen los troqueles de la moneda, sustituyendo ;* que esta propusiese medidas activas y eficaces para remediar la lectura antigua la qué proponía, y cuya discusión estaba esros…</t>
  </si>
  <si>
    <t>…o los paites extrangeros; de consiguiente la comisión nada de jurados comparado con el de los rríbnnales permanente'. tenia que prevenir en esta parte; ademas de que esto es un El Sr. Moreno Guerra dijo eme hablaba á un Congreso contrabando, y como r.al no pertenece á esta ley.” popular, amigo del pueblo, é hijo del pueblo, y no á un Se prosiguió la discusión entre algunos Sres. diputados, Consejo de Castilla ni de la Inquisición, enemigos del apoyando…</t>
  </si>
  <si>
    <t>…siones que re perjuicios que tan arbitrariamente se le han originado , cuan sultarían de lo contrario. to de que se sirva declarar S. M. que la referida casa ha me Discurriendo el Sr. Moreno Guerra sobre todo el dicta recido siempre sus bondades por los servicios que ha hecho men , y con especialidad sobre el punto de estancos, á los á la Nación, y que no dió lugar á la providencia de fianza cuales "se opuso, dijo con respecto á la contribución directa,…</t>
  </si>
  <si>
    <t>…scisión las comercio de Cataluña para fletar una fragata, llamada York, mismas iglesias. con dirección á las Californias: este expediente se mandó Continuó la discusión, en que el Sr. Moreno Guerra con pasar á la comisión de Comercio. vino con el Sr. Ochoa respecto de los primeros puntos, pero El Sr. presidente nombró para la comisión Eclesiástica al no del último; porque, decía, debían las Cortes ser muy Sr. obispo de Mallorca. circunspectas para resci…</t>
  </si>
  <si>
    <t>…guir su uso. 5.0 «Se tomarán las providencias que aconseje la pru nifestaba á la continuación de los estancos. Dijo que el dencia y los conocimientos prácticos de la materia, para señor Moreno Guerra había hecho poco favor á los in evitar en los puertos que se habiliten , la intervención y la dividuos de la comisión, diciendo que mas valia que hu venta de los tabacos que aponen á ellos á contrabandistas y biesen dejado Iqs. estancos, como otaban haTa el p…</t>
  </si>
  <si>
    <t>…ríban en el salón de Cortes los nombres de D. Juáh pitaciones , premuras ni trastornos. Diaz Portier y D. Luis Lacy ; declarando al mismo tiem Se leyó en seguida la indicación del Sr. Moreno Guerra, po beneméritos de la patria á los que sufrieron pena capital firmada también por los Sres. Vadillo, Quintana, Ezpeleta,- por adictos á la Constitución; cuyos dos decretos remitía O-D3IÍ, Díaz del Moral, López, Diaz de Morales, Isturiz, el Sr. ministro de la…</t>
  </si>
  <si>
    <t>…no en que se agregase la base de la propiedad á las otras. El Sr. Ochoa aprobó las bases propuestas por la comi Sesión extraordinaria del 13 de Octubre. sión , y la añadida por el Sr. Moreno Guerra, manifestan Leída el acta de la sesión anterior , manifestó el Sr. Ló do al mismo tiempo que el aborrecer el pueblo la contribu pez (D. Marcial) que al discutirse el dictamen de la comi ción directa provenia, lo primero de que su primer esta sión sobre las si…</t>
  </si>
  <si>
    <t>…ecesidad de acor testar al Sr. Lobato sobre si los diezmos eran de institución dar ia modificación de que se trataba. divina, opinión que ya no era de estos tiempos, indicó sin El Sr. Moreno Guerra, como individuo de las comisio embargo que si hubieran sido de derecho divino, lo habría nes reunidas para la extinción de diezmos, dijo: que entre sido igualmente el pagar todos y de todo; cosa que no las infinitas representaciones que se habian pasado á las…</t>
  </si>
  <si>
    <t>…a con otras re que por su parte se convenía en la subrogación que propo uniones de igual clase. nía el Sr. Alvarez Guerra, y que debían aprobarsecon esta sub Tomando ja palabra el Sr. Moreno Guerra analizó uno rogación los artículos propuestos por la comisión para poder por uno los artículos, manifestando que el primero era ab evitar los perjuicios que, según habia indicado, podían acar solutamente inútil por estar ya prescrito en la Constitución rear l…</t>
  </si>
  <si>
    <t>…encia á empobrecer mas y mas comisión que debia encargarse de formar las listas p&gt;nra el á los habitantes de Filipinas. nombramiento de individuos del consejo de Estado ; y le .El Sr. Moreno Guerra dijo que aprobado ya el primer vantó; la sesión.. » ‘ ' artículo, por el cual se anulaba el privilegio de la compañía de introducir géneros de algodón por valor de 40 millones ' ’ ' ARTICULO' DE OFICIO. sin pagar derechos, era ya inútil la discusión del j.°:…</t>
  </si>
  <si>
    <t>…esquiera otras gracias que hayan obtenido desde 4 A las Ecieóñstica y de Diezmos una exposición de la de Mayo de 18x4. diputación provincial de Cuenca, pidiendo la abolición de El Sr. Moreno Guerra la apoyó, reproduciendo lo lar los diezmos, y que se moderen lo* derechos de dispensas.</t>
  </si>
  <si>
    <t>…s por la fuerza -á. ministerio de Hacienda sobre que en los asuntos conten una facción y á la ambición extrangera. ciosos de rentas decimales continúen conociendo los mis Apoyó el Sr. Moreno Guerra estas indicaciones, y los mos jueces que hasta aquí. Sres. conde de Toreno y Vargas Ponce manifestaron que Se pasó á la comisión de Legislación una exposición del siendo el asunto muy importante, debía tratarse en secreto, bachiller D. Pedro González Alvarez,…</t>
  </si>
  <si>
    <t>…menos impedir las operaciones de los trafican Ei Sr. conde de Toreno manifestó que debía volverse á tes forasteros. la comisioo por dos razones : la primera porque era anticons El Sr. Moreno Guerra se opuso, pidiendo se declarase titucional, á causa de reconocer una autoridad no prescrita no haber lugar á votar el dictamen por ser peores los pues en la Constitución, cual era la de un concejo general de tos públicos que los estancos, pues coartaban la li…</t>
  </si>
  <si>
    <t>….' Tendreislo. entendido pa nota. En la gaceta de anteayer se olvidó poner en la sesión ra su cumplimiento, y .dispondréis se imprima, publique y ordinaria de Cortes del 24 que el Sr. Moreno Guerra presentó circule, ss Está rubricado de*la Real mano. = En Palacio á 9 una representación de la villa déla Torre de Juan Abad , pidiendo de Octubre. :de 1820. = A D, Josef Canga Argiielles. que la contribución directa se repartiese sobre los valores capi tales…</t>
  </si>
  <si>
    <t>…astante claros para ex suspensos por la Constitución de los derechos de ciudadano. presar lo que la comisión deseaba. 2.° Los antes llamados gitanos, vagantes , ó sin ocupación E! Sr. Moreno Guerra conceptuó Justa la excepción que útil; los demas vagos, holgazanes y mal entretenidos , cali se hacia, citando para comprobación el recto modo de pro ficados en la Real orden de 30 de Abril de 174;, y en el Real ceder de los jueces que á él le juzgaron. decre…</t>
  </si>
  <si>
    <t>…res de una que pertenecía por la mayor parte á beneméritos militares! obra elemental científica que presentó el Sr. Janer. El Sr. conde de Toreno manifestó que en su opinión el El Sr. Moreno Guerra leyó por primera vez el dicta dictamen de la comisión era justísimo, pues.habia hecho men de la comisión de Agricultura , acerca de las proposi dos grandes separaciones de la deuda nacional ; una da la ciones de los Sres. Cepero y Martínez de la Rosa sobre re…</t>
  </si>
  <si>
    <t>…tes muy pocos, no serian muchos los de Mechonean para la provincia de este nombre y la de capitales qne se amortizaran. Guanajuato; 4.0 y que el Gobierno manifestara su Opinión El Sr. Moreno Guerra dijo que aunque estuviese apro acerca de las primeras proposiciones de los citados señores, bado el artículo 4.0, no por eso se había de obligar al Conrelativas al establecimiento de una diputación provincia; etl gre'o á la aprobación del 18 , pues aquel trat…</t>
  </si>
  <si>
    <t>…narquía española, incluyendo los metales preciosos, bien ra, industria, navegación y comercio de las islas Filipinas.” sea en tejos ú barras, sujetos solo al régimen de guías y El Sr. Moreno Guerra pidió que al art. 3.^ se añadiesen responsivas en la circulación por mar y por entre la línea de los chales de Cachemira, con cuya adición se aprobaron los aduanas y contraregistros cuando sea en plata en cantidad seis primeros artículos , retirando la comisi…</t>
  </si>
  <si>
    <t>Guerra, Mqreno</t>
  </si>
  <si>
    <t>Mqreno Guerra</t>
  </si>
  <si>
    <t>…y á los artículos 87, 88 y sector del colegio de Madrid á favor de D. Francisco 89 del código penal, oido nuestro consejo, hemos decreta Sánchez. do y decretamos lo que sigue: El Sr. Mqreno Guerra, deseando que se diese un testi ' Art. i.° Se convoca el tribunal de los Pares. Los Pa monio público á Madrid y á la Nación entera del estado' res ausentes de París estarán obligados á regresar sin di de tranquilidad pública, hizo la indicación siguiente! »En…</t>
  </si>
  <si>
    <t>Guerra, Secretario del Despacho de</t>
  </si>
  <si>
    <t>Secretario del Despacho de Guerra</t>
  </si>
  <si>
    <t>…fundamentos, con el objeto de po derlas ^comprender iy i cote jar, con otras mas fáci luiente, y di rigiéndolas al pre sidente de la Junta consultiva bajo doble cubierta al Excmo. Sr. Secretario del Despacho de Guerra. ; ~r Plan ,de educación nacional con arreglo al espíritu de la Constitución política de ú Monarquía Española , presenfadb' ár las Cortés* en 12 de Noviembre de 1813, f premiado por la sociedad económica de Granada: por D. M A. L. Véndese-en Ja lfl3f&lt;?ná!'de…</t>
  </si>
  <si>
    <t>Guerrero</t>
  </si>
  <si>
    <t>…me, por mano del Sr. secretarlo del Despacho de la Guer una de heridos y prisioneros. La del nmstico de tres de ra dirige A S. M. la siguiente exposición: aquella clase, induro el comandante Guerrero y 4 heri «Señor: Si el 9 de Marzo del presente año fue un dia dos. Con este motivo recomienda Carnero en particular de extremo júbiio y alegría para la grande y heroica Nación al capitán interino y segundo del místico D. Agustín RiA que pertenecemos, se ha in…</t>
  </si>
  <si>
    <t>Guerrero, Josef</t>
  </si>
  <si>
    <t>Josef Guerrero</t>
  </si>
  <si>
    <t>…uinado » la Nación, cu S. E. el general en gefe de este egército al comandante bra todos los gastos indispensables para su futura prosperidad, de las fuerzas sutiles de barlovento D. Josef Guerrero, sa sin ofensa de ninguna clase , y con evidente alivio de todos ids lió este oficial de Cumaná el 23 de Abril último con seis contribuyentes. Contiene también una aplicación á las rentas y flecheras y un esquife hacia Margarita, Caños de Orinoco gastos de la…</t>
  </si>
  <si>
    <t>…y la clare de delitos que en estos se comprendían. con fecha de 24 de Mayo, la división de flecheras, al man Los Sres. Crespo Cantolla y Moscoso le defendieron, en do del teniente coronel D. Josef Guerrero, había dado la' el supuesto de que los delitos sobre que versaban los trata vela el 2 3 de Abril, con el objeto de recorrer los caños del dos nada tenían que ver con las opiniones políticas, siendo Orinoco. Durante su expedición apresó varios esquifes, chin ú…</t>
  </si>
  <si>
    <t>…er •aviso. ¡comandante de la tropa embarcada en el místico Hércu les , acerca de la gloriosa muerte del comandante de las Alacirid x.° de Diciembre. •fuerzas sutiles de barlovento D. Josef Guerrero. De todo re • SS‘. MM. y A A. continúan sin novedad en su impor- sulta que habiendo salido este oficial en la madrugada del 5 -tante salud. del citado Agosto de Punta de Araya con el místico HérS. M. ha despachado hoy con los Sres. secretarios del £itles y es…</t>
  </si>
  <si>
    <t>Guerrero, María</t>
  </si>
  <si>
    <t>María Guerrero</t>
  </si>
  <si>
    <t>…, en el El Sr. Sancho dijo que en esta última parte era entera término de la villa de Hornachuelos. mente de la opinión de su preopinante, siendo igualmente Capellanía fundada por Doña María Guerrero y sus del mismo parecer que habia manifestado en su dictamen la hermanos en la parroquial de dicha villa. comisión; pero que creía antes necesario que declarase el Una casa principal, calle de la Mosca, situada en la villa Congreso , que la Constitución habia…</t>
  </si>
  <si>
    <t>Guerrero, Pedro Segundo</t>
  </si>
  <si>
    <t>Pedro Segundo Guerrero</t>
  </si>
  <si>
    <t>…ción, donde se manda que los diputado-- provin y necesidad de proporcionarla fondos, y otra sobre el con ciales tengan lo suficiente para man enerse con decencia; y trabando , por D. Pedro Segundo Guerrero. que si le faltaba este requisito , no debió rer elegido, y A la de Fuerza armada una exposición de ios capitanes debe q :edar exonerado del cargo, entrando en su legar el graduados de tenientes coroneles del regimiento fijo de Ceu primer suplente. ta sobre l…</t>
  </si>
  <si>
    <t>Guevara, Mariano</t>
  </si>
  <si>
    <t>Mariano Guevara</t>
  </si>
  <si>
    <t>…ef Cristóbal Villaseñor, con fe cha 4 del corriente, me dirige el oficio adjunto con otros dos partes, uno del comandante del destacamento de la Noria,,y otro del oficial graduado Don Mariano Guevara, que fue el qué mandó la partida que persiguió á los rebel des de la gavilla de los Morenos: por todos verá V. E. que pereció á manos de Guevara toda esta; por cuya razón recomiendo á V» E. á este individuo, y á los que él mismo recomienda. ,,Dios guarde á V.…</t>
  </si>
  <si>
    <t>…indulto para los individuos presentados, y que se den las gracias en nombre de S. M. al Sr. Alvarez, al teniente coronel Vijlaseñor , al alférez Benayides , y al alférez graduado D. Mariano Guevara, por sus buenas disposiciones para la persecución de los restos de rebeldes que que daban en la Sierragorda; concediendo el grado de sargentos á los cabos Don Vicente y D. Ignacio Montes, y su ascenso á cabos á los realistas Agustín Chavez y Vicente Salinas p…</t>
  </si>
  <si>
    <t>Guevara, Ratnon Correa y</t>
  </si>
  <si>
    <t>Ratnon Correa y Guevara</t>
  </si>
  <si>
    <t>292</t>
  </si>
  <si>
    <t>…mpañías, arengarles, y marchar hacia las Tuberías, y de acuerdo con el muy ilustre ayuntamiento y su presi yendo prevenidos cierto número de conjurados para asesinar dente el Sr. ,D. Ratnon Correa y Guevara; deseoso también á i o personas de alta gerarquía, y algunas de ellas revesti de llenar en cuanto está de mi parte sus votos y públicos das de tan augusto carácter, que no podemos nombrarlas sin sentimientos, siendo igualmente notorios con una evidencia horro…</t>
  </si>
  <si>
    <t>Gui</t>
  </si>
  <si>
    <t>…l mismo orden, se verificó ayer en; * ' Matar ó. \ ,,En Gerona el pueblo ha obligado á renunciar el mando al general gober nador D. Juan Josef García de Velasco , y ha nombrado al brigadier D. Gui llermo Minali para sucederle, según demuestra el citado parte. En Tarragona también dispúso la guarnición, de acuerdo con el pu.e-</t>
  </si>
  <si>
    <t>…confianza, y nuestras operaciones se dirigirán no desmandarse en la menor cosa. solo á nuestro bien, sin perjudicar á nadie ; pero :i quisie En el mismo dia 6 publicó el 'teniente general D. Gui ren penetrar en nuestro territorio, pagaren la peni de su llermo Pepe la proclama siguiente: injusticia , .y sabrán de lo que es capaz nuestro arrojo na «El general en gefe del'egércuo constitucional á los pue cional, amancillado solo por la tuerza del destin…</t>
  </si>
  <si>
    <t>Guilford</t>
  </si>
  <si>
    <t>200</t>
  </si>
  <si>
    <t>…ancia. Parece que no tardará en arreglarse la universidad griega que debe formar se en Cefalonia,, una de las siete islas Jónicas., Ya ha salido, qe.Roiha para ir á aquélla ciudad lord Guilford, que es protector de- dicha universidad,, y. le acompaña el sabio'helenista Mr« Brondsted *. agente de Ja corte de Dinamarca en Roma.. Las universidades de Inglaterra han determinado regalar cierto nú mero de-obras-impresas á la de Cefalonia , cuya isla se ha…</t>
  </si>
  <si>
    <t>…para las diferentes cátedras, y su elección ha recaído en sulacio 1." de Julio de 1820.” getos griegos del mayor mérito. Ninguno ha favorecido con mas eficacia las intenciones de lord Guilford. que el señor Siendo poco compatible con el régimen constitucional cohde de Capo de.Istria, natural de Corfú, que no ha el que por las dos contadurías generales de Ultramar sé lle encontrado.modo mas digno de-pagar á su patria la deuda ve la tercera parte de…</t>
  </si>
  <si>
    <t>…lara corriente me dicen lo que sigue: ciones en que se apova la defensa. Contra el doctor Ho- «Las Cortes han acordado que el Gobierno disponga que lland tenían á lady Lindrai , á lord Guilford. y podian cu los Gefes políticos de las provincias en que existiesen los brir de confuMon á Mr. Graven y á sir Williams Geli. Sin colegios mayores suprimidos remitan por su conducto los embargo . no han podido presentar mas que al capitán Briggs índices origi…</t>
  </si>
  <si>
    <t>Guilfort</t>
  </si>
  <si>
    <t>…es generales las que se hallan pendientes en el mi este nombre). Encargado por ei Gobierno del régimen de nisterio. Todo lo que comunico á V. de Real orden para esta universidad , lord Guilfort ha hecho los nombramientos su inteligencia y cumplimiento en la parte que le toca. Pa para las diferentes cátedras, y su elección ha recaído en sulacio 1." de Julio de 1820.” getos griegos del mayor mérito. Ninguno ha favorecido con mas eficacia las intencion…</t>
  </si>
  <si>
    <t>Guillelmi, Rafael Galinno y</t>
  </si>
  <si>
    <t>Rafael Galinno y Guillelmi</t>
  </si>
  <si>
    <t>…aiafcx, D. Juan Ló pez Larrainzar , D Francisco Cascajares y Bardnxí, D. Josef Aivarez Reyero , D. Cárlos Casaprin y González, D. Rafael Rodríguez Solís, D. Josef Canals y Mayéis, D. Rafael Galinno y Guillelmi, D. Francisco Rívadeneira y Acevedo, D. Mariano Navarro "y Avellañ, D. Juan Basco y Sarria; Den Ramón Nuñez de Haro, D. Josef Rulz del Burgo y Basabrú, D. Benito Osma y Osma, y el soldado distinguido de la misma arma D. Benito de XJrrutia y Franco, que han co…</t>
  </si>
  <si>
    <t>Guiller</t>
  </si>
  <si>
    <t>…retas, librería de Ortega. pañía, 320. D. N. P. Bassadone, 80. Los Sres. Muir Torry y compañía, 320. D. Isaac Hadwen, 320. D. Juan Duffield y compañía, 320. D. Jacinto Narice, 80. D. Guiller mo Gray y compañía, 640. D. Juan Haffenden y compa ANUNCIOSñía, 320. D. Carlos S. Middleton, 8o. D. Joaquín Bobadilla, 160. D. Diego Terry, 80. DI Jacinto Isnardy, 320. El heroísmo del amor filial. Isabel, ó los desterrados de SíD. Carlos Williams, 80. D. Jua…</t>
  </si>
  <si>
    <t>Guillermo</t>
  </si>
  <si>
    <t>…e estajo firmemente per;uadidos de que obtendrán las veces determinó que el alistamiento. que quisieran una mayoría en la Cámara de los Comunes, Se leyó después *1a exposición del general Guillermo atendiendo al modo defectuoso con que se verifica la elec Pepe, que proponía se suspendiese toda nueva organización ción de la representación nacional. Al finalizar su discurso de ia guardia nacional mientras durase la posibilidad de la llamó el orador ia ate…</t>
  </si>
  <si>
    <t>Guixer, Eudaldo</t>
  </si>
  <si>
    <t>Eudaldo Guixer</t>
  </si>
  <si>
    <t>…ntre las obras que varios sabios franceses han regalado juzgado y escribanía de D. Pedro Josef de Ibabe, á instancia Ú la biblioteca pública de Chío se distingue la historia de de D. Eudaldo Guixer; apercibidos que pasado el expresado la república Je Venecia por el conde de Daru , Par d» término sin haberlo verificado, les parará el perjuicio que haya Francia. Esta obra ha ILamado la atención de todos los ha lugar. bitantes ilustrados de la patria de Th…</t>
  </si>
  <si>
    <t>Guray</t>
  </si>
  <si>
    <t>…uidas las contribuciones directas, era la contribución ge millones de reales, lo que se debió al influjo de la opinión nera!. La comisión proponía: t.° «Que [05250 millones de deí ministro Guray; no debiendo esperarse menos en el dia esta, repartidos á los pueblos, se redujesen ¿125 millones, de la que justamente se habia adquirido el Congreso. refundiéndose en esta rebaja la tercera parte que por reso El Sr. Cuesta rebatió las reflexiones de su preo…</t>
  </si>
  <si>
    <t>Gutierre</t>
  </si>
  <si>
    <t>…na cuya conducta y poco alecto al sierema constitucional de lidades, sino el deseo de la conservación del orden público. bemos estar convencidos. Con fecha del 6 de Julio se ha El Sr. Gutierre* Acana ha supuesto hechos que son cier dado tina-orden para que todos ios destinos del egército se tos, y ya he dicho que el Gobierno puede haberse equivo provean por antigüedad rigurosa, sin hacer siquiera una in cado en sus resoluciones ; pero ha dado una p…</t>
  </si>
  <si>
    <t>…ún varios expedientes que se la artículos, para que le reformasen en su redacción. habían pasado, se conocía seguramente que habia abusado Se mandó insertar en el acta' el voto dd Sr. Gutierre* mas de una vez, por lo cua! opinaba que debia adoptarse el Acuña, contrario á la aprobación de los tres artículos sobre artículo que se discutía. sociedades. El Sr. presidente suspendió la discusión para la sesión Se mandó pasar á la comisión de Instrucción…</t>
  </si>
  <si>
    <t>Gutierre, Antonio</t>
  </si>
  <si>
    <t>Antonio Gutierre</t>
  </si>
  <si>
    <t>…tica, en que al proyecto que habia presen á consecuencia de reclamación hecha por Doña Ramona Pache tado hoy- se añadiese, que lo contenido en el era «sin per co, como heredera de D. Antonio Gutierre/., fue retenido en juicio de los actuales poseedores." la oficina de Renovación , y remitido a dicho juzgado de prime ra instancia para que dentro del término de 30 días precisos y Se, accedió á la exhumación, que proponia el Gobierno, contados desde esta pub…</t>
  </si>
  <si>
    <t>Gutiérrez</t>
  </si>
  <si>
    <t>…astelar, y no un crimen, se decidió á que no habia lu en lo posible uno y otro ha acordado: gar á la formación de causa. í.° Que los Sres. intendentes, oyendo á [cíe contadores El Sr. Gutiérrez, manifestando los abusos cometidos principales y gefes respectivos de cada ramo, formen el re por la autoridad militar, abusos que debe cortar la Consti glamento de las dependencias de sus provincias con cono tución , se extendió á probar que el capitán de Gu…</t>
  </si>
  <si>
    <t>…ividuos. cif.t’, m:.-. me: nos , no por la pe roña de Riego, sino por la El segundo extremo que comprende la indicación del causa de la Nación, por el amor de la misma, y para ter Sr. Gutiérrez es que se pidan noticias al Gobierno acerca de ror de los serviles. la disolución del egército de la Isla. No es del caso pe ar El Sr. Oehoa, después de manifestar que no conocía á las razones que pnede haber tenido el Gobierno para esta este general, y que r…</t>
  </si>
  <si>
    <t>…levantó el Sr. Martínez de la Rosa, mando de Galicia. y dijo: Para ver si se debe admitir á discusión la indica En el discurso recordaba los servicios del egército de San ción del Sr. Gutiérrez , la primera cuestión que se ofrece es Fernando ; que á consecuencia de las órdenes del Gobierno si las Cortes tienen derecho de ocuparse en su objeto. En para disolver á este y separarle á él de su mando, se hablan vano se reclamará su importancia; en vano s…</t>
  </si>
  <si>
    <t>…deben decidir siempre del mérito de los hombres reuniones en el pueblo. Que cuando lo ha sabido las habia virtuosos. contenido, porq se podía evitarlas. Que se habia dado el en El Sr. Gutiérrez dijo después, que es bien generalmente cargo á la autoridad primera de velar para la conservación del reconocida la preferencia que en todos casos merecen los orden público , la cual aunque no lo tenía de costumbre medios de impedir los delitos comparados con…</t>
  </si>
  <si>
    <t>Gutiérrez, Alejandro</t>
  </si>
  <si>
    <t>Alejandro Gutiérrez</t>
  </si>
  <si>
    <t>…sitio 2282 pies y tres octavos, sin mas carga que la del alumbrado, y serenos. Quien quisiere hacer postura á ella acuda á dicha audiencia por la escribánía del número propia de. D. Alejandro Gutiérrez, donde se les admitirán las que se hicieren, y enterará de su valor y demas cir cunstancias. En la villa de Briñas, provincia de la Rioja, se halla vacante la- plaza de ciru jano: su dotación es de 400 ducados anuales, ademas de lo que con separación con trib…</t>
  </si>
  <si>
    <t>Gutiérrez, Antonio</t>
  </si>
  <si>
    <t>Antonio Gutiérrez</t>
  </si>
  <si>
    <t>…con la dotación de 300 ducados anuales, para cuyo de escuela; Eugenio Becerro , de 14 años, y 3 y medio de magisterio se desea un secular. Se dirigirán los memoriales al escuela; D. Antonio Gutiérrez, de 19 años, y 4 de escue ayuntamiento constitucional de ella. la; D. Mariano Gutiérrez, de 13 años, y 4 de escuela, y Elementos de la moral universal, ó catecismo de la natura D. Juan Navarro, de 26 años, y 2 y 9 meses de escuela. leza. Dos objetos se propon…</t>
  </si>
  <si>
    <t>…Pardo, Don y diputaciones provinciales, y sé inserte ademas en la Manuel Martin, D. Miguel Corbesy , D. Agustín Pelaez, gaceta del Gobierno; en la inteligencia .de que cualquiera D. Antonio Gutiérrez, el ya nombrado Navarro, D. Ma solicitud que sobre este punto se dirija directamente al mi nuel Colon y D.Tomas Gil, que realizaron lo expuesto, de nisterio quedará sin curso alguno en perjuicio de los mis mostraron sus adelantamientos en la aritmética y geom…</t>
  </si>
  <si>
    <t>Gutiérrez, Baltasar</t>
  </si>
  <si>
    <t>Baltasar Gutiérrez</t>
  </si>
  <si>
    <t>…na con los de las demas ciudades y villas, que mandamos ve exposición de Doña María del Carmen Berdier, viuda del nir también á las referiJas Cortes, hagan cuanto parezca cirujano D. Baltasar Gutiérrez , complicado en la causa de mas útil á los referidos fines. Unos y otros se presentarán Richart, y condenado en ella á la pena ordinaria, que su con la competente anticipación al secretario del Gobierno frió en esra corre, solicitando se declarase á dicho su…</t>
  </si>
  <si>
    <t>Gutiérrez, Camilo</t>
  </si>
  <si>
    <t>Camilo Gutiérrez</t>
  </si>
  <si>
    <t>…objeto de sus deseos.” El ministro Secretario de Estado de la córte de Munich contestó eh los. términos, siguientes á Jai carta que le dirigió et ministro del Rey en aquélla corte D. Camilo Gutiérrez de los Ríos, dándole parte dé haberse restablecido en España el sistema constitucional. t: ,, Sin pérdida dé tiempo hice presente ál Rey la carta que .se sirvió V. dirigirme con fecha 23 de Marzo comunicándome el manifiesto que S. M, C., su Soberano , dirigió…</t>
  </si>
  <si>
    <t>Gutiérrez, Josef Marcos</t>
  </si>
  <si>
    <t>Josef Marcos Gutiérrez</t>
  </si>
  <si>
    <t>…en Valencia en la de Cabrerizo, y en Salamanca en la de-Reyesv Giaresma, pláticas morales y panegíricos del ex-jesuita D. Gerónimo Trenf&lt;v traducidos-, del itoscano al español por D. Josef Marcos Gutiérrez r en- cuatro tomosen 4.0 Los. sermones, de. Trento, por sus., gran des y íítires apuntos, por sus vivas; y.¡ terribles pinturas;,, ppr las. muchas y graves sentencias que con franca mano se han es* parctdo por ellos, por su excelente y sana moral, por sus pod…</t>
  </si>
  <si>
    <t>Gutiérrez, Juan Miguel</t>
  </si>
  <si>
    <t>Juan Miguel Gutiérrez</t>
  </si>
  <si>
    <t>248 , Por disposición del Real tribunal del consulado de Málaga, en los autos de concurso que siguen á la masa de D. Josef Garrido, de este'comercio, ante su es cribano D. Juan Miguel Gutiérrez, se citan y emplazan por el término de 30 días, contados desde la publicación de.este anuncio, á los acreedores de dicha masa, para que por sí ó por sus apoderados se presenten en aquel tribunal á pedir lo que les convenga; en el concepto que de no hacerlo le…</t>
  </si>
  <si>
    <t>Gutiérrez, Juan-Miguel</t>
  </si>
  <si>
    <t>Juan-Miguel Gutiérrez</t>
  </si>
  <si>
    <t>…que haya lugar. ( Por disposición del tribunal del consulado de comercio de Málaga en los autos de concurso que se siguen á la masa de bienes de D. Josef Garrido ante su escribano D. Juan-Miguel Gutiérrez, secitan nuevamente y emplazan por el término de 30 c|ias| contados desde.esta publicíjp.i.Qn^á -los acreedores de dicha masa? para que por sí ó .por medio de sus apoderados se presenten en dicho tribunal á pedir Iq quedes convenga; en el concepto dé qué sín…</t>
  </si>
  <si>
    <t>Gutiérrez, Mariano</t>
  </si>
  <si>
    <t>Mariano Gutiérrez</t>
  </si>
  <si>
    <t>…ños, y 3 y medio de magisterio se desea un secular. Se dirigirán los memoriales al escuela; D. Antonio Gutiérrez, de 19 años, y 4 de escue ayuntamiento constitucional de ella. la; D. Mariano Gutiérrez, de 13 años, y 4 de escuela, y Elementos de la moral universal, ó catecismo de la natura D. Juan Navarro, de 26 años, y 2 y 9 meses de escuela. leza. Dos objetos se propone el autor en esta obra. 1Manifes Asimismo comulgó en el propio día una niña de Mála tar…</t>
  </si>
  <si>
    <t>…dos se ha servido S. M. resolver igualmente que es pios de cosas pertenecientes al alimento , al vestuario y la ■ ta Real determinación se circule á todas las audiencias decencia. D. Mariano Gutiérrez, D. Manuel Pardo, Don y diputaciones provinciales, y sé inserte ademas en la Manuel Martin, D. Miguel Corbesy , D. Agustín Pelaez, gaceta del Gobierno; en la inteligencia .de que cualquiera D. Antonio Gutiérrez, el ya nombrado Navarro, D. Ma solicitud que sob…</t>
  </si>
  <si>
    <t>Guzman, Josef</t>
  </si>
  <si>
    <t>Josef Guzman</t>
  </si>
  <si>
    <t>…que la corre otomana toma en todos los actos 467,391. Otro de 300 pesos de Setiembre de 808, mím. 38,451, públicos. Se ha dicho que esta expresión era reí.: ti va á Ja á favor de D. Josef Guzman. Otro á D. Manuel López Ñoñez, de puerta del serrallo, y el doctor Dallaway confirma esta 300 pesos de Setiembre de 808 , núm. 36,386, y el último de Opinión, diciendo que esta puerta se parece á un baluarte. 600 pesos de Setiembre de 809, núin. n,6oo, áO. Jo…</t>
  </si>
  <si>
    <t>H, M. P.</t>
  </si>
  <si>
    <t>M. P. H</t>
  </si>
  <si>
    <t>…ro y plata se reco Derechos y deberes del ciudadano, escritos en francés por nocerá por los ensayadores antes ó después de contada, co Mr. de Mabli, y traducidos al castellano por D. M. P. H.: un mo mas conduzca A la brevedad del despacho y claridad de tomo en ii.°, í 10 rs. en rústica y 13 en pasta. S: hallará en la librería de Cruz y Míyar. En la misma se publicarán á lala entrega : las piezas q ie dichos ensayadores hallaren faltas o adulterada…</t>
  </si>
  <si>
    <t>Habiendo, Rafael del</t>
  </si>
  <si>
    <t>Rafael del Habiendo</t>
  </si>
  <si>
    <t>…ue el pueblo español tenga el jusempleados , demarcación de sus atribuciones y sueldos. _ro conocimiento en asuntos de tanta importancia.” Se dió cuenta de un oficio del ciudadano D. Rafael del Habiendo pedido algunos Sres. la observancia del regla Riego, á que acompañaba un discurso que tenia preparado mento para que se preguntara si se admitía á discusión, re para pronunciar desde la barra del salón del Congreso; lo clamó el Sr. Isturiz, apoyándole el Sr.…</t>
  </si>
  <si>
    <t>Hacha, Lesmes Ruiz de</t>
  </si>
  <si>
    <t>Lesmes Ruiz de Hacha</t>
  </si>
  <si>
    <t>…e , manifestando que la junta nacional del Crédito pú temáticas por uno de leyes, previo su debido examen; y blico habia fijado el total de la deuda con interes en 5540 la otra de D. Lesmes Ruiz de Hacha para que se le permu millones de rs., y la comisión la fijaba en 6834.780,263 rs. ten algunos años de teología por otros de jurisprudencia. de lo que resultaba una diferencia de mas de i© millones, A la de Instrucción pública se pasó una exposición de la cual…</t>
  </si>
  <si>
    <t>Hacienda</t>
  </si>
  <si>
    <t>…íti mas, por recomendación del mérito del alcalde de Andiago, y demás que en el primer caco no habría motivo para defraudar á la que habian con ribiido á la empresa A petición del señor Hacienda pública, mas necesitada acaso que el hospital, y conde de Toreno, apoyada por el Sr. Martínez de la Ro en el segundo deberia socorrerse con prontitud á la huma sa . no obstante la oposición del Sr. Ramonet, Lindada en nidad doliente. Respecto de lo indicado p…</t>
  </si>
  <si>
    <t>Hacienda, Mar</t>
  </si>
  <si>
    <t>Mar Hacienda</t>
  </si>
  <si>
    <t>…se del mas provincias que estuviesen en igual caso. plan de enseñanza pública. Se leyeron y mandaron pasar á la comisión ordinaria de A la segunda de Legislación una exposición de D. Mar Hacienda seis indicaciones del Sr. Ramonet, dirigidas á celino' Portocarrero, manifestando que el año 14 se habia que los Sres. secretarios def Despacho presenten desde el</t>
  </si>
  <si>
    <t>Hacienda, Ministro de</t>
  </si>
  <si>
    <t>Ministro de Hacienda</t>
  </si>
  <si>
    <t>…ueblos mucho mas que á la capital de la diócesis, llegando riiniesen y publicasen, con expresión de cuotas y contri— asta vender la cama y la camisa para su pagamento. uyentes. El Sr. Ministro de Hacienda dijo: que siempre había En seguida se procedió á continuar la discusión del dic habido la costumbre de que las juntas se compusiesen de tamen de la comisión de Hacienda, dando principio por' eclesiásticos, para que ellos mismos hiciesen la distribución, las r…</t>
  </si>
  <si>
    <t>Hacienda, San de</t>
  </si>
  <si>
    <t>San de Hacienda</t>
  </si>
  <si>
    <t>…mandó-pasar aiEstrada, fue aprobado con dos adiciones; la primera del Gobierno; y otra , que se remitió á la comisión ordinaria Sr. Diaz Morales «que por ahora,” y la segunda del Sr. San de Hacienda, quejándose de la enorme carga de contribu Miguel «que mientras subsistan los oficios de los escribanos.’* ciones que pesan sobre dicha provincia. El artículo 45 se aprobó; y después de una larga discu A la comisión de Instrucción pública se mandó pasar sión…</t>
  </si>
  <si>
    <t>Hacienda, Secretario del Despacho de</t>
  </si>
  <si>
    <t>Secretario del Despacho de Hacienda</t>
  </si>
  <si>
    <t>…óhvía «náyoir ^ ía secretaría del Despacho de Hacienda; y cualquier duda-qde ó~curraHen‘Jfef¿^Í cucion, se consultará-a1 la Máyordoiiúa mayor, y esta sé p'oridrá'de acuerdo con el señor Secretario del Despacho de Hacienda, y dado est^ jpáso la ele vará á noticia de S. M. para la determinación de su’ Real agradó. Bafacio 30 de Mayo de i^o:- ; ;; “ ---“ ---- ----- ------------------------A, 1 ^ * • U . f j: '• «ÚV- • AK AI</t>
  </si>
  <si>
    <t>717</t>
  </si>
  <si>
    <t>…únicos obligados á responder de su importe. De Real orden lo co munico á V. para su inteligencia y cumplimiento. Madrid 31 de Mayo de 1820.” Circular del ministerio de Guerra. El Sr. Secretario del Despacho de Hacienda me dice con fecha del 10 del corriente lo que sigue: ,, La continuación del desestanco de tabaco en Málaga contra lo mandado por S. M. en repetidas órdenes para que no se hiciese novedad alguna en el ramo de Hacienda hasta la determinación del Congreso nacion…</t>
  </si>
  <si>
    <t>…nto. = Está rubricado. Palacio 5 de Julio de 182 ..re Despacho de Estado y de Hacienda. Al marques de las Amarillas.” ¡Estado clasificado de los inicios de conciliación celebra El Sr. Secretario del Despacho de Hacienda ha comu dos ante el Sr. D. Joséf Pió de Molina, alcalde cons nicado á los Sres. directores de la Hacienda pública la Real titucional de esta muy heroica villa , en el mes de Ju orden siguiente: nio próximo pasado. _ ,,Habiendo dado lugar á equivocaciones de t…</t>
  </si>
  <si>
    <t>…putado Pelegnn, re lativas fil fomentó de la ganadería trashumante. Hizo el Sr. Circular del ministerio de la Guerra. Yandiolá la reflexión de que e! Congreso no se hallaba con El Sr. Secretario del Despacho de Hacienda me dice las luces necesarias sobre estos expedientes del año 814, pa con fecha de 17 del corriente lo siguiente: ra entrar en discusión el dia siguiente j y expresó el Sr. pre « Al Sr. tesorero general digo con esta fecha lo que sigue: sidente que no se prese…</t>
  </si>
  <si>
    <t>Hadwen, Isaac</t>
  </si>
  <si>
    <t>Isaac Hadwen</t>
  </si>
  <si>
    <t>…eñas en la y compañía, 320. D. J. B., 40. D. Tomas Smith y com calle de las Carretas, librería de Ortega. pañía, 320. D. N. P. Bassadone, 80. Los Sres. Muir Torry y compañía, 320. D. Isaac Hadwen, 320. D. Juan Duffield y compañía, 320. D. Jacinto Narice, 80. D. Guiller mo Gray y compañía, 640. D. Juan Haffenden y compa ANUNCIOSñía, 320. D. Carlos S. Middleton, 8o. D. Joaquín Bobadilla, 160. D. Diego Terry, 80. DI Jacinto Isnardy, 320. El heroísmo del…</t>
  </si>
  <si>
    <t>Haffenden, Juan</t>
  </si>
  <si>
    <t>Juan Haffenden</t>
  </si>
  <si>
    <t>…0. D. N. P. Bassadone, 80. Los Sres. Muir Torry y compañía, 320. D. Isaac Hadwen, 320. D. Juan Duffield y compañía, 320. D. Jacinto Narice, 80. D. Guiller mo Gray y compañía, 640. D. Juan Haffenden y compa ANUNCIOSñía, 320. D. Carlos S. Middleton, 8o. D. Joaquín Bobadilla, 160. D. Diego Terry, 80. DI Jacinto Isnardy, 320. El heroísmo del amor filial. Isabel, ó los desterrados de SíD. Carlos Williams, 80. D. Juan Shau, 32c. D. Pedro beria. Historia verda…</t>
  </si>
  <si>
    <t>Hamelt</t>
  </si>
  <si>
    <t>…Príncipe, á quienpo.r orden delRev se pusieron los nombres de Carlos, FernandoLuis , Felipe, Manuel, duque de Pentievre. Ei Rey de Saxpnia ha enviado una sortija de brillantes al doctor Hamelt, .consejero de la corte de Rusia, en prueba del aprecio que ha merecido á S. M. Ja obra sobre la. enseñanza mutua „ escrita por el «íisrao doctor. Vemos con ^Jirncha complacencia que principia á estimarse en Alemania este nuevo méto do, ehcuai va cada día hac…</t>
  </si>
  <si>
    <t>Hamiiton</t>
  </si>
  <si>
    <t>…nza. Según las dltrmas noticias recibidas de aquellos eitrrgyádós, háfrfan hecho parte del vía ge sin detrimentoen la salud, y espérabáh{'^minaffe féltziméhte. El Gobierno, anadió lord Hamiiton, está dispuesto á‘¿énhiníátraT rgtfcrltt atiiifióte ¿r todos los que quieran emigrar al mismo pun-; #B; mas rio1 puede practicarlo siri examinar antea con la mayor prudencia fJ</t>
  </si>
  <si>
    <t>Hamo</t>
  </si>
  <si>
    <t>…tivas hechas para ces el obispo de Landalfa, y entre tanto permanecieron en atraer á un convenio á las partes, entró á examinar la situa pie todos los l’ares. A las 10 en punto el secretario Hamo ¡por lista á los. vocales de la Cámara, notando los nombres ción de la Cámara con respecto á S. M. «Se ha presentado, dijo, una acusación contra la Rei de los que estaban ausentes por causa legítima. Lord Erskina de Inglaterra: si estuviese probada esta acusa…</t>
  </si>
  <si>
    <t>Hano, Francisco</t>
  </si>
  <si>
    <t>Francisco Hano</t>
  </si>
  <si>
    <t>…ciales generales que en oficio de ayer manifesté á V. E. se me habían presentado procedentes de la Carraca, lo han verificado igual mente los brigadieres D. Antonio Gaspar Blanco, D. Francisco Hano y otros # oficiales. „Con esta fecha he expedido pasaporte al teniente coronel graduado Don Facundo Infantes para que pueda pasar á'esa corte á presentarse á S. M. y hacer presente varias cosas de parte del coronel D. Antonio Quiroga, pues asi lo ha solicitad…</t>
  </si>
  <si>
    <t>Hanser</t>
  </si>
  <si>
    <t>…chon, para adelantarse al Rey en su viage á «Siempre ha habido y habrá innumerables quejas sobre aquella provincia. «la calidad de Los tabacos destinados á abastecer las cajas: El capitán Hanser, del estado mayor de S. M. Dina «y no se extrañará si advertimos que es juez supremo en marquesa, ha llegado hoy aqui en clase de comisario mili «la materia el mas caprichoso de nuestros sentidos; pero estar para arreglar las redamaciones procedentes de requi…</t>
  </si>
  <si>
    <t>Haro, Miguel</t>
  </si>
  <si>
    <t>Miguel Haro</t>
  </si>
  <si>
    <t>…eemplazar la reforma que en aquel año se hizo del Memoria sobre las tropas de seguridad pública, por el egército activo, y á la cual se adiciona ahora un plan de mariscal de campo D. Miguel Haro. egército, que contesta á los 45 poblanas de los 50 que abra Solución del problema si convendría existir cuerpos fi za la 2.a,y 3.a sección. jos bajo el pie actual; y en caso que existan, cual debe ser Un escrito por el coronel y teniente de rey de Albursu co…</t>
  </si>
  <si>
    <t>…pital y gaceta del Gobierno, á fin de que enterados Otro proyecto sobre el mismo asunto, por el mariscal todos, no se alegue ignorancia en los casos que puedan ocurrir.” '4? campo D. Miguel Haro. Aunque.la disposición inserta manifiesta los desórdenes Memoria sobre la organización del arma de artillería, de! contrabando , tanto por tabaco, como por lovgéneros de por el director y junta auxiliar de la misma. ilícito comercio que generalmente circulan,…</t>
  </si>
  <si>
    <t>Haro, Miguel de</t>
  </si>
  <si>
    <t>Miguel de Haro</t>
  </si>
  <si>
    <t>…ey j ei art. 2. (véase el suplemento de ¿7 g ¡ceta del Cortes darle el lugar que le corresponde; y otra del maris donun¿.j íy de este mes). Después de una breve discu cal de campo D. Miguel de Haro i favor de los que con e'l sión, en que se opu ieron los Sres. Vargas Ponce , Vitorise decidieron en Murcia .1 proclamar la Constitución. ca y Gaseo, y manife taron los Sres. Martinez de la Rosa A ¡a e-pecial de Bellas Artes el proyecto de un monu y Romero Al…</t>
  </si>
  <si>
    <t>…. En el suplemento de la gaceta del 9 , col. 1.", lín. 23, te, contrario á la resolución del expediente del mariscal de donde dice: D. Pablo Almiar: léase P&gt;. Pablo Alabern. campo D. Miguel de Haro. otra. En la misma , col. 6.*, lín. 24 , después de la paiabri -Se leyeron dos oficios dcJ Sr. secretario de la Goberna expediente , añádase: cuyo dictamen fue afretado. MADRID EN LA IMPRENTA NACIONAf</t>
  </si>
  <si>
    <t>…s, que deberán contarse desde esta d@ Gila—Relación histórica de la defensa de Gerona , escrita publicación. Lo que se avisa al público para que si alguna por el mariscal de campo D. Miguel de Haro, con el retrato del persona tuviere noticia del paradero de dichos autos ó de inmortal Alvarez, y un plan de la ciudad &amp;c.: ídem en la li la escritura, se sirva entregarlos, ó razón de 'su existencia, brería de Orea á ió rs—Observaciones de un ciudadano espa…</t>
  </si>
  <si>
    <t>Harro'wby</t>
  </si>
  <si>
    <t>…de su reunión, y ademas se ha descubierto un deposito particular, en donde tenían muchas granadasryjanza^;; ¿a.- úJ ; V;,, Parece que un desconocido descubrió esta conspiración á, lord Harro'wby por medio ae una carta que le entregó en lar.calle, anunciándole qué aquella misma noche bebían ir varios asesinos ásu casaparadar muerte, átodos los {inluistros á quienes tenia convidados á comer. Lord líarrowby participó el contenido de esta carta á los dem…</t>
  </si>
  <si>
    <t>Harrowby</t>
  </si>
  <si>
    <t>…cucion .del proyecto de los conjurados; pero había oido decirles que recibiriá la muerte cualquiera que jes hiciese alguna traición ; y por último&lt; que se trataba de ijr á casq de lord Harrowby, ignorando el motivo. . : Se han cogido muchas armas á,,los conjurados en el sitió de su reunión, y ademas se ha descubierto un deposito particular, en donde tenían muchas granadasryjanza^;; ¿a.- úJ ; V;,, Parece que un desconocido descubrió esta conspiración…</t>
  </si>
  <si>
    <t>…ta de 162 testigos que deben examinarse en el proceso que-se ha formado sobre Ja conjuración tramada contra los ministros : en el número de aquellos se hallan lord Castlereagh, el conde Harrowby, los vizcondes Palmerston y Chetwind, el canciller del Echiquier y el honorable C. Bathurst. Ayer noche se entregaron á los presos las listas de los testigos, la de los individuos que deben componer la junta de Jurados , y la copia dél acta de acusacion. &lt;. S…</t>
  </si>
  <si>
    <t>…lativás al c-moto." Londres f de Julio. Lord Dacre propuso que se oyese á S. M- la Reina por Cámara de los Pares. Luego que se abrió ayer la se medio de su abogado. sión, presentó lord Harrowby el informe de la comisión El conde de" Liverpool advirtió que la solicitud de Iá secreta sobre los asuntos, relativos á la Reina, que leyó el Reina era intempestiva, puesto que se iba á presentar en el secretario. En él se expresa que-la comisión ha examinado…</t>
  </si>
  <si>
    <t>…os diplomáticos que ocu A este artículo responded Courrier : «Aseguramos sin la pan á los ministros detuviesen á estos por algún tiempo mas menor duda que ni el lord Liverpool, ni lord Harrowby en Troppau , lo que de ninguna manera es de presumir* ni Mr. Canning han hecho su dimisión, y que el conde de No repetiremos lo que los papeles públicos y los noti Spencer no ha sido llamado por el Rey. En suma, es abso cieros de profesión hacen circular acer…</t>
  </si>
  <si>
    <t>Harroxvby</t>
  </si>
  <si>
    <t>…ra semejantes casos. El y se lo ha asegurado asi al Rey, según dicen , en la au noble lord será bueno a la cabeza de su regimiento; pero diencia que obtuvo de S. M. Sabemos que el lord Harroxvby por el honor y por los intereses del piáis pudieran fiarse á y el lord Liverpiool pencaban hacer su dimisión mucho an mejores manos los negocios diplomáticos para que inspira tes que se tratase del proceso de la Reina; piero lejos de sen al público mayor conf…</t>
  </si>
  <si>
    <t>Hasta</t>
  </si>
  <si>
    <t>Gaceta de Madrid n.º 81 (extraordinaria)</t>
  </si>
  <si>
    <t>…ir el órden. Dios guardo á V, E. muchól áñps.^Zaragbxá, t $ de'Mayo de 1820. = Excmo. Sr¿ =2 Luis Veyan. =sExcmo. Sr.. Secretariodel Despachó de la Gobernación de la Fenínsula. P. D. Hasta ahora sé han detenido tranca individuos de los que se hallaban en la facción. =¿ Veyan. ^ r f J S. M. en vista de la. buena conducta de las Autoridades, pueblo y tropa j haraandado sé les manifieste su satisfacción , asi como ha’ dictado las más enérgicas pro…</t>
  </si>
  <si>
    <t>Hastings</t>
  </si>
  <si>
    <t>…utio largamente, el proyecto ne ha abolido la censura en Bombíty, á consecuencia de las pre en ado por el ministro de Hacienda, haciendo varios sabias disposiciones tomadas por el lord Hastings ; pero aho isres. d putados muchas reflexiones prudentes sobre esta ma ra se dice que la junta de los directores ha enviajo una or teria , dirigidas á su buen arreglo, y á los medios de encon den perentoria paTa que se restituya la imprenta .1 su an-trar en l…</t>
  </si>
  <si>
    <t>Hawrood</t>
  </si>
  <si>
    <t>…en Inglaterra como en los demas estados, y que ha fijo, decidido é inmutable. ría temblar á los déspotas y á sus adictos. ¿Cual h3 sido el giro que ha seguido el partido de la El lord Hawrood desechó el bilí, porque le conside oposición inglesa en e.i asunto de la famosa causa de la Rei raba como una medida impolítica ; y el lord Donoughmore na? ¿Se ha unido acaso á esos montones de hombres que votó por él, porque las mismas declaraciones á favor…</t>
  </si>
  <si>
    <t>Hblland</t>
  </si>
  <si>
    <t>59</t>
  </si>
  <si>
    <t>…astante resistencia de parte de algunos individuos, que han protestado contra algunas resoluciones; Una ckt ellas esda-exclusión.desvarías modificacio nes d adiciones que propúsan lord Hblland,; respectivas á la ley /sobre los..li belos sediciosos: la primera adición, .tenia por objeto limitar la aplicación de las penas de la ley á los libelos de incontestable malignidad, y señalar oón | toda exactitud las cualidades del crimen, añadiendo á las pal…</t>
  </si>
  <si>
    <t>He</t>
  </si>
  <si>
    <t>…e afecto con que soyas Señor mi Hermano == De V. M. buen Hermano =:Guiller|no= Haya 17 de Abril de 1820.’* ^ Contestación ¿¿¡Directorio fedetativo de la Suiza al caballeo Viergol, ministro He España. „E1 Directorio federativo ha comunicado sin pérdida de tiempo á los Can tones de la Confederación Helvética la nota que con fecha de 29 de Marzo íe pasó el caballero Viergol, ministro residente de S. M. Católica, en orden á las mudanzas que acaban de Verific…</t>
  </si>
  <si>
    <t>…sugetos: el teniente general de Borstell para; el primer cuerpode egéfcito^elPjríncipe’Reai para él segun do; el general de infantería: conde de Tauenzieh rpani'el. tfercero;; el general He infantería conde Kleist de Nollendorf para él cuarto ;’el teniente general de R ceder para el quinto; el teniente, general conde de Zietheni para) el; sexto, y eltenientegeneral barón de Thiélman para* el? ocjavoi. : ; Dé'pocos diás- á esta parte se habla de…</t>
  </si>
  <si>
    <t>Heideck, Juan Josef</t>
  </si>
  <si>
    <t>Juan Josef Heideck</t>
  </si>
  <si>
    <t>…por la ciudad- Los opositores dirigirán sus memoriales, al ayuntamiento consti tucional de BurgosLa Religión de Jesucristo defendida, y la justicia que ella ensena vindicada: por D. Juan Josef Heideck, profesor de lenguas, orientales, autor de varias obras, á sa-} ber la titulada Defensa de la Religión cristiana, impresa en 1792 » y 1¿ nombrada. La fe triunfante en i8i5_yotras. Publícase por suscripción con las. licencias: del Ordinario á 8 rs,. por cada e…</t>
  </si>
  <si>
    <t>Heíedia, Narciso de</t>
  </si>
  <si>
    <t>Narciso de Heíedia</t>
  </si>
  <si>
    <t>…rra ; y para la de gobernadores al teniente general-de egército Don Manuel Zappino, al ministro togado, también cesante como esté y los dos anteriores de dicho Consejo extinguido, D. Narciso de Heíedia y ai intenden te de egército D; Manuel Antonio de Echevarría; ademas del contador, te sorero y secretarlo, cuyas funciones desempeñará por ahora el oficial de la secretaría de dicho piadoso establecimiento D, Bartolomé Lozano, respecto no poder verificarlo el…</t>
  </si>
  <si>
    <t>Hemos, Ru</t>
  </si>
  <si>
    <t>Ru Hemos</t>
  </si>
  <si>
    <t>…sueldo, y vivían en las provincias austríacas de Italia. En el departamento de la cancillería respectivo ál Badajo: i." de Setiembre. terriiorio de Milán reina mucha actividad. El príncipe Ru Hemos visto la gaceta de. Lisboa del :o de Agosto , en fo sigue presentándose en la corte con el título de embaja la que se inserta una proclama á lo; portugueses, anuncian dor de S. M. el Rey de Nápoles. do que el dia 24 se habían quitado las autoridades en ia ciu…</t>
  </si>
  <si>
    <t>Henaréjo, Josef Fernandez</t>
  </si>
  <si>
    <t>Josef Fernandez Henaréjo</t>
  </si>
  <si>
    <t>…uvieron la honra de felicitar á S. M. por su augusto enlace , á nombre de la ciudad y ayuntamiento de Murcia, el Exc edentísimo Sr. duque de S. Fernando, el marques de Espinardo y D. Josef Fernandez Henaréjo; diputado efe los reinos; habiendo hecho presente el pri mero en un elegante discurso la suma satisfacción que había cabido á dicha ciudad por tan fausto acontecimiento. S. M. contestó con su afabilidad característica, manifestando el grande aprecio que hacia…</t>
  </si>
  <si>
    <t>Henríque</t>
  </si>
  <si>
    <t>…istraen hombres que podrian dedicarse á las que recaudó el reino, ó por asientos parciales; de aquí es el artes útiles que tanto necesitamos , refluirían en aumento dicho del R.ey D. Henríque m (llamado vulgarmente-el En dej tesoro público, en disminución de la cuota contribuible, fermo ): deseo saber lo que tengo para sujetar mi pasadía. y .en propagar la aplicación á objetos de común utilidad. Este Monarca en los 13 años que puede decirse reinó…</t>
  </si>
  <si>
    <t>Henriquez, Amero</t>
  </si>
  <si>
    <t>Amero Henriquez</t>
  </si>
  <si>
    <t>…otra de la diputación provin ca.=El marques de Borba.=.F.I conde de Peniche.= El conde cial de Jaén , acompañando testimonio de lo actuado por de Feira.s: Antonio Gomes Ribeiro.” D. Amero Henriquez, gobernador de Marios, en los pro cedimientos con:ra Gerónimo Tellez. NOTICIAS DEL REINO. El Sr. Palarea pidió se le concediese licencia, é igual mente á otros Sre*. diputados q1 e habían sido electores del Alberca de las Torres (reino de Murcia ) 7 de Setiem…</t>
  </si>
  <si>
    <t>Henriquez, Custodio</t>
  </si>
  <si>
    <t>Custodio Henriquez</t>
  </si>
  <si>
    <t>…tasada en 73,178 rs. Quien qui siere hacer postura á ella acuda en el término de 30 dias, contados desde 24 det corriente, al referido juzgado y pscribaní* principal del cargo de D. Custodio Henriquez, calle del Príncipe, que se admitirá siendo arreglada. Por muerte del alférez del regimiento de caballería del Príncipe D. Damian Ro dríguez se han formado autos de inventario y tasación de sus bienes por el juzgado de la capitanía general &lt;$g Castilla la Nue…</t>
  </si>
  <si>
    <t>…las diez de la mañana en la sala de juntas; del ; banco nacional ’dc S/Carlos, presentando antes sus respectivos poderes en la escribanía principal de dicho juzgado, del cargo de D. Custodio Henriquez; apercibidos que á los que hq comparezcan les parará el perjuicio que haya lugar en justicia. Por el juzgado de primera instancia del Sr. D. Manuel Fernandez Gamboa, y escribanía del numero de D. Bernardo Díaz de Antoñaria, se cita, llama y emplaza a la Sra.…</t>
  </si>
  <si>
    <t>Henriquez, Plácido</t>
  </si>
  <si>
    <t>Plácido Henriquez</t>
  </si>
  <si>
    <t>…o la causa seguida en la ciudad de valencia, y. Se aprobó el dictamen de la comisión de Guerra sobre sentencia dada por el consejo de guerra de oficiales generales la solicitud de D. Plácido Henriquez, y demas guardias que de la misma en 16 de Octubre-de r816 contra el teniente salieron de esta corte á reunirse con el egército de la Isla, coronel del regimiento de Chinchilla D. Joaquin Cortés, en que opinaba , para que su suerte se fije de una vez, que acu…</t>
  </si>
  <si>
    <t>Her</t>
  </si>
  <si>
    <t>seían el arte de escribir y leer; pues habiendo el Sr. Her nos/escribanos de comisiones ó de fos extinguidos juzgados nández pedido al público un nombre , que le dieron , lo fi privativos, y también á ¡os receptores y escribanos de retía guró con el dedo en el aire , y fue pronunciado con pres de las audiencias , sie…</t>
  </si>
  <si>
    <t>Her, Rafael</t>
  </si>
  <si>
    <t>Rafael Her</t>
  </si>
  <si>
    <t>…tantes á dotes de las referidas huérfanas. De los 4® rs. en cédulas de la caja de Consolidación, los 3400 rs. corres ponden i los pobres presos de la carcel de villa por legado de D. Rafael Her nández, cura que fúe de la iglesia parroquial de S. Sebastian "en esta ,corte, y los 6co. rs. .resrantes á Propios y Sisas. Madrid 5 de Mayo de 1820wsssÉl contador de intervención Pedro Monfort y Viergo!.=V.° S.°=X. El marques de Montea legre, conde de Oñate.…</t>
  </si>
  <si>
    <t>Her-, Manuel Riva</t>
  </si>
  <si>
    <t>Manuel Riva Her-</t>
  </si>
  <si>
    <t>…Vizcaya» y á D. Josef Pintón y Lorenzana de la de Za mora. Asimismo ha venido S. M.ven nombrar gefes políticos interinos al bri gadier D. Josef Marrón de la provincia de Burgos; á D. Manuel Riva Her-? rera de la de Alava; ai intendente D. Josef Blanco González de la de Aragón; á D. Josef Somoza de la de Avila; al brigadier D. Josef del Castellar de la de Cataluña; á D. Pedro Lainez de la de Córdoba; al brigadier D. Ra món Losada de la de Galicia; á D. Joa…</t>
  </si>
  <si>
    <t>Herboso, Josef Ortiz de</t>
  </si>
  <si>
    <t>Josef Ortiz de Herboso</t>
  </si>
  <si>
    <t>…bítero D; Ramón ■ fbañez, vicario de lá parroquial de S. Saturnino en' Pamploníj cuyo sugeto está encargado de avisar á dicha señora: La junta de acreedores á la testamentaría de D. Josef Ortiz de Herboso, anuncia da en el diario y gaceta de 24 y 25 del corriente, se traslada al dia 20 de Febrero próximo, á las nueve de su mañana, en la posada del Sr. D. Andrés Oller, del Consejo de S. M., alcalde de Casa y Corte. ■ ... Juan.de Salaverri, natural de Bayona, y…</t>
  </si>
  <si>
    <t>…z y citada escribanía dentro del citado término, que se admitirán las que se hicieren siendo arregladas. ... Para la segunda junta de acreedores áios bienes de la testamentaría dé D. Josef Ortiz de Herboso se ha señalado el martes 4 de Abril próximo, á las nueVe de ■ sií mañana, en el juzgado de primera instancia del Sr. D. Julián de Sojo, que le, tiene en el patio y archivo de los escribanos de provincia, lo que se hace saber álosinteJ. resados para que concur…</t>
  </si>
  <si>
    <t>Heredia, Manuel Agustín de</t>
  </si>
  <si>
    <t>Manuel Agustín de Heredia</t>
  </si>
  <si>
    <t>…es para deliberar con acierto sobre un punto tan intere A la comisión de Comercio se pasó el expediente sobre sante, presentaron las dos proposiciones siguientes: el privilegio de D. Manuel Agustín de Heredia, del comer 1. a nQue las Cortes se sirvan excitar al Gobierno para cio de Málaga, sobre exportación de géneros en buques ex que circule el expresado proyecto á los cuerpos de! egércitrangeros para la América, y retorno de frutos americanos to, convidando á to…</t>
  </si>
  <si>
    <t>Hermosa, Gaspar</t>
  </si>
  <si>
    <t>Gaspar Hermosa</t>
  </si>
  <si>
    <t>…a rque se sig e contra los guardias á iu§tanrio-idad del publico leyó un impreso del coronel fiscal de cíh dé! asesor del cuerpo ; é iuualmente se le permiti.val se atine!la causa D. Gaspar Hermosa, en que manifestaba que ñor Lázaro la que solicitaba pata acercar:e al Gobierno á el sumario se acerca a su termino ,*-y no está muy lejos el tratar negocios de su prenuncia. . , C}qmento;de-qí¿e elevándose á plenario,: se pronuncie la^en- : . A la comisión o…</t>
  </si>
  <si>
    <t>Hermosilla, Benito</t>
  </si>
  <si>
    <t>Benito Hermosilla</t>
  </si>
  <si>
    <t>…ervido nombrar para presidente del tribunal supremo de Justicia ai consejero de Estado honorario D. Antonio Cano Manuel; y para ministros del mismo tribunal á D. Francisco Nogués, D. Benito Hermosilla, D. Francisco Xavier Caro, D. Francisco Alfonso de Tuero, D, Josef Calatrava, D. Pedro Silves, D. Antonio V ilíaurrutia, D. Ramón Giraldo y Don</t>
  </si>
  <si>
    <t>Hernández, Andrés</t>
  </si>
  <si>
    <t>Andrés Hernández</t>
  </si>
  <si>
    <t>99 "Várgas 18 de Uñero. El 5 y 6 del pasado se celebraron en . obsequio de los dias de la Reina nuestra Señora exámenes públicos, por el profesor D. Andrés Hernández en las salas de ayuntamiento, preparadas al intento; y á presencia de un numeroso concurso cié todas clases fueron examinados varios alumnos en leer, escribir, calografía , aritmética, doctrina cristiana, gramática y ortografía castellana, respondiendo con ta…</t>
  </si>
  <si>
    <t>…r á S. A. R. Af'jnsieurt desde donde se fueron jun D. Ignacio Campo y Hervás ,• can ínigo doctoral de Jaca, tos los dos embajadores á casa del primero. sobre diezmos; las ideas de D. Andrés Hernández sobre El encargado de negocios del reino de los Países-Bajos c! modo de diezmar, y tres exposiciones de las diputaciones cerca de la Puerta Otomana ha comunicado á su Gobierno provinciales de la Mancha, Zamora y Murcia sobre aboli haber conseguido entrada lib…</t>
  </si>
  <si>
    <t>Hernández, Antonio</t>
  </si>
  <si>
    <t>Antonio Hernández</t>
  </si>
  <si>
    <t>…clusiva de las Cortes, como era la habili gosa, D. Antonio Lacerda , D. Saturnino Figueroa, D. Ma tación del curso, y pidió que se accediese á esto, y se hi riano García Cáceres , D. Antonio Hernández y D. Pas ciese una recomendación al Gobierno, dando ademas gra cual González, el 1.0 como gobernador, el 2" como sar cias á los individuos de que se trataba. , gento mayor, y los restantes como vocales de la junta que Continuaron la discusión los Sres. Gutiérrez de Ac…</t>
  </si>
  <si>
    <t>Hernández, Francisco</t>
  </si>
  <si>
    <t>Francisco Hernández</t>
  </si>
  <si>
    <t>…. I-Ienrique Lefleer, comandante de aquel dicción, en 1950 rs. . resguardo; D. Fernando Puerta , D. Francisco García Cor Una casa en la Magdalena y Callizo del río de media radas, D. Francisco Hernández y D. Josef Xinienez , de villa , en la citada ciudad , en i 3.3.4, rs-..- , , - . pendientes; D. Josef Pavar, teniente coronel retirado, dis Otra pieza en el tablar de en-medio , de 3 robos , ju perso; D. Felipe S. Alberto, capitán idem; D. Manuel risdicción de la misma ciudad ,…</t>
  </si>
  <si>
    <t>Hernández, Juan Antonio</t>
  </si>
  <si>
    <t>Juan Antonio Hernández</t>
  </si>
  <si>
    <t>…te avisa; para que los que se crean con derecho al indicado nombramiento lo dediizc&amp;tl con justi ficación en el término preciso de 30 días, contados desde la publicación, an te el Sr. D. Juan Antonio Hernández ,, apoderado geqeral de la mencionad;* señora , que vive en la calle ancha de Ma'jaderitos , casa.núm.. 7 , "cuarto .prin cipal; en la inteligencia que pasado que sea se procederá sin otro a,víso á eieo^ tuar el nombramiento en la persona que entre los que se…</t>
  </si>
  <si>
    <t>Hernández, Tiburcio</t>
  </si>
  <si>
    <t>Tiburcio Hernández</t>
  </si>
  <si>
    <t>…y los hijos, los po miento , cuya educación de año y medio á esta parte cor bres y los ricos, los esposos, los militares, los magistrados &amp;c.; re á cargo del director del colegio D. Tiburcio Hernández, y 2.' demostrar que ni hay ni es posible que haya felicidad sin y del encargado de promover los asuntos del colegio Don virtud. Se vende en un tomo en 8.° en la librería de Brun, Federico Moretti. y en las principales ciudades del reino. Elementos de moral,…</t>
  </si>
  <si>
    <t>…ir á combatir por su libertad ; pues desde que reinaba discípulos, esmero y aplicación desús maestros. Ensegui Cristóbal estas tropas vivían en un estado de esclavitud, que da el Sr. D. Tiburcio Hernández, auditor de guerra hono á nada es comparable. Apenas supo el Rey esta insurrec rario de los egércitos nacionales, maestro director, leyó ción, envió un expreso desde Sans-Souri (en donde estaba un breve discurso análogo á la enseñanza , y que desenro bastante…</t>
  </si>
  <si>
    <t>Herranz, Bonifació-dé Pascual</t>
  </si>
  <si>
    <t>Bonifació-dé Pascual Herranz</t>
  </si>
  <si>
    <t>…de una nueva Constitución. La gaceta de la corte trigo; y los aspirantes á ella dirigirán sus solicitudes al presbí del dia 11 publicaba en Viena, en capítulo de Klagenfurth, tero D. Bonifació-dé Pascual Herranz, en la parroquia de S. Se haberse vuelto á Ñapóles el embajador duque de Gallo. La ga bastian de esta córte. : ceta de Francia habla de una.conspiración que el dia 5 ha Se halla vacante la escuela de primeras letras de.la villa de bian intentado enCivitavecch…</t>
  </si>
  <si>
    <t>Herrasti, Andrés Pérez de</t>
  </si>
  <si>
    <t>Andrés Pérez de Herrasti</t>
  </si>
  <si>
    <t>…ael del Riego. Reina; los ataques que se repiten diariamente contra el So Barcelona 8 ¡de Diciembre. berano, contra las costumbres, contra la religión, y que I a viuda del Excino. Sr. D. Andrés Pérez de Herrasti no tienen mas objeto que acarrear un trastorno, del cual se ha dirigido la siguiente carta al ayuntamiento de esta ciudad: habla sin.el menor rebozo, han despenado la oarte mas sa «Desde que falleció el defensor de Ciudad-Rodrigo , mi na de la nación, que se…</t>
  </si>
  <si>
    <t>Herrera, Antonio de</t>
  </si>
  <si>
    <t>Antonio de Herrera</t>
  </si>
  <si>
    <t>…strucción pública en España, y proyecto de un plan para su reforma, por D. Manuel Josef Narganes, un tomo en 8. , á 4 rs. en rústica.—-Discur&amp;ps morales, políticos é históricos de D. Antonio de Herrera, cro nista del Rey Felipe 11. Ademas, de la importante doctrina y noticias exquisitas que contiene esta obra es e! modelo mas puro de lenguage castellano: dos tomos en 8.°, á 12 rs. en rústica. Se hallarán en la librería de Cuesta, calle de Correos, frenteá l…</t>
  </si>
  <si>
    <t>Herrera, Bernardo Perez de</t>
  </si>
  <si>
    <t>Bernardo Perez de Herrera</t>
  </si>
  <si>
    <t>…_— - - •• ■"■ - ■■ - -■’« '• ^ - • -■ 1 L&gt; Por sentencia de la chanciHería de Valladolid de iz de Mayo de 1807 está re* servada el derecho 4 los hijos) nietos y biznietos del Lie. D. Bernardo Perez de Herrera, por elique pueda® tener al crédito de 47,977 rs.:y: 3 » mrs., correspondien-i te á 'Doña Eeatnzpreile«f contra d estado,del marquesado déhronmta, y ¿ • los té~ ditos vencidos;jy msndadosypagar por ta senteacia ¿cuya.cantidad,i'iinidaálla ante* cedente-, ascj…</t>
  </si>
  <si>
    <t>Herrera, Camus y</t>
  </si>
  <si>
    <t>Camus y Herrera</t>
  </si>
  <si>
    <t>…íscu.ido ligencia del art. i.°, capítulo 4.0 del decreto de p de Octu hasta que hablen cuatro por lo menos. bre de T&amp;12, y por el que creía la comisión que dicho al Otras &lt;eis del Sr. Camus y Herrera, relativas á misio calde debia limitar su jurisdicción al término propio de nes de Filipinas, y á la instrucción que hayan de tener los la villa ; y proponía á las Cortes que se mandara pasar religiosos qué pasen d aquellas islas á propagar la religión. aquel…</t>
  </si>
  <si>
    <t>…érminos: «Que la comisión Eclesiástica en vista de los proveer de religiosos aquellas misiones; y seis proposiciones concordatos celebrados con la Silla apostólica, y demas do del Sr. Camus y Herrera, leídas por segunda vez, relativas cumentos y noticias que se crean convenientes, proponga á al mismo colegio, y á que la instrucción que se dé en él á las Cortes el medio ó medida de evitar ó impedir la ex los religiosos destinados á misioneros, sea la mas a…</t>
  </si>
  <si>
    <t>…contra la ITALIA. resolución de que los eclesiásticos esten obligados á compa recer , aunque sea por delitos atroces, ante Tos juzgados or Ndpoles 8 de Agosto. dinarios; y el del Sr. Camus y Herrera, contrarío al cita Por varios decretos expedidos por S. M. se han tomado do artículo i.1’,-,excepto en los casos criminales. diferentes disposiciones, y hecho varios nombramientos; á .Sa mando pasar á la comisión de Comercio una repre saber: quedan nombrados…</t>
  </si>
  <si>
    <t>Herrera, Manuel Díaz</t>
  </si>
  <si>
    <t>Manuel Díaz Herrera</t>
  </si>
  <si>
    <t>…do á bien conferir interinamente el gobierno de la plaza de S. Sebastian al brigadier í). Fernando Miyares; mandando que hasta la llegada de este gefe á su destino lo desempeñe el brigadier D. Manuel Díaz Herrera,. teniente de Rey; de la misma.; ¡ Continúan las noticias délb oc{trrÍdoen Jas provincias con motivo del res tablecimiento del sistema constitucional. ■, ... . • v- ‘ ’SANTANDER. *' ' ' ' C *. ■ • * ... . .Con fecha-i-7~,de este mes escribe , el comandante mi…</t>
  </si>
  <si>
    <t>Herrera, Manuel Díaz de</t>
  </si>
  <si>
    <t>Manuel Díaz de Herrera</t>
  </si>
  <si>
    <t>…é Abril; de 1820.” v ! ;'v" El Rey se ha servido conferir el gobierno militar de; la plaza de CiudadRodrig(í?al briaadíer D Jdsef Martínez San Martinr^do-k pUza^de S.^Sebastían al brigadier D. Manuel Díaz de Herrera* y el.de la plaza de Madrid áí mariscal de campo D. JVl&amp;nuel de Velasco. ■ / : i: .. •,, • •• _ . ;^.~v - ----------------------------------- —s ---Por providencia del ;Sr. t&gt;. Joscf Martínez Moscoso i juez dtprimera mstañeia</t>
  </si>
  <si>
    <t>Herrera, Pedro de</t>
  </si>
  <si>
    <t>Pedro de Herrera</t>
  </si>
  <si>
    <t>…na. clamó el Sr. Martínez de la Rosa la lectura del decreto de A la comisión de Guerra se mandó pasar una memoria' las Corres anteriores, con objeto de evitar que se distrajera de D. Pedro de Herrera sobre puntos concernientes á la la atención del Congreso; y' el Sr. Vitorica observó que milicia, presentada por el Sr. Priego. para no dar lugar A que los ciudadanos crey'esen que se les Al expediente de vinculaciones se mand i unir un pro negaba atender A s…</t>
  </si>
  <si>
    <t>Herreros, García</t>
  </si>
  <si>
    <t>García Herreros</t>
  </si>
  <si>
    <t>…s motivos para tranquilizarse. Los que componen el ralizados por las traba- de la Constitución;y habiendo con ministerio no han mirado ia proposición del Sr. Solanot co testado el Sr. García Herreros que ninguno , continuó' di mo una' verdadera residencia , sino como hija del zelo que ciendo que no veia motivos para suspender las forrnalidatamo le ilustra, y tanto honor le hace. Que los individuos 'des de aquella ley , y opinó que ni podia ni debia admiti…</t>
  </si>
  <si>
    <t>…dejar de sesiones , que formarán para siempre el verdadero vinculo de existir mañana, y pueden dejar de existir hoy. Union entre los dos poderes, que serán el áncora de la espe El Sr. García Herreros expresó que se acababa de hacer ranza de la Nación, se habrían convertido en residencia la acusación mas criminal al Gobierno; y pidió que confor terrible'de cualquiera que hubiera sido osado á traspasar las me al reglamento se formaran los cargos para respon…</t>
  </si>
  <si>
    <t>Herreros, Manuel García</t>
  </si>
  <si>
    <t>Manuel García Herreros</t>
  </si>
  <si>
    <t>…á tomar esta resolución. Tendreíslo entendi do, y lo comunicareis á quienes corresponda para su cumplimiento, = Rubri cado de la Real mano. =En Palacio á 15 de Mayo dé 1820. =: A D. Manuel García Herreros.” !,w ■ Circulares del ministerio de Hacienda. 1. a Para dar á la tercera parte pensionable de cada una de las mitras de la península e islas adyacentes el destino que sea rhas conforme á su naturale-. za, proponiendo á las próximas Cortes los medios de evita…</t>
  </si>
  <si>
    <t>…mismas prevenciones que en é\ se contienen. Lo tendréis entendido, y comunicareis las órdenes convenientes á su cumplimiento. = Está rubricado.— Palacio Á 2% de Mayo de 1820.,= A D. Manuel García Herreros.** Circulares del ministerio de Hacienda. 1 .a „ Deseando el Rey establecer de un modo seguro la confianza y la unión de ios pueblos &lt;con los empleados de la Hacienda pública,, haciendo cesar el desalecto con que han «olido mirarlos, al * paso que se prepare…</t>
  </si>
  <si>
    <t>661</t>
  </si>
  <si>
    <t>…en tras han permanecido en el egercicio de sus ministerios. Téndreíslo entendido, y dispondréis lo conveniente á su cumplimiento.= Está rubricado^=Palacio 15 de Mayo de 1820. =. A D. Manuel García Herreros.” ,' c., 2.0 ,,Por mi Real decreto de 14 de este mes tuve á bien arreglar ía Se cretaría de Estado y del Despacho* universal de Gracia y Justicia de vuestro* cargo, según la planta aprobada por las Cortes, declarando en clase de ce santes con goce de todo el…</t>
  </si>
  <si>
    <t>…has ve1 tajas í las artes, á la agricultura y al comercio. Tendreislo entendido, y dispondréis lo conveniente á su publicación. = Está rubricado. = Palacio 31 de Mayo de 1820. = A D. Manuel García Herreros.” Circular del ministerio? de Guerra. i.a „ La Junta de gobierno dd mónte pió militar erigida é instalada ya á consecuencia de la Real orden de 28 de Abril último, desea fijar del modo mas solido las bases necesarias para la reunión de íbndos bastantes á cubr…</t>
  </si>
  <si>
    <t>…r esta indicación: ,,que se exceptúen di circule. = Está rubricado de la Real mano. — En Palacio A chas islas de lo que se propone en el primer artículo del 19 de Julio de 1820. A D. Manuel García Herreros.” dictamen de la comisión.” El Sr. Sierra amplió su indicación, y dijo que la mayor parte del grano con que se alimentan Circulares del ministerio de Hacienda. lo adquieren de los Estados-Unidos; y que si efectivamente r.a « Enterado el Rey de que una parte m…</t>
  </si>
  <si>
    <t>…y dispondréis lo necesario á su cumplimiento.^Ru funciones de esta milicia , por lo que se citó y leyó el ar bricado de la Real mano. Palacio 15 de Agosto de 1820. ticulo 66. = A D. Manuel García Herreros.” No hubo lugar á votar , y se mandó volver á la comi sión el 55, que decía : «La pena del que turbase el servicio secretaria del coksejo de estado.:___Ciudad Real escoltando á la insubordinación , será la de ocho días de pri de (.Atajía. sión ; y en la misma…</t>
  </si>
  <si>
    <t>…ciudades de aquel reino. El general circule.rr Está rubricado de la Real mano— En Palacio á ó Lauriston salió el 31 de Agosto de París para Prest á tomar de Setiembre de 1820.= A D. Manuel García Herreros. el mando de las divisiones 12 y 15. Las cartas de Augsbur- SECRETARIA DEL CONSEJO DE ESTADO.__ Vacante. go del 29 citan otras de Viena , anunciando que el Gabinete Ultramar. Por fallecimiento de D. Francisco Cardeña austríaco recibiría al nuevo embajador de…</t>
  </si>
  <si>
    <t>…a , publique y circule.é= de lo cual se declaró no haber lugar á votar, mandando se Está rubricado de la Real mano.-= En Palacio á 4 de Oc volviese j la comisión. tubre de 1820.=A D. Manuel García Herreros. Se leyó el art. 7.0, concebido en estos términos: 7.0 «Si las máximas ó doctrinas que propagase no se di rigiesen sino contra alguna otra disposición ó principios de TRIBUNALES. los establecidos en la Constitución, sin persuadir que no se En la causa crimina…</t>
  </si>
  <si>
    <t>…olicitud de que se prorogase aquel plazo hasta le. =Está rubricado de la Real mano. =En Palacio, á 4 de último de año. Por último, se mandó pasar la indicación Octubre de 1820.= A D. Manuel García Herreros. del Sr. López á la comisión de Hacienda, juntamente coa la exposición presentada por el Sr. Allende. A la comisión de instrucción pública se pasaron dos ex posiciones de la diputación provincial y del ayuntamiento de Valladolid sobre enseñanza pública , pres…</t>
  </si>
  <si>
    <t>…de almas ó sin ella. 14. La Nación dará too du Está rubricado de la Real mano. = En Palacio á 2 5 de Oc cados de congrua á todo religioso ordenado m sacris qué tubre de i$ao. 3=A D. Manuel García Herreros." se secularice, la cual disfrutará hasta que obtenga algún be neficio ó renta eclesiástica para subsistir, r 5. El religioso ANUNCIOS. qiic quiera secularizarse se presentará por sí ó por medro de' Se halla vacante la plaza de médico titular de la villa de D…</t>
  </si>
  <si>
    <t>…asta el 12. El Parlamento continuaba sus sesiones, Está rubricado de la Real mano.=En Palacio á 10 de Octu ocupándose con el mayor esmero : en consolidar el sistema bre de i82C.=A D. Manuel García Herreros. constitucional. En las provincias se notaba cierta emulación laudable, tratando cada una de dar mayores pruebas de patriotismo, y de presentar' mayor número de soldados ANUNCIOS.para el egército. El dia 6 habian entrado las tropas del ge neral Pepé en Paterm…</t>
  </si>
  <si>
    <t>…oriosidad infatigable', su renór de vida, culé. = Está rubricado de la Real mano. = En Palacio a 25 singularmente en los últimos 20 años , la franqueza y ve de Octubre de i8ao.~ A D. Manuel García Herreros.” racidad de su trato, y .en suma el raro conjunto de prendas que le hacían tan recomendable como caballero, como mi litar y como cristiano , y tan querido en ¡a corte como Se han recibido periódicos extranjeros, cuyas noticias en el egército , harán que su m…</t>
  </si>
  <si>
    <t>Herrgen</t>
  </si>
  <si>
    <t>…ca* proceden* te de los viages de Humbolt por América, de D« Carlos de Gixnbernat por el Norte, y de'algunas excursiones por la península, y los materiales reunidos por el difunto profesor Herrgen, cuando en Octubre de 1806 se le encargo organizase la enseñanza de este rumo, el que no llegó á explicar por las ocur rencias políticas qne sobrevinieron después. Su apreciable tratado sobre las ro cas, que se halla venal en la imprenta Real, servirá de text…</t>
  </si>
  <si>
    <t>Hervás, Ignacio Campo y</t>
  </si>
  <si>
    <t>Ignacio Campo y Hervás</t>
  </si>
  <si>
    <t>…ncesa. tró el embajador de España en el coche del de Nápoles pa-- A las correspondientes comisiones unas reflexiones de ra visitar á S. A. R. Af'jnsieurt desde donde se fueron jun D. Ignacio Campo y Hervás ,• can ínigo doctoral de Jaca, tos los dos embajadores á casa del primero. sobre diezmos; las ideas de D. Andrés Hernández sobre El encargado de negocios del reino de los Países-Bajos c! modo de diezmar, y tres exposiciones de las diputaciones cerca de la Pue…</t>
  </si>
  <si>
    <t>Hi</t>
  </si>
  <si>
    <t>…eroso, y se le dirigen pueda venderle al extrangero, sin pagar derechos. fervorosas súplicas, rogándole continúe dispensándonos sus Adonde se hallan los antecedentes, una queja de D. Hi di vi no 5 favores. pólito Nuñez Montesinos, alcalde de Hcltin, contra el GeDespués de haber cumplido con estas obligaciones reli fe político de Murcia, y otra de varios vecinos de la misma giosas, sintiendo en sus almas la nobleza del hombre libre, villa con…</t>
  </si>
  <si>
    <t>Hifiojosa</t>
  </si>
  <si>
    <t>…ma comímoii indicada por el Sr. Vargas Ponce, en razón de hallarse1.ex de Legislación de imprimir, tanto su dictamen como ci vo presado en el ingreso de aquel. ■ to particular del Sr. Hifiojosa; y se levantó la sesión. Conformándose las Cortes con lo propuesto por la. co misión de Guerra, mandó pasar al Gobierno la solicitud de ARTICULO Dli OFICIO. varios soldados cumplidos del primer regimiento de Guar dias de infantería pidiendo su licencia. ■Circ…</t>
  </si>
  <si>
    <t>Hinojos, Martin de</t>
  </si>
  <si>
    <t>Martin de Hinojos</t>
  </si>
  <si>
    <t>…men y transigido............... ............. ....... 53 ^ 13^ proyecto el voto particular, que en la precitada comisión hizo Id. de matrimonios avenidos, é injurias re- ( el Si,, diputado D. Martin de Hinojos*. Está señalado para la mitidas v Condonadas.^....n...■.......«.....¿t3 discusión de esta materia en las Cortes el dia 1 1 del presente Solicitudes en que no cupo absolutamente'- més. be hallará en Madrid á 6 rs. en la librería deRanz; en conciliación , y de…</t>
  </si>
  <si>
    <t>Hinojosa</t>
  </si>
  <si>
    <t>…animidad de dichos papeles, los cuales, según dice el marques, lla que no había lugar á votar. mado ante sí reconoció Aguilera por suyos, eran de dicta Se leyó otra indicación del Sr. Hinojosa, dirigida á que men las comisiones, que el marque? de Castelar no ha teni en arencton á lo muy recargada que está la comisión de do facultad, sin la previa calificación de la junta de Censu Legislación, se nombre otra, como se ha verificado ccm la ra, para pr…</t>
  </si>
  <si>
    <t>…al juicio previo de si ha lugar á la formación de causa. misión extraordinaria de Legislación, acordada ayer á pro Se leyó por segunda vez una proposición del Sr. Villa puesta del Sr. Hinojosa, que fueron los Sres. Manescau, Be- sobre que se pida noticia de los párrocos, maestros de pri nitez, Ramos García, Rey, S. Miguel y Cosío. meras letras, y demas que hubiesen faltado al deber de ex Oyeron las Cortes con particular satisfacción el parte plicar…</t>
  </si>
  <si>
    <t>…o á la patria , y la renta que tija el yor de la que se requiere para nombrar dos diputados « Cor mismo proyecto. tes, pedia se permitiese elegir otro ademas del que tenia. Til El Sr. Hinojosa leyó su voto particular , en el que disen dictamen se Teducia á que no había motivo para la elección tía del dictamen de la comisión, dando las razones por las del nuevo diputado, ya porque lo expuesto carecía de la que.creta que en las actuales circunstancia…</t>
  </si>
  <si>
    <t>Ho-</t>
  </si>
  <si>
    <t>…cretarios de las Cortes con fecha 12 del que podían presentar testigos capaces de refutar las declara corriente me dicen lo que sigue: ciones en que se apova la defensa. Contra el doctor Ho- «Las Cortes han acordado que el Gobierno disponga que lland tenían á lady Lindrai , á lord Guilford. y podian cu los Gefes políticos de las provincias en que existiesen los brir de confuMon á Mr. Graven y á sir Williams Geli. Sin colegios mayores suprimidos r…</t>
  </si>
  <si>
    <t>Hoiland</t>
  </si>
  <si>
    <t>…sterio para trastornar el Estado? Reina le habían convencido de su conducta indecente, (óe Véase la conducta y lo* discursos del lord Grev , del lord 'continuará.) Grenville y del lord Hoiland. So puede dudarse que si -—Las noticias de la Madera de principios de Octubre anun hubiese caído el ministerio no estuviesen en primer lu cian que aquellos habitantes habían sabido con la mayor sa gar para obtenerlo; ;y sin embargo qué han hecho? Lo tisfacció…</t>
  </si>
  <si>
    <t>Holhind</t>
  </si>
  <si>
    <t>…palabra para hacer empréstitos particulares, con Lord Eríkiné habló en favor de esta petición, que tam tal que sea un español el que los pida. Todos ellos se atraen bién apoyó el lord Holhind ; pero se opuso á ella el conde de la atención general en toda clase de concurrencias , y sola Liverpool, manifestando que cuando la Cámara había seña su nombre sirve de recomendación. lado el diá 17 de Agosto para la segunda lectura del bilí, la Reina habia…</t>
  </si>
  <si>
    <t>Holland</t>
  </si>
  <si>
    <t>…s presentes. El 4 de Mayo debe la Cardara ocuparse en la lista ci vil «.y. el viérnes próximo se ocupará la de los Lores en una petidlon relativa al clero, que debe presentarle el lord Holland. j* • Lord Holland..óbseryo no obstante que no daba su voto como resultado de admiración por las providencias del último Parlamento , que según él no ha hecho daño. El noble lord COqvino en que se habión verificado mejo ras sensibles en el estado del reino; p…</t>
  </si>
  <si>
    <t>…comunicación por medio de comisarios especiales señalados á cada una de ellas. r ^RAN BRETAÑA,. . .. Londres 11 de Junio. . El público está esperando con ansia la propuesta que el lord Holland debe hacer á? la Cámara.de los-:.Pares .sobre la abolición dé la ley conocida con el nombre Acta los matrimonios, Reales. En el periódico titulado el Cor reo se publica hoy íntegra, esta .acta, y se reduce á que ningún descendiente de S. AL Jorge ii, del sexo…</t>
  </si>
  <si>
    <t>121 Lord Elleaiborough rebatió las razones de lord Holland, efecto, continuando sin novedad en su importante salud. el cual contesó que su adversario habia entendido bien el Las Cortes quedaron enteradas de un oficio del secreta sentido de los reparos que habia puesto á la formación de rio de Estado, en que participa…</t>
  </si>
  <si>
    <t>…,. que protestaba contra los procedimientos ilegales que la Cámara iba á empezar, los cuales podían comprometer la CAMARA Dr los lores.—Sesión del tS. tranquilidad pública. ' , El lord Holland declaro que sin embargo de saber que El duque de Leicesrer presentó otra petición semejante, en la actual sesión la Cámara solo trataria del negocio para firmada por el Schcritl I'arskins y varios habranres de Middque se habia reunido, no podía menos de manif…</t>
  </si>
  <si>
    <t>…LOS LORES.-------Sesión del 4. Jas Jónicas. Parece quede algún tiempo á esta parte había en estas idus un cierto espíritu de descontento, á resultas de los En esta sesión dijo el lord Holland que convendría que varios agravios de que se quejaban los habitantes. Aó que su sé concluyese en aquel mismo dia el asunto de la causa de po el general Adan, lugar-teniente de sir Tomas Mútland, la Reina, por no ser conformes á los principios comunes ue el de…</t>
  </si>
  <si>
    <t>Horario</t>
  </si>
  <si>
    <t>…didad del público, Cali, 3 20. El cónsul de Portugal D. J. H. Parral, 5 00. han establecido la enseñanza en uno de los mejores parages D. Juan B. Cook, cónsul de los griegos, 320. D. Horario de esta villa; y para arreglar horas y precios tendrán" la Sprague, 320. D. D. Duplessír, 80. Los Sres. Gibbs Casson bondad los que quieran emplearles, de dejar sus señas en la y compañía, 320. D. J. B., 40. D. Tomas Smith y com calle de las Carretas, librerí…</t>
  </si>
  <si>
    <t>Horcasitas, Dionisia de</t>
  </si>
  <si>
    <t>Dionisia de Horcasitas</t>
  </si>
  <si>
    <t>…. Conduce de registro 1.540,284'pesos fuertes; 460 sobornales de grana;. 6 cajas de yainilla; 8'ca jones de plata labrada, y 3 barras de .plata;en dos bultos. .i*, i . . ^0: ! Por Doña Dionisia de Horcasitas, viuda de D. Diego Orejón y secretario de S. M., vecinos de esta corte, se fundó un patronato Real de legos y me-b üioria de misas sobre sus mayorazgos, de que es actual poseedora Doña Ma lta,de la O Arriaz a y Mostetrtn, vecina de esta corte; y siendo su exp…</t>
  </si>
  <si>
    <t>Hoscoso</t>
  </si>
  <si>
    <t>…di ní de -que rio podía ¡verificarse de otro, modo que dando putación provincial :de Valencia por los últimos decretos las cédulas por entefp.. • expedidos por el Congreso. . .El Sr. Hoscoso,.individuo de la comisión., creyó qiie • A la comisión de Hacienda se pasó una exposición de 'la cuestión, en el punro á que habia venido á parar era muy J&gt;. Francisco Dufoj . director de ja compañía de Seguros sencilla, pues en su concepto estaba reducida A…</t>
  </si>
  <si>
    <t>Hoüand</t>
  </si>
  <si>
    <t>686</t>
  </si>
  <si>
    <t>…rpool al jsrincipio de la cama , en lt cnal dijo que espera'-a q e ningún CAMARA PE LOS LORES. -------SeSZOU del 8. lord votarla sin haber oído todos los interrogatorios, no se El lord Hoüand £e levantó, y dijo que una indisposi han atrevido á acudir .1 cu deten «a ; y el duque de Nérvea'* le ción le halda impedido tomar jarte en la diseu ion pen manifestó su indignación por haberse tratado de privarle del diente: que halda sabido después que dura…</t>
  </si>
  <si>
    <t>Huerta</t>
  </si>
  <si>
    <t>…idados , para evitar las dilapidaciones que pudieran su proposición citada. ceder, á pe&lt;ar de la justificación de los individuos que es Habiendo anunciado el Sr. secretario que el Sr. Huerta tán al frente del establecimiento, queriendo ademas la co había entregado el proyecto ofrecido en la sesión anterior, misión evitar el ingreso de dinero en la administración pú relativo á establecimientos de beneficencia , con objeto de que blica. pasa:e á la…</t>
  </si>
  <si>
    <t>…ue se vencerá en fin del actual, se Ies exi del Sr. presidente, al Sr. Morague;; para la de Poderes, en ma ¿el pago de la otra tercera parte ; y lo mismo se en lugar del mismo, al Sr. Huerta; para la de Hacienda, en tenderá con los que tengan pagadas en 10 de Enero las dos lugar del Sr. Codes, al Sr. Azaola, y para la Diplomática, terceras partes del tercio qte vencerá en fin de Diciembre en lugar del Sr. Diaz del Moral, al Sr. Clemencia. de este…</t>
  </si>
  <si>
    <t>Huidobro, Manuel Ruiz</t>
  </si>
  <si>
    <t>Manuel Ruiz Huidobro</t>
  </si>
  <si>
    <t>…rtes-aprobaron el recargo de i4©rs. que el ayun ría del Amparo Osorio para vender ciertas fincas del ma tamiento de Ciudad-Real, con consentimiento del Gobier yorazgo de su marido D. Manuel Ruiz Huidobro , con el no , había impuesto á 19 pueblos de la Mancha, y á cuén objeto de reparar otras. La comisión manifestaba que des tale sus propios, para atender á la manutención de una pués de extendido su dictamen se habia publicado la ¡ey casa - de expósitos. sobre…</t>
  </si>
  <si>
    <t>Hurtado, Manuel</t>
  </si>
  <si>
    <t>Manuel Hurtado</t>
  </si>
  <si>
    <t>…o que haya lugar. Nuevos principios de cirugía, según el plan de la Fayé, y conformes á las doc trinas modernas, escritos en francés por F.V. Legonas: traducidos al castellano por Don Manuel Hurtado, doctor en medicina y cirugía, y miembro de varias academias na cionales y extrangeras. Esta obra, á pesar de su título, es igualmente necesaria á los que.se dedican á la cirugía que á los que-se ocupan en la medicina. Se hallará en las libre rías de Calleja,…</t>
  </si>
  <si>
    <t>Hut-</t>
  </si>
  <si>
    <t>…ría á esta condición siempre que fuese necesaria para concluir amisto no llegó á su poder hasta el sábado, porque sus consejeros de Gales no pudieron verla antes de la llegada del lord Hut- samente el asunto, según manifestaba desearlo el Parlamen to; pero que era su voluntad que su nombre volviera á po chinson para tratar del asunto; y que admitiendo el Go bierno como base de la negociación el que sea reconocida nerse en la liturgia, con el fin…</t>
  </si>
  <si>
    <t>Hutchinson</t>
  </si>
  <si>
    <t>…á S. M., que la única propuesta que puede hacer es Ja que se hizo por medio de Mr. Brougham en el mes de Abrih pró ximo, y era poco mas ó menos Ja misma que insinuó en Saínt-Omer. lord Hutchinson. Que sin embargo, asegura lord Liverpool á S. M. que los mi nistros del Rey se creen obligados, á pesar de todo lo que ha pasado, á to mar en consideración cualquiera reparo que S. M. ó sus abogados tengan que poner á sus propuestas.” S. M. respondió á esta n…</t>
  </si>
  <si>
    <t>I, Francisco Javier</t>
  </si>
  <si>
    <t>Francisco Javier I</t>
  </si>
  <si>
    <t>…dres; y varios periodistas ingleses han aquel piadoso establecimiento. También ha acordado nombra? apurado todo género de sarcasmos é ironías contra la Rei vocal de dicha junta al Sr. D. Francisco Javier I.turré, ert na de Inglaterra y dicho barón, con motivo de su viage; atención á sus recomendables circunstancias.—.Casa de f.r-í pero no ha pensado siquiera en verificarlo. pósitos.-—Exístian en Octubre 4x5: se han expuesto en No Las cartas de Copenhague del 27…</t>
  </si>
  <si>
    <t>I, Josef</t>
  </si>
  <si>
    <t>Josef I</t>
  </si>
  <si>
    <t>…rgentísima ocasión , en que se os pí Je que ¡a provincia; D. Bartolomé Saiz del Prado, comisionado del seáis: porque está escrito que los labios de los sacerdotes Crédito publico; D. Josef I.opez Busrainante, administra guardan la ciencia, y que la ley se encontrará en su Loen. dor de Cruzada; D. M mee! Cisneros , D. Francisco Perez Los pueblos están persuadidos que lo que dice un sacerdo Gayo, D. Joaquín Lazada, D. Manuel de los Ríos y Sa te es l…</t>
  </si>
  <si>
    <t>I, Lorenzo Hernán</t>
  </si>
  <si>
    <t>Lorenzo Hernán I</t>
  </si>
  <si>
    <t>…va y determine todas las dudas que dictada ante D. Feliciano del Corral, escribano de su juzgado, puedan ocurrir en el asunto, formando y comunicando á se manda citar y emplazar á D. Lorenzo Hernán I.opez, últi ¡os Gefes de las provincias un plan uniforme de instruc mo tenedor de seis vales reales de 150 pesos, creación de t.° de Enero de 1808, señalados con los números 245,637, 246,375, ciones , que deberá regir en toda la comprensión del de 246,580, 273,…</t>
  </si>
  <si>
    <t>I, Narciso de</t>
  </si>
  <si>
    <t>Narciso de I</t>
  </si>
  <si>
    <t>…dividiéndose también ta juma preparatoria de Cor sión , en el que proponía se sati faciese por la Hacienda pú res en dos secciones. El 2.0 es la contestación del Gobierno blica á D. Narciso de I taro el importe de las maderas que interino de Lisboa del 28 , en el que dice hará todos sus había suministrado para !á defensa de la ciudad de S. Fer esfuerzos para corresponder al concepto y á la confianza de nando. la Junta provisional del Gobierno supremo…</t>
  </si>
  <si>
    <t>Ibabe, Pedro Josef de</t>
  </si>
  <si>
    <t>Pedro Josef de Ibabe</t>
  </si>
  <si>
    <t>…está señalado el dia 10 dé Marzo próximo, á ias 1 2 de su mañana,. en la audiencia dél Sr. D. Andrés Ollcr, del Consejo de Sé alcalde de"Casa y Corte, y escribanía de provincia de Don Pedro Josef de Ibabe, donde se admitirán las posturas que se hagan siendo arregladas. Los suscriptores á la colección de obras de Mtstriss Bennet, ó historias-de la he redera dél país' de Gales y la Niña mendiga* acudirán á recoger el tomo 9.°, y pagar el importe del 10, ó los de…</t>
  </si>
  <si>
    <t>…rs vn., propias de tiago Miguel de fíaedo, qüe se venden para pago de acreedores, acuda ál juzgado dé primera instancia del Sr D Julián dé Sojo, por la escribanía de provincia de Don Pedro Josef de Ibabe5, dentro del término de 30 dias, que cumplirán en 9 de junio ^próximo, dónde seadmitirán las que se hicieren siendo avregladas. ■ Discurso sobre el votó^fe Santiago, Ó sea demostración de la falsedad del privi legio en que se funda, é injusticiá^fie su exacci…</t>
  </si>
  <si>
    <t>…el término de 30 dias, contados desde esta publicación, comparezcan en el juzgado de dicho se Real orden comunicada por el ministerio de Hacienda ñor Moscoso, por la escribanía de D. Pedro Josef de Ibabe, poc á los directores de la Hacienda pública. sí ó por procurador conocido, con poder suficiente, á alegar de ■ ,,Habiendo dado cuenta al Rey de la consulta que ha he su derecho; apercibidos que pasado el expresado término sin ha cho esa dirección, de.resulta…</t>
  </si>
  <si>
    <t>…scri aseguraron mutuamente por valor de 2f millones de fran banía de provincia de D. Manuel López de Ribas, á pedimento cos en fincas, y que en i.° de Junio de 1820 se habia au de D. Pedro Josef de Ibabe; en su consecuencia se les da este aviso; apercibidos que pasado dicho término sin haber compamentado el número de casas aseguradas hasta el de 12,613, recido por sí ó por procurador conocido, les parará el perjuiciocuyo valor es el de 721.112,000 francos, eq…</t>
  </si>
  <si>
    <t>…exhumación, que proponia el Gobierno, contados desde esta publicación , concurran a el por por conducto del ministerio .de la Gobernación, de los res Íierentorios, a escribanía de D. Pedro Josef de Ibabe, por sí o por medio de tos del distinguido diputado D. Isidoro Antillon para tras procurador; apercibidos que pasado sin haberlo hecho, les pa ladarlos á la capilla de Sta. Eulalia. rará el perjuicio que haya lugar. El Sr. presidente levantó la sesión pública…</t>
  </si>
  <si>
    <t>…, y el Refugio en las Américas y Antillas. de dicho impreso lo entreguen en la escribanía titulada de 5.0 «Continuarán habilitados para el comercio nacional Provincia del cargó de D. Pedro Josef de Ibabe. de salida y entrada de. iodos frutos y efectos de producción del país, y de entrada de los frutos y efectos extrangeros, ANUNCIOS. mediante que vayan ya despachados de las aduanas habili .. Manifiesto á la América española, ó contestación al mani tadas, todo…</t>
  </si>
  <si>
    <t>…182c. = Josef María concede , acudan por sí, ó por medio de procurador conocido, Calatrava , presidente. = Miguel Cortés, diputado secreta al citado juzgado, por la escribanía de D. Pedro Josef de Ibabe, rio. = Antonio Díaz del Mora! , diputado secretar'o.” á deducir el derecho de que se crean asistidos;en inteligencia que Por tanto mandamos á todos 1os tribunales, justicias, de no hacerlo asi les parará el perjuico que haya lugar, sin mas gefes, gobernadore…</t>
  </si>
  <si>
    <t>…curran á exponer y alegar de Ínteres.” su derecho en el expediente-de reclamación formada en dicho Entre las obras que varios sabios franceses han regalado juzgado y escribanía de D. Pedro Josef de Ibabe, á instancia Ú la biblioteca pública de Chío se distingue la historia de de D. Eudaldo Guixer; apercibidos que pasado el expresado la república Je Venecia por el conde de Daru , Par d» término sin haberlo verificado, les parará el perjuicio que haya Francia.…</t>
  </si>
  <si>
    <t>Ibabe, Pedro Jpsef de</t>
  </si>
  <si>
    <t>Pedro Jpsef de Ibabe</t>
  </si>
  <si>
    <t>…onía en el artículo 3.®, r :: p : ■ i-J togado de primera instancia en esta corte,- refrendada del-esá ' tos Sres. ^Malrtel y Fraile propendieron 4 medidas ge encapo de .provincia D. Pedro Jpsef de Ibabe, que despacha nerosas , pidiendo el primero que sé leyera por segunda ye* la vacante por fallecimiento de D. Julián Alonso y Estrada ,- í Ja proposición-que ténra hecha sobré olvido de todo lo'páA pedimento^de„los. síndicos, del concurso eje bien.es de , la c…</t>
  </si>
  <si>
    <t>Ibahe, Pedro Josef de</t>
  </si>
  <si>
    <t>Pedro Josef de Ibahe</t>
  </si>
  <si>
    <t>…ue podrían originarse de la repe los suscriptores, los entreguen inmediatamente en la escriba tición del suceso que motivó esta causa, se le destina á nía del escribano cartulario D. Pedro Josef de Ibahe. Ma una de las casas de locos, que designará el Sr. Gefe político drid 13 de Julio de 1820. de esta provincia, á quien se oficiaría al efecto Juego que mereciese- egecucion este su auto, con encargo especial al LITERATURA. , director ó gefe de la casa designa…</t>
  </si>
  <si>
    <t>Ibañez, Andrés</t>
  </si>
  <si>
    <t>Andrés Ibañez</t>
  </si>
  <si>
    <t>…director de la Hacienda pú blica , á D. Ramón Luis Escovedo, que la servia -durante la invasión enemi ga: para la de egército y provincia de Extremadura, vacante por jubilación de D. Andrés Ibañez, á D. Pascual Genaro Rodenas, oficial de la secretaría general de la Junta central, tesorero de egército de Andalucía, intendente de Soria, Guadalajara y Salamanca, y nombrado para la de Murcia: para la de Zamora á D. Juan Perez Bueno, gefe de mesa de tesorer…</t>
  </si>
  <si>
    <t>Ibañez, Antonio Manuel de</t>
  </si>
  <si>
    <t>Antonio Manuel de Ibañez</t>
  </si>
  <si>
    <t>…ndo á los prelados Lo que' les com vincial. . pete tocante á la doctrina. A la primera de Legislación se pasó una exposición de Despees dé exponer los Sres. Priego y Cepero los in D. Antonio Manuel de Ibañez, canónigo lectora! de Cá convenientes que esto traería, no se admitió á discusión. ; diz, manifestando, haber sido privado de su destino por Tampoco se admitió otra deí Sr. Puigblanch, que decia: adicto al sistema constitucional, y pidiendo se le reponga «Pro…</t>
  </si>
  <si>
    <t>Ibañez, Clemente</t>
  </si>
  <si>
    <t>Clemente Ibañez</t>
  </si>
  <si>
    <t>…el nacimiento del sol, ú oriental. 46, 247, 51,174 y 52,178: D. Juan Morfi del número 1500: Según sus propias relaciones, los indios delawares 6 D. Manuel de Corees Díaz dél 4422: D. Clemente Ibañez de lenni lenape salieron hace muchos siglos de una región Ocerin del 6137 : Doña Josefa de Villar del 16,677 , 37,413 situada hácia el oeste para emigrar hácia el oriente: al lle y 61,894: D. Juan Perez C ineda del 17,036 : D. Jaime Vagar á las orillas del Mi…</t>
  </si>
  <si>
    <t>Ibañez, Vicente</t>
  </si>
  <si>
    <t>Vicente Ibañez</t>
  </si>
  <si>
    <t>…, intendente y corregidor de esta ciudad; él marques de Viilafranca de Ebro, I&gt;. Joaquín'Diez de Tejada , D. Pedro Car isa, D. Juan Romeo, D. Francis co Barber, D. Joaquín Gómez , D. Vicente Ibañez de*Aoiz , D. Andrés Ma? rin, el barón de Torrefiel y D. Pedro Vidal, regidores del ayuntamiento de la misma; D. Bernardo Segura y D. Pablo Treviño, diputados del común de ella, y-D¿ Agustín Conde, síndico procurador general en nombre de esta ca pital. Conclui…</t>
  </si>
  <si>
    <t>Ibarra, Francisco Fernandez de</t>
  </si>
  <si>
    <t>Francisco Fernandez de Ibarra</t>
  </si>
  <si>
    <t>…unto se conclúirá con. la lectura de L&amp; jegunda parte del discurso en otra sesión académica. Madrid 2 de Febrero. , ARTICULO DE OFICIO. &gt; En atención al mérito y circunstancias de D. Francisco Fernandez de Ibarra, secretario del ayuntamiento de esta muy heroica villa, se ha dignado S. M. riómbraríe su secretario honoraria, 1 . ;En 28 de Enero último entró en Cádiz la fragata de S. M. Santa^Sabt— na\ procedente de Veracruz, en 60 días de navegación. Conduce de registro…</t>
  </si>
  <si>
    <t>…e deberán pasar revista en los estados mayores de las vocales de la junta suprema de Caridad; y para secretario provincias, cobrar su sueldo , y ser ajustados en las tesorerías el Sr. D. Francisco Fernandez de Ibarra, que lo es del de ejército de las mismas, hasta tanto que sean sucesiva Excmo. ayuntamiento: la que deberá presenciar v autori mente reemplazados. Estos gefes usarán del uniforme de los zar el sorteo, para el que se llama por este edicto á las as cuerpos á qu…</t>
  </si>
  <si>
    <t>Ibasubalternos, Pedro Jo-ef de</t>
  </si>
  <si>
    <t>Pedro Jo-ef de Ibasubalternos</t>
  </si>
  <si>
    <t>…spondió, que sin lograr un muy heroica villa, en providencia de 12 del corriente, re ahorro para la Nación, se conseguiría perjudicar á algunos frendada del escribano de provincia D. Pedro Jo-ef de Ibasubalternos beneméritos, que serian los únicos áquienescom- be ,se haCe saber á D. Josef Guasque que dentro de tercero prendiera este artículo, teniendo todos los inquisidores otra? dia de éste anuncio cumpla con lo que tiene ofrecido en el prebendas con que acudir á su…</t>
  </si>
  <si>
    <t>Ichaso, Félix</t>
  </si>
  <si>
    <t>Félix Ichaso</t>
  </si>
  <si>
    <t>…sobre los puntos que les había cabido en suerte, demostrando y resolviendo en la pizarra las proposiciones que les ofrecía la materia de que trataban, todo por el orden siguiente: D. Félix Ichaso, subteniente graduado, y cadete del regimiento de Murcia, disertó sobre el origen, progresos y aplicaciones de las matemáticas en general; explicó analíticamente el sistema numérico de los árabes y las cuatro reglas asi numéricas como algebráicas. D. Alberto…</t>
  </si>
  <si>
    <t>tía sobre la estereométria. "D. Alberto Bosch sobre la trigonometría. D. Félix Ichaso de las secciones cónicas. En ambos dias satisfizo cada alumno, después de haber disertado, á cuan tas preguntas le hicieron los señores espectadores sobre todos los ramos de las matemáticas puras. La serenidad y despejo con que aquellos seis alumnos demostrar…</t>
  </si>
  <si>
    <t>Idem</t>
  </si>
  <si>
    <t>…sión con urgencia; y se levantó la sesión. Otro ídem de 82 píes al sitio de la casa, término idem. ARTICULO DE OFICIO. CUADALAJARA. ‘ Por el ministerio de Guerra se ha dirigido al capitán Idem idem por D. Gonzalo. general de esta provincia la Real orden siguiente : Cinco inedias de tierra blanca én Sigiienza. Los Sres.' diputados secretarlos de las Cortes con esta Cuarenta y cinco idem, 2 celemines ídem en Bújar. fecha me dicen lo que sigue: Idem i…</t>
  </si>
  <si>
    <t>…dem de D. Francisco Ortega. Se cita á los acreedores de D. Jaime Buscallá, del comercio Una hacienda de riego en Benadux. de esta corte, para Ja junta que ha de celebrarse ante el señor Idem idem de D. Rodrigo Marín de la Ala. D. Angel Fernandez de los Ríos,ministro togado, juez de pri mera instancia én esta muy heroica villa, ante el escribano de Dos bancales de tierra en idem, Vega Viator. su número D. Juan Raya, en.el dia 9 del corriente á las…</t>
  </si>
  <si>
    <t>Idiaquez, Agustin</t>
  </si>
  <si>
    <t>Agustin Idiaquez</t>
  </si>
  <si>
    <t>…reglar esta parte del nuevo sistema general de aranceles acreedores y demas que se consideren con derecho á los bienes con todo el acierto necesario. quedados por fallecimiento de D. Agustin Idiaquez, vecino 7\ «Siendo, como es, incompatible con e! régimen cons que fue de esta corte,.para que dentro de 10 días, contados des titucional , que felizmente reina, con las bases fundamentales de la publicación de este anuncio , acudan por sí, ó por medio aprobad…</t>
  </si>
  <si>
    <t>Idiaquez, Leonardo</t>
  </si>
  <si>
    <t>Leonardo Idiaquez</t>
  </si>
  <si>
    <t>…s videncias necesarias para atender al socorro de los emplea- titución en Navarra , habia omitido por un olvido involun dos de marina del departamento de Cartagena. tario al joven D. Leonardo Idiaquez , ndrural de Vitoria. A la comisión de Hdcienda se pasó una exposición de Se mandó agregar al acta el voto.del Sr. Freiré, con D. Anseln\o Rivas, ex-conse¡ero de Estado, sobre la duda trario á lo resuelto sobre aranceles. ocurrida en la tesorería general acer…</t>
  </si>
  <si>
    <t>IFernahboí</t>
  </si>
  <si>
    <t>…peridoico*. La junta, de dirección y gobierno de los hospitales General1 y Pásión dé esta corté, en. cmgcplifliiento de lo resuelto por su augusto, y benéfico protec tor riSto el Sr. D. IFernahboí vn¿, por la gracia* de. Dios y por: la Constitu ción de Ja Monarquía española:,. Rey de las España^, en» su* i&lt;eal orden , que la fue comunicada, con- fecha de y de Setiembre del año- de 18x-6aprobando el reglamento eclesiástico, que se formó-para* el clero»…</t>
  </si>
  <si>
    <t>Ig</t>
  </si>
  <si>
    <t>…rmente resuelto. tillana, Abadía y Valle de Reocin , para que se nombre á Se aprobó igualmente el dicramen cjue presentó la comi la primera cabeza de partido ; y una exporicion de D. Ig sión de Legislación acerca de la queja de D. Manuel de nacio Lázaro-obre extinción del proto-medi cato. Aróstegui y Larrazabal, vecino de S. Sebastian , contra al A la comisión de Premios unas ideas de D, Pedro Alava gunas providencias dé la chancillería de V…</t>
  </si>
  <si>
    <t>Ig, Josef</t>
  </si>
  <si>
    <t>Josef Ig</t>
  </si>
  <si>
    <t>…os de milicia na Se dio parte á las Cortes de un oficio del secretario del cional que se hallan ya formados en varios pueblos de la na Despacho de Marina, que inclina dos , uno de D. Josef Ig ción subsistirán &amp;c.” nacio de Alcalá, remitido dc-de la Havana, y otro del co El Sr. Bahamonde notó que no se decía nada de ban mandante de la Coruña , que anunciaban no íiaher novedad deras , y debe tenerlas todo cuerpo; á lo que el señor alg ma en la isla…</t>
  </si>
  <si>
    <t>Igle, Josef de</t>
  </si>
  <si>
    <t>Josef de Igle</t>
  </si>
  <si>
    <t>…ferido S. M. interinamente el gobierno militarle la plaza de Jaca al mariscal de campo D. Felipe Perena ; ehde la de Tortosa al coro nel D. Vicente Magrat; el de la de Figueras al brigadier D. Josef de Igle sias; el de la de Hostalrich al coronel D. Pedro Perena, y la comandancia militar de la provincia de Asturias al coronel D.\ Ramón de la Pola. El Rey, ejn consideración al distinguido mérito y particulares servicios que acaban de hacer á íá. nación D. Antonio…</t>
  </si>
  <si>
    <t>Iglesias, Eusebio</t>
  </si>
  <si>
    <t>Eusebio Iglesias</t>
  </si>
  <si>
    <t>…do Otra viña , plantado joven, en .el mismo campo , de 7 alcalde, constitucional; D. Luis Arrabal, D. Santos Aboin robos y 4 almuaes, término del mismo pueblo de Urzante, Coronel, D. Eusebio Iglesias, D- Pedro Espina y D. Josef en 3 91; rs. . . . Perez, regidores y miembros del ayuntamiento ; D. Joa Otra viña, también joven, en Calchetas y los Sábados,■ quín de Miguel, comandante del quinto escuadrón'de ar de 10 robos y 3 almudes, en el citado término, en…</t>
  </si>
  <si>
    <t>Igna-, Josef</t>
  </si>
  <si>
    <t>Josef Igna-</t>
  </si>
  <si>
    <t>…asta la. presente han tenido para no’ manchar sa bien adquirida reputación..!Dios guarde á¡W,-Sv muchosaños. Navio;Numaii-fi1 cia ir de Marzo de 1820. = Juan María Villavicencio.c:Sr. D. Josef Igna- , ció &lt;2ampana.” ' r • * ' . ■ ; •. . &lt; ! . . . ' ■ _ . • ’ . '• t 3i° ,,Hallándome á bordo de’ esté, navio, dónde vine en la mañana de hoy con él fin que indiqué á V. :S* anbcheyse me dá parte dé que á los botes de Jta escuadra próximos al muelle de esa plaz…</t>
  </si>
  <si>
    <t>Ignacio</t>
  </si>
  <si>
    <t>…ithia grieea del célebre Federico Jacobs. forma de los juicios y á los asuntos civiles. El Sr. Pharmacides há dedicado el primer volumen á la ju ventud anega ; el segundo al docro arzobispo Ignacio, pro ANUNCIOS. . tector de la sociedad de los lJhitomusas; el tercero á En virtud de providencia del Sr. D. Julián de Soio, minis Mr. Coray, médico , filólogo y crítico profundo, y el tro rogada honorario’de la audiencia de esta .capital* y iu.'z le cuarto á…</t>
  </si>
  <si>
    <t>…roquia de dita. Ma ría de la Recia de Pe andones, concejo de Cangas de l ineo, ro las pruebas de su supremacía europea, delineadas en pro en el princip íelo de Aitúria ., liiju de D. Ignacio y Doña .Ber sa , en verso y en pintura , no eran mas que una vana hu narda Quitos, agente de nec ocios del número de Indias, que mareda , poco digna de un competidor del sol y de un Rey falleció ah.inte-.tato c:i esta corte en 13 del corriente, para deificado en vid…</t>
  </si>
  <si>
    <t>…e Mr. Beaujour, tiene bajo su También ha fondeado aquí la corbeta de guerra correo jurisdicción 20 pueblos, á quienes echa cuantas contribu Diamante, al mando dd teniente de navio D. Ignacio ciones quiere, ademas de cobrarles el diezmo dé ’ su rema' Reguera, procedente de la JTavana en íó dias; trae la no anual. El que gobernaba este país en 1799, llamado Mus— ticia que el 17 de Octubre había entrado en aquel puérto tafá-bajá, era cuñado del Sult…</t>
  </si>
  <si>
    <t>Ignacio, Tuis</t>
  </si>
  <si>
    <t>Tuis Ignacio</t>
  </si>
  <si>
    <t>…a causa ba sufrido y y en justa*vindicación de su honor y buena fama , se ha dignado el Rey concederle honores de’ intendente de los egércitos nacionales. ' \ Por fallécimientp dé D. Tuis Ignacio de* Torres sé biálla vácante una ra ción de la sáh?a iglésia ihétró^ólifaná*de Sta*Te ., cuya renta htíual¡está regu ’? ^ r 7J‘7lada en 1900, pesos. , 7"/ ^7^. "'7 j 7 77'¡7."• Por promoción de D. Antonio'de J,eon y Acérp a la dignidad 4® chantre se halla vac…</t>
  </si>
  <si>
    <t>Ignacioque</t>
  </si>
  <si>
    <t>…cia ante noshabia sido grata á la' Cortes la expresada representación, y va y pende entre paites, de la una el oficio fiscil de e'ta audiencia, y de la otra el curador ad ¡ítem de D. Ignacioque se contes nre asi al autor. Se pasó á la corni ion de Gobierno interior de las Cortes Sánchez Fernandez, de estado soltero, natural de esta cor una repre'cnracíon de los editores del periódico titulado la te, y edad de 20 años, preso en ta cárcel de villa, y…</t>
  </si>
  <si>
    <t>Iíolland</t>
  </si>
  <si>
    <t>…e votos. de disminuirse; cuyo egemplo no dejará de ser imitado por Durante la discusión reiteraron los condes de Grey y otros pueblos, que tarde ó temprano se irán acomodando á el lord Iíolland las observaciones que habían hecho en Jas los Gobiernos representativos, según lo exige la cultura del sesiones anteriores, á saber, que seria conforme á los prin siglp. cipios de equidad y justicia que la Cámara mandase en Nuestro Soberano acaba de dar órden…</t>
  </si>
  <si>
    <t>Íirar’urínconfianzapublicó, Ca-</t>
  </si>
  <si>
    <t>Ca- Íirar’urínconfianzapublicó</t>
  </si>
  <si>
    <t>…para firmar ia representación expresa por Mr. Ré, y las pruebas que él mismo cita, deben insse á la pasar comisión. misma mandó da : Se el de decreto proyecto leyó firmado por el Sr. Ca- Íirar’urínconfianzapublicó elenautorel medicamento.una relación Ende suunadescubrimiento.carta impresa eri Iatrava, que reclamó el Sr. Ramos Arispe al principio de En la sociedad de ciencias naturales del cantón de Vaud, esta sesión ; y se mandó hacer mención de el en el acra. en la Su…</t>
  </si>
  <si>
    <t>Ilarrotvby</t>
  </si>
  <si>
    <t>…amento naval y resolución de siguiente á sus resultados generales. reforzar la escuadra del Mediterráneo; y hablan de la reti rada del ministerio del lord Liverpool, Mr. Canning y lord Ilarrotvby, y que el lord Wellington empuñaría la espa ANUNCIOS. Trisagro seráfico para venerar la muy augusta y santa Trida del poder, juntamente con el lord Castlereagh, quien nidad , y ofrecimiento devotísimo de la pasión de Cristo por lashabla triunfado de sus coleg…</t>
  </si>
  <si>
    <t>Ilenriquez, Plácido</t>
  </si>
  <si>
    <t>Plácido Ilenriquez</t>
  </si>
  <si>
    <t>…ros de la penín aias después de haberse publicado. sula , se mandó pasar á las comisiones de Comercio y Agri Se mandó pasar á la comisión de Guerra una représen cultura. tacíon de D. Plácido Ilenriquez y otros compañeros, en la A las mismas comisiones se pasó otra de! Sr. Torre Ma- que hadan presente que habiendo salido del cuartel de Guar xin, leída por primera vez en el dia T2 , dividida en dos ar dias de la Real Persona de S. M. . á cuyo cuerpo pertene t…</t>
  </si>
  <si>
    <t>Ilerrezuelo, Miguel de</t>
  </si>
  <si>
    <t>Miguel de Ilerrezuelo</t>
  </si>
  <si>
    <t>…lesiástico de Zamora por el alma deredes y piedra suelta. 37,244. nuestra católica Reina Doña Isabel de Braganza , por el doctorEn la provincia de Valladolid, procedentes de la ex D. Miguel de Ilerrezuelo. Véndese á 4 rs. en la librería de Petinguida Inquisición, cuyos remates se verificarán en rez.= Tratado del sarampión por Roux, traducido del francés la misma ciudad el dia 20 de Diciembre próximo. por D. D. M. yY.: idem á 8 rs. en la de Ibarra.-= Nociones d…</t>
  </si>
  <si>
    <t>Illa, Salvio</t>
  </si>
  <si>
    <t>Salvio Illa</t>
  </si>
  <si>
    <t>…es , tercenista de Toledo ; al Gobierno una conferido, remitan á su presidente el cirujano mayor de loa exposición de D. Diego Carrasco, cura de Villahermosa; egércitos nacionales D. Salvio Illa las memorias, disc.ros, á la comisión de legislación una solicitud de la diputación reglamentos ó apuntes que hayan formado ó tengan á-bíerr provincial de Santander para que se la confirme en provin formar parasu perfección; en el sup esto que se' les dar.t c…</t>
  </si>
  <si>
    <t>Ilolland</t>
  </si>
  <si>
    <t>…tió las mismas observaciones, aunque suavizando las pa curso normal gratuita di¿ enseñanza mutua', en el cual er» labras. un mes ó dos podrán aprender este excelente método los El lord Ilolland defendió la Opinión de Mr. Broughain, maestros que quieran. y dijo que el título de acusadores públicos con que los ha . Cádiz 26 de Octubre. bía caliticado un individuo cíé lia oposícion, y que tanto Ei dia 9 del mes*último pasó por entre las islas Cana habí…</t>
  </si>
  <si>
    <t>Ilollaud</t>
  </si>
  <si>
    <t>…y modernos, mejorando los dibujos de los artefactos, venciones: que elija por ministro a! lord Grey, al lord y trasmitiendo á la posteridad los bellos títulos de nues Erskine, al lord Ilollaud, al lord Lansdown, sus antiguos tras glorias, ha acordado no solo admitir con el mayor y verdaderos amigos; cue vuelva á ellos, y desaparecerá la gusto el referido cuadro de D. Salvador Mayol, y disponer oposición contra su Gi-bierno; todo el mundo reconocerá…</t>
  </si>
  <si>
    <t>Impugnación, Lo-</t>
  </si>
  <si>
    <t>Lo- Impugnación</t>
  </si>
  <si>
    <t>…r de balde á los pobres de solemnidad: se á D. Juan Arguelles Valdés, D. Joaquín Carrion y Mo proveerá dicha plaza el 24 del corrientereno, D. Manuel Estrada, D. Manuel Villafañe, D. Lo- Impugnación y observaciones al manifiesto que firmaron los •renzo Vilianueva, D. Juan Andrés Segó vía, D. Manuel 69 diputados de las Cortes ordinarias con fecha de 12 de Abril de 1814. presentada á S. M. en "Valencia de vuelta de su cau -Santurio, D. Anacleto Fagoaga, D.…</t>
  </si>
  <si>
    <t>In</t>
  </si>
  <si>
    <t>…ne Morales, á quien Martínez da el parte. zuela los sugetos que proponía la suprema. López escapó á carrera, y dos leguas después logró re Accediendo las Cortes á la solicitud del comandante In unir los que le quedaban : hizo frente, y fue derrotado por terino de la milicia nacional de la Coruña D. León Gil de tercera vez, en términos que escapó con 18 hombres, de Palacio,, mandaron pasar al Gobierno la exposición de di jando los caballos y armas. c…</t>
  </si>
  <si>
    <t>Incamati</t>
  </si>
  <si>
    <t>…gh dijo que si se omitía la cia, sin que las mayores puedan pasar de ¿3 ducados. {_i£s cláusula de! divorcio , seria prtcho insertar en el Uill una dem.tsi.uiOf es demasiado.) Iil Sr. Incamati, este es mi cláu'ula explicativa para que se p diere entender. dia simen , d vosotros os toen reítijicario, y continuó di E! arzobispo de Yorck expuo que J; nunca había oido ciendo: «Disminuyanse las rentas de los obispos, los cuales decir que la sagrada e-cr…</t>
  </si>
  <si>
    <t>Incarnati</t>
  </si>
  <si>
    <t>…ión hecha por el príncipe de Caste'cícala en lico de la guerra un recurso pidiendo se le dé mando en el Taris, y que se le abra un juicio sobre su conducta. egéroiro de Italia. El Sr. Incarnati en la discusión sobre las aduanas, ma Las últimas noticias de Víena no dejan de ser bastante nifestó los muchos y enormes abusos que se cometen en las interesantes. intendencias y recaudación de las rentas públicas , y añadió Aseguran también que se lian pasa…</t>
  </si>
  <si>
    <t>…s comisionados, que inmediatamente par PKUSIA. tirían para Ñapóles. - - ¡ Se leyó en dicha sesión el dictamen de la séptima co Berlín 7 de Noviembre. misión sobre la propuesta del diputado Incarnati, que ha Nuestros políticos sé han entretenido en buscar razones bía .pedido que, en ningún tiempo se nombrase para minis para explicar la tardanza del viage del Rey á Troppau ; pe tros' a los consejeros de Estado. La comisión no era de este ro son absurdos lo…</t>
  </si>
  <si>
    <t>Indalecio</t>
  </si>
  <si>
    <t>…te tuviéronla honra de felicitar á S. M. por stt feliz'matrimonio con la Reina nuestra; Señora D©ñia María Josefa Ama— I^a, á-nombre de la villa ;deCas pe, en el reino de Aragón,; D. Indalecio titorre.^ór^nct^.íw.R^s egércitos, teniente de Realesjguardias deinfan-, téría, y mayordomo &amp; semana de S. M., y D.‘Manuel de Tena , coronel de ios Reales egércitos y del Real cuerpo de Ingenieros; de los que el prime ro di/o: • • ; , - • . „ Señor: E| amor a…</t>
  </si>
  <si>
    <t>Ines</t>
  </si>
  <si>
    <t>…año murió está&amp;os-un'idos De AMERICA. E#te país llama desde el referido D. Mariano, dejando herederas á sus dos hermanas luego la atención del observador; y su civilización , muy Doña Ines y Doña Teresa, con el hijo de esta D. Francisco adelantada ya bajo diversos aspectos, presenta un espectá Salavert; que habiendo avisado inmediatamente á h.spaña, se culo digno de fijar la consideración mas profunda. les ha informado haber muerto dichos tres herederos, en…</t>
  </si>
  <si>
    <t>Infan</t>
  </si>
  <si>
    <t>…s en los puertos los María, hermano mayor del Rey, y de su descendencia donde esté restringido su comercio. El Sr. Vitorica pidió legítima, entrará A suceder en el trono el citado Sr. Infan que se modificara este artículo, expresando que esto fuese te D. Francisco dé Paula , hermano segundo , y su descen á'juicio de la diputación provincial: después de algunas dencia también legítima : A falta de esta, la Sra. Infanta Do contestaciones entre var…</t>
  </si>
  <si>
    <t>Infante</t>
  </si>
  <si>
    <t>…Vi lia paterna, gentilhom bre de Cámara de S. M. con egercicio, y el marques de Tetan,, conde de Ca nillas, gentilhombre de Cámara de S M. con destino á la servidumbre del Sermo. Sr. Infante D. Carlos'María Isidro; de los cuales el primero dijo: ,,Señor: La ciudad' de Avila de los Caballeros, deseosa dp manifestar á V. M. el júbilo que la ha cabido en el venturoso suceso del acertado enlace de V. M. con la Rbina nuestra Seíidra j á quien adornan t-án recomendables pren…</t>
  </si>
  <si>
    <t>…ascali, decano de diclio ayuntamiento, y fo. Ignacio Molina, caballero de la Real orden de Carlos iix, gentilhombre de Cámara de S. M. con entrada, destinado al cuarto del Sertuo. Sr. Infante D. Carlos, y coronel de los Reales egército$ ; de los cuales el primero dijo t ,, Señor : Mal desempeñarla Zaragoza el, título de. leal si reconocida á las gracias que V- M. acaba de concederle no presentase ios testimonios mas ren didos de su gratitud al tiempo de cum…</t>
  </si>
  <si>
    <t>…&lt;i?^ró^dmixaute eí Sr, D, Alejandro Dqlarea,, del Consejo ,de S. M. en el supremo de Castilla’, y encargado provisionalmente del gobierno de , las encomiendas que poseyó el Sermo. Sr. Infante D. Antonio (q.é.'p. d.), 'y dél Coronel D. Juan Blasco Negrillo, contador general de las mismas; en inteligen&gt; ia de que hasta el referido día se admitirán las mejoras que quieran; hacerse con arreglo- J&amp; las condiciones, bajo las cuales se ha de practicar él expresado…</t>
  </si>
  <si>
    <t>…Secretaria de Estado y del Despacho de la Guerra que había dispuesto se íeye- e á¿los;cuerpos, de la guannniciqn .de esta plaza ja proclama que ha dirigi do al egévcitb el Sérmo. Sr. Infante D. Carlos, y ai mismo tiempo que se pila biiease con tada solemnidad el manifiesto del Rey á los españole».</t>
  </si>
  <si>
    <t>…de la Monarquía y de los dias de la Rein&gt;a , dispuso qué hu biese corte y parada , en que se hicieron diferentes descargas, se.leyó al fren te de las tropas la proclama del Sermo. Sr. Infante D. Garlos, y hubo mu chas aclamaciones á SS. MM. y AA., alternando con él gritó-general de Viva la Constitución. Después reunió en un convite á Jas autoridades de aquella capjtal, gefes de jos cuerpos y demas personas de disti’ticion.j-cuyo jubilo compitió con la lealt…</t>
  </si>
  <si>
    <t>…DeReaí orden tengo el honor de elevarlo al conocimiento de V. A. R¿ cuya vida ruego á Dios guarde muchos-años.-Palacio 25 de Abril de 1820.= El Marques de las Amarillas . = Sermo. Sr. Infante D. Cárlos.” Noticia de los individuos militares que han sido destinados en el ramo de Rentas eti los resguardos de\adiz y Cataluña, f Martin Peña¿ sargento i.0, agregado al cuerpo de Inválidos de Madrid; Juan Riera ídem , ídem á los Inválidos hábiles de ;&gt;ani£icar de E…</t>
  </si>
  <si>
    <t>…Viva España, y Viva la Constitución. Viso dei Alcor 8 de Abril de i82o. = Señor.=: A los R. P. de V. M. = Manuel Ladrón de Guevara.” En su consecuencia se ha comunicado al Sermo. Sr. Infante D. Cárlos^, coronel de la expresada brigada de Carabineros Reales, la Real orden srguienté¿ Ministerio de Guerra: Sermo. Sr.: ,, He puesto en manos de S. M. la ex posición que V. A. R. se ha servido dirigirme con este objeto, incluyéndo me Ja que con el mismo y para ig…</t>
  </si>
  <si>
    <t>…benignidad oyó. esta sencilla felicitación , y se dignó admitir al honor de besar su Real mano á los tres citados individuos, que fueron en seguida á rendir sus respetos al Sermo. Sr. Infante D. Carlos, su hermano mayor, á quien tuvieron la honra.de besar también su Real mano. El dia i.° del corriente tuvieron la honra de felicitar á $. M. á nombre del ayuntamiento constitucional de la ciudad de Antequera los Sres. D- Caye tano de Urbina, ministro que fue d…</t>
  </si>
  <si>
    <t>…do. Limosnas. . Rs. Mrs. S. M. el Rey , que Dios guarde........... .................... 60,000 S. M. la Reina , que Dios guarde................................... 20,000 El Sermo. Sr. Infante D. Carlos y su Esposa___ ______ 15,000 ElSermo. Sr. Infante D. Francisco de Paula y su Esposa. 15,000 El Excmo. Sr. arzobispo de Heraclea en metálico.......... 11,259 12 Y ademas el producto de su arcedianato de Carmena dutnte la epidemia. El limo. Sr. obispo de Pamplo…</t>
  </si>
  <si>
    <t>…i sagrados derechos de YL M. , un vil impostor introduce con dumbre de S$. MM. como de SS. A A. la mas negra perfidia su, huestes enemigas, y arranca ce Seguia luego la del Sermo. Sr. Infante D. Francisco de los brazos de los fieles españoles á su amado Monarca en Paula, q :e iba acompañado de su augusta Espo-a , rodeado el momento mismo en que felizmente se h.bia sentado en de la ordinaria escolta de Guardias de la Persona del Rey. el trono de sus gloriosos p…</t>
  </si>
  <si>
    <t>…omisión de Poderes los de los Sres. Lacasa, Carabade Marzo de 1812 , en que se excluyó de la sucesión á la ña, Miehelena v Bodega, para que viéndolos los sujetase corona al Sermo. Sr. Infante D. Francisco de Paula Anto á la deliberación de las Cortes: manifestó la 5 causas que te nio , v á la Sra. Infanta Doña María Luisa , Reina que fue de nia para jsedirlo ; y ro aprobó. Etruria, y actualmente gran Duquesa de Lúea; y tomán Se leyó una exporicion del Sr. Ezpeleta, en que d…</t>
  </si>
  <si>
    <t>…del decreto.de 18 de circunstancia para el tribunal de Cortes, sin embargo de que Marzo de 1813, haciendo las declaraciones convenientes ep. parecía conveniente. favor de S. A. el Sr. Infante D. Francisco de Paula y S. M. El Sr. Vilianueva hizo la observación de que los ecle la Gran Duquesa de Lúea y dé sus descendientes legítimos. siásticos no debian ser individuos del tribunal, porque po El Sr. presidente, trayendo á la memoria algunas insinuacio día ocurrir que hubiesen de…</t>
  </si>
  <si>
    <t>…l voto con extensión, artículo 180 de la Constitución, y en el orden y forma1 para evitar el compromiso de creerse que la patria negaba que establece. Por consiguiente á taita del Sr. Infante Don el agradecimiento á sus defensores. El Sr. Muñoz Torrero Carlos, hermano mayor del Rey, y sus descendientes le manifestó que ni se habia aprobado ni reprobado la propo gítimos , entrará A sucederle en la corona su hermano Don sición , sino únicamente no se ha…</t>
  </si>
  <si>
    <t>…rante su actual penosa la misma Constitución, y en el orden y forma que ella es situación ; pero que no puedan introducirse granos ni hari tablece. En su consecuencia, á falta del Sr. Infante D. Car nas de ninguna especie que procedan de ellas en los puertos los María, hermano mayor del Rey, y de su descendencia donde esté restringido su comercio. El Sr. Vitorica pidió legítima, entrará A suceder en el trono el citado Sr. Infan que se modificara este art…</t>
  </si>
  <si>
    <t>…Estado, se dictase igual providencia, innovación. El ministerio pone por esta razón 3.700,000 respecto de el del supremo tribunal de Justicia, si existiese reales sin duda para el Sr. Infante D. Cirios y su hijo, de en ia secretaría ; y que si no estuviese aun formado , lo verifi clarado Infante antes de haber jurado el Rey la Constitu case brevemente el mismo tribunal conforme A su reglamen ción; pero estando prevenido por el artículo 215 que los to ; la c…</t>
  </si>
  <si>
    <t>…iembre. Air. Broughám preguntó donde estaba Rastclli; y el, Con motivo de la celebridad de ios dias de SS. A A. RR. abogado general le respondió que se le habia enviado á Milán el Sr. Infante D. Cirios María y del Sr. Infante D. Car con unos pliegos , creyendo que ya no hacia falta en Ingla los Luis Alaría, como también de la Serma. Sra. Infanta de terra ; pero que al punto que había observado que su pre Portugal y del Sr.. Infante D. Cirios Luis, se ha vestida s…</t>
  </si>
  <si>
    <t>…uxiliar portugués, que desem «SS. MM. y AA. continúan en este Real sitio sin no barcó en Rosas, y otras, para cuyo desempeño se requerían vedad en su importante salud, y el Senno. Sr. Infante Don valor, conocimientos, sagacidad y destreza. Salió del cuer Carlos se halla mas aliviado de su dolencia” po de Reales Guardias en su clase de brigadier con destino al egército de Castilla la Nueva en Junio de 1794, y en El Rey lia expedido el decreto siguiente…</t>
  </si>
  <si>
    <t>Infantería</t>
  </si>
  <si>
    <t>…4200/ po, por haber puesto preso é incomunicado en el fuerte del Infantería de línea, 37 regimientos con 74 bata iones, 37®. cuartel al cadete supernumerario de dicho Real cuerpo Don Infantería ligera, 14 batallones, 7®: total de la infante Gaspar Aguilera, que imprimió y pub.icó dos papeles rela ría 48,353. Guardias de la Persona del Rey , 6oo hombres. tivos á las ocurrencias acaecidas en el cuartel en ia noche del 8 Carabineros Reales, *4}. Diez r…</t>
  </si>
  <si>
    <t>Infantes, Facundo</t>
  </si>
  <si>
    <t>Facundo Infantes</t>
  </si>
  <si>
    <t>…, lo han verificado igual mente los brigadieres D. Antonio Gaspar Blanco, D. Francisco Hano y otros # oficiales. „Con esta fecha he expedido pasaporte al teniente coronel graduado Don Facundo Infantes para que pueda pasar á'esa corte á presentarse á S. M. y hacer presente varias cosas de parte del coronel D. Antonio Quiroga, pues asi lo ha solicitado el coronel D. Felipe de Arco Agüero,-que ha pasado á verme en él día de hoy con este motivo. ,,Es cuanto po…</t>
  </si>
  <si>
    <t>Inglaterra, Eusebio</t>
  </si>
  <si>
    <t>Eusebio Inglaterra</t>
  </si>
  <si>
    <t>…publicados en la gamundos conocidos enEranciacon el nombre de bohemios gaceta. ó egipcios j en España y Langüedoc con el de gitanos , en Exposición hecha por D. Agustín González, D. Eusebio Inglaterra con el de gypsies ; en Italia con el de zingareMartínez y D. Bartolomé Morey, oficiales de la brigada lli, y en Alemania con el de Zigeugner. de artillería de Mallorca , manifestando que para que se ve En el tomo 8.°: extractos de Fehzeb-ul-Mantec, ó rifique…</t>
  </si>
  <si>
    <t>IO, N. N.</t>
  </si>
  <si>
    <t>N. N. IO</t>
  </si>
  <si>
    <t>…175. Núm. 804. El Sr. abad, cura párro co de S. Martin de Madrid, por limosnas recibidas de sus feligreses 340. Nú-? mero 805. D. J. M. 400. Núm 806. D. Tadep López 100. Núm. 807 Don N. N. IO. ; . , En 31 de. Diciembre de 1819 se entregaron al limo. Sr obispo de Cádiz 10© rs. vn. para socorro de los pueblos contagiados de su diócesi é inmedia tos á ella. A R ,T I C V X. O I&gt; E O F I C I O. El Rey nuestro Señor se ha servido promover al alcalde may…</t>
  </si>
  <si>
    <t>ÍORTUCA, Li</t>
  </si>
  <si>
    <t>Li ÍORTUCA</t>
  </si>
  <si>
    <t>…ctos para recomendar al pue metido en este incidente, ni el pueblo lia tomado parte en él. blo que guarde silencio en la iglesia. —— La respuesta dirigida por Mr. Keppel Craven al lord Li ÍORTUCA*-verpool, con fecha del id del corriente, es como sigue: «Milord : La Reina se ha servido mandarme diga á V.S. Lisboa 8 He Diciembre. que ha recibido su carttí, y que no puede equivocar un ins Se ha-fijado aquí un edicto de la comisión de salud pú tante el ve…</t>
  </si>
  <si>
    <t>Iparr-'guir, Miguel</t>
  </si>
  <si>
    <t>Miguel Iparr-'guir</t>
  </si>
  <si>
    <t>…DE OFICÍO. Pueoas A votación estas resoluciones, fueron aprobadas »E1 Rey, A quien he dado cuenta de una instan por unanimidad. be leyeron sucesivamente ¡a- repre'entacio- cia de D. Miguel Iparr-'guir re, administrador de ren nes que han de dirigirse al Rey y A la Reina, y quedaron tas decimales de la diócesis de Segovia , en solicitud de admitidas , como también las dos determinaciones siguientes : que se le admitan certificaciones de imposiciones se bre…</t>
  </si>
  <si>
    <t>Iribarren, Miguel de</t>
  </si>
  <si>
    <t>Miguel de Iribarren</t>
  </si>
  <si>
    <t>…bunal del consulado de Cádiz,- y escribanía de P. Elfas Izquierdo yk Payan , escribano de Cámara honorario dé-.S. M., penden autos de concurso dé acree dores á la testamentaría de D. Miguel de Iribarren, que están señalados con el mí- ’ mero 131 del año pasado de 1805, en los cuales se ha decretado con reiteración citar y emplazar á cuantos se estimen con derecho á los bienes: de dicha masa, pa-í ra que dentro del-término de un año se presenten al tribunal p…</t>
  </si>
  <si>
    <t>Irigoyen, Pedro</t>
  </si>
  <si>
    <t>Pedro Irigoyen</t>
  </si>
  <si>
    <t>…érmino de 15 dias á D. Próspero XínieHallándose vacante una plaza de medico de la Real Fa nez , D. Miguel de Corres, D. Josef Calvo , D. Pantaleon Ruiz, milia por fallecimiento de D. Pedro Irigoyen , y teniendo y demas últimos tenedores é interesados en 5 vales Beales, resuelto S. M. que los citados destinos se provean por opo los tres de 300 pesos, creación de x.° de Setiembre de 1808, sición , se convoca por este aviso á los profesores que quie señala…</t>
  </si>
  <si>
    <t>Is-</t>
  </si>
  <si>
    <t>…cutar el pre no se hiciese novedad en el sistema de Hacienda hasta la sente decreto en todas sus partes. Tendréislo entendido resolución de las Cortes; en vista de lo cual hizo el Sr. Is- para su cumplimiento, y dispondréis se imprima, pubiique turiz la adición siguiente: «Entendiéndose abolidos estos y circule. = Rubricado de la Real mano. = En Palacio á puestos públicos como toda especie de estanco y monopo 25 de Setiembre de i82C. = A D. Ju…</t>
  </si>
  <si>
    <t>Is-, Capo de</t>
  </si>
  <si>
    <t>Capo de Is-</t>
  </si>
  <si>
    <t>…militar de Palermo, y co Austria en S. Petersburgo, el conde dé Mercy y el caba mandante general de la 9.a división militar. = El teniente llero de Gent; por parte de la Rusia el conde Capo de Is- general F. Pepé.” tria, secretario de Estado del Emperador de Rusia , el Ñapóles 20 de Octubre. conde de Golowkin , ministro de Rusia en Austria, y el Reina, al parecer, la mayor tranquilidad en la alta Ita príncipe de Wolkonski, ayudante general del Emperado…</t>
  </si>
  <si>
    <t>Isa</t>
  </si>
  <si>
    <t>…de ciertos asuntos inte resantes en la habitación de D. Juan Buenavida Ayala, que vive en Ja subida de San Martin, casa de la Sra. marquesa de VÍIlena, heredero fideicomisario de Doña Isa bel de Torres; en la inteligencia que pasado dicho término sin haber comparecido, les parará el perjuicio que haya lugar. Se halla vacante la piara de maestro de primeras letras de la villa de Torija, pue blo de 150 vecinos, á tres leguas de Guadalajara: su d…</t>
  </si>
  <si>
    <t>Isasi, Josef Brun</t>
  </si>
  <si>
    <t>Josef Brun Isasi</t>
  </si>
  <si>
    <t>…gosto, no publican cosa alguna de Jas personas que se contemplen con derecho a los bienes de la grande intetes: las de Alemania, basta el 5 de Setiembre, testamentaría del difunto D. Josef Brun Isasi, para que en el término de dos meses desde la publicación de este anuncio sese dirigen á hacer creer haber-e dado contraorden á las tro presenten ante dicho tribunal y su escribanía mayor de guerra;pas austríacas que debían dirigirse lucia Italia, y á poner e…</t>
  </si>
  <si>
    <t>Isidro, Carlos María</t>
  </si>
  <si>
    <t>Carlos María Isidro</t>
  </si>
  <si>
    <t>…o. Sr. gefe político supe rior de esta provincia, y los dos alcaldes constitucionales de Madrid. Intro1 ducidos en la Cámara del Rey , donde se hallaban los Sermos. Sres. Infantes D. Carlos María Isidro y D. Francisco de Paula, los Sres. Secretarios de Estado y del Despacho con los gefes é individuos de la Real servidumbre, S. M. recibió el juramento de guardar la Constitución y ser fíeles al Rey á los expresados Sres. Infantes, al Sr. cardenal presidente de la Junta, y á los ■Sres…</t>
  </si>
  <si>
    <t>Isnedio, Félix</t>
  </si>
  <si>
    <t>Félix Isnedio</t>
  </si>
  <si>
    <t>…robos, jurisdicción de Tudela, en 840 rs. rez de idem; D. Domingo Pavía, teniente coronel gradua Orra en las Coronas, de 5 robos y 7 almudes, jurlsdic^ do de caballería de Borbon; D. Félix Isnedio, teniente de cion de Tudela , en 43 5 rs. idem ; D- Cayetano Barrera, alférez de idem ;.D. Josef Ma Otra en el mismo campo, de 8 robos y 7 almudes, en ría Pedrioazi, teniente de ídem; D. Jaime Subirán , capi la propia jurisdicción, en 680 rs. . , tán de Orden…</t>
  </si>
  <si>
    <t>Isru-</t>
  </si>
  <si>
    <t>…rvado el Sr. presidente al tiempo de vo bada , también se [es admitirá. tarse que no podría recaer una resolución terminante por estar reducida la cuestión á una pregunta, hizo el Sr. Isru- El dia 2 5 del mes último se abrió una escuela filantrópica, riz una in dicación para obviar dificultades, en que pedia al cargo de D. Josef María Perez, en la calle de la Ruda, casa cierras noticias circunstanciadas; reclamó el Sr. Tapia qt:e núm. 7, cuarto'pri…</t>
  </si>
  <si>
    <t>Isruriz</t>
  </si>
  <si>
    <t>…por efecto de aquellas prestaciones.” de los tratados existentes, ó que en adelame existan con Art. 4.“ «Se prohibe absolutamente la extracción del otras potencias, ” se opuso el Sr. Isruriz á que pasara en es ganado lanar fino al extrangero por mar y por tierra.” tos términos á la comisión ; porque , como dijo , los Go Art. 5.0 «La persona qie extrajese dicho ganado in biernos no toman otros delitos en consideración , sino los currirá en la pena…</t>
  </si>
  <si>
    <t>Istariz</t>
  </si>
  <si>
    <t>De'P ues de esto se declaró no haber locar á votar sobre de infantería, su coronel Juan Doz. =Por el regimiento de una indicación-del Sr. Istariz, pidiendo que se le relevase caballería del Príncipe, Josef María Cueto, teniente coro de la comisión de Premios, a la que no podia asistir por tx- nel, mayor y comandante actual. = Por el regimiento de zones de delicadeza; y se levantó la sesión. caballería…</t>
  </si>
  <si>
    <t>Istria, Capo de</t>
  </si>
  <si>
    <t>Capo de Istria</t>
  </si>
  <si>
    <t>…muerta y continúa sin novedad. Se ha depositado el cuerpo Livris. en la iglesia de S. Alejandro Newsky. Ha salido ya de aquí Durante la ausencia de S. M. se habia construido en «1 conde Capo de Istria á espetar á S. M. en Varsovia, Villa-d'Este un teatro, en el cual S. A. R. representó con donde dicen habrá grandes novedades. Bérgami, que hacia el papel de amante, siendo la Reina el objeto de sus amores. AUSTRIA. Ademas de todos los títulos y honores que S…</t>
  </si>
  <si>
    <t>Istría, Capo de</t>
  </si>
  <si>
    <t>Capo de Istría</t>
  </si>
  <si>
    <t>…su estipendio se divida y se añada al sueldo de los oficia nes del Archiduque Fernando de Este. les subalternos , por ser el que estos gozan demasiado mez La nota dirigida por el conde Capo de Istría á los de quino y corto, y no corresponder al decoro y obligaciones más ministros acerca de las mudanzas acaecidas en los tres que tienen sobre sí los expresados oficiales paises del mediodía de Europa está concebida, según di Pidió el Sr. Coletti que el minis…</t>
  </si>
  <si>
    <t>Istucación</t>
  </si>
  <si>
    <t>…a Rosa, y dijo antes de votar, el Sr. conde de Toreno que se destruía lo que se hablan expuesto varias razones para apoyar la indi acordado ayer si se aprobaba la indicación, y el Sr. Istucación que él veia no solo como inútil,' sino como peligro - riz que en su concepto era esta anticonstitucional; y se sa, sin que le hubiesen hecho fuerza las. razones manifesta declaró no haber lugar á votar. das, que podrían reducirse á tres especies: una que anun…</t>
  </si>
  <si>
    <t>Istuóz</t>
  </si>
  <si>
    <t>…que podia apro pués hubieran de tomarse, y á que lo mas urgente era ase barse, por estar arreglado y conforme. gurar fondos. Habiendo preguntado el Sr. Ramos Arispe si se habia El Sr. Istuóz , fundándose en que la Nación se habia tenido presente la memoria del secretario de Ultramar para puesto en posesión de un derecho que nadie pudo quitarle, dar el dictamen . contestó el Sr. Cepero que asi se decia en y que seria un espectáculo bien triste el…</t>
  </si>
  <si>
    <t>Isturia</t>
  </si>
  <si>
    <t>…presenta en ella un nuevo y general sistema de esta ciencia. La tieran se empezarla á tratar de ellos. segunda comprende las primeras bases de los sistemas de econo Se concedió al Sr. Isturia el permiso que solicitaba pa mía y de hacienda pública de España , y se convence y demues ra trasladarse á su pais, pues, según certificación de faculta tra la necesidad que existe de adoptar una medida que facilita un. nuevo y cuantioso capital de 2O mülonés…</t>
  </si>
  <si>
    <t>Isturiz</t>
  </si>
  <si>
    <t>…para «Enterado' el Re y-ae las dudas consultadas por V. E. acer acordar Jo que se estimase. ca del abono de sueldos solicitado por los empleados y fun Se leyó una proposición del Sr. Isturiz relativa al ex cionarios públicos con arreglo at decreto de 19 de Abril úl pediente de vinculaciones, pidiendo declarasen las Cortes timo, ha resuelto S. M. qué adoptándose por punto general que todá especie de propiedad es enagenable. las reglas propuestas-…</t>
  </si>
  <si>
    <t>…s alcaldes Constitucionales , de que se que re averiguasen los fondos existentes de las rentas que se les deje en plena y absoluta libertad para mar de aquellos: hipotecaban, y el Sr. Isturiz pidió se examinase la calidad y que en el caso de que algunos acudan A manifestarles que de las hipotecas , y sí estaban afectas á otras obligaciones, directa ó indirectamente se les coarta su libertad, les con que las hiciesen ahora nulas: á lo que añadió el…</t>
  </si>
  <si>
    <t>…sión de arreglo interior de Cor.tes .se mandó Moranso por e! método común dé voraciones, sin embargo parar otra .propoticion del mi rao. Sr. Vargas, .leída por de haber pedido .el Sr. Isturiz en la segunda, que te decla primera vez en el dia 11 , en la cual pedia -e p ¡blica e una rase por votación, nominal, á lo que no se uccedi ; y se lista de los empleos subalternos de ¡as Corte' con lo; speldos admitieron la tercera y cuarta, habiendo retirado…</t>
  </si>
  <si>
    <t>…ición y la Gobernación ‘de la Península el oficio siguiente: acordara sobre ella el Congreso. n Habiendo notado las Cortes que en muchos de los pape Se leyó un voto particular del Sr. Isturiz, en que pedia, les que se les dirigen por particulares , y aun de corporacio que habiendo sido su dictamen contrario á la resolución de- nes, se les da el tratamiento deMagestad , declarado exclu las Cortes acerca del proyecto de la comisión de Hacienda, siva…</t>
  </si>
  <si>
    <t>…nínsula lo que sigue: concedidos para introducir harinas extrangeras en buques »S. M. prosigue con buen efecto el uso de las aguas, y extrangeros en los puertos de Ultramar:” y el Sr. Isturiz juntamente con la Reina continúa en buena salud, no ocur retiró su proposición. riendo novedad particular en esta villa.” La comisión de Hacienda presentó su dictamen sobre un expediente que le habia sido remitido, del cual resulta r- El Rey ha expedido el de…</t>
  </si>
  <si>
    <t>…a satis fuera nacional: esta indicación del Sr. Lasrarria no fue ad facción por el Gobierno á aquellas corporaciones. mitida. Continuaron la discusión los Sres. conde de Maulé, El Sr. Isturiz hizo otra, diciendo que se debería pedir Sierra Pambley y Calderón. conviniendo sustancial mente al Gobierno noticia de todos los privilegios particulares exis con el dictamen de la comisión: se pasó á votar este por tentes el día 9 de Marzo de iSao, y de los…</t>
  </si>
  <si>
    <t>…, nombrada por la provisional de Gobierno, con brigada de carabineros y otras varias corporaciones. testó que alababa el zelo de esta; pero que no estaba en sus Habiendo pedido el Sr. Isturiz que la comisión de Ha atribuciones hacer tales nombramientos, porque esto perte cienda concluyese el expediente relativo á la anulación de necía á las Cortes; debiendo restablecerse, según estaba privilegios, y el Sr. Yandiola que se reuniese con aquella la m…</t>
  </si>
  <si>
    <t>…n de Italia deberían marcharse de nuevo, conveniente al plan general de estos establecimientos. y los que habían sido admitidos quedar fuera, y volver á Se leyó una indicación del Sr. Isturiz, pidiendo que la tus casas. biblioteca de los PP. jesuítas quedara á disposición de las</t>
  </si>
  <si>
    <t>…stitucional no se sostiene sino con su rígida obser ¿Dónde están , dijo, la nave y el carro que van al precipi vancia. cio? Enhorabuena qi e vayan; pero el Sr. que ha puesto la El Sr. Isturiz manifestó que el motivo que le había es comparación pudiera haber dicho dónde estaba la*roca, v timulado era el escándalo que habia en la Nación y la dónde el precipicio. ¿Dónde está la lista de proscripción cíe alarma del espíritu público: que considerados l…</t>
  </si>
  <si>
    <t>…ego, á que acompañaba un discurso que tenia preparado mento para que se preguntara si se admitía á discusión, re para pronunciar desde la barra del salón del Congreso; lo clamó el Sr. Isturiz, apoyándole el Sr. conde de Toreno, que no podia verificar por haberle comunicado el capitán la costumbre de deliberar previamente si se deben admitir general una orden de S. M. para que saliese inmediatamente las indicaciones y demas. de la corte’, y pasase…</t>
  </si>
  <si>
    <t>…sto, poco después de las 1 2 y media que em Se declaró suficientemente deliberado , y no se admitió pezará el eclipse, el disco de la luna irá interponiéndose en la indicación del Sr. Isturiz. Tampoco se admitió otra del tre nuestra vista y el sol por la parte anterior occidental, é Sr. Romero Alpuente con el fin de que se llamase á ¡os se inclinándose sensiblemente hacia la parte del mediodía del cretarios del Despacho, para que con motivo de la…</t>
  </si>
  <si>
    <t>…r 4 años lo menos, tud del dicho de otro Gobierno. y lo mas por 10, según el número de los ganados que ex Después de haber continuado poco mas la discusión , en trajere. la que el Sr. Isturiz pidió al Gobierno una noticia del tra Se mandaron pasar á la comisión las indicaciones si tado que sabia existir, llamado de la Santa alimza, y en guientes: una de los Sres. López y La-Riva: «Que lo de que el Sr. secretario del Despacho de la Gobernación res…</t>
  </si>
  <si>
    <t>…s de cada pueblo. Escrita en esta ciudad de Lis empréstito de 200 millones, con otros documentos. Con boa en el palacio del Gobierno á 9 de Setiembre de 1820.= este motivo hizo el Sr. Isturiz una indicación para que se Cardenal patriarca. = Marques de Borba. = Conde de Peni- formase, imprimiese y distribuyese un extracto de todas las ehe. = Conde de Feira.= Antonio Gómez Ribeiro.’* propuestas, la que retiró después, sustituyendo en su la gar el Sr…</t>
  </si>
  <si>
    <t>…al Sr. Vítorica, se siempre cierto aparato en las cortes extrangeras que no ha aprobó, mandando pasarla á la comisión. ga desmerecer á la Nación española, y que es tan natural, Ei Sr. Isturiz presentó la siguiente indicación: «Para como que nadie en la sociedad se presenta cuando puede si proceder contra un extrangero en caso de ser reclamado en no con el mejor de sus vestidos. virtud de los tratados por causa de lesa magestad, deberá El Sr. Varga…</t>
  </si>
  <si>
    <t>…os 10 primeros El Coricfe de Toreno, presidente. = Juan Manuel Subrié, dias de Enero el de fin de Diciembre.” diputado secretario. = Marcial Antonio López, diputado se Preguntó el Sr. Isturiz, con referencia á ciertas expre cretario.” siones del Sr. Gaseo y del Sr. ministro de Hacienda , si sub ' Por tanto mandamos á todos los tribunales, justicias, sistían los estancos en los pueblos por los ayuntamientos; á gefeS , gobernadores y demas autoridad…</t>
  </si>
  <si>
    <t>…los cuadernos al mismo precio que en f Se aprobaron igualmente los artículos 3.“ y 4.0; y ha la capital, siendo de cuenta de los suscríptores el porte del correo. biendo hecho el Sr. Isturiz algunas observaciones acerca de vota. En la gaceta de anteayer, col. 4.*, lfn. 64, dice: La del los tres restantes 5.% 6.° y y.?, manifestando’los perjuicios Sr. Diaz del Moral, reducida á que el número de jurados fuese ue podrían’ cansar ah giro, y especialm…</t>
  </si>
  <si>
    <t>…n los de muchas que exponia, opinaba el Gobierno que debía apro rechos. . .. barse el empréstito propuesto por la comisión. , A la de Hacienda y Diezmos reunidas se pasó una ex El Sr. Isturiz , absteniéndose de examinar si era ó no posición de los labradores vecinos de Madrid, manifestan costoso el empréstito , manifestó que no se hallaba bastante do que pagaban mas contribución que. los demas vecinos, convencido de rió poderse cubrir el díjicii d…</t>
  </si>
  <si>
    <t>…geográfica de la España1, el aislamiento en que se ha ,el grande-sacrificio del empréstito.!’ constituido, y la fuerza moral que se adquirió en la guerra Se leyó la siguiente deí Sr. Isturiz: «No teniendo fin al de la independencia , eran en su concepto una barrera mas .parecer los presupuestos de Hacienda, según la manifestación fuerte que los Pirineos; pero si por desgracia, continuó, del $r. Sierra Pambley, pido una .declaración solemne al fue…</t>
  </si>
  <si>
    <t>…para que en atención á lo Previa alguna discusión , se consideró como proposición expuesto por la junta de señoras de Madrid sobre el estado leída por primera vez la siguiente del Sr. Isturiz : «Que no de la casa de la Inclusa, se entregasen á la citada junta 54® se pueda preguntar en ningún caso si un asunto está suficien reales de la próxima extracción ae la lotería, y se excitase temente discutido, sino teniendo la cualidad de diputado el el ze…</t>
  </si>
  <si>
    <t>…ANUNCIOS. cunmo por haberla recomendado expresamente S. M. por el ministerio de la Gobernación. Mercurio de España. Agosto de 1820. Véndese á 4 rs. en Se aprobó una indicación del Sr. Isturiz , dirigida á que el despacho de la imprenta Nacional. Se suscribe en dicho des informase efGobierno acerca de una representación, remi pacho , y en las provincias en todas las administraciones princi tida por la diputación provincial de Cádiz en 18 de Agos pa…</t>
  </si>
  <si>
    <t>…n dito público. absoluta Libertad á los pueblos de hacer en este punto lo La misma comisión de Hacienda presentó su dictamen que les agradase. acerca de la proposición que hizo el Sr. Isturiz para la Declarado el punto suficientemente discutido, manifes supresión de derechos de puertas y puestos públicos. La tó el Sr. Martínez de la Rosa que el dictamen de la comi comisión proponia que las Cortes acordasen que los pues sión se oponía al art. 32a d…</t>
  </si>
  <si>
    <t>…nues Por el del archivo de escribanías públi-tros dignos representantes. A ello nos obliga el fallecimien ca.......................................................... i,8coto del Sr. Isturiz: la patria lamenta su pérdida, porque ha Por el de la casa matadero.................... 5,122.. 7bia visto en él uno de los primeros que se prestaban á su Por el de arbitrios de la cárcel de Corte. 3,200clamor maternal, uno de los que con mas energía se aper…</t>
  </si>
  <si>
    <t>Isturiz, Tomas</t>
  </si>
  <si>
    <t>Tomas Isturiz</t>
  </si>
  <si>
    <t>…tas, que de Cádiz 2 O de Noviembre. ben quedar extinguidos desde la publicación Acaba de morir en esta ciudad á los 38 años de edad el de este decreto , deduciéndose el importe de Sr. D. Tomas Isturiz, diputado á Cortes por esta provin lo que hayan rendido hasta el presente, y sa cia en la legislatura de 1814, y en la actual para los años tisfaciéndose el resto por los pueblos donde se de t8’o y 2i- Las buenas prendas que caracierizaban á este exijen con l…</t>
  </si>
  <si>
    <t>…es siguientes: constitucional. lo ancianos.,.21 ancianas , 3; niños, 7 niñas y 2 matrimo FRANCIA. nios. También acordó celebrar honras e! día 29 por'el señor París 9 Je Diciembre. D. Tomas Isturiz , vocal que era de dicha corporación , con El i5 de Noviembre murió en Dresde á la edad de 6o asistencia de la misma; y que se coloque su retrato en la años la Princesa María Ana, hermana de S. M. el Rey de contaduría de aquella casa, con el objeto de perpetu…</t>
  </si>
  <si>
    <t>Ísturizde, Ro</t>
  </si>
  <si>
    <t>Ro Ísturizde</t>
  </si>
  <si>
    <t>…guna soli uesto de gastos del ministerio de Estado; y de los señores citud de infracción sin haber usado antes todos los recur cia , para cuyo objeto había una comisión , pidió el Sr. Ro Ísturizde la entregay Díaz dedelextrangerosMoral, contrarioscomprendidosá lo acordadoen los tratados.acerca sos, haciendo constar que no se habia administrado justi A la comisión primera de Legislación se mandó pasar un dríguez de Ledesma, que se nombrara esta, para lo…</t>
  </si>
  <si>
    <t>Isuóz</t>
  </si>
  <si>
    <t>…no posible imprimirlo todo, y el tiempo que El Sr. conde de Toreno preguntó, cuánto se tardaría se tardarla en la impresión. Por último se acordó suspender en realizar la idea del Sr. Isuóz. la resolución hasta que estuviera la memoria impresa y re Declarado el punto suficientemente discutido, se pasó partida. El Sr. conde de Toreno pidió (apoyándole el se á votar con separación los tres artículos del dictamen; ñor Martínez de la Rosa ) que para…</t>
  </si>
  <si>
    <t>IU</t>
  </si>
  <si>
    <t>…jimí; i.p irni-ra q ee empiear todos los medios po-inás para hac.r sa.er nues el Observador austríaco trata al OjinlV|i»oi!¡ - N. fil-vs dí tras razones. revolucionario, y que el príncipe IU) |i„iiiiil_m|1iv m&gt; luya olla encarcado particuiarmente al d que de Serrncaido A hacer papel en las conterencr4|f i¡ffny¡'y')u, »»- ce-a priola ilustrar ai hmperad.'r Aie .m.m' sobre ;a verctaCera de ser bien recibido por la A rchidtijifcj l'nn; cm Jt hmr- si…</t>
  </si>
  <si>
    <t>IV.mhíev, Sierra</t>
  </si>
  <si>
    <t>Sierra IV.mhíev</t>
  </si>
  <si>
    <t>…dquirir materiales para Retir,', el Sr. Rovrra otra que tenia hecha igual .1 la pre la construcción delinques; y habiendo encontrado inexactos cedente. En seguida se levó otra del Sr. Sierra IV.mhíev. que algunos de los particulares remitidos por los departamentos, decia asi: «Que aprobado, como e-tá , el presupuesto de se habia visfo en la precisión de arreglar ei presupuesto Marina , cese este ministerio en la percepción que está ha por un cálculo prude…</t>
  </si>
  <si>
    <t>Izquier, Elias</t>
  </si>
  <si>
    <t>Elias Izquier</t>
  </si>
  <si>
    <t>…Tenia entonces 25 Por providencia dada por el tribunal del consulado del co años. Dotado de una estatura extraordinaria y bien propor mercio de la plaza de Cádiz ante el escribano D. Elias Izquier cionada , de una figura animada y noble , no tardó el di do y Payan en los autos de concurso de acreedores á la casa de rector del teatro de S. Carlos en persuadirle que se presen comercio que tituló en el de dicha plaza de Vicario Iñigo, se tase en el drama…</t>
  </si>
  <si>
    <t>Izquierdo, Elias</t>
  </si>
  <si>
    <t>Elias Izquierdo</t>
  </si>
  <si>
    <t>…la sustanciacion de los autos en los estrados de la audiencia, y les parará el perjuicio que haya lugar. Por decreto del tribunal del consulado de Cádiz dictado ante el escribano Don Elias Izquierdo, en los autos número 306 del año próximo pasado, se manda citar y emplazar á cuantos se estimen con derecho á los bienes y masa del concurso út acreedores á D. Domingo Alvarez, para que en el preciso término de ocho , meses acu dan á formalizarlo con los docu…</t>
  </si>
  <si>
    <t>…Miguel Gonzalo; con'aper cibimiento que al que no lo haga ni comparezca le parara «1 perjuicio que haya lügafí Por providencia del tribunal’del consulado de Cádiz y escribanía de D. Elias Izquierdo, dictada en los autos de concurso de acreedores ádá compañía de.Campo, hermanos, se ha mandado citar y emplazar á cuantos se estijneú con'dérechó á los bienes y masa de dicha dependencia, para qúfe-en eljoréciso término de un año, con tado desde la publicació…</t>
  </si>
  <si>
    <t>…hijos, al Gefe supremo del Estado con sus ¡súbditos, Cádiz de 9 de Junio, refrendada del escribano de_Cámara lio— ..unos y otros se miran vergonzosamente condenados á. la •ñoravio D. Elias Izquierdo, se ha mandado citar-y emplazar í impotenciaá la nulidad, y aun-al desprecio.:, sin! ella..... cualquier! persona- que se considere con derecho á lá masa díjl pero basta., Señor; el día; en que comienza el .cuadro de concurso de acreedores de D. Agustiri'Butl…</t>
  </si>
  <si>
    <t>Izquierdo, Josef</t>
  </si>
  <si>
    <t>Josef Izquierdo</t>
  </si>
  <si>
    <t>…Consulado , que dieron principio en el de Enero del año pasado de 1819. Los alumnos de la clase de matemáticas t&gt;. Gaspar del Cuvillo, D. Joaquín del Cuvilio, D. Simón La val le, D. Josef Izquierdo y D. Andrés María Molina fueron examinados en el primer dia de Aritmética teórica y práctica desde el sistema de numeración hasta los núme ros denominados; y los alumnos dé la clase de comercio D. Pedro Viterí, D. Ambrosio de Villar, D- Juan Josef Áldama, D. Francisco María Mele y D.…</t>
  </si>
  <si>
    <t>J, Antonio'de</t>
  </si>
  <si>
    <t>Antonio'de J</t>
  </si>
  <si>
    <t>…biálla vácante una ra ción de la sáh?a iglésia ihétró^ólifaná*de Sta*Te ., cuya renta htíual¡está regu ’? ^ r 7J‘7lada en 1900, pesos. , 7"/ ^7^. "'7 j 7 77'¡7."• Por promoción de D. Antonio'de J,eon y Acérp a la dignidad 4® chantre se halla vacante la ración que obtenía én laf misma santaj iglesia Metropolitan^ de Sta. Fe , cuya renta está regulada ,en 1900 pesos al. .ano, Se admiten memo riales por término de 3P dias, contados desdé 20 derJurÚP* . P…</t>
  </si>
  <si>
    <t>J, Fernando Kamirez de</t>
  </si>
  <si>
    <t>Fernando Kamirez de J</t>
  </si>
  <si>
    <t>…ártires, confesores y varones venera de Abeheron, en la provincia de Schirwan, perteneciente bles del clero secular en forma de diario, que para honor del mismo clero ha compuesto D. Fernando Kamirez de J uque,en otro tiempo á la Persia, pero reunida actualmente á la vicario rector y cura beneficiado de la ciudad de Lucena: tomoR U5ia, lo que llaman fuego eterno. Desde un tiempo inme 7.0: primera y segunda parte. Los cuatro primeros tomos con morial salen llam…</t>
  </si>
  <si>
    <t>J, Juan</t>
  </si>
  <si>
    <t>Juan J</t>
  </si>
  <si>
    <t>…eriormente, he venido en aceptar lár dejación que ha hecho de él, quedando muy satisfecho del zelb con que lo ha se «■ vido; y he nombrado para el mencionado Despacito de Marina-á D. Juan J3-1 bat, debiendo seguir encargado de la interinidad del de Estado hasta lá rilegada de D. Evaristo Perez de Castro. Tendreislo entendido, y ib comunica-r reís á quienes corresponda para su debido cumplimiento, Dado en Palacio a 6 de Abril de 1820. —Está rubri…</t>
  </si>
  <si>
    <t>J, Xavier</t>
  </si>
  <si>
    <t>Xavier J</t>
  </si>
  <si>
    <t>…Habiéndose acordado que festados por la ciudaci de Vigo en una exposición, presen no se votara por partos, se aprobó en todo lo que no lo es tada á las Cortes por el Sr. Martínez (D. Xavier J, • sobré taba anteriormente.</t>
  </si>
  <si>
    <t>J., F.</t>
  </si>
  <si>
    <t>F. J.</t>
  </si>
  <si>
    <t>…arroquial del Campo de Larba/ diócesi de Jaén , 37 rs. y 20 mrs Núm. 8co: Doña R. C. i 60. Núm. 801. El limo. Sr. deán y cabildo de la Sta. iglesia catedral de Jaca 600. Núm. 802. D. F. J. D. V. 100. Núm. 803. Un limo, cabildo 175. Núm. 804. El Sr. abad, cura párro co de S. Martin de Madrid, por limosnas recibidas de sus feligreses 340. Nú-? mero 805. D. J. M. 400. Núm 806. D. Tadep López 100. Núm. 807 Don N. N. IO. ; . , En 31 de. Diciembre de 1819…</t>
  </si>
  <si>
    <t>Ja</t>
  </si>
  <si>
    <t>…l * Potrero. Con el teniente coronel Villaseñor fue el de igual clase D. Pablo María Mouliaa y el de realistas Don Epitacio Sánchez y el indultado D. Marcelo González ; con la del capitán Ja bera no fue nadie por ser e&lt;te práctico dei Terreno; con la del capitán Nogue^rol fue el indultado D. Patricio GonzaLez y el prisionero hecho en Santa</t>
  </si>
  <si>
    <t>…e en estos dos años pasados. Por providencia dél Sr. D. Manuel Fernandez Gamboa, juez letrado eqjjrimera instancia dó esta muy heroica villa, refrendada de su escribano del numero D. Ja cinto Gaona y Loeches, se ha señalado el dia 18 del corriente,en la audiencia de.S. S. y hora dé lásJ 12 y media para el remate de una casa sita en la! población dé Fuenlabrada, que su Calle llaman del Barranco, que contiene su sitió * 440 2 piés cuadra dos s…</t>
  </si>
  <si>
    <t>414 instancia de esta muy heroica villa, refrendada de su escribano del' numero D. Ja cinto Gaona y Lonches, se ha señalado el domingo 16 del corriente, en la posada de $. S., y hora de las nueve de su mañana, para una junta general de acreedores á los bienes quedados por fallecimiento de D. Vicente Avecía* A instancia de la Sra. marquesa viud…</t>
  </si>
  <si>
    <t>…la acriz Fuen Ayer publicó la Cámara de los Pares las siguientes reso. tes en favor de los desgraciados que padecen en Mallorca Jucionest desde el 17 de Agosto en adelante ningún lord Ja enfermedad contagiosa no ha sido perdido ; sus compa podrá ausentarse, so pena de una multa de too libras es ñeros y compañeras de es*c ten-ro están disponiendo una bri terlinas por cada uno de los tres primeros días, y de 50 llante función, con el laudable o…</t>
  </si>
  <si>
    <t>…ure dudas, que no estaba sujeta á él la propiedad territorial. mos &amp;c." Después de una discusión, en que pidió el Sr. Zapata En la gaceta de ayer , col. 4.% lío. 16, dice: El tfel Sr. Ja que se señalaran los 25 millones á que le habia rebajado el vier &amp;c. Suprímase este voto. MADRID EN LA IMPRENTA NACIONAL.</t>
  </si>
  <si>
    <t>Ja, Josef María de Pando</t>
  </si>
  <si>
    <t>Josef María de Pando Ja</t>
  </si>
  <si>
    <t>…alguna, sino varios apéndices y la ad las dos naciones. El infrascrito aprovecha esta ocasión para vertencia preliminar, en que .explican con mas extensión el es* presentar al Sr, D. Josef María de Pando Ja protesta.de sus píritu que Jes anima í imp'rimir estos documentos, que no es respetuosos obsequios. Palacio dé! Gobierno 18 de -Setiem otro que vplver.por la- opinión del Rey, de las Cortes, y de Ja bre-de [820. = El barón Moldlos, secretario del Gobierno.” N…</t>
  </si>
  <si>
    <t>Ja, M A. L. Véndese-en</t>
  </si>
  <si>
    <t>M A. L. Véndese-en Ja</t>
  </si>
  <si>
    <t>…reglo al espíritu de la Constitución política de ú Monarquía Española , presenfadb' ár las Cortés* en 12 de Noviembre de 1813, f premiado por la sociedad económica de Granada: por D. M A. L. Véndese-en Ja lfl3f&lt;?ná!'de Sauz, ’iéállé* dé‘ las Carretas, 'edíi él papel titulado Loctjüe espera España de sás'?epire¿éntánté¿ étrél*lpr6xínrfó Congresó: nacional, obra también del'mismo autor. ‘ EN LA IMPRENTA NACIONAL.</t>
  </si>
  <si>
    <t>Ja, Pascual</t>
  </si>
  <si>
    <t>Pascual Ja</t>
  </si>
  <si>
    <t>…envia zados del egército nacional y Real, tomando el título de das á sus casas. parlamentario, que de ninguna manera le corresponde por El comandante general de la quinta división D. Pascual Ja naturaleza de su comidon: 2.a porque en los sobredichos Real remitió al Excmo. Sr. general en gefe un parte dado dos papeles no se dan á la juma los títulos que en ella re por el teniente Coronel D. Manuel Matute , en que le comu conoce unánimemente la Nación…</t>
  </si>
  <si>
    <t>Jabar, Juan</t>
  </si>
  <si>
    <t>Juan Jabar</t>
  </si>
  <si>
    <t>…lemines de cebada; 16 fanegas, 5 celemines, 24 cuarti interinamente á mi secretario de’1 Estado y del Despacho de llos de centeno y 9 fanegas, 4 .celemines y } cuartillo de Marina D. Juan Jabar. Tendréislo entendido , y lo comu avena y escaño. nicareis á quien corresponde para su cumplimiento. = Está Consta ademas que en la villa de Villarrubia de Santia rtibricado.=Palacio t8 de Agosto de 1820. = A D.'Manuel go paga anualmente por el aprovechamient…</t>
  </si>
  <si>
    <t>…tan, para completar el estado general de toda la mi le. =: Está rubricado de la Real mano, ~ Dado en S. Loren licia de Guipúzcoa. ................. zo á 28 de Octubre de.i8:c. = A D. Juan Jabar.</t>
  </si>
  <si>
    <t>Jabat, Juan</t>
  </si>
  <si>
    <t>Juan Jabat</t>
  </si>
  <si>
    <t>T etL m togap&amp;fBxEvaa^o Pere* deCast*oT/qn t^iqístro-en Jiamburgo, en€»r^fdaínéé&amp;tanto1 fcí Despidcho de la ^hñéra Secretaría A¿ Estada á Don Juan Jabat t mí ministro plenipotenciario que ha sido en Constantinopla; mas no queriendo .dejar sín.jecqmpen.sf los distinguidos serviciqStg*; ha hecho al Estado el duque de S. Fernando , he tenido á bien nombrarle mi embajador extraordinario en la corte de Viéna. Tend…</t>
  </si>
  <si>
    <t>542</t>
  </si>
  <si>
    <t>…acultades á la aprehensión de desertores que no se presenten*.Tendreislo entendido, y lo comunicareis a quien corresponda. Dado en Palacio á 9 de Mayo de *820.= Está rubricado.^ A D. Juan Jabat. 3.0 ,,Firmemente decidido á guardar y hacer guardar, no tan solo la Cons titución política de la Monarquía española, sancionada por las Cortes gene rales y extraordinarias, que he jurado, sino también todos los demias decretos expedidos por las mismas, en pr…</t>
  </si>
  <si>
    <t>…las circunstancias, el solo progreso del tiempo bas En Palacio á 28 de Setiembre de 1820. = Rubricado de la taba para aumentar el empobrecimiento. Recordó las difi Real mano. = A Don Juan Jabat. cultades y violencias con que se habia recaudado la con tribución desde el año 17; la escasez actual de numerario SECRETARIA DEL CONSEJO DE ESTADO. de resultas de los Inmensos gastas de las expediciones de Ultramar posteriores al año referido, y concluyó dic…</t>
  </si>
  <si>
    <t>…siguiente: «Entendiéndose abolidos estos y circule. = Rubricado de la Real mano. = En Palacio á puestos públicos como toda especie de estanco y monopo 25 de Setiembre de i82C. = A D. Juan Jabat. lio municipal;” laque se mandó pasar á la comisión. No se admitió á discusión la indicación siguiente del 2.0 «A consecuencia de la resolución de las Cortes de 8 Sr. Alvarez Guerra : «Que se admita á los pueblos en pago del corriente, aprobando que la nueva…</t>
  </si>
  <si>
    <t>…er El Rey se ha servido expedir el decreto siguiente: juicio de la resolución definitiva de las Cortes sobre el par «Atendiendo á lo sobrecargado que se halla de negocios ticular. D. Juan Jabat, encargado inrerinamente de la secretaría del Otra del Sr. Díaz de Morales: «Que se lleve á efecto Despacho de la Guerra, he tenidoábien mandar que mien la resolución del Congreso en esta ñocha de que no se le tras llega D. Cayetano Valdés, secretario de Esta…</t>
  </si>
  <si>
    <t>…n hoy: entre otras pruebas del favor Í !srá rubricado de la Real mano. = Dado en S. Lorenzo á con que son acogidos y tratados, cita ¡a orden dada por el a8 de Octubre de 1820. = A D. Juan Jabat. ministro portugués para dejar pasar al ingles Mawe á las minas de diamantes, cerradas hasta entonces á todo extranEl Rey. á instancia de lá junta de gobierno de la com gero. A pesar de la relación del coronel Eschwege y las pañía de filipinas, dirigida á S.…</t>
  </si>
  <si>
    <t>…otros innumerables pueblos, que se derramaban dente Gefe político interino. = Excmo. Sr. = Lorenzo Pera- perpetuamente del norte del Asia sobre estas regiones, ani veles. = Excmo. Sr. D. Juan Jabat, ministro interino del madas del sol, ahora que está en medio de los tártaros, Despacho de la Guerra.” conquistados por las artes de la Europa, le bastará el tiem Nota que se cita en el oficio anterior. po solo para extender sus progresos, y realizar su triun…</t>
  </si>
  <si>
    <t>…=Está rubricado de la Real ministrador del erario al conde de Sampayo. mano.ee Dado en S. Iloreuzo á 28 de Octubre de 1820.= Acta del juramento prestado por el Gobierno en la se A D. Juan Jabat. sión del i a. Circttlar del ministerio de la Gobernación de la Península. A 11 de Noviembre de 1820 habiéndose reunido en el palacio del Gobierno el muy* honrado juez del pueblo de El Sr. secretario del Despacho de Hacienda me dice esta ciudad de Lisboa Juan…</t>
  </si>
  <si>
    <t>…e las santas manos de la libertad cule. = Rubricado de !a Real mano de S. M.=rEn 5. Lo cuando depositan sus votos en otra tima que en el seno de renzo á 7 de Noviembre de 1820.= A D. Juan Jabat. la patria. Considerad, considerad desde ahora que desde Circular del ministerio de la Gobernación de ia ¡’eninsuia. el momento de las elecciones comprometéis vuestros bienes, Los Sres. difftitados secretarios de las Cortes con la fe vuestras libertades, vues…</t>
  </si>
  <si>
    <t>…asta el 17. Ksper díase que los y circule. = Está rubricado de la Real mano. = En S. Lo primeros periódicos extrangero: que se recibieran pre en renzo á 7 de Noviembre de 1820.= A D. Juan Jabat. taran ya noticias interesantes, capaces de poder formar al 2.0 Don Fernando vii por la gracia de Dios y por la gún juicio acerca de los sucesos políticos de Europa, sobre Constitución de la Monarquía española, Rey de las Espadas, que los Soberanos del Norte…</t>
  </si>
  <si>
    <t>Jabat.’, Juan</t>
  </si>
  <si>
    <t>Juan Jabat.’</t>
  </si>
  <si>
    <t>…, según la correspondencia de clases en ambos cuerpos. Tendreislo asi entendido, y dis pondréis lo conveniente á su pronta y debida egecucion. En Palacio á 11 de Mayo de 1820. = A D. Juan Jabat.’* " «TÉ'Con arreglo á lo que se ofreció en la gaceta anterior, se empiezan á in sertar las contestacione^de las Cortes extrangeras' sobre el restablecimiento del sistema constitucionaben España. Carta del Rey de Inglaterra á S. M. ,,Señor mi Hermano: He lei,do…</t>
  </si>
  <si>
    <t>Jabera, Julián</t>
  </si>
  <si>
    <t>Julián Jabera</t>
  </si>
  <si>
    <t>…os, que debían recorrer todo el puerto del Purgatorio, cañada de las Santas Marías, cerros de Alcocer, cañadas de las Minas, á bajar á Jalpilla; otra ai mando del capitán graduado D. Julián Jabera, que con 80 caballos y 40 infantes recorriese las cañadas del Peñón, Ixtla, cerros del Pi cacho, parte del de la Rosa, y bajase á los ranchos de Maldonado, é inme diaciones de Chamacuero; otra al mando de mi ayudante capitán del regi miento de infantería de l…</t>
  </si>
  <si>
    <t>Jabionowski</t>
  </si>
  <si>
    <t>…ose parte sobre el Adige, y parte en Lóndres 8 de Setiembre. tre el Adigeyel Brenta, en donde se han acantonado. Se di camara de los lores.— Continuación de la sesión ce ya que el príncipe Jabionowski, ministro de Austria en de 1° de Setiembre. Nápoles, ha sido llamado, y que Ha salido ya de aquella Mr. Williams, que continuaba el- contra-interrogatorió ciudad. de la señorita Dumont, la preguntó si habia escrito á sú ALEMANIA. hermana , diciéndole que si l…</t>
  </si>
  <si>
    <t>Jablonovvsky</t>
  </si>
  <si>
    <t>…tulado el Mercure Su ¿ve 1300estudiantes, entre los cuales se haltan el príncipe Emi del 3 de este mes se lee el artículo siguiente: «Si se.declalio de Holstein-Augustembourg y el príncipe Jablonovvsky, ra la guerra entre el Austria y el reino de las Dos .Sicilias 3 2 condes y 103 nobles. Los hijos del difunto, príncipe .tí papa ,se trasladará á Genova, porque las tropas extranje de Schwarzenberg, oue estudiaban también en. la misma ras ocuparán sus estados…</t>
  </si>
  <si>
    <t>Jacin</t>
  </si>
  <si>
    <t>…EL CONSEJO DE ESTADO. ra su calificación por el juez de primera instancia de dicha Cuenca1 del Perú. Por fallecimiento de D. Juan Ma capital D. Juan Manuel de Moya , á petición de D. Jacin nuel Díaz de Avecillas ha quedado vacante la dignidad to Cuarrero, denunciador del artículo inserto en dicho nú de deán de aquella santa iglesia catedral que obtenia en ella; mero, bajo el epígrafe Reflexiones de un mudo. Enterada cuya renta está regulada en…</t>
  </si>
  <si>
    <t>Jacinto</t>
  </si>
  <si>
    <t>Por providencia del Sr. D. Josef Martínez Mnqcoso, juez letrado de primera ins tancia de. esta muy heroica villa, refrendada de su escribano del numero D. Jacinto? Graona y Loechés„se han mandado sacar á pública subasta por término de 30 dias¿: contados desde 13 del corriente., las tierras y fincas siguientes: una tierra en el olí* var de Ambroz, de seis fanegas y ocho celemines, en jjióó.rs.: otra en dicho sitio, de t…</t>
  </si>
  <si>
    <t>…o artículo se dirige memoriales por el término de 30 dias con sus respectivos • á manifestar ciertos hechos relativos á la conducta y manejo extractos ó relaciones de méritos. del D. Jacinto en el ejercicio de su empleo , que si son verda deros , no constituyen al autor en laclase de los infractores Continuación de Jas fincas consignadas al establecimien de la ley sobre libertad de imprenta ; pero que si por el con to del Crédito público para la…</t>
  </si>
  <si>
    <t>Jacinto, Carlos</t>
  </si>
  <si>
    <t>Carlos Jacinto</t>
  </si>
  <si>
    <t>…rx y arbitrios, pósitos y otros cualesquiera ramos de los pue á D. Benito Fernandez Daza : para el de Fuente de Cantos blos , como también todo lo correspondiente á las remas de á D. Carlos Jacinto ‘ de Cea y Aballé : para el de Herrera la Hacienda nacional y Crédito público; y que los deudo de la Serena á D. Antonio Machado y Montano: para el res, que han de estar suspensos ae los derechos de ciudada de Lleréna á D. Carlos Angulo ‘y Urdaivas: para el d…</t>
  </si>
  <si>
    <t>Jacobo</t>
  </si>
  <si>
    <t>…8." Se entregará al citado cabildo por los PP. jesuítas Se mandó pasar á la comisión da Infracciones una queja y junta de su. restablecimiento todos los bienes, efectos, dada por D. Jacobo de la Puente. aliiajas y demas que recibieron pertenecientes al mismo ca A la de División de territorio, una exposición del ayun bido. tamiento de Cartagena, sobre que se erija á esta ciudgd en 9-J La misma entrega se hará á los PP. misioneros del capital de…</t>
  </si>
  <si>
    <t>Jacobogunos</t>
  </si>
  <si>
    <t>…cturnas que se habían formado el dia 9 de lo que las Cortes quedaron enteradas.de este mes delante de la casa de ayuntamiento, hubo al El Sr. presidente manifestó que el ciudadano D. Jacobogunos altercados y amenazas, se oyeron gritos indecentes, Villanova y Jordán ofrecía una obra sobre la mejora deprovocativos y sediciosos, y que esto daba á las reuniones cárceles, y un magnífico modelo de estas. Después de re cierto carácter reprensible &amp;c.,” decr…</t>
  </si>
  <si>
    <t>Jaén, Euge</t>
  </si>
  <si>
    <t>Euge Jaén</t>
  </si>
  <si>
    <t>…... 2 Cartas á Sofía en prosa y verso sobre la física, la quí Córdoba........................................................ ti mica é historia natural traducidas del francés por D. Euge Jaén.......................... ....................... .......... nio de Tapia: 4 tomos en 8.° adornados con 4 láminas finas, Andújar......................................................... 1 que representan las estaciones del año. En esta obra, que Murcia.......…</t>
  </si>
  <si>
    <t>Jaén, Juan Pió</t>
  </si>
  <si>
    <t>Juan Pió Jaén</t>
  </si>
  <si>
    <t>…nio Arriba, D. Diego Gastambide, Don Termin Antonio Arriaga, D. Antonio Lázaro y Pozo, D. Pablo González, Don Francisco Xavier Guerra Balboa, D Juan de la Torre, D. Mariano Mamar, Don Juan Pió Jaén, D. Manuel Vacas y Pinilla y los señores Balmaseda ¿ hijo, últimos tenedores de 37 vales, citación de fi.° dc Enero de 1809., señalados: 9 de ñocrpesos con los números 365,061; 365,483; 366,553; 369,205; 369,421; 374,623 5 374.7435 374,907 y 376,109 : ídem 4…</t>
  </si>
  <si>
    <t>Jahar, Juan</t>
  </si>
  <si>
    <t>Juan Jahar</t>
  </si>
  <si>
    <t>…ique v circule. = Fst.í .rubricado de la Tolosa jo de Noviembre. Real manó. Dedo en S. Lorenzo á 28 de Octubre de 1820. Es providencia muy política la que confia la seguridad rr A D. Juan Jahar.” y orden de los pueblos á los mas interesados en su conser ■ 2.” Don Femando vil por la gracia de Dios, y por la vación. Dirigiéndose á este principal objeto el estableci- Constitución de la Monarquía española, Rey de las E'pañss, jnieriro y organización de…</t>
  </si>
  <si>
    <t>Jahn</t>
  </si>
  <si>
    <t>…ién se ha resuelto que las decisiones de la Dieta dé Eraric- ; fort deberían sujetarse á los decretos del Congreso de Vicna. ALEMANIA. i # , Francfort j de. Mayo.~i El desgraciado catedrático Jahn ha caído enfermo en la piision.donde está.</t>
  </si>
  <si>
    <t>Jaime</t>
  </si>
  <si>
    <t>…jos, túmida y biere procedido. demás compañeros. Las Cortes en vista de esta exposición, «La junta manda finalmente qué V. remita á esta se y en consideración al largo padecer del doctor Jaime \ sus cretaría de los Negocios del reino una certificación del dia compañeros, y particularmente al modo ignominioso con y hora en que reciba estas órdenes. Dios guarde ¿ce. Patu que fueron conducidos por las calles de Granada, de cuyo do del Gobierno á 8 de…</t>
  </si>
  <si>
    <t>Jaime, Josef Maria</t>
  </si>
  <si>
    <t>Josef Maria Jaime</t>
  </si>
  <si>
    <t>…tes con fecha 16 del paso, como el único que pedia salvarlos de su total ruina, actual me dicen lo que copio. justifica plenamente las medidas que hasta ahora se han to «El Doctor D. Josef Maria Jaime, vecino de Granada, mado; y la paz y sosiego de que tan felizmente hemos dis-r y alcalde constitucional que fue en la misma ciudad en el frutado es un bien, y una señal manifiesta con que la manó año de 1814, ha expuesto á las Cortes en representación de del…</t>
  </si>
  <si>
    <t>Jaime, N.</t>
  </si>
  <si>
    <t>N. Jaime</t>
  </si>
  <si>
    <t>….Sres.-Ochoa y conde de Toreno expusieron que si so cándose de lo que pudiera atribuírsele con motivo de la ex aprobaba el dictamen, se derogabá la ley en que acababan posición de D. N. Jaime, juez de primera instancia de di de prohibir las‘Cortes la importación de granos extrangecha ciudad. fos; y en-seguida se declaró no haber lugar á votar. A la de Premios una exposición de D. Pedro Ignacio Se leyó por tercera vez el proyecto de decreto sobro d…</t>
  </si>
  <si>
    <t>Janee</t>
  </si>
  <si>
    <t>…recayó en el Sr. Cortés, sacando 74 votos. Sesión ordinaria del p de Octubre» Concluida la elección, se continuó ladiscusion pendiente Leída y aprobada el acta de ia anterior, el Sr. Janee sobre el dictamen de la comisión de Hacienda. manifestó que en la gaceta de este dia habia leido que la di Se leyó la parte de este relativa á la regalía de aposen putación de la ciudad de Mallorca se quejaba de que los ca to. Como este impuesto, cargado sobr…</t>
  </si>
  <si>
    <t>Janer</t>
  </si>
  <si>
    <t>…as causas de Cádiz, Zaragoza y Burgos se puede señara mas que á los novicios. decir muy poco mas que el curso ordinario ae la justicia Se mandó pasar á la comisión una adición del Sr. Janer, las adelanta, y el Gobierno conserva sobre ellas la vigilancia relativa á que no se variasen algunos libros de enseñanza, legal que le está permitido; pues el abreviar los procedi supuesto que debia ser el plan de poca duración, y que se mientos de la justic…</t>
  </si>
  <si>
    <t>…ndoles su trabajo Lo mismo se verificó con el cuarto después de alguna de los fondos comunales, y sacando á pública subasta igual discusión, en la que el Sr. Tapia, contestando al Sr. Janer, mente, y bajo el mismo método que va dicho', &gt; las obras que quería hubie e señalado la comisión los libros elementa de puentes ó calzadas que haya que hacer, sujetándose á la les, expreso que no habia podido hacerlo por ser muy po anchura que por el Gobiern…</t>
  </si>
  <si>
    <t>…ico á V. E. para su inte incompatible con el cumplimiento de sus deberes.” ligencia, y A fin de que se sirva disponer se publique en la Tampoco se aprobaron otras indicaciones del Sr. Janer, gaceta del Gobierno. Palacio 9 de Agosto de 1820. para que se dijera solamente «los médicos, cirujanos, botica rios y alheñares aprobados y en egercicioadición del Por el ministerio de Hacienda se ha expedido el siguien Sr. Losada á la indicación aprobada po…</t>
  </si>
  <si>
    <t>…a que se mandó pa¡ar toda persona en quien se remate cualq. iera finca dé y se á la comisión de .Agricultura. le exija ia fianza en el acto del remate, según esta preveni Otra del Sr. Janer, leída por primera vez en iS de Ju do por las leves." lio. concebida en estos términos: «Que las Cortes pidan ó Después de concluida esta dlscuríon pregunr i el Sr- Rainvi en a S M. para que dé el primero el patriótico y po monet, con el diario de Cortes del…</t>
  </si>
  <si>
    <t>…ies o de cuanto dbponen en esta parre los cánones tículo á la segunda junta que se instaló en Navarra, como y breve pontificios, las leyes recopiladas y el Real decreto lo hizo el Sr. Janer para la de Barcelona; pero el Sr. Mos- de 9 de Marzo último, que ha renovado el de las Cortes coso hizo presente que la comisión se había, limitado á las extraordinarias de 22 de Febrero de 1-113 , no puede en que reunió el pueblo er» los primeros momentos de…</t>
  </si>
  <si>
    <t>…constitucional ¿denunciar de oficio, ó en virtud de excitación cusión. del Gobierno ó del Gefe político de la provincia.” Art. 3;. «En los cacos de injurias solo podrán acusar El Sr. Janer expuso que le parecía no ser necesaria la las personas á quienes las leyes conceden esta acción." eoncurrencia.de! fiscal con los síndicos del ayuntamiento, y Al Sr. Lobato le pareció que este artículo' era muy in pidió que en lugar de decir y los síndicos se…</t>
  </si>
  <si>
    <t>438</t>
  </si>
  <si>
    <t>…r. Díaz del Moral , contrario á lo resuelto ayer Lisboa 2/ de Setiembre. por el Congreso en cuanto‘al número de j’urados; el del ET Gobierno ha mandado publicar en la gaceta la si Sr. Janer, contrario á que los ayuntamientos nombrasen los guiente carta, declarando al mismo tiempo que el dona jueces de hecho, -y el ae los Srerí Róvira, Díaz Morales y tivo que en ella se menciona, propio de la fidelidad de un Domínguez’, contrario á que el número…</t>
  </si>
  <si>
    <t>…ho e'l mismo; y caso que no bastase, habia lugar 1. a «Que se extinga la oficina de regalía de aposento, para publicarlo. que hasta aquí ha corrido con su recaudación y manejo. El Sr. Janer repitió que era verdad lo que decía el se 2. a «Que se encargue á la intendencia y oficinas de ren ñor Diaz; pero que lo que habia querido decir era que sola tas de la provincia. mente se habia de entender respecto á Mallorca, pero no a 3.a «Y que continúe el…</t>
  </si>
  <si>
    <t>…en la capital á la vista del Gobierno y de las Cortes, Se mandó pasar á la comisión de Instrucción pública con mas razón y aun mucho mayores se experimentarían una indicación dei Sr. Janer, en que pedia que las Cortes en los países distantes, como Manila, Lima, Chile ó Mé dijesen al Gobierno, que por todos ¡os medios que estuvie xico ; por todo lo cual creia que debía pasarse á la comi sen á su alcance promoviera la traducción é impresión sión…</t>
  </si>
  <si>
    <t>…no haber A la comisión de Comercio se pasó un expediente se lugar A votar, y se mandó volver A la comisión, .A petición guido por los ayuntamientos de Gerona y Tarragona sobre del Sr. Janer, que opinaba debia derogarse (a ley en cuanto A puntos de comercio. la edad, atendiendo en los exámenes únicamente A la .su " A la de Infracciones se pasó una exposición del Gefe ficiencia. político de Madrid, vindicándose de la queja dada contra Se aprobó el…</t>
  </si>
  <si>
    <t>…ue seséparaíe la primera-de 1» quí ’ -nuevó 'núintíntó dé-profesores', no se admitió á discusión la mica , y que se incorporasen la botánica y agricultura. indicación referida. El Sr. Janer apoyó con las mismas reflexiones la sepa A la comisión se mandó pasar otra del Sr. Magariños, ración de ■ las- cátedras de mineralogía y de qaímica ,:arten- que deera::..MQue-se.establezca'universidad-de* provincia pa diJa la utilidad de la mineralogía en un…</t>
  </si>
  <si>
    <t>…abolición del derecho de cuatentena que Se mandaron pasar á la comisión las indicaciones si se cobra en Valenda. guientes : A la de Marina una exposición del consulado de la CoDel Sr. Janer: «Que en los pueblos de gran vecindario ruña sobre que se establezcan en aquel puerto los correos que no sean capitales de provincia, puédanlas diputaciones marítimos. provinciales, si lo juzgan conveniente, establecer alguna de A la segunda de Legislación un…</t>
  </si>
  <si>
    <t>…cierta de la tesorería Las Cortes recibieron con agrado los egeinplares de una que pertenecía por la mayor parte á beneméritos militares! obra elemental científica que presentó el Sr. Janer. El Sr. conde de Toreno manifestó que en su opinión el El Sr. Moreno Guerra leyó por primera vez el dicta dictamen de la comisión era justísimo, pues.habia hecho men de la comisión de Agricultura , acerca de las proposi dos grandes separaciones de la deuda na…</t>
  </si>
  <si>
    <t>…hamonde , Lo re ci por adicto al sistema constitucional, hasta- ser sentenciado zaña , Verdú y Montoya. a 8 años de presidio, en donde murió, dejando 2 hijas de Habiendo pedido el Sr. Janer que continuara también, tierna edad; por lo que pide se atienda á su subsistencia; la comisión de Salud pública, se acordó asi; y para-ella cuya exposición venia por el ministerio de la Gobernación nombró el Sr. presidente á los Sres. Cepera, Janer, Azaola, d…</t>
  </si>
  <si>
    <t>Janer, Félix</t>
  </si>
  <si>
    <t>Félix Janer</t>
  </si>
  <si>
    <t>…es que les sugieran su ilus Se leyó un oficio del Sr. secretario de la Gobernación de tración y su zelo ; y oyendo ademas á las personas y cor la Península, en que participaba que D. Félix Janer, actual poraciones que tenga por conveniente, presente en las pri diputado en Cortes, habia sido el único opositor que se ha meras sesiones de la legislatura inmediata las observaciones bia presentado para la cátedra de vísperas en la facultad de que crea con…</t>
  </si>
  <si>
    <t>Jansén</t>
  </si>
  <si>
    <t>…el núm. 24 de la colección, y último de dicho ano',’ y córftiene; cavatina de la ópera las Iravde Aqpiies, del célebre maestro Puccíttay dos po lonesas y trios para pianoforte del caballero Jansén. En los afrñacenes de ñáúsica da la calle del Turco y carrera de S. Gerónimo se hallan de venta colecciones comple tas de los 24 cuadernos del primero y segundo año de dicho y periódico, yrtpdá$ Jai piezas sueltas que se han publicado hasta este dia: también…</t>
  </si>
  <si>
    <t>Jara, Francisco Gómez</t>
  </si>
  <si>
    <t>Francisco Gómez Jara</t>
  </si>
  <si>
    <t>…del mismo tuvieron la'honra de besar las manos á SS. MM., y felicitarles por igual causa, á nombre del cabildo de la santa iglesia catedral de Cartagena de Murcia, sus individuos D. Francisco Gómez Jara, chantre, del Consejo de S. M., y decano deá tribunal de la Rota , D. Josef Lledó, mi nistro dePReal Consejo de las Ordenes, y D. Juan López Pelegrin, capellán de Honor de S. M., canónigos; y el primero dijo: ,, Señor: Cuando V. M. pensó en su enlace con la i…</t>
  </si>
  <si>
    <t>Jaudenes, Vicente</t>
  </si>
  <si>
    <t>Vicente Jaudenes</t>
  </si>
  <si>
    <t>~ Tsé! fést^tjíédá^ePdla ib cíe Abril, y eítt eV rnismó áctd prestaran el- juramentó á la Gonístitucíorí en manos del Hx-: oelestíwmo Sr. Gere político ,{ su presidente, los Sre*. D. Vicente Jaudenes, intendente, D. Antonio Marte!, D. Francisco Crespo de Tejada , D. Joaquín' Manrique .y Manrique;, T?. Martin 4e rGoicoecheay el secretario D. Juan Francisco Morate; y los señdres D. Jóséf López Alonso, D. Francisco FernándezGascó y É&gt;. Simón González: Yuste,…</t>
  </si>
  <si>
    <t>Jáuregui, Francisco Huarte</t>
  </si>
  <si>
    <t>Francisco Huarte Jáuregui</t>
  </si>
  <si>
    <t>…anes de azúcar y otros despojos; habiendo perdido entre muertos, heridos y ahogados por un cálculo^ prudencial mas de 50 hombres. El señor gobernador intendente interino de Potosí D. Francisco Huarte Jáuregui,, con fecha 26 de Marza próximo pasado, avisa ai? señor general exí gele del egérdtor del Pérúy y este á Ib superioridad; ios resultados de la ex-; pedición, qué si rlab órdenes: dél teniente corone! D. ’ Mariano Matorras hizo obrar sobre Ja doctrina: dé Pocó…</t>
  </si>
  <si>
    <t>Jáuregui, Manuel de</t>
  </si>
  <si>
    <t>Manuel de Jáuregui</t>
  </si>
  <si>
    <t>…anislao Sán chez Salvador, y D. Blas de Fournás. Con igual fecha había dispuesto el general en gefe del egéreito D. Manuel Freíre que el mariscal de campo D. Francisco Ferraz y el brigadier D. Manuel de Jáuregui pasasen á Cádiz á relevar el primero al mariscal de campo D. Josef Ignacio Alvarez Campana, y el segundo al brigadier D. Alonso Rodríguez V aldes. EN LA IMPRENTA NACIONAL.</t>
  </si>
  <si>
    <t>…bido el parte si guiente: _ ' ,, Exento. Sr.: Según manifesté á V- E. en mi oficio de ayer han pasado esta mañana á la plaza de Cádiz el mariscal de campo D. Francisco Ferraz y el brigadier D. Manuel de Jáuregui con el objeto de relevar á los de igual clase y grado D. Josef Ignacio Alvarez Campana y D. Alonso Rodríguez Valdés, que se me han presentado y permanecen en este cuartel genera!. En dicha plaza debe haberse jurado esta tarde la Constitución política de la Mo…</t>
  </si>
  <si>
    <t>Jáuregui, Manuel Francisco de</t>
  </si>
  <si>
    <t>Manuel Francisco de Jáuregui</t>
  </si>
  <si>
    <t>Gaceta de Madrid n.º 47 (extraordinaria)</t>
  </si>
  <si>
    <t>…l interino de An dalucía y en Gefe de aquel Égército á D. Juan O-Donoju: Gobernador dé Cádiz al Teniente general Don Cayetano Valdés; y Teniente de Rey de dicha-plaza al Brigadier D. Manuel Francisco de Jáuregui, con ordentde que se encargue del gobierno hasta la llegada del referido D. Cayetano Valdés. Al mismo tiempo se han dado las mas amplias facultades al General O-Donojú para que arreste y forme causa a tpdos los culpables en los disturbios de Cádiz y demas des…</t>
  </si>
  <si>
    <t>Javat, Juan</t>
  </si>
  <si>
    <t>Juan Javat</t>
  </si>
  <si>
    <t>…a llegada á esta ca pital de D. Antonio Pórcet y del citado D. Josef Canga Ar guelles. Tendreisío entendido , y dispondréis lo conveniente á su cumplimiento. = Está rubricado. = A D. Juan Javat.” Nota. Se ha expedido por extraordinario de ayer al señor Canga Arguelles el aecreto que le concierne.. E1‘ Rett se ha servido nombrar Inspector general interinode Infantería al Teniente general D.. Josef Santocildespor re nuncia que ha hecho el de igual cla…</t>
  </si>
  <si>
    <t>Javier</t>
  </si>
  <si>
    <t>…ue sufren por e-ta A las de Hacienda y Guerra reunidos-una exposición razón." de los accionistas del banco Nacional para el pago puntual A las momas se pasó otra del Sr. Martínez (D. Javier), de ios vitalicios. ...... que decía: «Que lo resucito en este dia no forme estado ni A la de Instrucción pública otra exposición de cinco es obste a lo que se deba resolver cuando se trate del arrest o colares naturales de Gcennca- para que se les habilite…</t>
  </si>
  <si>
    <t>…ones que habían entendido que lo haga AS. M., A fin de que se sirva disponer lo con en el asunto precedente la siguiente indicación del Sr. Mar veniente A su cumplimiento.” tines (D. Javier): «Que sea extensiva la gracia A todas las Lo que de Real orden comunico á V. para su inteli demas pensiones ó prestaciones, que por cualquiera otro gencia y cumplimiento. Madrid 30 de Setiembre de 1820. pueblo ó provincia se satisfagan sobre lincas que perte…</t>
  </si>
  <si>
    <t>Jbarzacompuesta, Gabriel de</t>
  </si>
  <si>
    <t>Gabriel de Jbarzacompuesta</t>
  </si>
  <si>
    <t>…pueblo de Inglaterra; S. A. R. viendo encami en que prestaron el juramento, y fue bendecida la bandera, narse á Brandebourg-House una porción de popai.nh&gt;, mandada trabajar por el comandante D. Gabriel de Jbarzacompuesta de artesanos, vidrieros, de barqueros íkc., creyó bal. Los oficiales dieron una abundante comida á todos sus conveniente seguir tan respetables egemplos. De coridruciite subalternos , y por la noche hubo un baile en la ca^a con se presentó en la habitación de…</t>
  </si>
  <si>
    <t>JBobadas, Felipe Fernandez</t>
  </si>
  <si>
    <t>Felipe Fernandez JBobadas</t>
  </si>
  <si>
    <t>…ita en la plazuela del duque de D. Juan Villa y Olier , se cita, llama y emplaza á Mr. ThiAlba, mím. 23 , manz. 143 , donde antes estuvieron situa baud, D. Francisco Xavier Duran, D. Felipe Fernandez JBobadas la' oficinas del establecimiento. dfila, D. Diego Moreno, D. Migual Francisco Aspiroz, Don Otra idem en la calle de Jacometrezo, núm. 2, manza Miguel Antonio de la Torre, D. Luis González y D llenrina 3; ; ; cuyas fincas son las únicas de que hasta el día ha…</t>
  </si>
  <si>
    <t>JBocanegra, Miguel</t>
  </si>
  <si>
    <t>Miguel JBocanegra</t>
  </si>
  <si>
    <t>…Alanis, como herederos de Don Pedro García Alanis, los traslados que les ha conferido en 9 de Setiembre de 181;* y, 29 de Febrero último, en el pleito que en aquel juzgado siguen D. Miguel JBocanegra y D. Fernando Domínguez de Castro sobre, entrega*dc 8979 rs. y 8 mrs., que</t>
  </si>
  <si>
    <t>Jc-</t>
  </si>
  <si>
    <t>…ch.. 4,000 caudación........................................... 2,357- c Por lo entregado en .virtud de orden da Ala suscripción destinada para socorro Ja diputación provincial al Sr. D. Jc- de los pueblos contagiados en Ma sef. Zorraquin, diputado que fue por llorca.................................................... 9,915-31 . Madrid á Cortes extraordinarias , en parte de pago de su haber, y á bue na cuenta de lo que deba correspon 410,386- 2-…</t>
  </si>
  <si>
    <t>Jdiiregui, María Díaz de</t>
  </si>
  <si>
    <t>María Díaz de Jdiiregui</t>
  </si>
  <si>
    <t>…do joven, de 2 robos y 12 al jóvenes, se han publicado otras dos traducciones diferentes, con. mudes. títulos algo diversos, en la gaceta del 7 de Agosto último; pe Capellanías de Doña María Díaz de Jdiiregui. to la presente les lleva muy considerables ventajas, tanto por la Una ídem plantado jóvrn, de ó años,de 8 robos, 13 al inteligencia con que está hecha, como en su mejor impresión y mudes. en el campo de S. hados y Qilchetas. mas barato precio. Otro plantado…</t>
  </si>
  <si>
    <t>Je</t>
  </si>
  <si>
    <t>…, Josef Canga Arguelles. nes del egército y armada pira obtener cierto número de prebendas, quedándoles la puerta abierta para que aspiren Por Real orden comunicada á la dirección general Je á todas, según creyesen convenirles, atendidos sus méritos. correos, con fecha de 26 del corriente, se ha servido S V. Lo cual se entenderá por ahora hasta que se sancione el re resolver que la conducci.-n de la corresp &gt;ndei.,.ia urd:u..pa glamento general d…</t>
  </si>
  <si>
    <t>Jesucristo</t>
  </si>
  <si>
    <t>…hermoca pastoral de nuestro las reformas , y que liaran llorar a muchos los nuevos de gobernador eclesiástico; y no hay person 1 alguna aman cretos; ¿¡ ero no tiene dicho nuestro Señor Jesucristo bien— te de ¡a Con-r tucion y del Rey q e no admire as be avente-r ,tos I s ,;iic //&lt;r.o ? ¿no pueden ofrecerse á Dios llas máximas q e contiene cte escrito , d'gno de leerse &gt; de es-as ligrimas co ro un sacrificio hecho al pie de sus altares, servir de model…</t>
  </si>
  <si>
    <t>Jíolland</t>
  </si>
  <si>
    <t>…(Se continuará.) Sr. secretario ; el uno sobre una equivocadoh.padeci.da;en la Idem 6.. fpc'ia del.decreto sobre tabacos, y el otro.noticiando haber En la sesión de ayer preguntó lord Jíolland á los#ni~ se dado: ¡as correspondientes órdenes para que de los ramos nistros de S. M. si el Gobierno austríaco les habia comu del .Excusado, y Noveno se suministren á los labradores -de nicado de oficio cuál era el objeto de los preparativos...mili Salamanca…</t>
  </si>
  <si>
    <t>Jíuol-Schauenstein</t>
  </si>
  <si>
    <t>…odos los desórdenes El lord Dacre se levantó, y dijo que poco después de ha de Sicilia, ha tenido que huir embarcado. ber entrado en la Cámara había recibido una protesta de la El conde Jíuol-Schauenstein, ministro de Austria, pre Reina, cuyo contenido no había examinado con atención; sidente de la Dieta germánica, llegó el 10 á esta capital, y</t>
  </si>
  <si>
    <t>Jo</t>
  </si>
  <si>
    <t>sentacion á indulto del rebelde cabecilla titulado teniente general Dr. D. Jo sef Antonio Magos y otros varios. ,,La larga correspondencia que me ha enviado Villaseñor la dirigiré á V. E» por el correó , haciéndolo ahora de este oficio ', para que V. B. tenga esta anticipada satisfacción, y vea con gusto el fruto de sus disposiciones,…</t>
  </si>
  <si>
    <t>…vecino de esta corte, se le cita, llama y emplaza por el presente, para que en el término de 10 días, con tados desde la publicación de este anuncio, se presente en el juzgado del Sr. D. Jo sef María Puente, del Consejo de S. M., alcalde en su Real Casa y Corte, y escri banía de provincia de D. Cárlos Rodríguez de Moya, para hacerle saber cierta pro videncia; con apercibimiento que sí no lo hiciere le parará el perjuicio que haya lugar. Se halla…</t>
  </si>
  <si>
    <t>…D. Tomas deZerain, teniente de caballerizo ma yor en Córdoba, ha participado lo siguiente al Excmo. Sr. conde de M randa. „ Excmo. Sr.: Habiendo llegado á esta ciudad el teniente general D. Jo sef O-Donell el dia 9 descorriente á la caída de la tarde con su tercera divi sión, descansó el 10, y ayer 11 salió para el cuartel general del Puerto de Sta. María á las nueve y media de la mañana; y al tiempo de marchar me pasó el oficio siguiente: Egército…</t>
  </si>
  <si>
    <t>…ia, y después de -D. Antonio Villaurrutia, á D. Francisco Marchámalo, á quien S. M. había nombrado también para una de las plazas del mismo tribunal. Se desea saber el paradero de D. Jo^ef Camino, natural de Vímianzo, en Gali cia, quien hace algún tiempo pasó á Madrid Se dar razón sobre su paradero, diri giendo; e á O. Ba ilio de Castro, vecino de la ciudad de Santiago, ó en Madrid en la calle, del O ¿va bajo, níím. 24, cuarto segundo El de…</t>
  </si>
  <si>
    <t>…e lero ; el brigadier D. Josef Rich ; el mariscal de campo Don 2 tomos en 8.° de buen papel y letra, los que se hallan en prensa, Pedro Toséis Gamez ; ídem D. Josef Bucareli; ídem D. Jo y el primero se entregará muy en breve á los que gusten sus sef San Juan ; ídem otra del mismo; Ídem D. Vicente Oso- cribir, pagando 20 rs. vn. adelantados. A los que no suscriban rio ; el teniente general D. Juan Caro; el comandante de les costará 28 rs. Se…</t>
  </si>
  <si>
    <t>…u confianza, no obstante lo preve Se mandó unir al expediente de vinculaciones una me nido en el art. 10 de la ley de 9 de Octubre de 1S12.” moria sobre mayorazgos, presentada por D. Jo^ef Perez de Después de una ligera dbcusion se aprobó este artículo Guzman el B teño, cadete de Reales Guardias de infantería. con la adición del Sr. Ramonet «i una persona de su con Se declaró no haber lugar á votar sobre una exposición fianza aunque no sea l…</t>
  </si>
  <si>
    <t>…ado, dis nes que tal vez se o- hacen; acordaos que el primer deber ponga lo conveniente. y el único deceo de todo buen portugués es mantener inde Al Gobierno una representación de D. Jo&lt;ef Justo de pendiente la monarquía, é indisoluble su unidad. Cuevas contra el Gefe polnieo de Cataluña, por haberle ex »Los gobernadores del reino conceden y aseguran solem traido de su casa una hija , constituyéndola en deposito para nemente, en nombre de S.…</t>
  </si>
  <si>
    <t>…ouci mas que sus guar D. Juan Arroyos, D. Josef Masip, D. Pedro García Cer dias de corps, sin serle posible ya reunir otro egército ni vino, D. Antonio Melgares, D. Ramón. Calvo y D. Jo huir, se tiró un pistoletazo al corazón. ’ sef Martínez. • Asi acabó su vida el hombre mas cruel, y que no tiene Concluido éste período, siguió él de pronunciar palabras, igual entre todos los tiranos. Hacia mucho tiempo que las en-que se demostró cómo adquie…</t>
  </si>
  <si>
    <t>Jo'ef</t>
  </si>
  <si>
    <t>…e antemano esta solemne fiesta ; pero al dez de 3;S8 rs. que debia al Noveno. momento que el alcalde y cura párroco de‘corrieron el velo A la de Milicias nacionales un proyecto de D. Jo'ef que encubría el emblema de nuestra libertad , prorumpieron Morea, capitán de granaderos provinciales de Mondoñedo, los circunstantes en tantos vivas y aclamaciones, que apenas para organización de los cuerpos de milicias provinciales. se percibía ya el sonido…</t>
  </si>
  <si>
    <t>Jo, Manuel</t>
  </si>
  <si>
    <t>Manuel Jo</t>
  </si>
  <si>
    <t>5x6/ ...... fea atenciorv á Jos distinguías íméfjt;©$, _d§¿D. Manuel Jo$ef Quintana’ha ^ tenido á bien,el Rey reppnerie;:^n^el empleo; &lt;je. secretario de la interpretarcion de lenguas, con |o¿ mismos honores:, sneldp.y emolumentos que gozaba cuando fue despojado él; y resuelto;al mismo tiempo.que D. Pablo Lozano , que ha ocupado…</t>
  </si>
  <si>
    <t>Jo, Pedro</t>
  </si>
  <si>
    <t>Pedro Jo</t>
  </si>
  <si>
    <t>…Madrid á Urquijo, hermanos. En virtud de providencia del Sr. D. Julián de Sojo, juez letrado de primera ins tancia enesra muy heroica villa, refrendada del escribano de provincia D. Pedro Jo sef de Ibabe, que despacha la vacante que sirvió" uhimáuiente D. Julián Alonso y Estrada, se cita, llama y emplaza á todos los acreedores á la testamentaría de Don Mateo Arroyo, vecino y del comercio que fue de esta corte, para que en el preciso térrüinó de 1…</t>
  </si>
  <si>
    <t>…a, pata cama, y en su virtud recayó la siguiente providencia de que dentro del término de 30 días, contados desde esta publU finitiva: cacion , concurran á él por la escribanía de D. Pedro Jo,ef de «Sobreséase en esta causa por la conformidad de las par Ibabe, por sí ó por medio de procurador conocido; apercibi tes, y bajo del allanamiento que propone y acepta la gene dos que pasado sin haberlo hecho, les parará el perjuicio que rosidad del Excmo.…</t>
  </si>
  <si>
    <t>Jo-</t>
  </si>
  <si>
    <t>…do de Tiberio César. sejo de generales puedan perjudicar en manera alguna el Este precioso documento se halla ahora en poder del caba honor y buen concepto del gobernador interino D. Jo- llero de Massareen, noble de Irlanda, y traducido en cas sef del Castillo, del de la misma clase D. Francisco Pé tellano dice asi: rez Dávila, el de D. Vicente Talledo , coronel de ingenie «Ha aparecido en nuestros días un hombre de gran vir ros , ni el de ig…</t>
  </si>
  <si>
    <t>…la ¡nReflexiones sobre los ascensos de los gefes del cuerpo del flu encía que en ella pudo tener el egército. Véndese á 4 rs. en «stado mayor comparados con los del egército, por D. Jo- las librerías de Paz y Rodríguez. sef Montero, comandante del regimiento de Toledo. lfigenia en Aulis, tragedia en tres actos , refundida del grie Contestación á algunos problemas, por el subteniente del go y del francés, y acomodada al teatro español por D.…</t>
  </si>
  <si>
    <t>…' modelo riúrn. 9.0; pero'rió se Cargarán á ninguno de Ips - navegantes. Dios guarde a V. S. machos' años. Cartagena 1 ministerios. 5 de Diciembre de 1820. = Francisco Millarr. = Sr. D. Jo- 3.a Los gastos reproductivos de las reritas, cuales son . sef Calderón.” -Compras de primeras materias, los dé elaboración ó trabajo S. Sebastian a 2 de Diciembre. fabril y los de conducciones, se relacionarán eri'otra no*ta Escriben de Pamplona con fecha del…</t>
  </si>
  <si>
    <t>Jo-, O.</t>
  </si>
  <si>
    <t>O. Jo-</t>
  </si>
  <si>
    <t>…la comisión de Agricultu A la de Infracciones una queja de D. Agustín Arguello, ra, en voto separado opinaba que nó debia accederse á la vecino de Granada, en Gcatemala, contra el capitán O. Jo- solicitud, pues solo el cargamento.de los 53 buques á que sef Bustamante y Guerra sobre sus procedimientos en el ex se referia esta , sin contar con los que se hallaran en igual pediente formado al que exponía. • ■ caso, bastaría para frustrar.los bienes de l…</t>
  </si>
  <si>
    <t>Joá</t>
  </si>
  <si>
    <t>…ue se hi dos : pata presidente el Sr. Conde de Toreno , diputado por ciera al Gobierno , para que no se defraudara de esta parte la provincia cíe Asturias: para vice-pre&gt;¡dente el Sr. D. Joá aquellos á quienes verdaderamente pertenecen. sef María Calatrava , qne lo es por la de Ext rema Jura ; y El Sr. Gateo dijo con este motivo que cuando se ve para secretario el Sr. D. Josef María Couto , diputado su-</t>
  </si>
  <si>
    <t>Joa</t>
  </si>
  <si>
    <t>…ue representa á de Mahon al brigadier D. Ramón l'o.o; y uc la de San la Emperatriz Severitia, inuger de Aureliano, y la otra la tander al coronel retirado del cuerpo de artillería D. Joa cabe/a del Emperador Probo. Como este labrador tiene es quín Vdarde. peranzas de hacer nuevos descubrimientos, ha determinada * VARIEDADES. proseguir en sus investigaciones. Sobre ¡a obra publicada en París intitulada Cinco dias de la historia de Nápoles, por…</t>
  </si>
  <si>
    <t>Joaquia</t>
  </si>
  <si>
    <t>…indicaciones que se sirve hacerme en su oficio de esta fecha». Dio9 guarde á-V. E. muchos años. Callao 29 de Setiembre de 18 r^.rr Excmo.. Sr. = Antonio Vacaro; = Excmo. Sr;virey D. Joaquia de la Pezueia.”’ 0t. ^ Siguiendo íé§ Juntas y Diputaciones provinciales-su noble-destina dWii— xiliar con. sus^luces y ,su amor al ordfen las providencias del Gobierno , espe cialmente en cuanto contribuya á facilitar fondos cónuque sin- desatender siis pecul…</t>
  </si>
  <si>
    <t>Joaquín</t>
  </si>
  <si>
    <t>…mientos teóricos y prácticos; - - • Cartilla de alguaciles, ó instrucción metódica de cuanto se halla&gt;susíáncialmente dispuesto en las leyes para el desempeño de sus oficios, .por D. Joaquín de la Esca lera, juez de primera instancia en Cádiz: un tomo en 3.? á la rustica» Se vende á 4 rs. en la librería de la viuda de Ramos, carrera de S, Gerónimo. Pan toros: oración que en defensa del estado floreciente de la España dijo por los anos de 1796 en…</t>
  </si>
  <si>
    <t>…íno coavencerá á V- E que t|pgo el‘poderqne afirmo, aunque á estos se« dará una dirección- inofensiva = Luis Benito Benet, secretario de la escuadra. =r Excmo. Sr. virey5 del Perú D. Joaquín efe la? Pezada/” *■ ** - • __ ,'éy^ Contestación del Exemo± Sr. virey* ,, Recibo á la una y media del dra el oficio de V. de fecha de hoy, é impuesto de su contenido debo decirle que un desafío como'el que me hace carece de egerriplar. Los resultados sobre la…</t>
  </si>
  <si>
    <t>…de .felicitad i S, M., por comisión especial del ayun|amiento constitucional de la.plaza de Ceuta, los Sres. D. Juan Pire^, brigadier director del cuezpo nacional de ingenieros, * D. Joaquín de la Cflt? » coronel graduado, y teniente coronel del mismo» y D. Fulgencio Salas, teniente coronel, y capitán del re^tóiento infantería del Infante D. Antonio; dirigiendo el primero á S. M, las, s^uientei^palabras : , „Señor; El acto espontáneo"y memorable…</t>
  </si>
  <si>
    <t>…*. mo siguen: «1 cual por ahora se halla en Finlandia. COMISION DE LEGISLACION. Los Sres. Cano Manuel, Hinojosa, Giraldo, S. Miguel, países—bajos—unidos. Calatrava, Vadíllo , Rey (D. Joaquín), Manescau , Marina. HACIENDA.. Bruséla* ay de Junto. Los Sres. Conde de Torenó, .Crespo Cantolla, Traver, Escriben de Manheim que después de haber publicada Silves, Banqueri, Yandiola, Temes, Cuesta, Sierra Painel Gran Duque de Darmstadt en Marzo último, la…</t>
  </si>
  <si>
    <t>…instituciones, su amor al A la comisión de Instrucción pública se mandaron pa Rey , y su entusiasmo por el augusto Congreso. No se ha sar algunas indicaciones sobre educación, de D. Joaquín de esmerado menos en ello la tropa, no solo por este medio, Lumbreras, y una obra sobre mérito y premio de la medi sino llenando en lo posible todas sus obligaciones, hacien cina , de D. Josef Francisco Medrano. do ver que no se contentan con ser soldados en…</t>
  </si>
  <si>
    <t>…Quinta de petable. Bercy j pero fue apagado al momento por las gentes de A la de Instrucción pública un examen de los vicios Ja casa. que contiene el plan de estudios de 1807, por D. Joaquín El dia 3 en la tarde intentaron de nuevo incendiar la Lumbreras, catedrático de instituciones canónicas de Alcalá; misma casa; y aunque se tocó á fuego, se logró apagarlo y un proyecto de enseñanza de farmacia por dos catedráti antes que las bombas llegasen. A p…</t>
  </si>
  <si>
    <t>…lan vacanres en la redacción del Dia tán, segundo ayudante del primer batallón de! regimiento rio de Cortes, se les señala para este examen, por último infantería de Guadalajara , D. Joaquín de la Rosa y Larrose. y perentorio término, el de cinco dias, contados desde el Nociones generales sobre la organización del egército, de la publicación de este aviso; pasados los cuales,quedará por el capitán , ayudante mayor del 5batallón del tren de cerrad…</t>
  </si>
  <si>
    <t>…sobre todo de las Estado, acordando que sus hijos fuesen recomendados al Cortes ;■ se determinase si debian ó no existir , y el modo ó Gobierno; y 4© también anuales á la viuda de D. Joaquín forma de su existencia; lo que no se ha hecho.Martínez, diputado por Valencia, que murió en la epide Se dirá que están apoyadas en la libertad sancionada por mia de Cádiz. Continuó recordando al Congreso las virtu la Constitución ; pero la libertad de vigilar…</t>
  </si>
  <si>
    <t>…solo este privilegio para las elec A la comisión especial de organización de Fuerza ar ciones de diputados á Cortes, y no para los de empleos mada se mandaron pasar unas ideas del coronel D. Joaquín municipales. Ortut de Zarate sobre las hojas de servido. El Sr. Medrano opinó-qne seria conveniente fijar el tiem A ia de Instrucción pública una exposición del obispo po de seis meses de residencia, ó el que pareciese oportuno, y universidad de Huesca, para…</t>
  </si>
  <si>
    <t>Joaquin</t>
  </si>
  <si>
    <t>…o ni caso pueda procederse contra ellos por la con que han sufrido por la patria una solicitud de D. Tomas ducta y opiniones políticas que tuvieron.” También fue "Vidal, padre del coronel D. Joaquin, sacrificado por Ello aprobado. en Valenda, para que en atención á haberse desprendido de Se leyó el 3.0 concebido en estos términos: &gt;&gt;3.° Cuitodos sus haberes con el objeto de que su hijo contribuyera dirá el Gobierno de proporcionar auxilios á los que, ha…</t>
  </si>
  <si>
    <t>…fía castellana elemental, humanidades, matemáticas puras, é D. Antonio C.'Carvalho, 800. D. Santiago Galleano, 10. idiomas ingles, francés é italiano, ofrecen dar lecciones de di D. Joaquín de los Santos Lomba, 400. D. Manuel Gonzá chas ciencias é idiomas, y enseñar el latín en dos años, y la lez Estrada, foó. D. Pablo Bertuzi, 80. D. Juan Morales, taquigrafía en tres meses, en su casa ó en la de los alumnos; 500. El cónsul de los Estados-Unidos…</t>
  </si>
  <si>
    <t>…taron su dictamen acerca de que subsista el consulado de Se aprobó el dictamen de la comisión de Premios acer comercio de Granada, en atención á las ventajas que este ca de q ie á D. Joaquín dt Velarde, hermano del primer establecimiento puede acarrear al comercio nacional. Se m.irttr de la liberrad española D. i'edro Veiarde, se le aprobó este dictamen. confiera el destino vacante de gobernador militar de San Se aprobó asimismo el dictamen de la…</t>
  </si>
  <si>
    <t>Joaquín, Josef</t>
  </si>
  <si>
    <t>Josef Joaquín</t>
  </si>
  <si>
    <t>…,la plaza fue eDújtimo. qué se retiró; i la forjr-av leza de StO. Domingo, y en su recuperación de Jos primeros que entraron en ía plaza y en la fortaleza de. S. Jorge ; al cadete D. Josef Joaquín: Gutiér-r rez,? que en ambas acciones se. ha cdnducido con envidiable, valor, é intre pidez; y á Jos vecinos D. Pedro Perez Prieto ,.Manuel Antonio Barlisa, Josef María y Rafael Iguaran , que contribuyeron por su part^áureunir y en tusiasmar la gente con que…</t>
  </si>
  <si>
    <t>Joaquina, Carlota</t>
  </si>
  <si>
    <t>Carlota Joaquina</t>
  </si>
  <si>
    <t>…mente no se había admitido A discusión, Francisco de Paula y su descendencia legítima ; A falta de A la que él por su parte se habia negado por razones de po estos la Sra. Infanta Doña Carlota Joaquina, hermana ma lítica, sin que hubiera por eso dejado de aprobarla si hu yor del Rey , y Reina del reino-unido de Portugaly del biese llegado el caso; y pidió que se devolviera el voto, y se Brasil y sus descendientes legítimos, y á falta de ellos la pusiera sim…</t>
  </si>
  <si>
    <t>Joaquínnos</t>
  </si>
  <si>
    <t>…Goveo.=Inrado, y aun dijo que había arrancado á aquel animal algu troduccion al estudio del derecho público, ó sea noticia del acto público-que en la universidad de Huesca compuso D. Joaquínnos pelos, que entregó á Mr. Adams, quien los remitió al María de Palacios y Hurtado: idem en la de Castillo.= La villa:profesor Blumenbach. Aunque no se tuvo mas indicio acer constitucional, 6 el castigo generoso : comedia en verso: idemca de este descubrimiento…</t>
  </si>
  <si>
    <t>Joaquiq</t>
  </si>
  <si>
    <t>…ir.star.cia de esta muy heioica villa, refrendada de D. Feliciano.del Corral, su escribano de número, ,se cita., llama y emplaza 4 D. Melchor de Urra, D. Antonio (^onsez Villaboa, Don Joaquiq;txaniza de Vitoria, D. Josef Antonio Arriba, D. Diego Gastambide, Don Termin Antonio Arriaga, D. Antonio Lázaro y Pozo, D. Pablo González, Don Francisco Xavier Guerra Balboa, D Juan de la Torre, D. Mariano Mamar, Don Juan Pió Jaén, D. Manuel Vacas y Pinilla y…</t>
  </si>
  <si>
    <t>Jócano, Sebastian de</t>
  </si>
  <si>
    <t>Sebastian de Jócano</t>
  </si>
  <si>
    <t>…ha Contaduría mayor,he venido én habilitar para las funciones de presidente de la misma al decano que era D. Juan de Mata Garro: para contadores mayo res á D. Nicolás de Oramcndi, D. Sebastian de Jócano, l&gt;. Carlos Espinosa, ¡IX Pabtet,Ruiz de la Bastida y íX Esteban Palacios, y que en cuanto á- las -demas clases de contadores, secretario y otros individúes de que debe com;*ponerse la referida Contaduría mayor se me propongan con arreglo al citado decreto de…</t>
  </si>
  <si>
    <t>Jocomo</t>
  </si>
  <si>
    <t>…reve ni Cibber A la comisión de Premios de los que han sufrido por la habían retratado un carácter mas acabado ; en fin, la pintó patria se mandaron pasav dos exposiciones: una de D. Jocomo la mas perfecta intriganta. Por lo que toca á.Sacchi sef Clavijo, ministro cesante de la contaduría mayor de le trató poco mas ó menos del mismo modo que á la Du cuentas , manifestando los perjuicios y persecuciones sufridas mont. Aseguró que no había palabra…</t>
  </si>
  <si>
    <t>Jocortinas</t>
  </si>
  <si>
    <t>…spo auxiliar de esta Se dió cuenta de una exposición de D. Antonio Galiadiócesis y la primera autoridad militar descorrieron las no, natural de Turin , pidiendo que el proyecto de D. Jocortinas, que ocultaban una hermosa lápida de la Constitu sef Madrazo (-erase la sesión del'iG de Julio), propuesto ción. La música marcial, lo numeroso del concurso, y las por el Sr. Vargas Ronce, se verificase por medio de un demostraciones de júbilo que se hicieron…</t>
  </si>
  <si>
    <t>Joferente</t>
  </si>
  <si>
    <t>…u compañía i las personas la memoria político-económica del estado actual de Euro de distinción del pueblo; pero muy pronto te mostró indi pa. y.Hacienda de España, presentada por D. Joferente á cuanto no era su amante &amp;c. set Isidro de Andrade ; la expo icion de la diputación pro vincial de Vizcaya sobre confirmación de ciertos arbitrios FRANCIA. destinados .i la nperr ra V conservación de ‘us caminos, y la de la dipu ación provincial de Galicia,…</t>
  </si>
  <si>
    <t>JoIdem</t>
  </si>
  <si>
    <t>…roca "1 w. SS. por esté ministerio, en la que ?e'decía, tra ando de los interesados........................................... 64 l de lo ocurrido en la aduana de Santander con el capitán JoIdem de menor cuantía, que también se han tran- ! t22&gt; bit. que lo es del buque francés, la Jenni, que no existían relaciones ó Convenciones de comercio con Francia , re'pecIdem de desavenencias entre matrimonios, y-por I to d cjué aauél Gobierno no observaba de e…</t>
  </si>
  <si>
    <t>Jordán, María Tomasa</t>
  </si>
  <si>
    <t>María Tomasa Jordán</t>
  </si>
  <si>
    <t>…a muy heroica villa, refrendada del escribano de su námero, D. Anselmo Xlrdoñéz, se ha mandado citar y. emplazará cualesquiera persona que sé conceptúe con derecho á.los bienes de Doña María Tomasa Jordán, vecina que fue de esta córte, y que falleció en. 13 de Agosto de 18i 2, para que en el preciso y perentorio término de 30 dias/contados desde 26 de Abril próximo pasado, y que por primero', segundo y tercero se lea concede, acudan ai expresado juzgado y escr…</t>
  </si>
  <si>
    <t>Jorge</t>
  </si>
  <si>
    <t>…cordialmente'al -muy alto y poderoso1 Príncipe Jorge, Príncipe de Gales, que por muerte de nuestro último Soberano, de gloriosa memoria, ha llegado á ser nuestro único y legítimo Señor Jorge iv, por la gracia de Dios Rey de la Gran Bretaña y de Irlanda &amp;c., al cual reconocemos deber nuestra obediencia y cordial afecto, y rogamos á Dios, por quien reinan los Reyes y las Reinas, que proteja al Príncipe Real Jorge iv, y le conceda un reinado feliz y…</t>
  </si>
  <si>
    <t>…contri ración de aquella santa iglesia ha quedado vacante la media buido , y la cantidad que cada ur.o ha dado. ración que obtenía en ella, cuyo valor es de 500 pesos al El Excmo. Sr. D. Jorge Don, teniente gobernador de año. Se admiren memoriales con sus respectivas retaeiones de la plaza, 20 rs. El Sr. vicario apostólico D. Juan Bautista méritos, ó extractos de los sugetos que no hayan pretendido Zino, 320. El capitán del puerto D. Guillermo Swetland…</t>
  </si>
  <si>
    <t>Jorquera, Cortés</t>
  </si>
  <si>
    <t>Cortés Jorquera</t>
  </si>
  <si>
    <t>…mandara pasar religiosos qué pasen d aquellas islas á propagar la religión. aquel asunto al Gobierno, para que el alcaide de la vina de Se leyó por segunda vez una proposición del Sr. Cortés Jorquera se atenga á las leyes promulgadas sobre la materia, sobre dotación de curas párrocos, la que se mandó pasará la Se leyó el dictamen de la comisión de Agricultura, de ccinirion Eclesiástica , con otras relativas al mismo objeto de que antes se ha hecho mención…</t>
  </si>
  <si>
    <t>Jose</t>
  </si>
  <si>
    <t>..................................... fueron elegidos. Tendreisló'entendido , y dispondréis 16 necesario á su curo-, ptífménto. Palacio 12 de Marzo de 1820. = Está rubricado. =r A D. Jose£ García de la Torre.” ■&gt; ■ • -r) ~nr v ; r - • - . ■ 3'.0 ,, Siendo indispensable proveer de pronto remedio , para que no pare ei ciirso dé la administración decjusticia, y que esta seegerza y. administre con &gt; artreglo á; lá Constitución polític^de la monarq…</t>
  </si>
  <si>
    <t>Joseea, María</t>
  </si>
  <si>
    <t>María Joseea</t>
  </si>
  <si>
    <t>….Dios para mandar ;á siis vasallos, nos -Ha comisionado para felicitar áV..iVL -por su deseado y acertado m.atrimQoio cosí la mas recomendable de las Reinas nuestra augusta Señora Doña María Joseea. Amalia de Saxonia. ,, V. M. ha sido .conducido seguramente á tan santa unión por los dulces ,é imperiosos: sentimientos ¡ de la ;rieligÍQU:¿ &gt;y rsusí -ardientes deseos déljmaydi: -bien dejsos vasallos.* 7 .1: .co; c&lt;L «i jr'vb-bjM; .0 -..n.:...r,- .-a- .\l c…</t>
  </si>
  <si>
    <t>Josef</t>
  </si>
  <si>
    <t>…l dé los individuos qué se hañ preséntado á la sección de mi mando; y de los que: lo han verificada en las otras'la-remitirá pbr sépárádo el comandante de éstaplaza sargento mayor D. Josef dé Castr o. -: ' y ;v" • ,, Los expresados me¿ han- entregado- armas' de fuego, otras muchas-2 blancas, y 60 óabállo's ; prometiéndórhé los cabécilias principales reuniráxí las1 que tienen dispersas, y con ellas éstó^ armando lós nuevos realistas. 1 A mas de…</t>
  </si>
  <si>
    <t>…apresar otra remonta de tnas de 50 caballos y muías, dar muerte á uno de los que la escoltaban, habiendo per seguido el bizarro teniente coronel D. Epitacio Sánchez, acompañado de Don Josef de la Luz Nolasco y un realista de la partida del último, á otros 5 de los remonteros hasta obligarlos á precipitarse por uña barranca incapaz de po derse transitar. Allí pasamos la noche; y habiendo destruido al otro día por medio del fuego varias rancherías…</t>
  </si>
  <si>
    <t>…s» en general han manifestado por el¡ mejor servicio del Re y, me obligan de jus-: ticia á recomendarlos á V. S., y con particularidad al 'teniente coronel Dos Epitacio Sánchez, á D. Josef de la Luz Nolasco, y al capitán de realistas de Rioverde D. Felipe Castillo. ■ J • • - ,, Dios guarde á V. S. muchos anos. Xichú Julio 30 de 1819 á las cua-, tro de la mañana del 31. = Josef Cristóbal Villaseñor. = Sr. brigadier y co-, mandante general D. Mel…</t>
  </si>
  <si>
    <t>…a sacada por dicho señor Coute con fecha, de Bayona; y'ademas que la verdadera firma particular de dicho se ñor es Tomas Coute, y no Tomas Coute Freres. Ignorándose el paradero de D. Josef de la Serna y Ha9tfa, vecino de esta corte, se le cita, llama y emplaza por el presente, para que en el término de 10 días, con tados desde la publicación de este anuncio, se presente en el juzgado del Sr. D. Jo sef María Puente, del Consejo de S. M., alcalde…</t>
  </si>
  <si>
    <t>…ges, fonda del Caballo blancd; .en Pamplona ,r cusa de,D. Ju,an Campicn, calle de ^ercud^res ;,en Murcia e:n £Ja de D., domingo Areco, calle de la. Platería; en Alicante en j'a de D. Josef -Silvent, calle Mayor, yen Avila en la de D. Antonio Salcedo ,, boticario; pe» fro el depósito general se ha establecido en esta corre casa del autor , calle de -Hortaleza, núm. 15 , cuarto principal, junto á las cuatro esquinas, el qqe ¿contestará á las cóns…</t>
  </si>
  <si>
    <t>…das las juntas parroquiales, se deter minó ei nombrar sugetos de opinión y luces para la presidencia. El nombra miento recayó en los sugetos siguientes: para la parroquia del Pino D. Josef •Anglasell; para la de S. Pedro D. Cayetano de Dou , abogado; para la de San Miguel D. Francisco Tomas Ros; para la de S. Jaime B. Prosperó Bofarull, archivero general de la corona de Aragón j para la de S* Cucufateel Sr. mar ques de Monistról ó D. Ignacio Pa…</t>
  </si>
  <si>
    <t>…primero,como testigo én una, y como testigo citado en otra en el f ^ f veces con el titulo dé Lista inferiría entre tanto ene 7 ' r -- . I T y . . T | l Salcedo hubiese tratado á D. Josef delnum. 357 del Constitucional, y Diario de Madrid del 2 de Mayo de eisste ffño'; habiéndoles exhortado el Si\ alcalde á terminar de raíz este asunto por medió'de una amistosa conciliación, con arreglo al espíritu déla Constitución, se convinieron en que cesa…</t>
  </si>
  <si>
    <t>Jósef</t>
  </si>
  <si>
    <t>…a cumplimentado un despacho requisitorio del señor juez civil de la ciudad de Cádiz, por el Oficio dé D. Joaquín Rubio, para notificar en esta corte, de donde dice son vecinos , á D. Jósef y Doña Josefa García Alanis, como herederos de Don Pedro García Alanis, los traslados que les ha conferido en 9 de Setiembre de 181;* y, 29 de Febrero último, en el pleito que en aquel juzgado siguen D. Miguel JBocanegra y D. Fernando Domínguez de Castro sobre, entrega*dc 8979 rs. y 8 m…</t>
  </si>
  <si>
    <t>…mal tiempo, podrán entrar en los demas puertos, Los Sres. Ciscar, Vargas Ponce, Rovira, Benitez, conformándose con los reglamentos que se les notifiquen. El Lastarria, Rodríguez (D. Josef). presidente de los-Estados-Unidos está autorizado para em DE ESPECIAL EDIFICIO Y GOBIERNO INTERIOR plear la fuerza, á fin de que se egecute esta providencia; DE LAS CORTES. pero esta acta no tendrá fuerza de ley hasta el i.ü de Julio Los Sres. Presidente, Se…</t>
  </si>
  <si>
    <t>sobre contribución general directa , presentado por D. Josef mas pronta y completa terminación del encargo qi;o «e le h¡r Diaz Manzanares , tercenista de Toledo ; al Gobierno una conferido, remitan á su presidente el cirujano mayor de loa exposición de D. Diego Carrasco, cura de Villahermosa; egércitos nacionales D. Sa…</t>
  </si>
  <si>
    <t>…las medidas ne vi la, habia otro banco, en que estaba el ayuntamiento, pre cesarias para la sesión del 17 de Agosto, y detnas que se sidido por el Sr. Baile el muy digno ciudadano D. Josef ocupen en el proceso de la Reina. Quintana. Detras se elevaba un tablado para la música. To Está ya concluida una gran parte de los preparativos dos los balcones que dan á dicha plaza estaban coronados de para la coronación del Rey: tales son las galerías , e…</t>
  </si>
  <si>
    <t>…e luego que la milicia nacional acabe de es tas dudas propuestas por, la audiencia de Extremadura-, una tablecerse , la cual concurrirá eficazmente á este saludable reclamación de D. Josef:Garrido , vecino de Cartagena, vo objeto. cal de su junta de sanidad , y otra de Doña Josefa García de El amor á las nuevas instituciones que tanto se ha ma Xiinenez contra el capitán general de Granada por la pri nifestado en esta ciudad , no ha hecho olvida…</t>
  </si>
  <si>
    <t>…u- ta»; el Ordinario de la misa par* el Jueves Sanco, y las siete ¡nal especial de Guerra y Marina, se lia servido resolver que meditaciones para visitar los siete monumentos: por D. Josef se corte esta causa en él ser y estado que se halla, por ser Antonio Cantera, presbítero, á beneficio de los que no pueden imposible su continuación, atendidas las dificultades que se costear'la' Semina santa grande: un tomo en 8i“ Se hallará á ofrecen, y á l…</t>
  </si>
  <si>
    <t>…retaría se arreglara al arancel que regia en el extlnauido ramento del Rey. Consejo;” et cual se mandó volver á la comisión, para que Habiéndose dado cuenta de otra expo: icion de D. Josef con presencia del expre&gt;ado arancel, y lo manifestado en la María Aldebroso, catedrático de matemáticas de la acade discusión , propusiera lo que estimase conveniente , y á la mia de Logroño, en que ofrecía á las Cortes la traducción misma se mandó pasar la s…</t>
  </si>
  <si>
    <t>…cales; ni podia nunca Re'puesta de S. E. el ministro de Hacienda al procura entrar en ninguna cuestión, judicial sin menoscabo de su ho dor general del supremo tribunal de Cuentas D. Josef de nor ; ademas que la Cámara no reconocía al Rey comfl Tomasis. . . oarte en este negocio. ¿Cuál serta pues la situación de una «Señor: He enseñado á S. A. R. el duque de Calabria, Princesa extrangera. que viniendo a Inglaterra en busca de Príncipe hereditar…</t>
  </si>
  <si>
    <t>…denanza de vagos, á excepción de la variación'de las A la de Premios una representación de Doña Genove penas, y no se admitió á discusión. va Mariana González y hermanos, hijos de D. Josef, cono Se leyó el dictamen de la comisión nombrada para pro cido por el Turonense , sobre que se declare á este benemé poner medidas á fin de exterminar los malhechores, sobre rito de la patria, y sobre otros particulares. la proposición hecha por los Sres. se…</t>
  </si>
  <si>
    <t>…a todos, y de que «El infrascrito secretario del Gobierno interino estable estos se comprendían en_,ún memorial mandado formar por lp cido en Lisboa tiene la honra de comunicar al Sr. D. Josef junta de policía en Julio de 1814, se propusieron trabajar en Ma-i ía de Pando., encargado de negocios del reino de Espa común uña completa refutación de dichos cargos, de los infor ña, que el dia dd corriente mes fue instalado diqho Go mes en que se apoyaban…</t>
  </si>
  <si>
    <t>…o por exposición de la tran , D. Isidro Lasauca, D. Domingo de Dueñas , D. Fran junta de gobierno del expresado monte de que por el enun cisco Antonio de Tudo , D. Josef de Ortiz, D. Josef de ciado extinguido Consejo solo se dió conocimiento de la Masdevall, D. Manuel de Fortuny , D. Miguel de Prats y mencionada Real resolución en 24 del mismo Enero último "Villalba, D. Juan de Medinabeitia, fiscal; D. Pedro Gó á ese ministerio, y al inspector…</t>
  </si>
  <si>
    <t>…ca de 61 millones. Abad , avecindado en el mismo pueblo de Huancayo , y á los El Sr. Ochoa, manifestando que no se presentaban en hijos de sus hermanos D. Francisco , D. Antonio , D. Josef y el dictamen rodos los pormenores de los gastos de recauda t). Nazario Abad, residentes en la Península, para que repre ción y distribución de la Hacienda pública , procuró demos sentando cada familia un heredero, sean cinco partes iguales trar que debía dis…</t>
  </si>
  <si>
    <t>…de D. Antonio Cuartera, diputado propietario por la misma provincia. ANUNCIOS. La comisión de Milicias racionales presentó su dictamen Compendio dé matemáticas puras y mixtas, por D. Josef acerca de la consulta hecha por el gefe de la milicia nacio Mariano Vallejo: dos toifios en 8.a prolongado. Se hallará con nal de Madrid sobre ¡a arenga qué debía pronunciar en el las demas obras del autor en Madrid en las librerías de Casti acto de la bendic…</t>
  </si>
  <si>
    <t>…la resolución de ellas, por es pensiones consignadas sobre los productos de la bula. tar bastante claros y terminantes los citados decretos. Se A la de Premios una exposición del coronel D. Josef aprobó el dictamen de la comisión. María Peón y otros oficiales del eeército, manifestando ha Igualmente se aprobó el de la segunda de Legislación , re ber sido compañeros del desgraciado general Porlier , y co lativo. á que se sentenciase el pleito entre.. D…</t>
  </si>
  <si>
    <t>…i.a deí Sr. Villanueva : «Que proponga la cosión de ayer sobre la indicación del Sr. conde de Toreno. mirion qué pena debe imponerse en este caso del art. 4.0 i El Sr. Rodríguez (D. Josef) presentó una exposición los prelados regulares de las órdenes mendicantes, que por de varios profesores de farmacia, pidiendo-se anulasen va no tener bienes propios no se hallan en el caso de poder ser rias contribuciones y gravámenes que sufren , y ofrecién…</t>
  </si>
  <si>
    <t>…ierno. to los que se hallan empleados por el Gobierno. 28. El pa trimonio Real de Valencia. 29. Negociación de maderas de ANUNCIOS. Segura. Hallándose radicada la testamentaría de D. Josef de la De Habiendo hablado algunos señores sobre la totalidad de hesa, vecino y del comercio que fue de esta corte, en el juzga los arbitrios incluidos en esta lista, propuso el Sr. presi do de primera instancia del Sr. D. Julián de Sojo, y escribanía dente, p…</t>
  </si>
  <si>
    <t>…rtier, gastando cuanto te La comisión segunda de Legislación presentó su dicta nia en la malograda tentativa de este desgraciado patriota; men acerca de la exposición del teniente coronel D. Josef y pidiendo que en atención á su actual estado de escasez se Tahona y Ugarte , en que manifestaba que habiendo sido le confirme en el destino de intendente que le dió aquel condecorado en 2 de Enero de 1808 con el hábito de !a general. orden de Calatrava, no p…</t>
  </si>
  <si>
    <t>…scusión una indicación del Sr. Ezpe oficio para la inteligencia del público ; condenándose en toleta , que decia: «Que se fije un término para la verifica das las costas al propio D. Josef; á cuyo lia, verificado loción de los contratos í juicio del Gobierno.” ue va mandado, é inutilizados losegemplarés recogidos El Sr. presidente suspendió "la discusión hasta mañana: e dicho papel, pasése la misma al tasador general para queencargó la pnnttial…</t>
  </si>
  <si>
    <t>…; 3’ ti lejos de ser los protectores de su debilidad brero, el Sr. Marques Je Cusa-Pon.ejos, la Sra. Duquesa de los grandes y los ministros de los Reyes, ton solo tus opre Frías y D. Josef &gt;anz •. sores; ti solo son unos (broces tuiores que despojan á sus Tienen la satisfacción de anunciar al heroico pueblo de pupilos, los clamores del pobre y del oprimido llegarán Madrid que en la noche del &gt;3 del pasado celebraron su hasta el cielo. Vos malde…</t>
  </si>
  <si>
    <t>…ir á perfeccionar ¡a pren permanente de Cortes á los Sres. D. Diego Muñoz 'I orrero, sa. Como este ingenioso mecanismo fue concebido y egediputado por la provincia de Extremadura; D. Josef de cutado desde el principio con tanto acierto, no ha sido Zayos, que !o es suplente por !a isla de Cuba ; D. Ramón preciso , ó álo menos nadie se ha empeñado en alterarle por Giraldo, diputado por la provincia de la Mancha; D. Ma espacio de tres siglos; y «i…</t>
  </si>
  <si>
    <t>…ages, no habia si conforme á su instituto, la junta de gobierno de la compa do recorrida por ningún europeo; por eso el Príncipe se ar ñía , y á ambas su presidente nato el Excmo. Sr. D. Josef riesgó desde luego á viajar por aquellos países. La falta de .Canga Arguelles, secretario de Estado y del Despacho de mapas exactos, de caminos abiertos, la dificultad de los Hacienda, si sus ocupaciones se lo permitiesen Los accio Trasportes con acémilas , A…</t>
  </si>
  <si>
    <t>…io Díaz del Moral, dipu conforme á su instituto , la junta de gobierno de la compa tado secretario.” Por tanto mandamos á todos los tribu ñía, y ambas su presidente nato el Excmo. Sr. D. Josef nales , justicias, gefes, gobernadores y demas autoridades, Canga Arguelles, secretario de Estado y del Despacho de asi civiles como militares y eclesiásticas, de cualquiera clase Hacienda, si sus ocupaciones se lo permitiesen. Los accio y dignidad, que guard…</t>
  </si>
  <si>
    <t>…á la his murió en ella en 19 de Setiembre último bajo una disposición, toria antigua de la Nueva-Rusia desde los argonautas , que en que instituyó por herederos á sus dos hermanos D. Josef y arribaron á las márgenes del Ister (el Danubio), hasta la Doña Bernarda Fernandez, muger de D. Gabriel Malmonge, conquista de estas costas por Mahomet 11, ha tenido que que se dice han fallecido; y por tanto se emplaza á los q'ue luchar con la dificultad de…</t>
  </si>
  <si>
    <t>…acultades.” En virtud de providencia del juzgado da esta capitanía gene A su consecuencia se ha servido el Rey mandar que des ral de Castilla la Nueva , se cita, llama y emplaza á D. Josef plegando V. todo el Heno de sus atribuciones, acrive por Antonio Vtllazon , y á los demas interesados que se conceptúen1 cuantos medios le sugiera tu zelo por el mantenimiento del con derecho á los bienes quedados por muerte del teniente gene ral D. Justo Tel…</t>
  </si>
  <si>
    <t>…iduos que formaron el Gobierno hasta el 10 del corrien «Las Cortes, enceradas de la exposición de D. Manuel te. SS. EE. salieron al balcón del palacio, en donde dieron de Tejada y D. Josef lbarra , bachilleres á claustro pleno en gracias por estos sinceros obsequios entre mil vivas y acla ambos derechos, en que manifiestan que con motivo del de maciones. Hacía las ocho y media llegó al mismo pa acio creto de ó de Agosio último, por el que se re…</t>
  </si>
  <si>
    <t>…crédito para una arreglo á Real orden de 8 de Junio próximo pasado, el ofi compañía de comerciantes de Fez establecida en Tombuc cial de la comisión de liquidación ae ese egército D. Josef tou. Desde el palacio imperial de Tafiiet se hará el viage en Fernandez, á quien el antecesor de V. S. suspendió de em riaris (especie de camellos del desierto), y se destinarán pleo y sueldo. Y habiendo manifestado su dictamen el con especialmente cuatro par…</t>
  </si>
  <si>
    <t>…ismo campo , de 7 alcalde, constitucional; D. Luis Arrabal, D. Santos Aboin robos y 4 almuaes, término del mismo pueblo de Urzante, Coronel, D. Eusebio Iglesias, D- Pedro Espina y D. Josef en 3 91; rs. . . . Perez, regidores y miembros del ayuntamiento ; D. Joa Otra viña, también joven, en Calchetas y los Sábados,■ quín de Miguel, comandante del quinto escuadrón'de ar de 10 robos y 3 almudes, en el citado término, en 489,0 rs». tillería; D. Ang…</t>
  </si>
  <si>
    <t>Josef, Alfonso</t>
  </si>
  <si>
    <t>Alfonso Josef</t>
  </si>
  <si>
    <t>…ren ademas en su persona las par mero : para el de Almodovar del Campo A D Fernando ticulares circunstancias y requisitos que expresamente se exi Navarro: para el cíe Manzanares A D. Alfonso Josef de gen para los casos que se voten. Soto: para el de Valdepeñas i D. Agustín Fr ncisco de 5. “ Si las juntas parroquiales para las elecciones de ayun Cuenca ; y para el de Infantes á D. Manuel Antonio Garrido. tamientos pueden dirimir las dudas que se suscite…</t>
  </si>
  <si>
    <t>Josef, Juan</t>
  </si>
  <si>
    <t>Juan Josef</t>
  </si>
  <si>
    <t>…posta con la noticia del y fueron ios Sres. Banqueri, Vargas Ponce, Alvarcz Guer juramento de S. M.; y en la noche del 10 se apostaron ya ra, Ciscar, Rodríguez, Rovira, y García (D. Juan Josef). gentes para avisar con cohetes la llegada del expreso , la cual Se leyó la siguiente proposición del Sr. Martínez de la no se verificó hasta las 11 y media de la noche siguiente. Rosa: ,,que el Gobierno con urgencia de antecedentes, y to Apenas llegó á las…</t>
  </si>
  <si>
    <t>Josef, Manuel</t>
  </si>
  <si>
    <t>Manuel Josef</t>
  </si>
  <si>
    <t>…a ciencia, compuesto por Don» Josef Mariano Vallejo ,*y á los de la clase de comercio coa otro del tratad» de monedas, pesos y medidas de Marien de Arrospide.. Por providencia del Sr. D. Manuel Josef de- Arbizu, del' Consejo- de S. M., al calde de la Real Casa y Corte, juez de la testamentaría de D. Pedio Juan de Reclusa, se ha ¡-ervido convocar á junta general de acreedores de la rrdsrea testareenta'ría. y señalado para ella el domingo 27 del corriente ,…</t>
  </si>
  <si>
    <t>Josef, Pedro</t>
  </si>
  <si>
    <t>Pedro Josef</t>
  </si>
  <si>
    <t>…y con vivas repetidos al Rey y á la Constitución. T1' " ' ■■ ' : : ------ -- --—-J‘- —-■—i —1 * ' : Por el juzgadode primera, instanciardei $r; IX Julián de Sojo, y escribanía de D. Pedro Josef de.Ibábs, se vende-titircoche que su .caja está q'opistruida á la inglesa, su hechura antigua* ?vestida,d# terciopelo labrado blanco y verde, con suscuatro cristales finos y cuatro persianas: los tablero^ dados ,de polor blanfo con unaorla dq flores: el juego…</t>
  </si>
  <si>
    <t>…tasada en ¡41,357 rs. vn. se ha señadadoiel 25-deÍ corriente, &lt;á las 12 de su mañana, en ef juzgado de primera instancia dcP-Sr. D., Judian de Sojoy rante epescribano de provincia D. Pedro Josef de lbahe. ... El Amanté de las leyes. Discurso político de un ciudadano á sus compatriotas los aragoneses; cuyo escrito celebrado en la Miscelánea del lunes 27 del mes próximo pasado, es digno de circular entre todos los buenos ciudadanos. Puede ir en carta.…</t>
  </si>
  <si>
    <t>Josefa</t>
  </si>
  <si>
    <t>…corriente, comparezcan ante S. S. y escribanía citada ¿justificar y acreditar el mejor parentesco y derecho que les asista d los bienes que han quedado por muerte de la expresada Doña Josefa, y Ja correspondan; entendido que de no hacerlo Ies parará el perjuicio que li3ya lugar. Habiéndose aprobado por el Real Consejo de las Ordenes el remate celebrado en esta corte la mañana del, 20 del corriente de los frutos y renias de la encomienda de villam…</t>
  </si>
  <si>
    <t>…s es imposible, inventario de bienes hecho en 4 de Enero de 1812 por l 'on nos matan. Ninguna fe se debe dar á sus palabras, pues no Vicente Alcalá y sus dos hijas Doña A ntonia y Doña Josefa son como los indios, enemigos en la guerra y amigos en Alcalá: división y partición cxtraj'udicinl hecha por los susodi chos en 15 del mismo: escritura de partición amigable otorga la paz , antes bien son opresores del mismo á quien lla da por los referidos e…</t>
  </si>
  <si>
    <t>Josefa, María</t>
  </si>
  <si>
    <t>María Josefa</t>
  </si>
  <si>
    <t>…s sentimientos de su amor y lealtad , y manifestar en su^Real presencia el‘vivo placer y jubilo que le ha producido el fausto en lace y unión de ;VSM. con la, Reina nuestra'Señora Doña María Josefa , Amalia de Saxqnia. ’ .-.'l’1' ' ,. - . / . ' ¡: ,,Tortosa, Señor,“mira afianzada , comoJ todos los pueblos leales de las. Españas que se -hallan bajo-los benignos auspicios de la dominación de V. M., en el paternal gobierno de Vr, M. y en los eminentes done…</t>
  </si>
  <si>
    <t>…; al administrador ó representante del concurso de D. Luis Montero del Carpió, y á todas y cualesquiera personas que se contem plen con derecho ó acción á los bienes deja referida Doña María Josefa, ó de Doti Felipe Zapata, su marido, para que en el término de 30 dias, contados desde esta publicación, acudan al juzgado de dicho señor juez, y por la escribanía del número de D. Tomas María Manrique, con suficiente poder, á usar de su derecho, y pedir lo q…</t>
  </si>
  <si>
    <t>JosefaAn</t>
  </si>
  <si>
    <t>…á_nari.a]i!faltectá abintcslató en el estado de soltereen el año de, ipr&amp;7;én la yilla y injsion dei&gt;. Lui^Sjliampic© ¿¡juríisdicción de Panuco» en Nueva-España/Sus padres fueron, D. JosefaAn¡tonjq Cigala y Pona Bernarda Junie?:, naturales y vecinos de, la ciudad de Canaria; y habiéndose remitido á disposición del Consejo supremo de ja$ Jndias para su entrega álos legíti mos herederos 378 pesos» un real y seis granos procedentes de está testamenta…</t>
  </si>
  <si>
    <t>JosefAlvaradó</t>
  </si>
  <si>
    <t>…io Sánchez con 40 caballos en'auxilio de la guerrilla, que se empeñó en perseguirlos tilas dé uña legué,-logrando hacer prisionero grave mente1 herido de una ktiZíad-á^al iitóladb capitán JosefAlvaradó yá otros 2 re-béldeS ,• tOhfándolesí 2 carabinas/3 lanzas , uá Sabré* tm pár-dé pistoiásy 10 caballos ensillados. •; r ' -;,í ' •' " - ’ ' „Si hubiese tenido la suerte de que los enemigos hubieran esperado el cho que de 120 infantes de Zaragoza y 160 caballos…</t>
  </si>
  <si>
    <t>JósefCanterac</t>
  </si>
  <si>
    <t>…hombres armados de fusil y sable los mil primeros, y de lanza los restantes; - ^Dios guarde á V. S. muchos anos. Laquiaca 4 de Abril de 1819.:^ El brigadier gefe del Estado mayor general JósefCanterac. = Sr. mariscal de cam« po D-Josef ded^ Sernas general en gefe del egército del Alto Perú.” r Valencia 8 de Diciembre. La Real sociedad económica de esta ciudad en la junta pública que hoy ha celebrado ha hecho la adjudicación de los premios que tiene señalad…</t>
  </si>
  <si>
    <t>Joséfíjarcía</t>
  </si>
  <si>
    <t>…mbajador extraordinario en la corte de Viéna. Tendreislo entendido, y lo comunicareis á quien corresponda para su cumplimíentg. Palacio 18 de Marzo de 1820.=. Está rubricado. =. A D. Joséfíjarcía de 1a Torreé 2.° ,,Teniendo en consideración las diferentes representaciones que en va rias épocas^me' habéis hedió para queos exima del ministerio del Despacho de la-Guerra, que interinamente puse á vuestro cargo,: en razón á que el esta ndo de vuestra salud…</t>
  </si>
  <si>
    <t>JosefManuel</t>
  </si>
  <si>
    <t>…ia! de Ordenes, relativo á ¡os dere una nota para que no le sea un título infamatorio. chos que gozan varios subalternos de este, y en el cual re A la de Premios una exposición de D. JosefManuel del producía la comisión su anterior opinión. Regato, editor del periódicoritulado la Abeja madrileña, Fue leido por tercera vez el proyecto de ley presentado haciendo presente su amor A la Constitución, por el que fue por la comisión de Legislación sobre el…</t>
  </si>
  <si>
    <t>Josefseguirlas</t>
  </si>
  <si>
    <t>…enga hacer Oración fúnebre del mártir de !;t patria D. Juiti Díaz For-un pronto y saludable escarmíenio, deberán los jueces pro lier, pronunciada en la Corufia por el cura párroco D. Josefseguirlas y determinarlas rápidamente con respecto al reo ó Escario en las exequias que se mandaron hacer por la junta gu reos principales que se hallen convencidos, sin perjuicio de bernativa de Galicia á aquel héroe, digno de inmortal memo continuar las averiguacione…</t>
  </si>
  <si>
    <t>JosefSoriaPian</t>
  </si>
  <si>
    <t>…ría , extendidas por el capitán D. Francisco de la Igle Por providencia del- señor juez primero de primera instancia sia y Darrac. de Murcia, refrendada por el escribano de número D. JosefSoriaPian del vestuario presentado á S. M. por el comisario no Fernandez de Laguna, de la misma, se. cita, llama y empla de guerra D. Francisco Antonio Ortega. za á codas Jas personas ¿jue se consideren conderecho'á los bienes concursados de la casa quebrada de Aguila…</t>
  </si>
  <si>
    <t>Josente</t>
  </si>
  <si>
    <t>…ente: creyendo que debía abolirse. «He dado cuenta al Rey de la exposición que V. S. Continuaron los Sres. Priego y Yandioia haciendo pre me remitió en 7 de este mes, en la que el brigadier D. Josente que no solo provenían los productos en cuestión de sef Marcos Saiz, en nombre de los gefes, oficiales y tropa limosna , sino principalmente de ciertas mandas forzosas, á del regimiento infantería Imperial Alejandro, que manda que estaba obligado todo testador…</t>
  </si>
  <si>
    <t>Joveilanos, Gaspar Melchor de</t>
  </si>
  <si>
    <t>Gaspar Melchor de Joveilanos</t>
  </si>
  <si>
    <t>…brería de la viuda de Ramos, carrera de S, Gerónimo. Pan toros: oración que en defensa del estado floreciente de la España dijo por los anos de 1796 en la plaza de toros de Madrid D. Gaspar Melchor de Joveilanos: un tomiro en 16 de bonita impresión y la mas correcta. Se hallará á 2 rs. en la libre» ría de Hurtado. Puede ir en carta. Decretos expedidos sobré la libertad política de la imprenta; atribuciones de las juntas de censura, y protección del derecho de propied…</t>
  </si>
  <si>
    <t>Jovell.mos, Gaspar Melchor de</t>
  </si>
  <si>
    <t>Gaspar Melchor de Jovell.mos</t>
  </si>
  <si>
    <t>…ciente citado monte, que es e! único que la falta.”- de la España dijo por los años de 179® en 1* plaza de los to Lo que traslado á V. de Real orden para su gobierno ros de Madrid D. Gaspar Melchor de Jovell.mos. Esta edición, y demas efectos oportunos. Madrid 27 de Junio de 1820. que acaba de salir, se aventaja á las demas que se lian publica do, asi en la corrección como en la bondad del papel y carác secretaria del consejo de estado. — Vacantes ter de la letra. Se…</t>
  </si>
  <si>
    <t>JoveLlanos, Gaspar de</t>
  </si>
  <si>
    <t>Gaspar de JoveLlanos</t>
  </si>
  <si>
    <t>…cia del Excmo. Sr. ministro de la Guerra, y las leyes oponen á la felicidad pública, escritas por el conde de -por providencia del Sr. D. Julián Díaz de Yela de 18 déi Cabarrús al Sr. D. Gaspar de JoveLlanos, y precedidas de otra corriente, habiéndose calificado de injurioso por la junta al príncipe de la Paz : tercera edición, hecha con el mayor es -de Censura de esta provincia el periódico titulado la Ley, mero. ^Conversaciones entre Cándido y Prudencio sobre e…</t>
  </si>
  <si>
    <t>Jovellanos, Gaspar de</t>
  </si>
  <si>
    <t>Gaspar de Jovellanos</t>
  </si>
  <si>
    <t>…o en las elecciones á los ios iv en el año Hoj , asi como las observaciones hechas en ireí res de las Ordenes militares. La comisión, en el concep el dado sobre la ley agraria por D. Gaspar de Jovellanos; todo to de ser estos unos verdaderos regulares , aunque esten sir lo cual lo habia tenido presente la comisión. Se hace también viendo curaros, y hallándose terminantemente designados la observación de que lejos de llenarse el objeto que se ha en el artículo…</t>
  </si>
  <si>
    <t>…en Ja de Cabrerizo , á 15 rs. entregarán á la junta nacional del Crédito público , y que Informe de la sociedad económica de Madrid al consejo de darán amortizados. Castilla, por D. Gaspar de Jovellanos : nueva edición: un tomo en 4.^ , que para facilitar la lectura de esta obra , verdaderamente Se mandil pasar á la comisión una indicación del Sr. Loclásica, publica la sociedad. Se hallará en la librería de Calleja á renzana , apoyada por el Sr. conde de Tor…</t>
  </si>
  <si>
    <t>Jovellanos, Gaspar Melchor de</t>
  </si>
  <si>
    <t>Gaspar Melchor de Jovellanos</t>
  </si>
  <si>
    <t>…a orden de 13 del mismo, confirmando la servidos por sustitutos. El de 24 del mismo, declarando be de i o de Noviembre anterior sobre no tener voto en. losnemérito de la patria .1 D. Gaspar Melchor de Jovellanos, ayuntamientos los Gefes políticos. El decreto de 25 del • y recomendando su informe sobre ley ■ agraria. La orden mismo, que contiene la instrucción para el gobierno .econó de 29 del mismo para que no se omita poner en el calenda mico-político de las provinc…</t>
  </si>
  <si>
    <t>…o; y asi opinaba que debia pedirse al Gobierno que de manencia del instituto asturiano, fundado en aquella crudádf oficio Te remitiese'para acor jar las Cortes lo conveniente, por D. Gaspar Melchor de Jovellanos. en castigo dé los culpados en este hecho e-candaloro. El Sr. Castrillo .presentó una indicción sobre que se se Los íjres. conde de M tule y Quiroga apoyando al señor ñalase algún emolumento A los fiscales de las-juntas de Cen Ari pe expidieron que el es adío…</t>
  </si>
  <si>
    <t>Jovellatios</t>
  </si>
  <si>
    <t>…ricultura, artes y comercio por varios oficiales del departamento del fomento general del reino: tomo num. *.°, que comprende un discurso preliminar: p3rte del informe inédito del Sr. Jovellatios so bre corporaciones gremiales , precedido de un artículo relativo al mismo punto eco nómico: diversos cálculos sobre el gravamen que sufre la agricultura con los diezmos; y varias noticias mercantiles. Este periódico sale los días 10, 20 y 36 de cada mes, co…</t>
  </si>
  <si>
    <t>Joyellanos</t>
  </si>
  <si>
    <t>…ibo de los números publicados, y que sucesi vamente se publiquen. Contiene este núm. 2.® Ideas preliminares para la formación de un código rural. La continuación de la memoria del Sr. Joyellanos sobre corpo raciones gremiales. Estado de la exportación de frutos nacionales de las provincias de Sevilla y Salamanca en los meses de Diciembre anterior y de Enero y Febrero de este año. El estado de la cosecha de la provincia de Vizcaya en 1818; y precios c…</t>
  </si>
  <si>
    <t>Jt, Pedro</t>
  </si>
  <si>
    <t>Pedro Jt</t>
  </si>
  <si>
    <t>…continuara.) ' ' - ' . En virtud de providencia del Sr. -D. Julián de Sójo, juez letrado de primera ins-‘ tancia en esta muy heroica villa, refrendada , del escribano de provincia D. Pedro Jt&gt;sefdte lbabe que despacha la vacante que sirVíÓ'ialtunamente D.- Julián' Alonso y Estrada, se vuelve á citar, llamar y- emplazar á todos los acreedores á los bienes' de,D. Joaquín Sandoval,,quet falleció abintestato.en esta corte, para que dentro del preciso…</t>
  </si>
  <si>
    <t>JTosef</t>
  </si>
  <si>
    <t>…en la misma , después de la palabra sobe añá SECRETARIA DEL CONSEJO DE ESTADO. dase desterrar la mendicidad de Ijr.tiia , v conocer la Wuestr.r Sra de /.; /'.? e. Por promoción de D. JTosef otk-v. En la gaceta del 24, col. lín. 26 , donde dice 2 Benito Romero Soriano á la dignidad de arcediano de la de Octubre léase 4 de Octubre. SUPLEMENTO</t>
  </si>
  <si>
    <t>Ju</t>
  </si>
  <si>
    <t>…,áe pusieron,de venta en las principales ciudades del reino , y á mas se hallarán cen Palma de MáHorta, casa de D. Miguel Verges, fonda del Caballo blancd; .en Pamplona ,r cusa de,D. Ju,an Campicn, calle de ^ercud^res ;,en Murcia e:n £Ja de D., domingo Areco, calle de la. Platería; en Alicante en j'a de D. Josef -Silvent, calle Mayor, yen Avila en la de D. Antonio Salcedo ,, boticario; pe» fro el depósito general se ha establecido en esta co…</t>
  </si>
  <si>
    <t>…escala para fijar los sueldos, bien que fuese distinta tribunales. en esta clase de empleados. Por fin se declaró discutido , y Por el juez de primera instancia de esta capital el Sr. D. Ju se aprobó el artículo. lián de Sojo, se pasaron á la audiencia territorial de Castilla la El Sr. Priego pidió que se pusiera al artículo 3." una adi Nueva los autos formados á instancia del Dr. D. Agustín Josef Mestre, boticario mayor de S. M. y de los egérci…</t>
  </si>
  <si>
    <t>Juáh</t>
  </si>
  <si>
    <t>…es como el no lix Alvarez Acevedo; y otros 200 del expedido para que se quería mas que el bien general de la Nación, no exigía preci inscríban en el salón de Cortes los nombres de D. Juáh pitaciones , premuras ni trastornos. Diaz Portier y D. Luis Lacy ; declarando al mismo tiem Se leyó en seguida la indicación del Sr. Moreno Guerra, po beneméritos de la patria á los que sufrieron pena capital firmada también por los Sres. Vadillo, Quintana, E…</t>
  </si>
  <si>
    <t>Juan</t>
  </si>
  <si>
    <t>…spondiente informe, pára qué con arreglo á él sean castigados según sus delitos. '■■■* " „Dios guárde á V. S; muchos años. Coy tica Ju lio 6 dé 1819.= Miguel de Ortega y Moya.=Sr. coronel D. Juan josef Rafols.” ' &gt; Lista qué cita, el parte anterior de la pérdida, qué tuvieron los rebeldes; Tres muertos, 21 prsioneros, 12 armas de fuego, 19 yeguas y caballos, 4; müláá,JfY machetes, úna lanza,-una bayoneta; una olla de campaña y xx íillás. Gbyúéá Julio…</t>
  </si>
  <si>
    <t>…ados: añadidos en esta última impresión los egércicios de confesar y recibir Fa sagrada comunión , y oraciones para, el santp sacrificio de la misa, sacados de las obras del limo. Sr. D. Juan;deJ'PalafoX y Mea* doza.,-obispo de Osma- Se hallará á ó rs. -e» pa&amp;ta en- la imprenta de-Dávila, calle de Barripnueyp ,iy en ¡las librerías de- Sajo, callé de Jas Carretas , de Novillo , "jpalle déla Concepción Gerónima, y de Villa, plazuela de Sto. Domingo.…</t>
  </si>
  <si>
    <t>…Vé-MaVí^.' Qoien quisiere1 hacer postura acuda ante ef Sr: D; -Julián de ^ojóy jtierz de primera instancra de'e$ta ;múy heroica yi'H^, por lá óscfibirña dse'sU mimbro, cjue e^erce D. Juan -Raya y donde podrán1 enterarse los iicitadores dé' ios pítalos de propiedad y demás que resulte; estando señalado paira el remate el dia 13 del corriente i las 12 en la citada escribanía. Para el remate de la casa sita en esta corte, calle del Olivo bajo, se…</t>
  </si>
  <si>
    <t>…e la Península, demas autoridades, y de un numeroso concurso, exámenes á fin de que las respectivas autoridades coadyuven con V. S. públicos por el maestro director de sordo-mudos D. Juan al logro de tan ¡mporrante objeto. Madrid tí de Junio Francisco de Gali. Los examinados fueron un niño y una de 1820.” niña. Esta de 11 años de edad, con dos poco masó menos LITERATURA. de instrucción, llamada Doña Manuela de Ventades, hija única de D. Pedro…</t>
  </si>
  <si>
    <t>…conveniente la libre elaboración de asegurar la seguridad de los caminos. de la pólvora, ó bajo la dirección del cuerpo de artillería Indicaciones sobre compañías de obreros, por D. Juan y por cuenta de la Hacienda nacional., por D. Salvador Romero Vázquez desde Sevilla. Regnat, administrador que fue de salinas en Cataluña. ( Se Plan ó arreglo de la infantería, por el segundo ayudante continuará.) agregado al regimiento infantería de Sevilla…</t>
  </si>
  <si>
    <t>…idad. la Dieta Reí gran ducado el 17 de este mes: en consecuen Los Sres.. Crespo Can tolla, Cantero , Quintana, Valle; cia de éllq los diputados de la segunda Cámara se traslada (-D. Juan.), LaRiva, González Allende, Rodríguez déLeron á Darmstadt;.pero la mayor parte de ellos no quisieron desma, Calderón. , reconocer ia Constitución, y pidieron que se modificasen COMERCIO.. Los diputados de la primera Cámara no quisieron ni aun Los Sres. Istur…</t>
  </si>
  <si>
    <t>…adictos al Gobierno ¡ntrcso. tus sueldos con los del egército. A la de Guerra varios trabajos presentados por e! bri ; Las Cbrtes recibieron con agrado varios egemplures de gadier D. Juan ¡jartchez Cimeros sobre Constitución ini.itar, la plática predicada á los electores de partido de Murcia, arreglo de infantería y plan de retiros, ofreciendo otros remitida por el Gefe político interinó de la misma. ei autor si estos se admitieron con agrado.…</t>
  </si>
  <si>
    <t>…es respectivos sean considerados en el hecho como super po concedido para contraer matrimonio, y con la que acu numerarios, y entre á ser propietario en el hueco que cada dirán al Sr. D. Juan vántonio Liona , furriel general del uno dejase el oficial supernumerario mas antiguo de aquella mencionado Real cuerpo, para recibir su contingente des clase en el regimiento. pués de verificado dicho matrimonio, y acreditádolo con 8. ” Qué los inspectores r…</t>
  </si>
  <si>
    <t>…ordinarias en no fracciones acerca de la queja de Man el Tolin , vecino y sa aprobar un tratado que sobre otras razone* para no admi cristán de Villanueva de la Cañada, contra el alcalde Juan tirle , contenta ha de que volviesen con sus honores y digni Martin por haberle allanado su casa. La comisión era de pa dades ios que se: hablan expatríado. recer que este negocio no se hallaba en estado de que las Hizo la observación de que si las demas naci…</t>
  </si>
  <si>
    <t>…s comandantes de las torres de Belen y dé la Barra ce les envi 1 la de no dejar salir bu Lisboa de Setiembre. que ninguno sin orden de nuevo Gobierno: se envió otra al Viva el Rey D. Juan vil Viva la dinastía de leí cas.illo para hacer una salva Real : se ofició al conde de Real Casa de Braganzal Viva nuestra santa religión! Barbacena para cesar en todo movimiento, y conservar las Vivan las Cortes que han de hacer nuestra nueva Cons tropas en…</t>
  </si>
  <si>
    <t>…solo los que tos á S. M. para la tercera plaza de la junta del Crédito pú el enfermo puede recibir; y que de! mismo modo el mejor blico los Sres. D. Bernardo de Borjas y Tarrius, D. Juan político es el que mas bien conoce el estado de los pueblos. Bautista Antequera y D. Manuel Díaz Moreno. El Sr. Ramos Arispe, que habia pedido la palabra cuan Se mandó pasar ¿ [a comisión ordinaria de Hacienda un</t>
  </si>
  <si>
    <t>…'déL propio’ hRo' 5 'lá comisión de cauáas de Estado; constante respeto nuestra santa religión, ¡ nuestro .Soberano precedidos de una repretennckm, en que refiriéndose á' cada el Sr. D. Juan vi, ,1a dinastía de ja Real casa de Broganza, uno de.los Escritos, daban afgmiá muestra de su contenido para y la Constitución .gue han de h^qex las Gortes; cuyo acón? mejor ilustración del tribunnlnEsto es lo que ahora'publican, tecimiento éñ nada altera las…</t>
  </si>
  <si>
    <t>…la comisión de la Cámara, irá dentro de al cimiento del sistema constitucional. gunos dias al departamento del Alto-Rhin, en donde se A la comisión de Guerra una representación de D. Juan guirá el proceso comenzado contra muchos individuos com ,. Tefkcj.N. puraque según el decreto de las Cortes, en que prometidos en la conspiración , y que habitaban en aquel f se'-mandaba se diésen licencias á todos los oficiales hasta departamento cuando se v…</t>
  </si>
  <si>
    <t>…D. Juan María Bucbetti, 320. D. Josef Monroy , 80. D. Eduardo Escarnichia, 320. D. Amonio Ferrari, 160. El bergantín goleta Encantadora, correo de la armada D. Pablo Larios, 3 20. D. Juan y D. Guillermo Douguid, 80. nacional, que salió de Cádiz el i.° de Marzo último para D. Pedro Trouguet, 40. D. Severino Saracho, 40. D. Juan Ultramar, ha entrado de regreso en el citado puerto el dia Giró, 8o. D. Agustín Lagrave, 160. D. Luis Monteiro, 80. 6 de este mes, conduciend…</t>
  </si>
  <si>
    <t>…s, teniendo en considera diencia á la junta provisional del supremo Gobierno det ción las alteraciones que puede producir el nuevo arreglo de reino , que en nombre del Rey nuestro Señor D. Juan vi estudios de que se ocupan las Cortes. En su virtud han ha de gobernar hasta la instalación de las Cortes ; jura acordado que el Gobierno proceda .1 la provisión de las cámos obediencia á las mismas Cortes y á la Constitucion- tedras de ascenso, para las qu…</t>
  </si>
  <si>
    <t>…para tos súbditos , sino D. Gerónimo Colinas, el Sr. Conde de Motezuma, D. San «una regla que los dirige. Los hombres se reputan libres tiago Martin, D. Tadeo Sánchez de Escanden, D. Juan de «cuando solo los gobierna la ley. La sumisión los hace feliDios Trillo, D. Pedro López, D. Castor del Amo, el se «ces , porque en ella cifran su tranquilidad. Las pasiones, los ñor general Pnlafox, Doña María de Loreto García de Roa, «injustos caprichos, l…</t>
  </si>
  <si>
    <t>…ecibidos al examen de la aboeacía, 6 señalado las casas de su despacho en esta corte, que lo fueron: al del de licenciado en leyes en universidad aprobada. Por en las librerías de D. Juan zVntonio Barbolla, calle de Toledo; resolución de las mismas lo comunicamos á V. E. para en la de D. Atanasio Dávila, calle de las Cañetas; en la de que se sirva dar cuenta á S. M., y demas efectos consi D. Pablo Villa, plazuela de Sto. Domingo,y en la de D.…</t>
  </si>
  <si>
    <t>…iciembre de dicho año, sin mas deliro que su amor á la padres, el amor y obediencia al mas querido de los Monar Constitución y decidida adhesión á las nuevas instituciones, cas el Sr. D. Juan vi, y la adhesión mas íirine á su augus fue sacado de la cárcel de Corte de aquella ciudad con sus ta dinastía; procurando por medio de una libertad bien en compañeros en la causa , individuos del Ayuntamiento de tendida y empleada, formar una Constitución qu…</t>
  </si>
  <si>
    <t>…an presentado/ paJ mento ¿pero al instante se repuso su crédito, y se sos ra servir en el batallón varios sujetos exceptuados por ma tendrá. yores de edad, entre ellos el retirado D. Juan .Sivelo Urrutia , de 69 años de edad , y e! sargento inutilizado en el Desórdenes y movimientos del mes de Junio, servicio Fernando Ibarra, á quienes los milicianos han ma Se aguardaba con impaciencia el decreto que debia po nifestado su agradecimiento, nombr…</t>
  </si>
  <si>
    <t>…volvió al ins 32&gt;5tí4, 32.ñ66, 32,569 y 32,584: L-. Gabriel Canais del tante sus armas contra estos nuevos enemigos; pero quedan 45,925: D. Josef Francisco Ixart y Pí del 45,802 : D. Juan do expuesta á los ataques de los extrangeros y de los de Angel Ortiz del 51,489: D. Rafael Garrete del 52,819: Don lawares. Para salir de este apuro discurrieron los iroque- Josef Corminas del 52,890 : Doña Vicenta Conde y Puente del ses un medio que supone u…</t>
  </si>
  <si>
    <t>Juan'O-Donojú</t>
  </si>
  <si>
    <t>…l primero que esta era con artillería se asignan 15 millones de rs. alguna pequeña diferencia la planta formada y presentada 13. "Para fortificación estable 10 millones de rs. por D. Juan'O-Donojú á las Cortes en 1814 ; y el 2." que 14. «Para el pago de viudas militares 9.861,225 rs. no trataba de si era ó no buena, sino de que debia apro 15. «Para el monte pió de cirujanos 78,86415. barse previamente: el 3.0 que la habia presentado como 16. . «Para el…</t>
  </si>
  <si>
    <t>Juan, Benito S.</t>
  </si>
  <si>
    <t>Benito S. Juan</t>
  </si>
  <si>
    <t>…ión, por término de 30 días, contados desde 14 del de Castilla la Nueva los autos de abintestato del mariscal de corriente de los pretendientes que se consideren con las cir campo D. Benito S. Juan , general que fue del egército de Socunstancias necesarias para su desempeño de los partidos mosierra, desde 14 de Diciembre de 1808, y no habiendo com de Cataluña, de Barcelona con 4 juzgados, Tarrasa, Mata- parecido ningún interesado á reclamar su derecho,…</t>
  </si>
  <si>
    <t>Juan, Salvador San</t>
  </si>
  <si>
    <t>Salvador San Juan</t>
  </si>
  <si>
    <t>…es y artes en' c\ día 12 del corriente desempeñó el egercicio literario su socío^e número en la dirección de botánica y agricultura el comisarlo de guerra de los Reales' ejércitos D. Salvador San Juan con.la lectura de una memoria , en la que dis cutió las causas de la decadencia y atrasos de la agricultura española, remon tándose hasta la época de su antiguo esplendor, señalando medios para hacer fructificar el sueio español con la instrucción de los labr…</t>
  </si>
  <si>
    <t>Juan, San</t>
  </si>
  <si>
    <t>San Juan</t>
  </si>
  <si>
    <t>…eniente ras en los puertos de América en buques extranjeros , y "los con relación al parecer del Sr. Florez Estrada. privilegios de extracción de frutos coloniales para introdu El Sr. San Juan , tratando de la contestación que en el cirlos en la Península, que se declarase si estos privilegios, informe se dccia haberse dado al obispo, cabildo y sociedad que no se habian discutido, se comprendían en la justa ex económica de Falencia por haber repres…</t>
  </si>
  <si>
    <t>…abajo de sus manos, nión pública con la publicación de este papel. y que estuviesen sujetos a sus respectivos ordinarios. El Sr. Priego., después de manifestar su admiración de El Sr. San Juan hizo una indicación , que no fue admiti que hubiese quien sostuviese unos principios tan erróneos da, para que se exceptuasen las dos casas de padres agoni como habia sentada el Sr. Gasaseca, explicó , cuál era la zantes de Madrid, por la utilidad que prestan…</t>
  </si>
  <si>
    <t>JuanO-Donojú</t>
  </si>
  <si>
    <t>…l Freire, en oficio de 23 del corriente desde el Puerto de Santa María, avisa que en cumplimiento de la Real orden del 20, que acababa de recibir, esperaba la llegada del teniente general D. JuanO-Donojú para entregarle el mando. •» ' _ . El Sr. conde de Ezpelefa, con fecha de 24 del actuaT7 da parte de haber entregado el mandó del egército y capitanía general de Navarra al mariscal de campo D. Francisco Espoz y Mina, nombrado por S. M. para aquel destino, qu…</t>
  </si>
  <si>
    <t>JuanODonojú</t>
  </si>
  <si>
    <t>…isponga su pronto cumpli miento en la provincia de su mando. Madrid 30 de Marzo de 1820.” Por eí ministerio de la Guerra se ha comunicado con fecha 21 del mes de Marzo al teniente general D. JuanODonojú, capitán general interino de An dalucía, la Real orden siguiente: ¡ ,, Eí Rey escandalizado de los horrorosos sucesos ocurridos en Cádiz, y que tanto contradicen la unidad de opinión y afecto que todos los ciudada nos españoles han mostrado al restablecerse y…</t>
  </si>
  <si>
    <t>Juati</t>
  </si>
  <si>
    <t>…de un peligro por la angustia en que se hallaban, dera, y otros arbitrios. - - - ’ á causa de la malignidad de muchos propagadores de in A la especial de Premios una exposición de D. Juati faustas noticias, que parece se complacían en infundir la Nepomuceno Fernandez, pidiendo.se declaré lo que' las decconíianza. Celebramos con fiestas" el recuerdo de tan me Cortes tengan á bien en favor suyo y de otros por los ser morable dia, que nos prepara…</t>
  </si>
  <si>
    <t>Jubefa, Julián</t>
  </si>
  <si>
    <t>Julián Jubefa</t>
  </si>
  <si>
    <t>…tes de, $uey#r$sjpaña. . ,,Excmo. Sr.: Paso á las superiores Manos de Vl'Ev Ofiginal el parit&lt;{3 que' 1 apilan;eon fecha 2f del corriente mé dirigid désde IttTtadendalde Jurica el D. Julián Jubefa, comandante de ía segunda’ sebfciorí velante, contraioji* á te acción que sostuvo contra los rebeldes en la mañana de dicho día, y cuyo pormenor manifestará á su superioridad el citado adjunto parte que 1 ¿levóte V* E. para su debido conocimiento. ¡n ’ ; ; r…</t>
  </si>
  <si>
    <t>Juber</t>
  </si>
  <si>
    <t>…or hizo tres prisioneros de los dispersos ;pues ninguna gavilla se presentó en número de cuatro hombres, cogió como io&lt;&gt; cabezas de ganado mayor, y dió muerte á un rebelde; la del capitán Juber* mató un titulado teniente, cogió como fo cabezas de ganado mayor, y un chinchorro de menor, que tanto este como otros que se habían cogido de esta especie cedió para los ranchos de la tropa; la dei capitán Noguerol solo vió á lo lejos la pequeña gavilla de A…</t>
  </si>
  <si>
    <t>Jubera</t>
  </si>
  <si>
    <t>…las á salirles por la retaguardia: mas como este movimiento debía egecutarse c©n la mayor rapidez , ordené al comandante de la infantería siguiera á paso redoblado las huellas del capitán Jubera para que en caso de necesidad le sir viese de apoyo, situándose para el efecto en la hacienda de puerto de Nict&lt;&gt; ó mas adelante , según lo'juzgara oportuno* En efecto se dirigió cada uno por el punto que se les había señalado, y á favor de una espesa niebla…</t>
  </si>
  <si>
    <t>Jubera, Julián</t>
  </si>
  <si>
    <t>Julián Jubera</t>
  </si>
  <si>
    <t>…ia 26 sobre el puer to de Nieto , dictante ya solo dos leguas* del cerro del Re paro, y en el momento ordené queda caballería jdivrdida'en dos trozos1, el un o ' á las ordenes del capitán D. Julián Jubera, se dirigiese por el llano á caerles al frente, y el otro mandado por mí, tomásemos por el cerro de las Márga las á salirles por la retaguardia: mas como este movimiento debía egecutarse c©n la mayor rapidez , ordené al comandante de la infantería siguiera á…</t>
  </si>
  <si>
    <t>Juicios</t>
  </si>
  <si>
    <t>…...... ............. 23J ANUNCIOS. Solicitudes en que no cupo absolutamente conciliación, y se mandó usasen de su derecho. 09-j Por providencia del Sr. D. Josef Aíartine* Moscoso, juez Juicios declarados por intentados, mediante 72 l letrado en primera instancia de esta M. H. villa, refrendada de la falta de presentación de los demandados............. su escribano del número D. Jacinto Gaonu y Loeches, se ha 170 Id. de menor cuantía no contestados.…</t>
  </si>
  <si>
    <t>JuíukinMuraitlesa, Manuel</t>
  </si>
  <si>
    <t>Manuel JuíukinMuraitlesa</t>
  </si>
  <si>
    <t>…tres. los memono se nota en él mas movimiento que el de concentrar su riales se dirií’iíiifinil - «ala .ittiecito, por mano de *u secretariovanguardia en las cercanías de Ferrara. D. Manuel JuíukinMuraitlesa, Jhcasta el 20 de Enero próximo de !v criben de íng'aterra que el dia 29 había asistido la 18 2 t, en que ilhlllejji- rl á t ¡iecvtdora, Reina a la igle ia de S. Pablo; que el pueblo manifestó el Un libritíi Itilto ,nanc*rlo trnsilltatt con la espada ó bastón…</t>
  </si>
  <si>
    <t>Julián</t>
  </si>
  <si>
    <t>…tículo 814 del 'código civil , á todos los acreedores contra el caudal del difunto, á quienes se guardará su derecho según .el.tenor de las leyes. En virtud de providencia cid ¿&gt;r D. Julián de óojo, juez letrado en primera ins tancia de esta muy heroica villa,, refrendada del escribano del húmero D. Donato Nuñez, se ha señalado para junta*de acreedores á la, testamentaría de Doña María Antonia Fernandez el dia 14 del corriente a iás nueve erTpuh…</t>
  </si>
  <si>
    <t>Julian'CatleHacienda</t>
  </si>
  <si>
    <t>…exto: se declaró no haber lugar á votar. dada la suspensión de provisión dé prebendas. Separándose la’ comisión del dictamen del ministro de A la de Infracciones una exposición de D. Julian'CatleHacienda, que propendía á la supresión de la contribu ja, juez de primera instancia de Oropeea, vindicando su ción de lanzas, proponía subsistiese esta, valuándola en cua honor manchado con las calumnias de un vecino de dicho tro millones ck reales. Pero al mismo tiem…</t>
  </si>
  <si>
    <t>JUmoir</t>
  </si>
  <si>
    <t>…dehteS al ¿fe marirta D. í'rancúcoU3arcía EspinoSÍ , y *1 dé egércítóf Di! Jósef de Aiwa: pat# fes de togados i Do* Guillermo de Vargas * D. ¡Juan Miguel -ftdáfc/tfé; fe ^Cadéttoy D. JUmoir; N» yárró -KngarirÓh, D; E^éncJácé íéWhíóIdfeJll^tféf jDi-Mamjd? IWest ©on* iiií,' D^ Joaquín Sistérfeí¡y/D^?áh^s^^ép^^ fkeno^pira'désidéfisícalés militar y -tógado. él1 lilrlwal deóai^ó'Wi^átttdflíó íReikv'idesiy ¿Dop Josef Bénitez; y^iavla:di'r^éíléiRd’S^P|…</t>
  </si>
  <si>
    <t>Jurado, Francisco</t>
  </si>
  <si>
    <t>Francisco Jurado</t>
  </si>
  <si>
    <t>…los trina cristiana, leer, escribí r, contar y gramática caste de D. Gri t bal Manzano, vecino de Bujalance, y otros de llana. Según el voto general de los Sres. concurrentes y el D. Francisco Jurado, vecino del Carpió, en. 22,217 r». del profesor, merecen ser citados por el estado de su ade Un olivar ídem de la capellanía de D.~ Antonio Tórrállantamiento Fausiino Milagro, Francisco Huerta, JosefBur- bo, ai pago de Sta. Brígida, sitio de! Pozuelo. cnmpú--…</t>
  </si>
  <si>
    <t>Jus, Secretario del Despacho de Gracia y</t>
  </si>
  <si>
    <t>Secretario del Despacho de Gracia y Jus</t>
  </si>
  <si>
    <t>…820.= Diego Clemencin, Diputado Secretario. = Manuel López Cepero, Diputado Secretario. = Juan Manuel Subrie, Di putado Secretario. = Marcial Antonio López, Diputado Se cretario. =Señor Secretario del Despacho de Gracia y Jus* • ticia. De orden del Rey se anuncia al público noticia tan satisfactoria, para que este se cerciore de haberse ya ve rificado el primer acto solemne que ha de conducir á la Nación Española ai grado de prosperidad á que la llaman sus destinos, y que espera d…</t>
  </si>
  <si>
    <t>Just, Narciso San</t>
  </si>
  <si>
    <t>Narciso San Just</t>
  </si>
  <si>
    <t>…pronto á cubier to. Lo son igualmente el gefe de Estado mayor de la segunda división D. An tonio Vázquez, y el de la columna de Arana D. Vicente Gorosavel, y mi ayudante interino D. Narciso San Just, quienes comunicaban mis órdenes en el rigor del fuego con la mayor serenidad: se han distinguido también en está jornada los tenientes de la Reina D. Juan Llamosa y D. Pedro Antonio Fer nandez, siendo los primeros que ocuparon la cabeza del puente, el distin…</t>
  </si>
  <si>
    <t>Justicia, Gran</t>
  </si>
  <si>
    <t>Gran Justicia</t>
  </si>
  <si>
    <t>…y otras ciudades fabricántes de Escocia’ se ha.puesto 'piéáos á varios individuos, y otros se han fugado; ,, t Hoy se ha dado principio á la;&gt;causa de Arturo Thistlewood; pero él lord Gran Justicia, primer presidente de- la junta de jurados,, ha pedido que liada se&gt; haga público hasta que seanbjuzgados todos los reos. Se están recogiendo firmas en esta capital para una exposición que !ha de presentarse ál Parlamento solicitando que se deroguen las leyes…</t>
  </si>
  <si>
    <t>Justicia, Secretario del Despacho de Gracia y</t>
  </si>
  <si>
    <t>Secretario del Despacho de Gracia y Justicia</t>
  </si>
  <si>
    <t>Núm. 3 {. ( 2 enanos.) sj3 DE MADRID DEL VIERNES ic DE MARZO DE (820. .;; í ., ,bí r. ARTICUEOJKE OFICIO. t A El Rey se ha servido dirigiír con esta fechaal Sr. Secretario del Despacho de Gracia y Justicia el decreto siguiente: ,,Para que el sistema constitucional que he adoptado y jurado tenga la marcha rápida y uniforme que corresponde, he resuelto, oida la Junta pro visional , y conformándome con su dictamen, que en todos los pueblos de la monarquía se hagan…</t>
  </si>
  <si>
    <t>Núm. 7. ( 3 cuartos.) GACETA EXTRAORDINARIA DEL GOBIERNO. JUEVES 6 DE JULIO DE 1820. Los Excelentísimos Señores Secretarios de las Cortes acaban de comunicar al Excelentísimo Señor Secretario del Despacho de Gracia y Justicia, á la hora de las tres de^esta tarde, el oficio siguiente: „Excelentísimo Señor: En el presente dia 6 de Julio se han constituido las Cortes ordinarias de la Nación Es pañola , convocadas por Real decreto de 2 2 de Marzo próximo pasado para los años de 1820 y…</t>
  </si>
  <si>
    <t>Justo</t>
  </si>
  <si>
    <t>58</t>
  </si>
  <si>
    <t>58 Tonce , Temes, Queypo, Fondevila, Victorica , García terados abusos, y vencerá las dificultades que de ellos se han (D. Justo). originado. La fácil comunicación del pensamiento que pro COMISION DE PODERES. . porciona la libertad de imprenta, generalizando y exten Los Sres. Cano Manuel, Calatrava, Quiroga, Giraldo, diendo con rapidez los conocimientos útiles, persuadirá á Gareli, Lag…</t>
  </si>
  <si>
    <t>Justo, Josef</t>
  </si>
  <si>
    <t>Josef Justo</t>
  </si>
  <si>
    <t>…con los palermitanos habia he Asimismo lo quedaron , y mandaron pasar al Gobier cho muchos prisioneros, y les habia dado libertad, como no , una exposición del. general de Marina D. Josef Justo también á todos los habitanres que sorprendió en su mar Salcedo, dando gracias por el decreto sobre afrancesados, y cha ; y que si á pesar de tanta moderación no se entrega la ofreciendo sus servicios. ciudad, se verá en la dura necesidad de tomarla por asalt…</t>
  </si>
  <si>
    <t>Justo, Juan</t>
  </si>
  <si>
    <t>Juan Justo</t>
  </si>
  <si>
    <t>…agregar año , hasta que obtengan beneficio ó destino que les produz á ella los votos particulares de los Sres. Navarro (D. Felipe), ca igual cantidad. Navarro (D. Andrés), García (D. Juan Justo), Dolares, 6. Los que no estuvieren ordenados in sacris queda Ga-co, Sil ves, Marina, Castrillo, Vargas Ponce, García, rán en la clase de legos seculares, sujetos á las justicias or Alvarez Sotomayor y Desprat, contrarios á la aprobación dinarias ; y si hubie…</t>
  </si>
  <si>
    <t>…as Cortes que cerrarse, como faltas de todo recur Palarea, Montoya, Martínez de la Rosa, Martel, García so; y que si no se hacia una supresión absoluta, sino que se Page, García ( D. Juan Justo), Ezpeleta , Cepeda, Isturiz, dejaban algunas pocos , se presentaba el inconveniente de Desprat, Cortazar, San Miguel, Quiroga, Moragues , Vi las reclamaciones de todos los demas, que se creerían cotí torica, Calderón, Lasanta, González Allende, D¡az de igual…</t>
  </si>
  <si>
    <t>…ión pública de D. Francisco de Paula González de rominas. Cándano. Para la de Pesos y Medidas ios Sres. Vargas Ponce, A la comisión de Hacienda se pasó un oficio del señot García (D. Juan Justo) , Coraminas, Liñan, Alvarez Guer secretario dé este ramo sobre que se le remitiesen los expe ra, Subercases, Cepeda, Rodríguez y Torre Mario. dientes de permisos mercantiles de tres casas de la Penín Para la de Ultramar los Sres. Ligarte (D. Agustín), Pino,…</t>
  </si>
  <si>
    <t>JVl</t>
  </si>
  <si>
    <t>…plaza de CiudadRodrig(í?al briaadíer D Jdsef Martínez San Martinr^do-k pUza^de S.^Sebastían al brigadier D. Manuel Díaz de Herrera* y el.de la plaza de Madrid áí mariscal de campo D. JVl&amp;nuel de Velasco. ■ / : i: .. •,, • •• _ . ;^.~v - ----------------------------------- —s ---Por providencia del ;Sr. t&gt;. Joscf Martínez Moscoso i juez dtprimera mstañeia</t>
  </si>
  <si>
    <t>Kenyon</t>
  </si>
  <si>
    <t>…os que se han respuesta no -e die»e á luz erilfelgperi ídicos. Esto es lo mas alejado de las plazas que guarnecían. importan e q^e ocurrí 5 en aquella sesión. f En la deL 6 renovó lord Kenyon su proqjjfesta del dia ALEMANIA. anterior para que se diese cuenta á la C unirá de! dinero suministrado i S. M. Su Seroría hizo alguna» observaciones Jnspruck 10 de Setiembre. sobre lo» enormes gastos del proceso, y concl v &gt; su dis En Milán se habla de ciert…</t>
  </si>
  <si>
    <t>Key, Santiago</t>
  </si>
  <si>
    <t>Santiago Key</t>
  </si>
  <si>
    <t>…Por el Excmo. Sr. duque de Frías........ ... .. 6,000 J Remitido á&lt; dicho limo. Sr. obispo de Cácjiz por la de positaría de la suscripción.................... . 442,529 Remitido á D. Santiago Key, canónigo de Canarias , re sidente en Sevilla , directamente por el Excmo. Sr. arzobis-</t>
  </si>
  <si>
    <t>…....................... ** Y ademas le dió S. E. orden para invertir en alivio de los contagiados cuanto produjese su arcedianato de Carmona durante la epidemia. Remitido al mismo D. Santiago Key por ta depositaría de la suscripción....... ................................................................. 87,144 14 Descuento de letras y otros gastos precisos de escritorio.. 2,689 8 Total........................................... 617,622 Limosnas recau…</t>
  </si>
  <si>
    <t>Kiemnayer, Miguel de</t>
  </si>
  <si>
    <t>Miguel de Kiemnayer</t>
  </si>
  <si>
    <t>694</t>
  </si>
  <si>
    <t>…rangeros, que empiezan á hacerse raras las proporcio nes para alojarse. ^ / Él mando general del gran principado de Transilyania,;que estaba vacan te por la separación del general barón Miguel de Kiemnayer, ha sido última-' mente conferido por el Emperador al barón de Schouslek d’Hervey, teniente general, que en Moravia había mandado én segundo. Cartas particulares de Bucharest, en Valaquia, hablan dé un nuevo teatro neo-griego; establecido, hace, poco en aquel…</t>
  </si>
  <si>
    <t>King</t>
  </si>
  <si>
    <t>…las cuentas y papeles relativos á la lista civil que se presentaron en 1816. El con de Liverpool se opuso á esta propuesta considerándola inútil y poco conve nienteper-© la apoyó lord King, y fue aprobada por la Cámara. CAMARA DE LOS COMUNES. i Mr. Wd Ison- presentó una solicitud de los fabricantes de la ciudad 'de1 Londres contra el? impuesto establecido durante el último Parlamento sobre laintroducción de las lanas, y excitó á los ministros á…</t>
  </si>
  <si>
    <t>…que la Reina no podia asistir á la sesión de hoy , á causa del cansancio que había experimentado en la de ayer. Hay ocasiones en que los hombres no pueden menos de Tomó la palabra lord King, manifestando que en su nostrar lo que son: se les cae la máscara,)’ quedan tales Opinión y en la de otros muchos individuos de la Cámara :uales no quisieran ser vistos. El descubrimiento feliz de la los bilis de inultas y penas solo debian admitirse en los l…</t>
  </si>
  <si>
    <t>…secreta, á quien se comi ca , y asi ¡o firman todos conmigo el escribano público, que sionaría para que diese su informe. lo escribí .=Fínnado. El escribano público Josef de VeiEl lord King tomó la palabra , y dijo que según todas ga. = Siguen las firmas del corregidor y demas de 20 dipu las apariencias, había una conspiración contra la Reina , y tados presentes. = Es copia conforme Scc. que Rastelii era uno de los rigentes de esta trama; que no…</t>
  </si>
  <si>
    <t>…del Brasil y de Portugal en Hans- dos Cámaras del Parlamenta, era un desdoro para ¡a Fa burgo, ha declarado formalmente que no volverá á Lisboa milia Real La segunda, que hizo el lord King, tenia por hasta que el Gobierno del Rey se haya restablecido en Por objeto hacer insertar en el bilí la cláusula de que los indi tugal. Los demas ministros de S. M. Fidelísima en el Norte viduos que componían la comisión de Milán fuesen decla se llan propues…</t>
  </si>
  <si>
    <t>Kinniaird</t>
  </si>
  <si>
    <t>…s con diferentes medallas de plata, y Noel, sír Francis Burdett, sir Robert WHison, sir Thom el ir. Gefe pohtico no pudo menos de admirar los progre Newport, sir II. Parnelii Hox. D. Kinniaird , aiderman sos de las discípulas, y el zelo y dulzura de su respetable W''cod , Peter Moore, esq.; Joseph Hume, esq.; Jhon C. maestra. ■ Hobhouse, e^q.; Chas. Calvert , esq.; Edr. Ellice, esq.; Cádiz 2 de Noviembre. tnajor I. Williams, aidermanThorp, Mr. Sche…</t>
  </si>
  <si>
    <t>Kl, Brilingeroide</t>
  </si>
  <si>
    <t>Brilingeroide Kl</t>
  </si>
  <si>
    <t>…ará esta carta, á la que doy fin, asegurándoos, señor vizconde, la distinguida consideración con que soy vuestro servidor ¿kc. ,,Sturtgardt 29 de Diciembre de 18x9. = Firmado. =El conde Brilingeroide Kl general Soult, duque de Dalmacía, ha prestado hoy nuevo juramento de fidelidad al Rey, y S- M. le ha devuelto el bastón de mariscal. Esta mañana recibid el Rey á los embajadores de Ñapóles y: de España, á los mariscales Leíebvre y Beurnonviile, á los ministro…</t>
  </si>
  <si>
    <t>Kock</t>
  </si>
  <si>
    <t>…s cartas de Bátavia, de fecha de 20 de Agosto illtimo, qué se estaban haciendo preparativos^ de guerra en Samarang contra Machmoed-rBaídroedin, sultán de Palembaug, y que-el mayor general Kock y el contra-al mirante Wolterbeck mandan respectivamente las fuerzas de tierra y de mar destinadas á obrar contra aquel Soberano indio. ■ ' .í.'. 3 vi . , Jdem de Febrero. • w." ■ -'Tm ■j - Hoy hace seis añó^que entraron aqui las tropas aliadas: en tan corto…</t>
  </si>
  <si>
    <t>Kotzebué</t>
  </si>
  <si>
    <t>…nosa ; y gobernadores de las plazas de Malaga y Sanlúcar de navegación de Cook, 800 millas geográficas. Si se atiende Barraineda á los mariscales de campo D. Miguel López á que el teniente Kotzebué penetró por el lado del Este en Baños y D. Felipe Arco Agüero. un estrecho hasta los 15Q Oeste de longitud de Greensxrich, Igualmente se ha servido S. M. conceder los honores y á que los naturales le aseguraron que mas adelante ha del consejo de Estado al ten…</t>
  </si>
  <si>
    <t>Koumass</t>
  </si>
  <si>
    <t>…a brería de Paz, anticipando el importe de los dos tomos primetura griega. Uno de los eruditos mas notables, que es el ros , que comprenden las odas, y que serán entregados en lo* Sr. Koumass, profesor en Smirna, ha dado últimamente á primeros dias de Febrero. El precio de la suscripción es de 40 luz un libro elemental de filosofía, en que se hace un breve reales por los dos tomos en pasta y 36 en rústica. resumen de las investigaciones filosófica…</t>
  </si>
  <si>
    <t>Krusenmarck</t>
  </si>
  <si>
    <t>…conde Golowkin por la Ru-' de sangre ,-sin la menor oposición, y con la mas admirable sia, Mr. de Caraman por Francia, lord Stewart por la unión de los pueblos. Gran Bretaña, y el general Krusenmarck por Prusia: es La Inglaterra parece estar indiferente: el embajador in tos cinco ministros saldrán de Viena el día 15. Se añade gles asegura que el aumento de fuerzas de aquella nación en ue el Emperador de Rusia irá acompañado de su ministro el Mediterráneo…</t>
  </si>
  <si>
    <t>Kstrada, Fb'rez</t>
  </si>
  <si>
    <t>Fb'rez Kstrada</t>
  </si>
  <si>
    <t>…e se hallaba trabajar, y con esto se tomarían providencias que evitarían también presente á la discusión , trató) de dar satisfacción á muchos males. algunas ae las objeciones del Sr. Fb'rez Kstrada, diciendo Habló después el Sr. Giraldo, y se propuso demostrar que en cuanto á los persas el Gobierno hizo lo que pudo y por la- leyes y reglamentos dados en todas las épocas ante lo que debia hacer, y que no debió hacer mas porque hu riores que el número de…</t>
  </si>
  <si>
    <t>Kuiz, Faustino</t>
  </si>
  <si>
    <t>Faustino Kuiz</t>
  </si>
  <si>
    <t>…stras voluntades, ó sí no, profanasteis sacrilega hallaba reunido el ayuntamiento, presidido por ro acame mente una palabra sacrosanta , figurando como dementes eri constitucional D. Faustino Kuiz, el clero, la comunidad farsas pueriles y escandalo-as. Reclame en buen hora la sorda de religiosos franciscos descalzos de esta villa, v un núme voz de alguno, que solo tenga abusos por patrimonio, el estilo ro considerable de personas de todas clase'1. de l…</t>
  </si>
  <si>
    <t>L, J.</t>
  </si>
  <si>
    <t>J. L</t>
  </si>
  <si>
    <t>…a función que dió en benefi cio de los pueblos contagiados, 462 rs. y 30 mfs^ Núm. 737. El limo, señor deán y cabildo de la catedral de Solsona 500. Núm. 738.' Di N. 20. Núm. 739, Doña J. L. 40. Núm. 740. Vicente Noves, Josef Sánchez Ballesteros, Fraacisco Yévenes y Josef Cornejo 200. Num, 741. D. Ñ. C. 20. A R T I C U 1. O D B : O F I C I O. Real cédula de S. M. y Sres. del supremo Consejo de Indias• El Rey. „ Queriendo señalar con un rasgo de m…</t>
  </si>
  <si>
    <t>…o á 6 rs. Congreso de Carlsbad, por Mr. de Pradt, arzobispo que fusban comprendidos los límites de los poderes de. todos los de Malinas, segunda parte: traducido al castellano por D. J. L.diputados, creyendo por lo mismo qje el caso presen re era de P Véndese en la librería de Collado á 16 rs. vn. en rústica,el mas apurado que podía ofrecerle; añadió que en su co donde también se vende la primer parte de dicho congreso á 8 razón solo hallaba ra…</t>
  </si>
  <si>
    <t>La-</t>
  </si>
  <si>
    <t>…á primera hora, pérfidos que se hubiesen mostrado dignos de aquella época. encargando á los señores diputados se reuniesen á las 10 ea Limitada pues la indicación anunciada por el Sr. La- punto ; y levantó la de este dia. santa como capaz de trastornar y poner en ansiedad toda la magistratura española á solo la primera clase, subdividió ARTICULO DE OFICIO. aun el orador á esta en otras dos, porque ó los jueces ante riores á Mayo de 14 se halla…</t>
  </si>
  <si>
    <t>Labastida, Ramón Ruiz de</t>
  </si>
  <si>
    <t>Ramón Ruiz de Labastida</t>
  </si>
  <si>
    <t>…la buena conducta, constante aplica ción y aprovechamiento en los estudios que han acredíradó los caballeros ca detes dei Real cuerpo de Artillería D. Joaquín Pavía y W-erminghan, Don Ramón Ruiz de Labastida, D. Joaquín Cabañíes y Fuster, D. Jesualdo Pé rez de Lema , D. Mariano García y Saleta , D. Josef Guerrero y Sedaño 3 Don Santiago Olloqui y Martínez, D. Manuel La-Cerda y Paiafcx, D. Juan Ló pez Larrainzar , D Francisco Cascajares y Bardnxí, D. Josef Aivarez…</t>
  </si>
  <si>
    <t>Laborde, Angel</t>
  </si>
  <si>
    <t>Angel Laborde</t>
  </si>
  <si>
    <t>…embre. trechos de Banka están llenos de piratas. Ha salido la expedición para Costa-firme, al mando del —En una junta que han celebrado los leales habitantes de capitán de fragata D. Angel Laborde, compuesta de las fra Exerer han acordado dirigir al Rey la siguiente exposición: gatas Ligera y Viva, corbeta Are/usa, bergantines Hórr «Nosotros los habiranres de la antigua y fiel ciudad de enles y Hiena, y 4 trasportes. Exeter, subditos sumamente respetuo…</t>
  </si>
  <si>
    <t>Labrador, Pedro</t>
  </si>
  <si>
    <t>Pedro Labrador</t>
  </si>
  <si>
    <t>…ado para la embajada de Londres en lugar del duque de S Carlos al duque de Frías: para la de París en el del duque de Férnan-Nuñez al duque del Parque: para la de Ñapóles en el de D. Pedro Labrador á D. Luis de Onís: para él ministerio de Berlín al conde deToreno en lugar de -D. Pascual Vallejo : para el de Rusia en sustitución deD. Luis de Onís á Don Manuel González Salmón: en la de este para Dresde á D. Joaquín Campuzano; y á D. Josef María de Pando,…</t>
  </si>
  <si>
    <t>Lacerda, Antonio</t>
  </si>
  <si>
    <t>Antonio Lacerda</t>
  </si>
  <si>
    <t>…io parte con su preopinante, se proponían sin embargo cosas Lozano, D. PedroPerez Bustamante, D. Juan Felipe Masede ia atribución exclusiva de las Cortes, como era la habili gosa, D. Antonio Lacerda , D. Saturnino Figueroa, D. Ma tación del curso, y pidió que se accediese á esto, y se hi riano García Cáceres , D. Antonio Hernández y D. Pas ciese una recomendación al Gobierno, dando ademas gra cual González, el 1.0 como gobernador, el 2" como sar cias á l…</t>
  </si>
  <si>
    <t>Lacérela</t>
  </si>
  <si>
    <t>…s, vz Que las Cortes han decretado lo siguiente: «Las Cortes, Sr. D. Sebastian Drago Valen te de Pósito Cabreita. ” usando de ¡a facultad que se Ies concede por laConstitocion, El general Lacérela pasó en 18 de Noviembre un oficio han decretado: Se suprimen las exacciones que se hadan al Excmo. Sr. D. Joscf Díaz Azedo , renunciando él inando para redención de cautivos con el título de mandas pies v eneral de la fuerza armada, que en el día 11 del mismo…</t>
  </si>
  <si>
    <t>Laceruna</t>
  </si>
  <si>
    <t>…ida en dos partidos, uno de los cuales acla'ma al Rey, Lisboa 13 de Noviembre. y otro á la Reina, según sus intereses 6 sus afectos? Por Las tropas de esta capital han dirigido al general Laceruna parte notaría aquel arrejo imprudente y arriesgado que da el siguiente oficio: : inspira la inocencia ; y por otra la precipitación de un fal limo, y Excmo. Sr. D. Gaspar Teijeira de Magalhaes so zelo, y una aparente osadía , mezclada con un gran te y Lacerda…</t>
  </si>
  <si>
    <t>Lacorte, D Felipe</t>
  </si>
  <si>
    <t>D Felipe Lacorte</t>
  </si>
  <si>
    <t>…sos individuos mar ques las Amarillas, actual Secretario de Estado y del Despacho de la Guer ra , D. Fernando Queipo de Llano, secretario del Sermo. Sr. Infante Doíi Carlos , y el coronel D Felipe Lacorte, teniente coronel del Real cuerpo dé Ingenieros, á fin de que tuvieran el honor de felicitar á S. M., y manifestarle su gratitud por haber jurado la Constitución promulgada en Cádiz en 1812; y el primero de ellos dijo:</t>
  </si>
  <si>
    <t>Lacy</t>
  </si>
  <si>
    <t>…ntar los .signos representa ti zos, y con fcumplir.tla ley de. p-de' Octubre; conforme át la -petición ellos la fortuna de los particulares y la del Estado en gene de la-viuda del general Lacy.” • ' '-' -.ó ral: bajo está inteligencia creo debería guardarse para su ;• -• Seidió- cuénrá de-una exposición- de D; Miguel Segundó ejecución el orden siguiente : Mollirtódo., pidiendo , dispusiera - el Congreso se formase i.J s Dividir la España- en provin…</t>
  </si>
  <si>
    <t>…ue las oficinas de correo reparten diariamen riente, que no habia accedido dicho tribunal i la solici te en Paris 32© cartas, y que se venden cada dia cerca de tud de la viuda del general Lacy, porque no habia pedido 11800 números de papeles públicos. En Londres el número un testimonio de la causa , sino que se le mandasen entre de cartas es diariamente de 133©, y el de papeles públicos gar los autos originales para ser oida en justicia, lo que es…</t>
  </si>
  <si>
    <t>…e como lo proponía la mayoría de la comisión. Acuña, iguales á la primera del Sr. Zapata. No se admitió á discusión la adición del Sr. Cepero para Otra del Sr. Villanueva, »que el general Lacy y el co que se añadieran á las palabras del comandante estas'otras: ronel D. Félix Acevedo sean inmediatamente declarados be y 2.i patria os bendecirá si cumplís vuestro juramento; neméritos de la patria-en grado heroico.” si no , sereis responsables d las le…</t>
  </si>
  <si>
    <t>…del secretario del Despacho de Hacienda, manifestan Se leyó á instancia del Sr. Bahamonde una exposición do á S. M. el Sr. Salmón, antecesor de! actual, el enado de la hermana del general Lacy, en la que manifestaba las de la Hacienda, habia dicho, justificándolo, que la contri persecuciones que había sufrido, y pedia la tuviese el Con bución general ni excedía á las fuerzas de la Nación , ni au greso en consideración , como también á su hijo D. An…</t>
  </si>
  <si>
    <t>…os y órdenes expedidas por ción del edificio, en atención A no estar concluido este. el Gobierno anterior para fomento del mismo, observándo Se leyó una exposición de la viuda del general Lacy, se los de las Cortes sobre el comercio en general en solo la -pidiendo se cumpliesen las promesas que dicho general hi que fuese compatible con el fomento del de aquella isla. ‘ zo A .sus compañeros de armas en una proclama que pre— Igualmente se pasó A la m…</t>
  </si>
  <si>
    <t>Lacy, Luis</t>
  </si>
  <si>
    <t>Luis Lacy</t>
  </si>
  <si>
    <t>…geies del egárcito de S. Fernando á sus soldados, se leyó erernizar la memoria del teniente general y héroe de la pa otra del Sr. Toreno que estaba ya puesta al despacho, pi tria D. Luis Lacy, asciende el importe de los donativos diendo que se aprobasen y legitimasen las referidas ofertas; hechos por varias corporaciones y particulares á 12,995 rs. y otra del mismo Sr. Golfín sobre que una comisión espe y 3 2 mrs. cial informase á las Cortes sobre…</t>
  </si>
  <si>
    <t>…para que se quería mas que el bien general de la Nación, no exigía preci inscríban en el salón de Cortes los nombres de D. Juáh pitaciones , premuras ni trastornos. Diaz Portier y D. Luis Lacy ; declarando al mismo tiem Se leyó en seguida la indicación del Sr. Moreno Guerra, po beneméritos de la patria á los que sufrieron pena capital firmada también por los Sres. Vadillo, Quintana, Ezpeleta,- por adictos á la Constitución; cuyos dos decretos remit…</t>
  </si>
  <si>
    <t>…•cerca de la solicitud de D. Pedro de Lesea, del comercio (de varios oficiales comprendidos en la causa que se formó de Bilbao, relativa á que se le continuase el privilegio de al general D. Luis Lacy, manifestando sus servicios. introducir géneros coloniales en buques extrangeros, con No hubo lugar A votar, por no estar aun sancionado el de* solos los derechos de los nacionales y el 4 por 100 de ha ■creto sobre reforma de regulares, acerca de una represen…</t>
  </si>
  <si>
    <t>Lacy, Luis de</t>
  </si>
  <si>
    <t>Luis de Lacy</t>
  </si>
  <si>
    <t>…, y conforme al parecer de esta; se ha dignado S. M. de Barcelona las triunfales exequias al cadáver del Exento. Señor resolver que los individuos militares incorporados en el mon D. Luis de Lacy, capitán general de los egércítos nacionales, te pío de oficinas desde la Real orden de 9 de Junio de con una lámina de la vista geométrica .del suntuoso túmulo 18t;, expedida también por esa vía, hasta la indicada de 26 construido en la parroquial de santa M…</t>
  </si>
  <si>
    <t>Lafuente, A.</t>
  </si>
  <si>
    <t>A. Lafuente</t>
  </si>
  <si>
    <t>…e no pueden costear la semana santa grande : un tpmo en 8.° Se hallará en la librería de Francés* calle de las Carretas, á 6 rs. / Semana santa y estaciones para el monumento, por D. A. Lafuente. El que los fieles asistan con fruto á los oficios de la semana santa ha sido el loable objeto de los que han publicado en idioma vulgar lo que la iglesia canta y reza en estos dias. Lo mismo se ha propuesto el editor de esta pbrita, pero de una manera mas ac…</t>
  </si>
  <si>
    <t>Laghezza, Josef</t>
  </si>
  <si>
    <t>Josef Laghezza</t>
  </si>
  <si>
    <t>…s un instrumento de paz. Se promoverán con carteles sedicio sugetos siguientes: , _ T . sos reuniones no autorizadas por el Gobierno, para que la D. Pascual Borrelli, presidente ; D. Josef Laghezza, se muchedumbre aprenda á eludir la sujeción de la ley, y cretario general; consejeros D. Donato Colleta, D. Luis para que arrebatada por un movimiento inconsiderado , de Siniscalchí , el barón D. Josef Nanni, y el abate D. Do genere en el desorden. Se sugeri…</t>
  </si>
  <si>
    <t>Lagrava</t>
  </si>
  <si>
    <t>…con lo; speldos admitieron la tercera y cuarta, habiendo retirado todas las asignados A ellos ., previniendo, que fue-en preüjddor. los tni- adiciones sus añores, excepto la..del Sr. Lagrava, la cual litares que hiciesen constar vi npjiud segut: sus campañas y puesta á votación.rampoco quedó admitida. miiiroc............. . . ...... Se leyeron por primera vez do; proposiciones , una del Se levó otra, jroposícion del Sr. Lopq^ ( D..; Marcial) Sr,…</t>
  </si>
  <si>
    <t>…ntes dar una alarma á la Nación en los primeros dias de la re á la Nación vuelvan á ella para el mismo objeto. unión del Congreso, por rezelos imaginarios, y síntomas del Otra del Sr. Lagrava pidiendo se declare por las Cortes disgusto impotente de algunos particulares, quenada supo que están en toda su fuerza y vigor desde 9 de Marzo últi nen contra el voto uniforme de una Nación decidida. Ha mo los decretos de las ordinarias y extraordinarias pu…</t>
  </si>
  <si>
    <t>…ntado, y que debia mi tenia motivos por los que pudiera ser censurado en esta rarse con detención. Luego manifestó que era preciso evitar parte. las causas que dejaba indicadas el Sr. Lagrava ; y compa Tomó el Sr. Lagrava la palabra para apoyar lo que ya rando el modo de proceder en otros tiempos, para lo que se había dicho en el curso de esta discusión , que por las citó una lev de Carlos iv , que debia regir en las prisiones providencias de orde…</t>
  </si>
  <si>
    <t>…ran cuál milicia nacional local de voluntarios de S. Sebastian una orden era la opinión pública robre este particular. del Excmo. Sr. capitán general de las provincias Vasconga £1 Sr. Lagrava, por el contrario, sostuvo en su totali das , participándola las noticias que V. E. le ha comunica dad el dictamen de la mayoría de la comiñon, recordan do por extraordinario, con fecha 7 del actual, relativas á do las terribles y extraordinarias circunstanci…</t>
  </si>
  <si>
    <t>…nto el Sr. D. Rafael Lodares, diputado su con el descuento acordado por las Cortes, por haber con plente por Cuenca. cluido el término fijado. La diputación manifestaba también El Sr. Lagrava presentó una e-xposicion de varios cape que este retraso habia provenido de la conducción , y no llanes castrenses en acción de gracias por lo resuelto por el por culpa de los pueblos. El Sr. Villanueva pidió que se Congreso con respecto á esta clase. Las Cor…</t>
  </si>
  <si>
    <t>Lagrave, Agustín</t>
  </si>
  <si>
    <t>Agustín Lagrave</t>
  </si>
  <si>
    <t>…cional, que salió de Cádiz el i.° de Marzo último para D. Pedro Trouguet, 40. D. Severino Saracho, 40. D. Juan Ultramar, ha entrado de regreso en el citado puerto el dia Giró, 8o. D. Agustín Lagrave, 160. D. Luis Monteiro, 80. 6 de este mes, conduciendo Correspondencias de oficio y D. Antonio Breciano,8o. D. Bartolomé Scotto, 2®. Don pública de Filipinas, Nueva-España, Ha vana y Puerto-Rico. Josef Comitre, 1®. D. Manuel Caballero, 2200. D. Ma nuel de los…</t>
  </si>
  <si>
    <t>Lainez, Pedro</t>
  </si>
  <si>
    <t>Pedro Lainez</t>
  </si>
  <si>
    <t>…Riva Her-? rera de la de Alava; ai intendente D. Josef Blanco González de la de Aragón; á D. Josef Somoza de la de Avila; al brigadier D. Josef del Castellar de la de Cataluña; á D. Pedro Lainez de la de Córdoba; al brigadier D. Ra món Losada de la de Galicia; á D. Joaquín Montesoro de la de Guadalajara; al brigadier D. Francisco de Paula Osorio de la de la Mancha; al mar ques del Villar de la de Murcia; al teniente general D. Juan O-Donojú de la de…</t>
  </si>
  <si>
    <t>Lallave</t>
  </si>
  <si>
    <t>…r á la comisión que entiende en el asunto, con otro CORTES. proyecto de D. N. Lerin dirigido al propio objeto. Sesión del iG de Agosto. Se leyó por segunda vez una proposición del Sr. Lallave, Se leyó el acta de la anterior, á la que se mandaron en que pedia la libertad de surtirse los pueblos de sal de las agregar los votos particulares de los Sres. Toreno, Priego, salinas de la Nación, ó de los arrieros y trajinantes. Se ¿epero, Rodríguez, Espig…</t>
  </si>
  <si>
    <t>Lam-, Juan</t>
  </si>
  <si>
    <t>Juan Lam-</t>
  </si>
  <si>
    <t>…lnes; Los que mas Exposición sobre los defectos mas visibles que tiene el se dedican á este trabajo son Los grabes de, Gurnon, los cua reglamento de monte pió militar, escrita por D. Juan Lam- les han adquirido tal destreza, que dentro de podo tiempo ple y D. Antonio Vázquez. no tendrán necesidad los europeos dé'pasar á Egipto á ha Ordenanza para la organización de las músicas de los cer por sí mismos excavaciones en. busca de antigüedades, cuerpos…</t>
  </si>
  <si>
    <t>Lambley, Sierra</t>
  </si>
  <si>
    <t>Sierra Lambley</t>
  </si>
  <si>
    <t>…cordó el ór. Lagrava el dictamen ximo; para el cual se proponía la abolición, de las remas; que tenia que dar la comisión del Gobierno interior sobré opiuior. que de pues apoyo el Sr. Sierra Lambley. señalar parage donde estuviesen los taquigralos de loype- Se lepó otra proposición del Sr. Magaviño para quede riodistas , los que no era extraño oyesen mal á los dipu lo5 cuatro eclesiásticos designados por la Coirtitucion al tados, cuando muchas veces dent…</t>
  </si>
  <si>
    <t>Lamina</t>
  </si>
  <si>
    <t>…ngo igualmente lantados *us trabajos la segunda, resultaría arralo en ellos, que todos los «eñore- diputados se ofrezcan pública y so y no podría verlos el Congreso tan pronto. El Sr. Lamina lemnemente á dar igual egcmplo á toda la Nación, que no añadió, haber sido hecha la indicación del Sr. Cor e? á podra menos de seguirle, pues tanto interesa a la indinaría consecuencia de que se dijo que A ia comisión de Guerra y prosperidad nacional y á la s…</t>
  </si>
  <si>
    <t>Lamothe</t>
  </si>
  <si>
    <t>…mpamen to de Pese, irán también á Troppau antes que, lleguen allí París 1$ de Setiembre*.. los Monarcas ¡ y algunos presumen que asimismo concurrí-; Han sido arrestados en Mons el capitán Lamothe, los rá' el ministro ingles Mr. Canning. _ , ' ententes Dutoy y Desbordes, y los ..subteniente- lególa Se dice- en todas partes qqqel embajador de Rusia (conde Brue, de la legión del Sena. La Camara de los laies pide Golofkin ) .se ha-negado 1 poner el visto…</t>
  </si>
  <si>
    <t>Landa, Pío de</t>
  </si>
  <si>
    <t>Pío de Landa</t>
  </si>
  <si>
    <t>…la de Toledo, vacante por salida de D. Edmundo O-Rian á director de la Hacienda pública, á D. Josef del Aguila, oficial de la secretaría del Despa cho de Guerra: para la de León á D. Pío de Landa, oficial de la secretaría general de la Junta central, comisionado por S. M. en Lisboa, y al presente intendente de la provincia de Asturias : para la de Segovia al de León, va cante por salida de D. Felipe Sierra Pambley á director de la Hacienda pú blica ,…</t>
  </si>
  <si>
    <t>Lander</t>
  </si>
  <si>
    <t>…stablecerle las bases de un tratado entre la Fran cia y los Estados-Unidos. FRANCIA. En un periódico de Norfolk, de 12 de Agosto, se lee lo siguiente: París 27 de Noviembre. • »El capitán Lander, que ha llegado en 30 dias de Fer- Se ha diferido nuevamente hasta la primavera el arreglo mmbuco, dice que á su salida de aquel puerto era opinión de las fronteras entre la Alsaeia y la Baviera rhenana con general que una de las provincias meridionales se ha…</t>
  </si>
  <si>
    <t>Landero, Josef</t>
  </si>
  <si>
    <t>Josef Landero</t>
  </si>
  <si>
    <t>…do nombrar para jueces de prime rogadas. ra instancia de la provincia de Extremadura en esta forma: Quiénes son los verdaderos deudores á los fondoi para el partido de Alcántara á D. Josef Landero: para el púb líeos, y si están privados de la voz activa y pasiva. de Almendrado á D. Diego Rodríguez': pira ei de Badajoz Resolución. Que, como caudales públicos, deben re á ■ D. Manuel Novoa: para el de Coria'á D. Félix Erizo: putarse todos los que pertenez…</t>
  </si>
  <si>
    <t>Lansdown</t>
  </si>
  <si>
    <t>…ando los dibujos de los artefactos, venciones: que elija por ministro a! lord Grey, al lord y trasmitiendo á la posteridad los bellos títulos de nues Erskine, al lord Ilollaud, al lord Lansdown, sus antiguos tras glorias, ha acordado no solo admitir con el mayor y verdaderos amigos; cue vuelva á ellos, y desaparecerá la gusto el referido cuadro de D. Salvador Mayol, y disponer oposición contra su Gi-bierno; todo el mundo reconocerá que se coloque en…</t>
  </si>
  <si>
    <t>Lanti, Alejandro</t>
  </si>
  <si>
    <t>Alejandro Lanti</t>
  </si>
  <si>
    <t>…os extran Sesión extraordinaria de z.° de Noviembre. geros D. Salvador Fonran , D. Juan Betudno, D. Santia En atención á haberse leído en sesión secreta el acta de go Artembusch y D. Alejandro Lanti tenian hedías en so la última extraordinaria pública , se dio principio á la elec licitud de carta de ciudadano. Las Cortes aprobaron este ción de los señores que han de componer ¡a diputación per dictamen. Con este motivo se aprobó una indicación del manente…</t>
  </si>
  <si>
    <t>Lapeña</t>
  </si>
  <si>
    <t>…da ciudad de Tudela , en 840 rs. general de! egército que en Bailen venció por primera vez Otra ÍJein en Trn: ¡apéente y sitio de Jirón , de 8 ro á un enemigo siempre vencedor. El general Lapeña manda bos , en la propia j irisdiccioa , en 1600 rs. ba en aquella acción la división de reserva, cuya parre en Otra ídem en ídem, y sitio del Campo nuevo, de 17 la victoria es bien conocida. Siguió con el egército constan robos , en la referida jurisdicción,…</t>
  </si>
  <si>
    <t>Lapeña, Manuel de</t>
  </si>
  <si>
    <t>Manuel de Lapeña</t>
  </si>
  <si>
    <t>…44 años de su servicio ; que siem F1 d'a 1 3 de Octubre último falleció en esta corte á los pre obtuvo los mandos en circunstancias espinosas y tristes, 58 anos de edad el Excmo. Sr. D. Manuel de Lapeña, Ruiz siendo siempre feliz en su éxito. Grave, exacto y firme, del Sotillo, marq es de Bondad-Real, gran cruz de la or en el servicio era dulce , condescendiente y graciable fuera den española de Cirios ni, y de las militares de S. Fer-» de él, y la confianza…</t>
  </si>
  <si>
    <t>Lara, Manuel</t>
  </si>
  <si>
    <t>Manuel Lara</t>
  </si>
  <si>
    <t>…resto dé la fuerza á íai subida del rio, la dividí, haciendo que 100 infantes del regimiento de Zara goza y realistas del valle del Maíz, mandados por el teniente de los primero» D. Manuel Lara, subiese á reconocer, la altura del.cerro del Oro, y&lt; que éb capitán D. Domingo Zorrilla, con lá caballería, costease su faldaseñalán doles el'parage donde debían reunirse, y hacer noche, si yo no me incorporaba con 20 caballos que tomé con el objeto de ver s…</t>
  </si>
  <si>
    <t>Lara, Manuel de</t>
  </si>
  <si>
    <t>Manuel de Lara</t>
  </si>
  <si>
    <t>…o q u e eil aquel día hubiese llegado aquí la sección que atengo-puesta á las órdenes dei teniente coronel D. Pablo María Mouliaá, y-un corto-destacamento á las de mi ayu dante el teniente D. Manuel de Lara, que estaba situado en S. Josef Zamar-ripa, 'con cuyas fuerzas, ün piquete de dragones'de-España, y la caballería del teniente coronel D. Epitacio Sánchez,-marché en aquella misma noche á . situarme en la hacienda de la Cebada para adquirir-al 1 i mejores not…</t>
  </si>
  <si>
    <t>Lara, Tomas de</t>
  </si>
  <si>
    <t>Tomas de Lara</t>
  </si>
  <si>
    <t>…pu blicación de este anuncio; en inteligencia de que los aspirantes han de dirigir sus me moriales, francos de porte, y dentro del término asignado, al procurador síndico ge neral D. Tomas de Lara. Sermones escogidos morales y panegíricos, pláticas espirituales y cartas pastorales del Excmo. Sr. D. Alonso Nuñez de flaro yJPeralta, vírey interino, gobernador f capitán general que fue de Nueva-España, caballero prelado gran cruz de la Real orden española…</t>
  </si>
  <si>
    <t>Larinaga, Miguel de</t>
  </si>
  <si>
    <t>Miguel de Larinaga</t>
  </si>
  <si>
    <t>…apeles con el.objetó de infamar la reputación de$.M«, y Se pasó á la comisión de Instrucción pública una exposi aun de atentar contra sp vida.’jLord. Redesdale fue de con ción efe D. Miguel de Larinaga, remitida porelSr. secretario trarío parecer, diciendo que se acusaba al baronsirt tener . de la Gobernación de Ultramar, manifestando los perjuicios {&gt;ruebas ; y que tos defensores de l»; Reío® «cedían de lo»; que se seguían de considerar á la universidad de…</t>
  </si>
  <si>
    <t>Larios, Pablo</t>
  </si>
  <si>
    <t>Pablo Larios</t>
  </si>
  <si>
    <t>…rmino de 15 dias. lóo. D. Juan María Bucbetti, 320. D. Josef Monroy , 80. D. Eduardo Escarnichia, 320. D. Amonio Ferrari, 160. El bergantín goleta Encantadora, correo de la armada D. Pablo Larios, 3 20. D. Juan y D. Guillermo Douguid, 80. nacional, que salió de Cádiz el i.° de Marzo último para D. Pedro Trouguet, 40. D. Severino Saracho, 40. D. Juan Ultramar, ha entrado de regreso en el citado puerto el dia Giró, 8o. D. Agustín Lagrave, 160. D. Luis M…</t>
  </si>
  <si>
    <t>LaRiva</t>
  </si>
  <si>
    <t>…So$ los nombrados desde Marzo último hasta el dia. Tomando hasta Marzo de 1820.’’ en consideración cada una de estas clases aisladamente para Se aprobó la siguiente Indicación del Sr. LaRiva: «Que ver cuáles eran los comprendidos en la indicación , dijo que los magistrados que sean repuestos, lo sean también-én 1 a los nombrados después del mes de Marzo de este año, ó lo antigüedad.” estaban constítucionálmente, y como tales exceptuados de El Sr.…</t>
  </si>
  <si>
    <t>Larrea, Fernando</t>
  </si>
  <si>
    <t>Fernando Larrea</t>
  </si>
  <si>
    <t>…qye se sirva lle.var á efecto las propuestas de pro Se mandó pasar al Gobierno con particular recomenda mociones hechas por la junta de Gobierno de aquella pro ción una memoria de D. Fernando Larrea, ensayador de vincia , y por último que se declare que los servicios he las minas de Guadalcanal, acerca del producto, gastos y uti chos por los gefes militares D. Cirios Espinosa y D. Miguel lidades de estas minas. Latre han sido gratos á la Nación, y dignos…</t>
  </si>
  <si>
    <t>Larrea, Joaquín Montufar y</t>
  </si>
  <si>
    <t>Joaquín Montufar y Larrea</t>
  </si>
  <si>
    <t>…de las restantes, continuándose en 5. «Se venderá esta al pie de fabrica á 20 rs. vn. fane tre tanto su pago. ga para el consumo de ¡os pueblos , y A 10 la que se em Se concedió á D. Joaquín Montufar y Larrea , teniente plee para salazón en las pesquerías." de guardias de infantería, la pensión que disfrutaba en aten 6.° «A fin de que no se de' otro uso A la sai destinada ción .1 sus mentes v servicios, scuun proponía la comisión, á pesquerías, la Hacienda pública…</t>
  </si>
  <si>
    <t>Larreátegui, Félix Colon de</t>
  </si>
  <si>
    <t>Félix Colon de Larreátegui</t>
  </si>
  <si>
    <t>…re. mos de nuestro deber en las actuales circunstancias solici El 23 de Setiembre falleció en esta villa el Exorno. Se tar humildemente el permiso de ofrecer á V. M. una nueva ñor D. Félix Colon de Larreátegui, teniente general de loS prueba de los sentimientos que nos animan en favor de su egéreitos nacionales, caballero gran cruz de ¡a Real y mi Real persona. litar orden de S. Hermenegildo, y comendador de Cnlza«Creemos que esta expresión publica de nuestra leal…</t>
  </si>
  <si>
    <t>Larriva</t>
  </si>
  <si>
    <t>294 cierto modo fe oponían al dictamen de la comisión. Xisfa uretra, comprensiva de fincas secularizadas que El Sr. Larriva respondió que la comisión no habia teni se administran por cuenta del Crédito público, y que^ do presentes tas órdenes, aunque las habia visto en los pape consigna el decreto de las Cortes de 2 del corriente d les p&gt;.Micos, y que esto no bastaba para hacerla…</t>
  </si>
  <si>
    <t>…n que habia quedado pendiente, y tomando la palabra el servicio militar en este ramo con el menor gravamen de los Sr. Navarro para deshacer una equivocación que habia pa decido el Sr. Larriva, dijo que entre los antecedentes que pueblos. Se prorogó el permiso al Sr. Costa y Gali para perma se habían pasado á la comisión debía obrar una representa necer en Miradores de la Sierra, y no asistir al Congreso ción Hecha por el ayuntamiento constituciona…</t>
  </si>
  <si>
    <t>Larrumbide, Jósef Antonio de</t>
  </si>
  <si>
    <t>Jósef Antonio de Larrumbide</t>
  </si>
  <si>
    <t>…naí nuestra Señora , á;nombre de la M. N. y;M. E.'dudad de S. Sebastian , el Excmo. Sr D; Juan Garlos de Areizaga, capitán’general de la M. N. y M. L. provincia de Guipúzcoa, y el Sr. D. Jósef Antonio de Larrumbide, ministro del Consejo Real; y el primero arengó ¡en los térmi** nos siguientes:. -' - , &lt; d : c * -...í, ■d ,, Señor: La ciudad.de. S¿ Sebastian * que tuvo el alto honor de ofrecer su respetuoso homenage á L. R. P. de la Reina nuestra Señora á su paso por la…</t>
  </si>
  <si>
    <t>Lasá</t>
  </si>
  <si>
    <t>…torrente." Se leyertnr ias.sctas derias -tes-iooes ©rdmawa-y'extraorde fuego se precipitaba en lava líquida candente de lo alto dinaria celebradas en el dia y noche anteriore-. El Sr. Lasá la ba a del gran cono que forma la cima de este volcan. tariia observó que la comisión Eclesiástica, en el dic amen Mientras contemplaba estos portentosos ienórnenos ú b una sobre la proposición , del -Sr. .'VJhsMéva ,Créftmva á cantar de la madruñada del 11…</t>
  </si>
  <si>
    <t>Lasan</t>
  </si>
  <si>
    <t>…slas Filipinas: pa público para Tos-Oíos convenientes ; lo que «e aprob i. saron á la comisión. La comisión de Legú auipn , en \| ta de a d.-da .pie.ha Finalmente se leyó otra del Sr. Lasan ra al art. 8.°, que bia propuesto el tribunal Je Ju ricia sobre ia forma en que decía: »En las demas faltas de igual clase no habrá necesi habían de subdstir ios escribanos de ios tribunales suprimi dad de prueba," y no se admitió á discusión; y habiéndo dos…</t>
  </si>
  <si>
    <t>Lasan'a</t>
  </si>
  <si>
    <t>…el premio á los beneméritos oficiales con ventaja Sr. Moreno Guerra opinaba que era artículo aprobado, y del mejor servicio del Estado? no se debía tratar de él. Después de oir al Sr. Lasan'a, se 4.0 . ;Cómo deberán darse por los gefes los informes de aprobó que la indicación del Sr. Banqueri pasara á la comi los oficiales de la armada, y qué circunstancias han dé me sión para que fije un precio medio; con lo que se levantó diar para que dichos in…</t>
  </si>
  <si>
    <t>Lasanta</t>
  </si>
  <si>
    <t>…mar el pan algún incremento, evitarla mayar es tratándose de fijar por término la próxima reunión de Cor casez , carestía v dependencia de! extrangero en lo sucesivo. tes, dijo el Sr. Lasanta que estas tienen facultad de dero El Sr. Giraido recordó que la agricultura ha sido siem gar las leyes cómo y cuándo les parezca, y por tanto se po pre oprimida por los moralistas y por el Gobierno ; por dia suprimir este artículo: el Sr. Alvarez Guerra , que…</t>
  </si>
  <si>
    <t>…los tres y medio no los consumen los enfermos; que no se á su organización, servicio y demas. debían encargar aquellos á sugetos cuyo ínteres privado no Después de haber dicho el Sr. Lasanta que estaba estuviese unido con el general del establecimiento; que los conforme, siempre que no se tratara mas q e de pasar el ocho reales y medio de cada estancia entregados al enfer proyec o á la comisión de Milicias nacionales, porque sien mo en su casa le…</t>
  </si>
  <si>
    <t>…acordó. pretexto á manos muertas;” la que después de algunas refle Pidió el Sr. Solanot que se leyese una adición suya á la xiones quedó aprobada. preposición sobre diezmos , y el Sr. Lasanta que se leyesen El Sr. Ledesma preguntó que cuál era el término que todas las indicaciones, aun cuando durase la sesión mas de proponía la comisión , y quién debia señalarle ; á lo que lo acostumbrado; sobre lo cual resolví j el Sr. vice-presicontestó el Sr. c…</t>
  </si>
  <si>
    <t>…de en el Crétante salud. CORTES. dito publico disponga un reglamento parajeste, con otros particulares relativos al mismo ectablecimiento. Seston del G de Agosto. Se leyó otra del Sr. Lasanta para que se pidiera á los Se leyó el acta de la anterior, á la que se mando agre M. RR. arzobispos, RR. obispos y demas prelados secu gar el voto particular del Sr. Ramos Arispe, Contrario-a lo lares y regulares una noticia de los establecimientos piado deter…</t>
  </si>
  <si>
    <t>…e. nada emprenden -in venir á prenun ar :i lo pue dictamen de la comisión de Legislación', acerca de la pro den hacer: la menor in in ración rnia de» hace el plan mas posición del Sr. Lasanta, leída por primera vez en 15 de Ju deseado; y 110 es posible dar una idea cabal de cuíl es el lio último, dirigida á que se nombre una comisión que reentusiasmo y amor al Rey con que e'tc pueblo manifiesta una- los trabajos hechos para la formación de los Cód…</t>
  </si>
  <si>
    <t>…n el Sr. Moscoso , se mandó pasar á é igualmente esta del Sr. Palarea: nyá los establecimiehtos la comisión. literarios aprobados.” . Igual resolución se tomó con la siguiente del Sr. Lasanta: Se dio cuenta de una exposición de Pablo López, co «Pido una declaración de las Cortes sobre que los volunta nocido por el Cojo de Málaga, en que acreditaba con docu rios que en el dia sirven en los cuerpos de milicia nacio mentos sus servicios patrióticos,…</t>
  </si>
  <si>
    <t>1V-5-A ¡as de Comercio y Hacienda, una exposición de la A petición del Sr. Lasanta se votó el dictamen por par misma diputación de Sevilla sobre puntos de aranceles. tes , y se aprobaron'las dos ert que se disidió, no admitién Se leyó un. oficio del Sr. secretario de Hacienda con las dose á discusión la siguiente del Sr. Freive: «Pido que e…</t>
  </si>
  <si>
    <t>…stancia de D. Josef Ignacio de Arrieta, sentado á las Cortes en la sesión del 11 de este mes sobre siendo poseedor actual del mayorazgo titulado de Santoyo, fun la proposición del Sr. Lasanta, relativa á la formación de dado por otro D. Sebastian Cordero Nevares de Santoyo, se códigos. La comisión era de parecer que convendria nom cretario que fue del Despacho universal, y Doña María Rami-, brar otras especiales del seno mismo del Congreso, que se…</t>
  </si>
  <si>
    <t>…2Q reales, suponiendo que tenían alguna minal formada de oficio por -el juez de primera instancia prebenda ó dignidad-. D. Josef Martinez Moscoso, que por apelación ante nos va El Sr. Lasanta dijo que debia pasar á la comisión para que y pende contra Josef Rodrigo (ciego), natural de la villa dijera al Congreso lo conveniente, que fue lo que se aprobó. de Navalcarnero , de 32 años, por la muerte violenta dada Se mandó también pasar á la comisión e…</t>
  </si>
  <si>
    <t>…sus diputados, presos y puente dijeron que por eso á los primeros no se les podría perseguidos con igual motivo.” poner en prisión, y á los segundos en arresto por un dia Otra del Sr. Lasanta, para que se extiendan á !a viuda ó tres. del ilustre general Lacy las declaraciones pedidas para la Quedaron aprobados sin discusión después de su lectura del general Porlier. los artículos 49 y ;o; y también fue aprobado el ; 1 des Otra del Sr. Calatrava re…</t>
  </si>
  <si>
    <t>…pala El Sr. Cepero dijo que hallaba el artículo arreglado exac bras; ú lo que le contestó el Sr. Martinez de la Rosa. tamente á la Constitución , pues que esta misma prescribe El Sr. Lasanta apoyó este segundo artículo, y el señor á todos los españoles el ser benéficos; y que uno dé los ma Cortés creyó necesaria la adición de estas palabras «en cuan yores beneficios que se puede hacer á la sociedad es el ar to Ja ley no les eximay antes de que se…</t>
  </si>
  <si>
    <t>…a el Gobierno se remediarian los mates Vadillo , Ribera , Florez Estrada , López ( D. Marcial ) y que han ocasionado las vinculaciones, y se disminuirían es Couto. Luego nombró al Sr. Lasanta en lugar del Sr. Va- tas en poco tiempo sin chocar con las opiniones y obstácu diilo, y levantó la sesión. los que hasta el día han existido. El Sr. Vadillo, individuo de la comisión , contestando Sesión ordinaria del 1$ de Setiembre. á las objeciones hechas…</t>
  </si>
  <si>
    <t>…o secular, se consignará una octava parte á los prelados aprobación de las Cortes.” y cabildos, y una cuarta á los párrocos de los lugares que Después de algunas observaciones del Sr. Lasanta sobre determinen las Cortes.” el presupuesto en general, se puso este á votación por par El Sr. Dolarea hizo algunas observaciones sobre ciertas tes , y quedó aprobado enteramente. dificultades, que disolvió el Sr. ministro de Hacienda. Se pasó en seguida á l…</t>
  </si>
  <si>
    <t>…o de este año,,..salvo siempre el derecho de los biera dejado de hacer la indicación por delicadeza, pasó á particulares para repetir daños y perjuicios en la forma y contestar al Sr. Lasanta en cuanto habia creido resultaría un ante .los tribunales que convénga.” . * trastorno que conmoviese á un tiempo en sus asientos ,á. to Se maridó pasar á la comisión primera de Legislación dos los magistrados de.la Monarquía. Dividió para ello á con la del S…</t>
  </si>
  <si>
    <t>Lasauca, Isidro</t>
  </si>
  <si>
    <t>Isidro Lasauca</t>
  </si>
  <si>
    <t>…escudo de la diferencia del sueldo que las referidas clases ha de Frías, D. Josef Soler del Olmo, D. Pedro Pablo Belyan dejado de percibir ; y enterado por exposición de la tran , D. Isidro Lasauca, D. Domingo de Dueñas , D. Fran junta de gobierno del expresado monte de que por el enun cisco Antonio de Tudo , D. Josef de Ortiz, D. Josef de ciado extinguido Consejo solo se dió conocimiento de la Masdevall, D. Manuel de Fortuny , D. Miguel de Prats y menc…</t>
  </si>
  <si>
    <t>Lasfarria</t>
  </si>
  <si>
    <t>…s extrangeros ó en buques capital, en su posada calle y casa- del Sacramento, el dia 6 de nacionales. Agosto próximo á las nueve de su mañana; previniendo se Se levantó después el Sr. Lasfarria para manifestar que cite á los ignorados, y que se hallen fuera de esta corte. ■ era mayor el número de comerciantes ricos que el de la Minerva nacional, publicada por D. Josef Joaquín de Mo bradores y artesanos, y asi no debemos privarnos del ma- ra : cuader…</t>
  </si>
  <si>
    <t>Lasierra, Antonio</t>
  </si>
  <si>
    <t>Antonio Lasierra</t>
  </si>
  <si>
    <t>…ios sentidos; ' ' [ , 'J*■,l, '"V; \' Zára¿óza/i8 de Éneroy '\ \ \'r.'En el pueblo llamado los Corrales, partido de Huesca, vive un labrador de 88 años muy robusto, cuyo nombre es D. Antonio Lasierra., quien ha téindo 118 descendientes, ,y~en el día le viven cinco hijos, 42 nietos, 50 biz nietos y 4 tataranietos. - t En este páis se observa un frió en extremo riguroso. Se han helado las ori llas del Ebro como uñas 30 varas á cada lado, y en algunos parage…</t>
  </si>
  <si>
    <t>Laso, Josef Joaquín de</t>
  </si>
  <si>
    <t>Josef Joaquín de Laso</t>
  </si>
  <si>
    <t>…ternura dadas por S. A. R. el lugar A !a de Infracciones de Constitución una queja del juez teniente, por su augusta Esposa, por su joven primogénito de primera instancia de Lorca D. Josef Joaquín de Laso, Fernando, y por-el Príncipe de Salerno; los cuales recor y otra de D. Miguel Josef Romero, vecino de Villanueva riendo la línea, mostraban cuán conmovido se hallaba su de la Serena, sobre no habérsele dado la certificación de un ánimo al observar el regocijo…</t>
  </si>
  <si>
    <t>Lasrarria</t>
  </si>
  <si>
    <t>…ciendo el descrédito de la bandera extrangera , pero con ios mismos derechos que sí referida sociedad en ¡a provincia, pidió se diera una satis fuera nacional: esta indicación del Sr. Lasrarria no fue ad facción por el Gobierno á aquellas corporaciones. mitida. Continuaron la discusión los Sres. conde de Maulé, El Sr. Isturiz hizo otra, diciendo que se debería pedir Sierra Pambley y Calderón. conviniendo sustancial mente al Gobierno noticia de todos…</t>
  </si>
  <si>
    <t>Lassala, Manuel</t>
  </si>
  <si>
    <t>Manuel Lassala</t>
  </si>
  <si>
    <t>…cia. ? 1 , %í;í; t Señores: Gefe superior político, presidente.zs.Barón de Castellet. =-Don Félix Jorres Amat. = D. Benito de Píándolit. == D. Antonio Támaro. = DoiI Juan Botlie.=:D. Manuel Lassala. = D. Mariano Esteve. =D. Antonio Buch, secretario. Se levantó la sesión. - \ Sevilla de Afqrzp,^..i)f%,El general en gefe del egército reunido d los individuos que fe forman* 1 „ Compañeros, yo soy el elegido para ponerme á vuestra cabeza: me rezca vuestra a…</t>
  </si>
  <si>
    <t>Lastariia</t>
  </si>
  <si>
    <t>…as varias. mieron en Aranzueque, llegaron felizmente a aquella vi Sq leyeren por primera vez las siguientes proposiciones, lla, como se manifiesta por el siguiente oficio. una del Sr. Lastariia .para que.con objeto de perpetuar la memoria de la feliz variación de sistema de un modo senci ARTICULO DF. OFICIO. lla, se le dé al Re y el nombre de. Femando el Constitu Con fecha 20 de‘Julio desde ¡a villa de Sacedon dice el</t>
  </si>
  <si>
    <t>Lástarría</t>
  </si>
  <si>
    <t>…se mandó pasar á que decía la comisión respectivamente á lo indicado por el la comisión. Gobierno, y quedándose por bien discutido el asunto, no se En seguida otra indicación del Sr. Lástarría, en que decía imprimiera, sino que se dejara sobre la mesa para votar, qué habiendo en el expediente dos diferentes clases de pri tanto sobre lo expuesto por la comisión, cuanto sobre lo vilegios, á saber, los de introducción de harinas extrange demas que los…</t>
  </si>
  <si>
    <t>Lastarria</t>
  </si>
  <si>
    <t>…demas defectos en que pudiese haber Incur Rodríguez, Ponce, Cortés, Martínez, Lorenzana , Yanrido el marques de Castelar. diola, Subercáses , Noboa , Moreno Guerra, Cantero, GorEl Sr. Lastarria conceptuó útil la alarma dada por el doa, Vecino, Romero Álpuente, Valcárcel, Betrtabeu, suceso que motivaba la discusión, porque hacia indudable Florez Estrada, Lázaro, Cañaba!, Sacása, Zapara, Sandi-que no se duermen los españoles ni sus representantes cuan…</t>
  </si>
  <si>
    <t>…nota de infidelidad á la cau Las casas que servían de tribunal, y habitaban el inqui sa pública los que han sido nombrados desde el año de sidor decano y alcaide. 1S14.” Otra del Sr. Lastarria, que examine la cantidad que Una ca^a que en la actualidad ocupa el administrador deberán percibir los regentes y oidores de América que de correos. disfrutan de sueldo, ios primeros de 100 á teo3 rs., y los On-as casas contiguas á las anteriores, llamadas de…</t>
  </si>
  <si>
    <t>…CORTES. to relativo A las provincias de Ultramar sin que lTayan ha blado tres diputados de ellas, y uno de la respectiva al ne Sesión del n de Agosto. gocio que se trate: otra del Sr. Lastarria para que en aten Se leyó el acta de la anterior, y se oyeron con agrado ción á haberse aprobado la erección de Málaga en cabeza varias felicitaciones, de las que se mandó hacer mención en de provincia , se nombre la diputación provincial sin espe los Diarios…</t>
  </si>
  <si>
    <t>24° va; peno le parecía que el artículo se hallaba concebido -en Sr. Lastarria, en que propia los indicios que-debían bas términos que habría" una puerta muy franca á la arbitrarie tar para la detención de los delincuentes, y pedia que estas dad, porque ciertamente no bastará un indicio-cualquiera causas se terminasen en 50 dias. para p…</t>
  </si>
  <si>
    <t>…talidad. tesorería general, á fin de que la comisión de Hacienda pu No se admitió á discusión la indicación siguiente del driese formar el presupuesto total con la mayor escrupulo Sr. Lastarria: «Habiéndose discutido y votado sobre las sidad, evitándose también con esto toda malversación. t reuniones patrióticas como han sido, pido vuelva á la co Se acordó pasar al Gobierno después de alguna discusión misión para que proponga cómo deben ser.” una re…</t>
  </si>
  <si>
    <t>…cular la enseñanza siempre en unos da , y de la justicia que asiste á una causa tan noble: esta jus mismos libros. ticia , compañera constante de todas nuestras operaciones, la El Sr. Lastarria opinó que debia ser la enseñanza pro estrecha y fraternal unión entre rodos los individuos que porcional á las necesidades ael país en que se daba, y no componen la familia constitucional, el respeto religioso al uniforme para todas las provincias; pues en Cu…</t>
  </si>
  <si>
    <t>Lasvarria</t>
  </si>
  <si>
    <t>…s medios de adquirir la- libertad que-no podia contestar en el acto : que acerca de la indica con los de. conser varia. ción del Sr. Alvarez Guerra, habia apurado la materia el El Sr. Lasvarria afirmó que es un derecho natural el de Sr.-Gareli; pero que habia omitido una reflexión que juzga reunirse y conferenciar los hombres unos con otros, siendo ba del mayor peso , á saber, que toda persona', corporación este el origen de las sociedades, y que se…</t>
  </si>
  <si>
    <t>Latas, Rafnon de</t>
  </si>
  <si>
    <t>Rafnon de Latas</t>
  </si>
  <si>
    <t>…os mercenarios, que obran á su capricho. Solo los ciada por el consejo de oficiales generales de Castilla la pueblos libres confian su defema á los ciudadanos que los Nueva contra D. Rafnon de Latas, teniente del extinguido comp nen. Acordémonos que en los tiempos de Mario, en regimiento infantería de Placen cía, sobre su conducta entre que los romanos dejaron de ser toldados, tuvieron origen los enemigos , se ha servido S. \í. resolver que :ea repue ro…</t>
  </si>
  <si>
    <t>Latura, Francisco</t>
  </si>
  <si>
    <t>Francisco Latura</t>
  </si>
  <si>
    <t>…locará á la España en los fastos de la posteridad para mode mejoras para la enseñanza. lo de los pueblos que deseen apresurar la época de su ven A la de Agricultura una memoria de D. Francisco Latura. bian sobre el manejo observado en la renta del tabaco, y Valladoüd y de Agosto.- medios de evitar los daños que se han originado. E&lt;ra ciudad , no morios deseosa que las demas de mos A las de Hacienda y Comercio reunidas una representa trar el eivusia-mo que…</t>
  </si>
  <si>
    <t>Laúderdaie</t>
  </si>
  <si>
    <t>…descontento había tomado un carácter serio en la isla dé jurisprudencia las dilaciones eternas de un dia para otro. e Zante, se dirigí;') á Corfú con un refuerzo de tropas, de Él lord Laúderdaie no fue de este parecer, porque en artillería y municiones; y á su ¡legada fueron arrestados al un negocio tan grave dijo que debía procederse con el ma gunos de los habitantes principales, tres clérigos y unos 20 yor detenimiento, y que seria muy impolítico n…</t>
  </si>
  <si>
    <t>Lauderdale</t>
  </si>
  <si>
    <t>…ue prohíbe la introducción de ó si la propuesta de prorogar la segunda lectura del bilí alhajas de “oro y plata'extrangeras, y trata de otros parti hista pasado seis meses la hará lord Lauderdale ó algún culares. otro de sus amigos; pero la cosa se verificará de una mane A la de Premios una exposición de Doña Teresa Alvara ó de otra. rez Acevedó, hermana del difunto D. Felix'AlVarez AceSe cree no obstante que para no negar toda especie de vedo , manif…</t>
  </si>
  <si>
    <t>…ner ademas á la Cántara en el estado actual do establecer un lazareto en Civita-Vecchia, reparar los as de la causo.” tilleros , y construir ademas una gruesa muralla alrededor El lord Lauderdale propuso que se insertase en la reso del' edificio donde habitan los galeotes. lución antes de la palabra reprcusiiles la de justamente} y Ñápales 27 de Octubre. se adoptó asi después de una breve discusión. A lo que ya hemos dicho sobre el convenio de Palermo…</t>
  </si>
  <si>
    <t>Lauderuale</t>
  </si>
  <si>
    <t>…ía la conducta del nos-Aire*, y ha llegado aquí pocos días ná. general H. Maitland, gobernador de aquellas islas; y por Pamplona 26 deJulio. último fue aprobada la proposición del lord Lauderuale. En todas las escuelas de esta ciudad se explica la Cons Se ha discutido en la Clamara de los Pares la remisión titución, inspirando á la juventud el amor á la libertad, en de un mensage al Rey para que se digne remitir á la Cá señándola sus derechos y sus de…</t>
  </si>
  <si>
    <t>Laurencin, Strogonoff y</t>
  </si>
  <si>
    <t>Strogonoff y Laurencin</t>
  </si>
  <si>
    <t>…cardenal y Príncipe- dían actualmente entre la Puerta y la corte de S. Petersbur«rzobtspo de..(Minuta , Llegó antes de ayer con el conde de go. Todavía sigue la discusión entre el barón Strogonoff y Laurencin su mayordomo. Este Príncipe se apeó en el pa el príncipe Cali 1 machi en orden á la explicación de algu lacio Teutónico, donde fue recibido por los generales y nos artículos del tratado de Bucharest, en Lo que se adelan las .principales autoridades civiles. S…</t>
  </si>
  <si>
    <t>Lauriston</t>
  </si>
  <si>
    <t>…a cesión que ha hecho en beneficio del erario ae 1152 declaraciones A los arrestados y sospechosos de conspira reales anuales, quinta parte del sueldo que disfrutó en cam ción. El general Lauriston habia llegado A Nantes, y se paña, mandando se publique en la gaceta para su satisfac decía que llevaba grandes facultades.' Continuaban espar ción. ciéndose en Parts rumores desagradables, que se creían ser propagados por especuladores del agio , enemigos de…</t>
  </si>
  <si>
    <t>Lazada, Joaquín</t>
  </si>
  <si>
    <t>Joaquín Lazada</t>
  </si>
  <si>
    <t>…a guardan la ciencia, y que la ley se encontrará en su Loen. dor de Cruzada; D. M mee! Cisneros , D. Francisco Perez Los pueblos están persuadidos que lo que dice un sacerdo Gayo, D. Joaquín Lazada, D. Manuel de los Ríos y Sa te es lo que debe decir, y lo que ellos deben practicar. Un ladar, y D. Carlos Milne. solo sacerdote convirtió al pueblo de Neocesarea del Ponto, como fue S. Gregorio el Milagroso, y otro perdió una na ción entera como el cardenal…</t>
  </si>
  <si>
    <t>Lázaro</t>
  </si>
  <si>
    <t>…Infracciones de Constitución se pasaron varias valente al voto de Santiago, y A ella se unió una repre quejas contra algunos funcionarios públicos. sentación , presentada por el- Sr. Lázaro, sobre él mismo Las Cortes quedaron enteradas de una exposición del objeto- .. - * ayuntamiento de la villa de Trigueros, en que daba gracias La comisión de Legislación presentó su dictamen acer por haberla hecho cabeza de partido : igualmente quedaron ca de…</t>
  </si>
  <si>
    <t>Ldhneív-</t>
  </si>
  <si>
    <t>…aniversario de la batalla de \Va:erioo, y el dúpame Su ausencia queda-de ministró pléhlpóténciario in- populacho maltrató á los oficíales y soldados del regí míen—' rerinamenteel general Ldhneív- • ’ ;v! ; fo f t.", que se halló en aquella batalla; pero gracias ála mo deración' de estos militares, no hubo desgracias, y los ma i- - ’ ’ Ai-fejaÁisiA. *'v gistrados tampoco tardaron en restablecer el orden. Sluttgatdt 20 de Junio, ■ ■ FftAtsClA. ; El cond…</t>
  </si>
  <si>
    <t>Leal, Roque</t>
  </si>
  <si>
    <t>Roque Leal</t>
  </si>
  <si>
    <t>…o el perjuicio lo que con gentes europeas, á quienes obligaron por último á aban se resuelva al que no concurra. donar su pais; pero no saben dar noticia alguna acerca de Carta de D. Roque Leal al M. R. arzobispo de Valencia D. Fr. Veremundo Arias sobre la representación que ha diri sus predecesores, é ignoran si se les debe atribuir la cons gido este prelado á las Cortes. Es un eficaz antídoto contra la se trucción de las antiguas fortalezas, dos d…</t>
  </si>
  <si>
    <t>…o para salvar su vida, lo que tampoco con sados le parará todo perjuicio , y se procederá á lo que haya lugar. siguió, pues fue desapiadadamente asesinado, y remitida su Cartas de D. Roque Leal á un amigo suyo sobre la repre cabeza a Constantinopla, apoderándose Ali de todas sus sentación del arzobispo de Valencia á las Corte» fecha jo da riquezas. Después de seje1 meses de inauditas vejaciones y Octubre de a8ao. En este opúsculo se demuestra hasta…</t>
  </si>
  <si>
    <t>Ledesma</t>
  </si>
  <si>
    <t>…as;” la que después de algunas refle Pidió el Sr. Solanot que se leyese una adición suya á la xiones quedó aprobada. preposición sobre diezmos , y el Sr. Lasanta que se leyesen El Sr. Ledesma preguntó que cuál era el término que todas las indicaciones, aun cuando durase la sesión mas de proponía la comisión , y quién debia señalarle ; á lo que lo acostumbrado; sobre lo cual resolví j el Sr. vice-presicontestó el Sr. conde de Toreno , que el términ…</t>
  </si>
  <si>
    <t>…ciones provinciales cuiden de los estable A la misma se mandaron pasar dos adiciones , una del cimientos piadosos y de bencíicencia, y por consiguiente Sr. Torre Marín, y otra del Sr. Ledesma , y dos indicacio creia no haber lugar á la aprobación del articulo. nes , una del Sr. Banqueri, y otra del Sr. García (D. Antonio). Otro señor diputado recordó la necesidad de que se Preguntó el Sr. Cepero si se concedía al Sr. diputado adopte esta medida pa…</t>
  </si>
  <si>
    <t>…nsecutivos, suplicó al cediese el permiso general limitado al menor tiempo posible, Sr. presidente señalase la sesión inmediata. que por su voto debería ser el de un mes. Pidió el Sr. Ledesma que si no bastaban las horas de la Declarado suficientemente discutido, se mandó pasar á las mañana, se llamase á sesión por la noche, á lo que el se comisiones de Hacienda y Comercio reunidas la indica ñor presidente le hizo la reflexión de que las comisione…</t>
  </si>
  <si>
    <t>…ia. preferencia al egérdto permanente; pero el Sr. conde dé El Sr. García (D. Antonio) hizo una adición, que re Toreno, para conservar la igualdad debida , fue de parecer formó el Sr. Ledesma en estos términos: «Que se extienda que alternasen el egército y la .milicia , recordando que esta jo resuelto respecto de la universidad de Zaragoza á las demas en otros paises obtiene la preferencia ; y habiéndose conforr universidades que se hallan en igua…</t>
  </si>
  <si>
    <t>…plena ni semiplena ja la responsabilidad á quien corresponda por su separación del delito, ni de quie'n sea el verdadero delincuente.” 'del de tino de contador de maestrazgos. El Sr. Ledesma, después de esta lectura, propuso que A Ja que tiene los antecedentes una exposición del ajun en lugar de las palabras sumaria información del he tamiento de Zahara en la provincia de Sevilla, sobre los cho, se sustituyeran las de indagación sumaria, porque p…</t>
  </si>
  <si>
    <t>Ledesma, Francisco Rodriguez de</t>
  </si>
  <si>
    <t>Francisco Rodriguez de Ledesma</t>
  </si>
  <si>
    <t>…es ton , no ha publicado todavía ninguna obra. crito en italiano por el conde Pedro Berri, y traducido al es 7.0 La sociedad médica de Neevd-Orleans dedica pañol por el ciudadano D. Francisco Rodriguez de Ledesma, principalmente sus t2reas y observaciones á la conservación abogado del ilustre colegio de esta corte. Se vende en las li de la salud pública. . brerías de Matute y de Rodriguez, calle de las Carretas, á to rs. Ademas de ¡as sociedades científicas y literari…</t>
  </si>
  <si>
    <t>Ledesma, Rodríguez de</t>
  </si>
  <si>
    <t>Rodríguez de Ledesma</t>
  </si>
  <si>
    <t>…inios, lo sea Madrid 18 de Julio. también la limosna de los sumarios de las bulas de Cruzada SS. MM. y AA. siguen sin novedad en su importante de todas sus clases. salud. Otra del Sr. Rodríguez de Ledesma para que el Go S. M. ha despachado hoy con el Sr. Secretario del Des bierno mande á los Gefes políticos que formen un plan de pacho de Gracia y Justicia. los puntos en que se deberán tiiár los mercados, sin embar go de que se'Concedan en particular á los pueb…</t>
  </si>
  <si>
    <t>Ledesmá, Rodríguez de</t>
  </si>
  <si>
    <t>Rodríguez de Ledesmá</t>
  </si>
  <si>
    <t>…saion mismo no se cornejo de Estado', dos, ó cuando ineoos uñó, íue.en áme.oían estos. ■ rica nos. ■ - .’ • ■ ■ .' ; A petición del Sr. Quintana se mandó agregar laxomi- O :ra del Sr. Rodríguez de Ledesmá, relativa A venta de sion del. Diario á Urde Gobierno interior para uar el. dicta •algunas linca, del ■ siiio.de Aran juez";-de que.habla hablado men referido. . ' 1 - i - 1 ' ' el inini rro de Hacienda en su memoria. • " Se aprobó el parecer de la secretaría…</t>
  </si>
  <si>
    <t>…Toreno, respec tes , para que no disminuya el ingreso que puedan tener estas to de su importancia, y creyendo convendrían en ello los renta». demas individuos de la comisión. F.1 Sr. Rodríguez de Ledesma opinó que se llevase á El Sr. Golfín añadió que se imprimiese la memoria del efecto el dio amen de la comisión . mientras no se propu ministro, y se repartiese á los diputados antes de tratar del siese oto medio que mp i :ra interinamente los productos as1 nt…</t>
  </si>
  <si>
    <t>…que contiene.” La que no fue Manifestó el Sr. Loizaga las causas que le habían obliga admitida á discusión. do á presentar estas proposiciones, siendo de las principales Otra del Sr. Rodríguez de Ledesma: «que se pase el ex el deseo de uniformar aquellas provincias con las restantes pediente al Gobierno para que tome la providencia que cor de la: Monarquía, y que no sean gravados los vizcaínos con responda en razón de los errores en que incurra este juez;” im…</t>
  </si>
  <si>
    <t>…t neo debían ser teni Se declaró no haber lugar á votar sobre otra indicación dos los monges por de peor cotidJE.ILLomitj»&lt;s los mendicantes; ■ icperroctco.. ¡nz-jaba inas con del Sr. Rodríguez de Ledesma , que decía asi: «Que en el v considerándolo luego bajo otro 2.a artículo , donde se dice que no se les impedirá pacer en veniente hacer de sus convento, ¡ir*## r.sjlottreior». como se ha los pastos comunes de los pueblos del transito, se añada ce de los dema…</t>
  </si>
  <si>
    <t>Ledestua</t>
  </si>
  <si>
    <t>…. ¿A qué sueldos ó gratificaciones deben optar, y de! Sr. Moya, y la segunda de los Síes. Gareli y Liñan, cuáles serán los derechos que percibí rán en los casos que es que dijo el Sr. Ledestua ser la misma del Sr. Villanueva. tán concedidos á los demás eclesiásticos? (Se continuará.) El Sr. Quintana presentó otra Indicación, que el señor preridente consideró como proposición, y se declaró leída por primera vez. ANUNCIOS. Ultimamente, manifestando e…</t>
  </si>
  <si>
    <t>Ledro</t>
  </si>
  <si>
    <t>…señores sen las Cortes á las comisiones para que por sí pudiesen pe Gmierrez. de Acuna, Florez Estrada, Cepeda, Muñoz dir á los secretarlos del Despacho los informes necesarios, ( D. Ledro ), Carabaño , Solana , Ist„riz y Golfin. asi como piden las noticias oportunas. Se con inuó la lectura de las proposiciones, una del se El Sr. Moreno Guerra, leyendo un artículo de la gaceta ñor Lagrava para que al tratarse de los premios ofrecidos de este di…</t>
  </si>
  <si>
    <t>Lefleer, I-Ienrique</t>
  </si>
  <si>
    <t>I-Ienrique Lefleer</t>
  </si>
  <si>
    <t>…; D. Agus Otra heredad de árboles frutales, en Mosquera y sitio tín Santero, idem idem; D. Pío Ximenez de Muñana, del común , de 3 robos y 4 almudes, en la propia juris ídem idem; D. I-Ienrique Lefleer, comandante de aquel dicción, en 1950 rs. . resguardo; D. Fernando Puerta , D. Francisco García Cor Una casa en la Magdalena y Callizo del río de media radas, D. Francisco Hernández y D. Josef Xinienez , de villa , en la citada ciudad , en i 3.3.4, rs-..- , ,…</t>
  </si>
  <si>
    <t>Legis</t>
  </si>
  <si>
    <t>…onía la suprema. A la de Infracciones dos quejas con'ra el alcalde de Vi- &amp; Ji &gt; cuenta del dictamen de la comisión primera de llafranca de los Caballeros Evaristo Maroto , una de Don Legis lacion, acetca del reglamento deí tribuna! especial de Sinforiano Diaz de Callejo, y otra de Antonio Morcillo. Ordenes; cuya discusión quedó señalada para el viernes A la segunda de Legislación una expoicion de D. Ma próximo. riano Acosta sobre creación de un…</t>
  </si>
  <si>
    <t>Leí, Francisco Ibañez</t>
  </si>
  <si>
    <t>Francisco Ibañez Leí</t>
  </si>
  <si>
    <t>…por ahora de los m^Blfos existentes en el día de los nombrados á consulta del Consejo de Estado de 14 de Mayo de 1812 , y son: D. Josef María Puig, D. Francisco López Lisperguer, D. Francisco Ibañez Leí va, Pon Manuel Antonio de la Bodega y Mollínedo, D. Jaime Alvaaez Mendieta, D. Andrés Oller , D. Diego. María Vadillos, y D. Ramón Lopej? Pelegrin , fis cal ; y no siendo, posible hasta la próxima reunión de l^jCortes prestar en ellas el juramento conforme á…</t>
  </si>
  <si>
    <t>Leido</t>
  </si>
  <si>
    <t>…que se le conceda 235.966,639. 6814.780,363. carta de ciudadano. A la misma se pasaron dos solicitudes, dirigidas por el Sr. secretario de la Gobernación de la Península : una de Don Leido este artículo, tomó la palabra el Sr. Romero Al Manuel Alaiz para que se le permute el tercer año de ma puente , manifestando que la junta nacional del Crédito pú temáticas por uno de leyes, previo su debido examen; y blico habia fijado el total de la deuda c…</t>
  </si>
  <si>
    <t>Leita, Alejo</t>
  </si>
  <si>
    <t>Alejo Leita</t>
  </si>
  <si>
    <t>…l decreto sobre cesantes jubilados y reformados, María Angela de Hacha, de una parte; y de la otra Don y que por lo tanto debia disfrutar el sueldo de 40® rea Esteban Valdivieso y D. Alejo Leita; y teniendo en con les anuales. sideración la discordia de pareceres entre el consejo de Es Se aprobó el dictamen de la comisión de Beneficencia, tado y el tribunal especial de Guerra y Marina, opinaba la cual, en vista de lo representado por la junta de Vall…</t>
  </si>
  <si>
    <t>Leite, Francisco de Paula</t>
  </si>
  <si>
    <t>Francisco de Paula Leite</t>
  </si>
  <si>
    <t>…,.dispensándole muchos elogios por. su conducta: reco mendóle la disciplina y obediencia á las autoridades superiores durante su.au sencia, y nombró por sustituto suyo al teniente general Francisco de Paula Leite; pero no indica el objeto de $ü Ha ge. Refieren los periódicos angloamericanos d'él 31 de Marzo que se había presentado á la Cámara de los Representantes un bilí o proyecto de ley que abrazaba tres puntos muy importantes para el comercio y tas, manufacturas*…</t>
  </si>
  <si>
    <t>LeJesma</t>
  </si>
  <si>
    <t>…tra-almirantede la escuadra holandesa Mr. Ruysech S. M. y Real familia acordada en la sesión de ayer; y ha escribe de Mahon con fecha del io de Julio que el 28 de biendo pedido el Sr. LeJesma que constase que las Corres Junio último díó á la vela del puerto de Gíbraltar con su ordinarias tenían asignada ya la dotación del Rey, por lo encuadra, compuesta de un navio, dos fragatas, una corbe que no podía alterarse con arreglo á la Constitución , se…</t>
  </si>
  <si>
    <t>León</t>
  </si>
  <si>
    <t>…por Escriben de Cristiania que el' 16 fueron recibidos allí con ocho dias, por haber concedido en 25 de Julio un permiso toda solemnidad el Rey y el Príncipe Real de Suecia, y al capitán León, ayudante mayor de las milicias de Avezqiie^S. M., dos días después de su llegada, pasó revista á las ■ zano, contraviniendo á la orden de 16 del corriente, núm. 9; tropas acantonadas en aquella ciudad. El encargado de ne y que al mayor de Atellis, arrestado…</t>
  </si>
  <si>
    <t>León, Alonso</t>
  </si>
  <si>
    <t>Alonso León</t>
  </si>
  <si>
    <t>…relaciones los años de servicio, y pueblo ce á denunciar al público ciertos crímenes y excesos que el de la naturaleza de cada uno de los individuos expresados, editor atribuye á D. Alonso León, y que en el caso de ser las cuales remitirán triplicadas á esta secretaría del Despa ciertos no resulta infracción de la líber.ad de la imprenta. cho de la Guerra de mi interino cargo , para que enterado Pero si por la inversa los crímenes que se imputan al…</t>
  </si>
  <si>
    <t>León, Alonso Joset</t>
  </si>
  <si>
    <t>Alonso Joset León</t>
  </si>
  <si>
    <t>…ortnen con la mayor escrupulosidad rela juez de primera instancia de dicha capital D. Juan Manuelciones exactas de todos los individuos ú quienes comprenda de Moya, á pedimento de D. Alonso Joset León, por la proclama del general Quiroga de 11 de Enero de este quien se ha denunciado el artículo inserto en dicho número, año, y. la oferta hecha por el general Riego en Córdoba al y suscrito por el chismoso. La junta en su vista ha ob residuo de su división, c…</t>
  </si>
  <si>
    <t>León, Carlos Ponce de</t>
  </si>
  <si>
    <t>Carlos Ponce de León</t>
  </si>
  <si>
    <t>…los bien merecidos aplausos: estas son las dos posiciones secretaria del consejo de estado. representadas en la dicha lámina. Se hallarán en las librerías de Quito. Por ascenso de D. Carlos Ponce de León á una Gómez y de Escribano á 2 rs. en negro y á 3 iluminadas. radon de aquella santa iglesia ha quedado vacante la me-: nota. En la gaceta de ayer, col. 4.1, lío- 27 , donde dice dia ración que obtenia en ella; cuyo valor está regulado destrucción , léase des…</t>
  </si>
  <si>
    <t>León, Cayetano</t>
  </si>
  <si>
    <t>Cayetano León</t>
  </si>
  <si>
    <t>…dad de caminos estará á cargo de Febrero remitió á la comisión que entendía en. el mismo del ege'rcito permanente o de la milicia nacional local, por proyecto. el capitán retirado D. Cayetano León. Memoria que tiene porobjero la solución del problema, Idem de D. Francisco Moreno Muller sobre el modo en que se propone si será conveniente la libre elaboración de asegurar la seguridad de los caminos. de la pólvora, ó bajo la dirección del cuerpo de artill…</t>
  </si>
  <si>
    <t>…o que tengan, y se publicará su catalogar plan de enseñanza, especialmente para la infancia; al Go-' en la gaceta del Gobierno, manifestando después su utili tierno una memoria de D. Cayetano León, capitán de in dad , novedad, mérito y ventajas que en concepto de la fantería , para limpiar de bandidos los caminos; y al mismo Junta merezcan para la mejora del cuerpo de cirugía mili Gobierno para que expusiera su dictamen, el origina! de una tar, tan nec…</t>
  </si>
  <si>
    <t>León, Josef María y S. Marcos de</t>
  </si>
  <si>
    <t>Josef María y S. Marcos de León</t>
  </si>
  <si>
    <t>…conducta de su coronel; de otra hecha á nombre de los freí- ción del Sr. Quintana. res de la orden militar de Santiago de las Casas de Ucles El Sr. Palarea presentó una memoria de D. Josef María y S. Marcos de León , pidiendo se declarase que los indivi de Urbina sobre organización de la caballería ligera , ia que . duos clérigos de la referida orden no son regulares, ni es- fue recibida con agrado, y se mandó pasarla la comisión tan comprendidos en el decreto de 14 de…</t>
  </si>
  <si>
    <t>León, Josef Ponce de</t>
  </si>
  <si>
    <t>Josef Ponce de León</t>
  </si>
  <si>
    <t>…te que ni proponía ni pedia nada el mez de Meneses contra los alcalde; de la villa de Zafra, por general Riego , y que ti_ se quisiese hacer alguna proposi la prisión de sú marido D. Josef Ponce de León. ción, debia verificarse por escrito; con cuyo motivo el señor Se mandó pasar á la comisión ordinaria de Hacienda Gutiérrez de Acuña pasó á escribir una indicación, egecuuna indicación del Sr. Perez Costa, dirigida á que los tando lo mismo el Sr. Romero Alpue…</t>
  </si>
  <si>
    <t>…. secretario del nuel de Zamudio, alcalde constitucional de Zafra, maní-, Despacho de la Guerra. festando las dudas que tiene acerca de si puede ó no ser juez de primera instancia D. Josef Ponce de León, por tener CORTES. causa pendiente. - *El Sr. Couto hizo presente que en la secretaría existian Sesión ordinaria del t&lt;S de Octubre. varios expedientes, que habiendo pasado á la comisión de' Leída y aprobada el acta de la sesión de ayer, se mandó Recompensas…</t>
  </si>
  <si>
    <t>León, Manuel Ponce de</t>
  </si>
  <si>
    <t>Manuel Ponce de León</t>
  </si>
  <si>
    <t>j 2 * D. Manuel Ponce de León sobre establecimiento de un mon camino señalado por los demas; por lo cual no debía darse te pío de labradores. oídos á los que contra los principios de economía querían Se mandó quedar sobre la mesa para instrucción de los que subsistiesen las prohibiciones.…</t>
  </si>
  <si>
    <t>Leopoldo</t>
  </si>
  <si>
    <t>…una Junta provisional compuesta de 1; individuos , en solución de 7 de Julio. Lo mismo practicará S. A. R. el la cual debían prestar el juramento las Personas Reales, has Príncipe D. Leopoldo. ta que juntas las Cortes lo hicie-en públicamente. Después jurará el presídeme de la junta en manos del En el mismo dia se recibió la noticia del armamento de Rey , según la fórmula contenida en el artículo 337 de la la milicia en las movincias, y de algunos…</t>
  </si>
  <si>
    <t>Lerena, Diego Lorenzo</t>
  </si>
  <si>
    <t>Diego Lorenzo Lerena</t>
  </si>
  <si>
    <t>…de Palomares, adon—' de concurrieron los cabildos eclesiástico y secular y un numeroso concurso de ambos sexos. Presidieron el acto los Sres. D. Pedro Díaz Arias, cura párro co, y D. Diego Lorenzo Lerena, alcalde constitucional de esta villa; y ha biendo dado los alumnos las-mayores pruebas de sus rápidos adelantamientos, se^concluyó tan plausible actó.á las seis de la tarde con la adjudicación de premios: 12 de ellos de primera clase fueron dados á otros tan…</t>
  </si>
  <si>
    <t>Lerin, N.</t>
  </si>
  <si>
    <t>N. Lerin</t>
  </si>
  <si>
    <t>…obernación de ¡a Península y de Ultramar. se conformó con esto el Sr. Serrallach, y se mandó en efec to pasar á la comisión que entiende en el asunto, con otro CORTES. proyecto de D. N. Lerin dirigido al propio objeto. Sesión del iG de Agosto. Se leyó por segunda vez una proposición del Sr. Lallave, Se leyó el acta de la anterior, á la que se mandaron en que pedia la libertad de surtirse los pueblos de sal de las agregar los votos particulares de…</t>
  </si>
  <si>
    <t>Les, Salvador de</t>
  </si>
  <si>
    <t>Salvador de Les</t>
  </si>
  <si>
    <t>…es del año de 1812 se fundó en esta villa una so Cuando llegó aquí el segundo batallón del Inmemorial ciedad patriótica, compuesta en la mayor parte de artesa del Rey, afinando de D. Salvador de Les, notaron algunos ■ nos, los cuales tenían sus sesiones en la casa de D. Josef So sargentos de dicho cuerpo que aun no se habla colocado la rtario y Fon ti veros, ya difunto, dándose á conocer por su- lápida de la Constitución, y dieron aviso de tan extraña am…</t>
  </si>
  <si>
    <t>Lesea, Pedro de</t>
  </si>
  <si>
    <t>Pedro de Lesea</t>
  </si>
  <si>
    <t>…nifestando las persecuciones que había sufri : Se aprobó el dictamen de la comisión de Comercio do por adicto ai sistema constitucional; é ¡gualmentéotra •cerca de la solicitud de D. Pedro de Lesea, del comercio (de varios oficiales comprendidos en la causa que se formó de Bilbao, relativa á que se le continuase el privilegio de al general D. Luis Lacy, manifestando sus servicios. introducir géneros coloniales en buques extrangeros, con No hubo lugar A…</t>
  </si>
  <si>
    <t>Letizia</t>
  </si>
  <si>
    <t>…oles ji de Octubre. .l tar tantos dispendios ? . La bombarda nacional núm. 2° llegó ayer dé/Pálérmp Por lo demas no ppede ya haber duda ninguna sobre sus pn 34 horqs, y condujo al teniente Letizia, ayudanta cíél intenciones , porqué ademas de haberse enviado á las tropps general Florestano Pepé. Este oficial ha traído pliegos ptfra á sus respectivos acantonamientos, se conceden muchas li S. A. R. y para todos los ministros. * cencias ilimitadas, y lo q…</t>
  </si>
  <si>
    <t>Letona, Antonio Leonardo de</t>
  </si>
  <si>
    <t>Antonio Leonardo de Letona</t>
  </si>
  <si>
    <t>…Navarra; á D. Bernardo de. los Ríos de la de Palen— cía; á D. Francisco'Cantero de la de Salaipanca; á D. Josef Qúeipo de la de Segovia ; á D. Josef María Puente de la de Soria; á D. Antonio Leonardo de Letona de la de Vizcaya» y á D. Josef Pintón y Lorenzana de la de Za mora. Asimismo ha venido S. M.ven nombrar gefes políticos interinos al bri gadier D. Josef Marrón de la provincia de Burgos; á D. Manuel Riva Her-? rera de la de Alava; ai intendente D. Josef Blanc…</t>
  </si>
  <si>
    <t>Letrado</t>
  </si>
  <si>
    <t>…por sus costumbres relajadas. Acrecentó después su Por providencia del Sr. D. Angel Fernandez de los Ríos, mala opinión con el asesinato de sus dos hermanos, que ministro togado y juez Letrado de primera instancia, en ota. consideraba como obstáculos á su ambición. Llegado á la M. H. villa, refrendada del escribano del número D. Vicente de .'dignidad de bey por muerte de su padre, consi guió de la la Costa, se cita llama y emplaza á Rosa Dominga .V…</t>
  </si>
  <si>
    <t>Leymerie, Juan</t>
  </si>
  <si>
    <t>Juan Leymerie</t>
  </si>
  <si>
    <t>…e la Península para cias exactas : obra destinada á desengañar á los Gobiernos so que no se destinara al Crédito público el arbitrio señalado bre las epidemias pestilenciales: por D. Juan Leymerie, ciuda en el núm. 7, le retiró la comisión; pero insistiendo otros dano de los Estados-Unidos. Véndese en la librería de Rodrí señores diputados en que declarasen las Cortes positivamen guez , y en la de Mr. Denné , calle de la Montera; y en casa del te la su…</t>
  </si>
  <si>
    <t>Li</t>
  </si>
  <si>
    <t>…egó á Francfort el 2 de este mes, y no tardara" en venir á Holanda. \ G R A N B R E T A Ñ A. ‘ ■ Londres 8 de Junio. Leído el mensage^de S. M. sobre los asuntos de Ia^Reina, pidió lord Li verpool que conforme al uso establecido se diesen gracias por eíib á S. M., yque asi el mensage como los documentos que le acompañan se remitieran á una comisión particular compuesta de 15 lores para que Informase á ia Cá mara lo que le pareciese. El marques…</t>
  </si>
  <si>
    <t>…Kingsbench, y, después pasaron á verse con la Rei na , la cual Ies dió una audiencia que duró hasta cerca de las cinco. El parte de la Reina, entregado el viernes por Mr. Denman á lord Li verpool, al que lord Casrlereagh hizo alusión la noche antes en la Cámara de los Comunes, solo contenía el aviso siguiente: ,, La Reina, con el dicta men de su abogado y de otros muchos vocales de la Cámara de los Comunes, tiene por conveniente poner en notic…</t>
  </si>
  <si>
    <t>…as naciones, cuyos creer que la Reina era delincuente; pero después de una nombres parecen yacomo borrados del mapa; sin embargo, breve discuúon , terminada por una observación de lord Li esto excita mas la curiosidad, y no dejan por eso de saber- * verpool , se tuvo por inútil la propuesta del marques de se todos los acontecimientos del.med.iodia de Europa. Lansdown. Badén 2 r fe' Agosto. . Idem 23. La libertad de imprenta va á tener mas ensa…</t>
  </si>
  <si>
    <t>Lidon, Pedro</t>
  </si>
  <si>
    <t>Pedro Lidon</t>
  </si>
  <si>
    <t>…ios............................... 167.032,698. 24.393,109. Al Banco nacional, cinco Se mandó pasar á la comisión segunda de Legislación Gremios, Filipinas, Provi una solicitud de D. Pedro Lidon , natural de Chartres, en los Países-Bajos, y vecino de Bilbao , remitida por el señor siones y canal de Tauste.. 502.451,539. secretario de Gracia y Justicia, relativa á que se le conceda 235.966,639. 6814.780,363. carta de ciudadano. A la misma se pasaron d…</t>
  </si>
  <si>
    <t>Líeopar.t, Ramón Macía</t>
  </si>
  <si>
    <t>Ramón Macía Líeopar.t</t>
  </si>
  <si>
    <t>…ente; á los anagistrados qu^ ténia al,-tiempo de sucesaciqnvá saber , D. Josef Navia Bo4 ¿años;, regente j D. V icen je María Caveto,, P» francisco Cándido de Baz* Don Ramón Same, D. Ramón Macía Líeopar.t, D..Francisco Mateo ^Marchamalo, D. Miguel Antonio 2üumalacarregui y X). Juan,Remeto. Alpuente, $in perjui cio de atenderse después cuaj,;Correspond^, los .honores que cada uno tiene y debe.conservar; y para las pjazasque resu 1 tan .vacantes á O- Manuel* Est…</t>
  </si>
  <si>
    <t>Liguori, Alonso de</t>
  </si>
  <si>
    <t>Alonso de Liguori</t>
  </si>
  <si>
    <t>…antísimo Sacramento y á María Santísima para todos los dias del mes; actos de preparación y de acción de gracias para la sagrada comunión. Obra com puesta en italiano por ej limo. Sr. D. Alonso de Liguori, vertida al español por un sacerdote del oratorio de S. Felipe Neri de Barcelona. Este apreciable libro fue tan bien recibido en la ciudad de Ñapóles, que viviendo el autor se reimprimió catorce veces; sexta impresión: un tomo en 12.0 Se vende'en la librería…</t>
  </si>
  <si>
    <t>Lima, Rafael de</t>
  </si>
  <si>
    <t>Rafael de Lima</t>
  </si>
  <si>
    <t>…ue va de de V ígo á Benaveme, les , habiendo salido para electores de partido el juez de le presentadas por los Sres. Baha monde y Perez Costa ; y a la tras de la Hacienda pública D. Rafael de Lima y un abo comisión de Guerra un manuscrito presentado por c! Sr. Díaz gado de mucho crédito D. Rafael González; y se están es Morales. perando los de los otros partidos para realizar la elección Se aprobó el dictamen de la comisión de Legislación so de los dip…</t>
  </si>
  <si>
    <t>Lina, Francisco</t>
  </si>
  <si>
    <t>Francisco Lina</t>
  </si>
  <si>
    <t>…az á la guerra, aun á su pro ción y acierto en un negocio de que tal vez dependerá la pia costa ; y propone en contestación entrar en comunica tranquilidad de estas provincias. El Sr. D. Francisco Lina ciones con V. E. para transigir las dificultades que ocurran res, uno de los comisionados que fueron con mis instruc sobre el armisticio con que siempre se le ha convidado, qué ciones cerca del insinuado Bolivar, podrá Facilitar los an en calidad de indemniza…</t>
  </si>
  <si>
    <t>Líñan</t>
  </si>
  <si>
    <t>…y quedó apro medida de pura política y prudencia , pues sabia y volvió á bado el art. 9,0 " f manifestar que la Nación no la necesitaba. No se admitió á discusión una adición del Sr. Líñan, que Después de haber expresado el Sr. presidente, como in decia: «empleando el Rey, si lo juzgase necesario, para la dividuo que habia sido de ¡a comisión, que lo nías á que egecucion de este articulo la facultad 15 .■* que le,da la Cons suscribiría en todo…</t>
  </si>
  <si>
    <t>Liñan</t>
  </si>
  <si>
    <t>…y se apro No se admitieron á discusión dos proposiciones del se bó el dictamen de la comisión. ñor Perez Costa, de segunda lectura, reducida la una á Se leyó el voto siguiente del Sr. Liñan: «Habiendo si que pudiese el Rey' emplear la tercera parte de los conseje do mi voto contrario á que se enseñe en dos años la gra ros de Estado en los ministerios y destinos de generales en mática castellana y latina, pido que se inserte en las actas.’* gefe…</t>
  </si>
  <si>
    <t>Linares, Antonio</t>
  </si>
  <si>
    <t>Antonio Linares</t>
  </si>
  <si>
    <t>…ción y en el informe de la comisión, dantes de Ultramar. opinaron en voto particular que había lugar á la formación de causa. A petición de varios Sres. se mando imprimir todo. El coronel D. Antonio Linares da parte desde Sítao al Se leyeron dos minutas de decretos para pasarlos á la Excmo. Sr. virey con fecha de 21 de Diciembre de 1819 sanción Real, el uno sobre concesión de aiiio y protección de haberse presentado en aquel mismo mes 24 disidentes á á las perdo…</t>
  </si>
  <si>
    <t>Linares, Antonio de</t>
  </si>
  <si>
    <t>Antonio de Linares</t>
  </si>
  <si>
    <t>…nservándolo, como espero .con servarlo bajo lá alta protección de WE. ,:me Tendré por el hombre mas feljj^ r, Mucho han influido para mi desengaño el coronel y comandante ge neral D. Antonio de Linares y el capitán D. Martin Barañdiarán, .por— que cotí su política y sus ^nodales, con su actividad y zelo en convertir los rebeldes por vías no menos -sabias que ocultas., ó en refrenarlos ppr la fuer za1 de las armas pérsigiiiéndoíos constantemente, me han hech…</t>
  </si>
  <si>
    <t>…buena disposición de estos sugetos en servir al Rey nuestro Señor y su ver dadero agradecimiento. S.E. las ha recibido con mucho gusto,y ha mandado acusar su recibo por medio del coronel D. Antonio de Linares, coman dan te general de la provincia, de Guanajuato; asegurando á ambos individuos lo gra to que le han sido sus públicas dettiostradones de fidelidad á S. M. franca r mente expresadas en su reconocimiento al paternal gobierno con que trata á todos sus vasal…</t>
  </si>
  <si>
    <t>…uchos años. S. Felipe Agosto 31 de 1819. = Gre gorio de Arana. =$r. coronel y comandante general D. Francisco de Orrantía/' PROVINCIA DE GUANAJUATO» Oficia dd coronel y comandante general D. Antonio de Linares* - ,,Excmo. $r.: En el adjunto parte, que original pongo en las superiores manos de V. E., me manifiesta el coronel D. Anastasio Bus tomante que con dos partidas del regimiento de S. Cirios y otras del de S. Luis , la primera á las órdenes del teniente £&gt;. At…</t>
  </si>
  <si>
    <t>…trincado pue blo : lo qué participo á V. S. para su conocimiento. ,, Dios guarde á V. S. muchos anos. Salamanca Agosto 27 de i8i9.=Anastasio Bustamante. = Sr. coronel y comandante general D. Antonio de Linares.” S. E. dio las gracias en nombre de S. M. á los gefes, oficiales y tropas que hicieron las correrías de que tratan estos partes. ' ■ Vergara 28 de Febrero. Hn cumplimiento de lo que previenen las ordenanzas de este Real semi nario de Nobles se celebraron los…</t>
  </si>
  <si>
    <t>Linares, Fermín</t>
  </si>
  <si>
    <t>Fermín Linares</t>
  </si>
  <si>
    <t>…á la Nación todas las ventajas que deben." obra sobre la riqueza territorial de la provincia de Vallado- Habiendo explicado el Sr. ministro de la Gobernación lid , presentada por D. Fermín Linares. de la Península el sentido de la indicación, la retiró su au Las Cortes quedaron enteradas de una exposición de tor, reservándola para ocasión mas oportuna. tres españoles, en que daban gracias por el decreto de am Se mandaron pasar á la comisión de Hacienda…</t>
  </si>
  <si>
    <t>Lirve, Francisco de</t>
  </si>
  <si>
    <t>Francisco de Lirve</t>
  </si>
  <si>
    <t>…a por los cuales cavan la tierra hasta mucha profundidad .para sa el teniente de granaderos y 2° ayudante del fijo de Ceuta ciar su codicia, y ya han sacado considerable número de D. Francisco de Lirve. vasos, momias.y otros objetas curiosos;.habiendo aprendi Memoria del general conde de Villemur sobre la deca do á distinguir, á pesar de su ignorancia, las cosas raras y dencia de la caballería , y medios de restablecerla. bien conservadas de las ordinarias…</t>
  </si>
  <si>
    <t>Lis, Vicente Bertrán de</t>
  </si>
  <si>
    <t>Vicente Bertrán de Lis</t>
  </si>
  <si>
    <t>…Diez, vecinos de esta corte, avisan 4 todos los acreedores de ellas concurran desde el 19 del corriente con los documentos justificativos á verifi car su liquidación á la casa de D. Vicente Bertrán de Lis, calle del Duque de Alba, núm. 1, desde las nueve de la mañana basta las dos de la tarde, á fin de llevar á efecto lo acordado en la junta de 16 de Marzo de 1818. Está vacante la plaza de cirujano latino de la villa de Pezuela de las Torres, pro vincia de Mad…</t>
  </si>
  <si>
    <t>Lisboa, Antonio de</t>
  </si>
  <si>
    <t>Antonio de Lisboa</t>
  </si>
  <si>
    <t>…cabildo de ceder con circunspección y madurez acerca del modo de ve Cuenca. rificarse el nombramien-o de ¡os representantes de la ciudad A la comisión de Infracciones una queja de D. Antonio de Lisboa y de las provincias del Sur, suspendería por en María Trujillo, vecino y labrador de Oropesa , contra el tonces la resolución de este punto, y luego que llegara á juez de primera instancia por haber infringido el art. 297 Alcobaza, para donde salta el ¿6, par…</t>
  </si>
  <si>
    <t>Liso</t>
  </si>
  <si>
    <t>…se introdujese en aquellas tículos i.°, 2.° y 3.0 de las instrucciones adjuntas al decre algún sugeto á quien no se pudiese oponer reparo alguno to de 22 de Julio, se compone del .Sr. Liso, delegado es para negarle la entrada; pero que acaso guiado por^ un in pecial, presidente, y de (os Sres. Scioli, presbítero ,1 atu flujo extraño, nos condujese á nuestra ruina; y opinó por fin jo Mnstelloni, el príncipe de la Roca, Colanen, Biondi, y Aurinet…</t>
  </si>
  <si>
    <t>Lisperguer, Francisco López</t>
  </si>
  <si>
    <t>Francisco López Lisperguer</t>
  </si>
  <si>
    <t>…l de 1-812, - y que se componga por ahora de los m^Blfos existentes en el día de los nombrados á consulta del Consejo de Estado de 14 de Mayo de 1812 , y son: D. Josef María Puig, D. Francisco López Lisperguer, D. Francisco Ibañez Leí va, Pon Manuel Antonio de la Bodega y Mollínedo, D. Jaime Alvaaez Mendieta, D. Andrés Oller , D. Diego. María Vadillos, y D. Ramón Lopej? Pelegrin , fis cal ; y no siendo, posible hasta la próxima reunión de l^jCortes prestar en ellas…</t>
  </si>
  <si>
    <t>LISTA, Juan de Mi</t>
  </si>
  <si>
    <t>Juan de Mi LISTA</t>
  </si>
  <si>
    <t>…do honorario de la audiencia territorial, y juez letrado de mostrencos. de primera instancia de esta villa , y escribanía del número que á virtud de habilitación de S. M. despacha D. Juan de Mi LISTA 31. PROVINCIA DE CADIZ. guel Monasterio, se ha acudido por D. Ingram Binns, vecino Dos casas altas y bajas, números 56, 57, 58 y 59, en y del comercio de esta corte , haciendo cesión de todos sus bienes la calle de S. Francisco de Paula de aqueLIa ciudad, en…</t>
  </si>
  <si>
    <t>LITERATURA, Juan Ca</t>
  </si>
  <si>
    <t>Juan Ca LITERATURA</t>
  </si>
  <si>
    <t>…illa. Regnat, administrador que fue de salinas en Cataluña. ( Se Plan ó arreglo de la infantería, por el segundo ayudante continuará.) agregado al regimiento infantería de Sevilla D. Juan Ca LITERATURA. lón ge. Idea sobre la utilidad de tropas extrangeras, por el ca pellán D. Sebastian Baraller desde Figueras. Egipto. Un periódico literario que se publica en Lon Solución á varios problemas insertos en la gaceta del 23 dres contiene la siguiente observación…</t>
  </si>
  <si>
    <t>Litr</t>
  </si>
  <si>
    <t>…ntecí miemos, no por eso dejó de sufrir mas. La cesión Hace algunos dias que vino de V'iena y se halla én es de la Noruega por recompensas territoriales y otros conve ta ciudad el profesor Litr con poderes de la unión alemana nios fueron causa de negociaciones que se dilataron por mu de comercio. Dícese que ha traído las noticias mas satisfac cho tiempo, produciendo contiendas que al fin se han cor torias á los individuos de aquella Union que reside…</t>
  </si>
  <si>
    <t>LíUi</t>
  </si>
  <si>
    <t>…d y nuestras fuerzas en Java , como qué los refuerzos de Eurqpa no pue den ser muy frecuentes* ^ # • Idem j8. ■ líabiasc esparcido estos dias la voz da haber ipasado al continente lord LíUi*</t>
  </si>
  <si>
    <t>Liver</t>
  </si>
  <si>
    <t>…orden de S. Luis, un sepulcro de mármol blan apoyar los cálculos extraviados de ministros extrangeros: co de dimensiones gigantescas. la seguridad que sobre este punto ha dado el lord Liver Los bajos relieves, que representan una batalla , son del pool debe haberlos desengañado; y si aun pretenden hacer mejor gusto; y las figuras conservan maravillosamente su guerras á costa de nuestro sudor, bajo seria el juicio que hu expresión. Las formas atlétic…</t>
  </si>
  <si>
    <t>…e Francia y en las ceremonias nido de dicha carta, que se reduce á lo siguiente: públicas con todas sus condecoraciones. El Gobierno ha El vice-gentilhombre de S. M.' anunciaba al lord Liver mostrado la admiración y ofensa que le ocasionaba seme pool que tenia orden de S. M. para pedir al Gobierno del jante conducta. El decreto de destitución fue comunicado Rey que sin dilación alguna dispusiese un palacio y ajuar de oficio á esta embajada de Fra…</t>
  </si>
  <si>
    <t>Liverpiool</t>
  </si>
  <si>
    <t>…oble lord será bueno a la cabeza de su regimiento; pero diencia que obtuvo de S. M. Sabemos que el lord Harroxvby por el honor y por los intereses del piáis pudieran fiarse á y el lord Liverpiool pencaban hacer su dimisión mucho an mejores manos los negocios diplomáticos para que inspira tes que se tratase del proceso de la Reina; piero lejos de sen al público mayor confianza. acelerar su decisión las ocurrencias que se han seguido al —Sean las que qu…</t>
  </si>
  <si>
    <t>Líverpoof</t>
  </si>
  <si>
    <t>…y los mas furibundos en el sentido anti-liberal, como el Cuotidiano, el Diario de los debatas GRAN B R E T A Ñ A. Londres 27 de Abril. Él funes último á las 10 de la noche convocó lord Líverpoof un consejo de ministros tan repentinamente, que varios individuos del Gabinete se vie ron precisados á salir de las tertulias en donde se hallaban. El motivo de esta convocación ha dado lugar á conjeturas de diversa naturaleza. Habiendo ido hoy el Rey en gran…</t>
  </si>
  <si>
    <t>Liverpool</t>
  </si>
  <si>
    <t>…fecto de aten der al servicio público en el intervalo que medié entre la separación de este Parlamento y la apertura del que ha de súcedérle.’* Después de leído el meñsagé propuso lord Liverpool que se acordase una exposición)dando á S. M. el pésame por la muerte de su augusto padre, y la enhorabuena por su elevación al tronó : en ella se refieren sucintamente las vir tudes de Jorge m y la felicidad de su reinado; concluyendo Con estas expre siones:…</t>
  </si>
  <si>
    <t>…ministros, el conde Bathurst, lord canciller y el conde de Liverpool, fue adoptada al cabo’por la Cámara. CAMARA DE LOS COMUNES. Lord Castlereagh propuso á egémplo de lo que hizo lord Liverpool en la Cámara de los Pares, que se contestase al mensage del Rey con motivo de la disolución-de! Parlamento. Mr. Tierney dijo que desde principios del siglo pasado ningún Rey á sa advenimiento al trono había hablado de otra cosa que del sistema que se propo ní…</t>
  </si>
  <si>
    <t>…onfiaba ei Rey qiie &gt;Ia Cámara’ déioSiPares adoptaría, las medidas que exigen la justicia, no menos' queeí ho-1 ñor y la dignidad de la corona. • : , - Leído este mensage, anunció lord Liverpool que haría la propuesta de pre sentar otro al Rey dándole gracia$*por esta comunicación, y que propondría se enviasen á una comisión secreta los, documentos adjuntos al mensage. El 7 trataron las Cámaras del referido mensage del-Rey, y de las pro puestas relat…</t>
  </si>
  <si>
    <t>…nes, solo contenía el aviso siguiente: ,, La Reina, con el dicta men de su abogado y de otros muchos vocales de la Cámara de los Comunes, tiene por conveniente poner en noticia de lord Liverpool ¿ que está pronta á admitir cualquiera propuesta compatible con su honor que S. S. tenga que hacerle de parte del Gobierno.” i. Este parte pasó inmediatamente ai consejo de los ministros, y dió motivo á una larga deliberación. A las nueve y media se volvió á…</t>
  </si>
  <si>
    <t>…e un modo satisfactorio á los Sres. Brougham y Dcnman, comisionados por la Reina, entrambas partes. propusieron aquellos, que las personas designadas para hacer 4.J -Respuesta del lord Liverpool á esta carta del 10 de un convenio, aunque en representación de diversos Intereses, Junio, dada al siguiente dia 11. Manifiesta en ella la sor se considerasen como que obraban de común acuerdo para presa que le ha causado el saber que la memoria de 15 de term…</t>
  </si>
  <si>
    <t>…- Uno de 80 cañones...... 1.443,257 2.102,816 si tendo en que accediese la Cámara á la solicitud de la Uno de 74 cañones...... 1.225,192 1.778,128 Peina; y después, á propuesta de lord Liverpool, quedo Una fragata con cañones de á 18. 60.4,427 877,685 señalado el miércoles par» que diese principio al examen de Una id. con cañones de á 12 476,939 690,301 los papeles secretos, aepositados en el Parlamento, la co Una corbeta de 20 cañones de á 6. 264,37…</t>
  </si>
  <si>
    <t>…eda, y es. Hacerla * Escriben de Darrnstadt con.fecha de 26 de Junio que lo- mas pública1 que sea posible.-' • 1 ■' • el Gran Duque" se lisonjea todavía de poner fin á la oposi El conde Liverpool contestó; el espíritu de partido mas ción que encontró cu Jos’iftdividüos'de' tás Cámaras contra</t>
  </si>
  <si>
    <t>…estar incomunicados los presos, se hiciese mención No se accedió á la petición de la Reina; y hecho un del dictamen que la comisión dió acerca de ella en las Cor preámbulo por el lord Liverpool, se hizo la primera lectura tes anteriores ; y habiéndose contestado por los Sres. secre de dicho bilí. tarios que no existia sino únicamente un proyecto de deEl dia 6 se remitió á la Reina copia del bilí, y S. M. crero rubricado por el Sr. Calatrava, se acor…</t>
  </si>
  <si>
    <t>…el egemplo de todas con acierto los que han de trabajar Con ellas, siempre qué T las vi mides! esta condición se estipule al tiempo de hacerse la venta. ' - Leído el bilí, propuso lord Liverpool qué se enviasen También contratará D. Pedro Miramon con los sugetos copias al Rey y á la Reina, y á los procuradores genera que quieran comprar máquinas de vapor, construidas por les de ambos, y se admitió la propuesta. £&gt;. Fernando Spíneux. ’ El condé Grey d…</t>
  </si>
  <si>
    <t>…y Moscow, por medio de diligencias que an que se admitiesen en la barra á los abogados de la Reina. darán el camino (208 leguas) en 96 horas. Se cree que la El lord canciller y el lord Liverpool trataron de probar empresa no será menos útil que la de barcos de vapor, los que antes de admitir á los abogados era necesario saber so cuales proporcionan desde aquí una comunicación tan pron bre qué puntos se proponen hablar, porque seria entera ta como reg…</t>
  </si>
  <si>
    <t>…rrada hace 120 años. Londres ti deJulio. La segunda lectura del bilí presentado en la Cámara de ALEMANIA. los Pares, relativo al asunto de la Reina, se difirió ayer á propuesta de lord Liverpool para el martes 17 de Agosto, Francfort a de Julio. que parece es la e'poca mas próxima en que la Cámara podrá A pesar de la oposición que ha manifestado una parte tratar de esta causa ( pues la segunda lectura del bilí será de los individuos de la Dieta de He…</t>
  </si>
  <si>
    <t>…ntra el acusado, ó si hay anteceden Las noticias de Sierra-Leona de 8 de Mayo de este año tes análogos á este proceso. dicen qué la goleta francesa María fue apresada el dia 20 El conde Liverpool fue de parecer que la investigación de Enero con 106 esclavos abordo. El •capitán Trances habia se ciñese al objeto de la petición , es decir, á.Ia lista de los recibido estos esclavos de un ingles, por lo cual ofreció el testigos. Gobierno de Sierra-Leona 40…</t>
  </si>
  <si>
    <t>…e Andas una vijtcísa iluminación, decorando ál intento la casa de las Cadenas, y reuniendo una nume íóndres 2 í de Julio. , rosa orquesta de voces é instrumentos. A profMiéStd del lord Liverpool sé nombró eri la scsioil de la Cámara de los Pares del 20 una comisión de ocho in Ciudad-Rodrigo gr de Julio. dividuos para que examinase los antecedentes relativos al La deseada noticia de la apertura dé las Cortes, y del mo'do de obligar á los Páres á que a…</t>
  </si>
  <si>
    <t>…de Enero de 1821 no se ron las medidas tomadas para la comodidad de los tes hayan conformado con este decreto. tigos &amp;c. Trata también la circular de los abusos que se cometen El lord Liverpool votó que se diese el pésame á S. M. en algunos parages con respecto á los votos de los novicios; el Rey y al duque de Yorck con motivo de la muerte de y dice que toda comunidad que desobedeciendo á lo man la duquesa. El duque de Leicester declaró que en el es…</t>
  </si>
  <si>
    <t>…ada por el Schcritl I'arskins y varios habranres de Middque se habia reunido, no podía menos de manifestar al no lessex , la cual fue recibida como individual de Mr. Parskins, ble lord Liverpool, que aprovechada la primera ocasión con arreglo á los estatuto- de ¡a Cámara. para hacer algunas preguntas sobre cierto asunto\le la ma Habiendo pedido el conde-de Liverpool que se leyese yor importancia, con la única mira de que se\ le diesen al por segunda…</t>
  </si>
  <si>
    <t>…ducido el resultado que se esperaba las co na, era imposible no pedir el divorcio. municaciones confidenciales que ha habido entre varias cor El conde de Grey apoyó las razones de lord Liverpool tes de Alemania para allanar las dificultades suscitadas con en cuanto á que , según el preámbulo del bilí, era imposible tra Ja adopción de un proyecto uniforme sobre las fortale dejar de pedir el divorcio, que debería tener lugar si se zas de la Confederaci…</t>
  </si>
  <si>
    <t>…pares------ . Continuación de la sesión rigirse desde Bohemia por el Tirol a Italia. Añaden que del 13. el^Gobierno bávaro lo ha concedido, y que está demarca Como la propuesta de lord Liverpool, dirigida á que da la ruta militar para las tropas, las cuales marcharán en continuase la causa, quedó admitida por una gran mayo dos columnas, pasando una el Danubio por Deggendorff, y ría , hizo el conde Grey una corrección con el objeto de la otra por Stra…</t>
  </si>
  <si>
    <t>…n se ha despachado el 1.° del cor testigo confirmaban la declaración de Maiocci. Estando ya riente una nota oficial á la corte de Ñapóles, en la que muy adelantada la sesión pidió lord Liverpool que el contranuestro Gabinete manifiesta los motivos que Je han decidido interrogatorio se señalase para el día siguiente. Se encargó á reunir en Italia uq cuerpo considerable de tropa*-; decla Mr. William de hacer las preguntas, y por las respuestas rando qu…</t>
  </si>
  <si>
    <t>…sionó un corto debate, en que el conde - del Pó un campamento de tropas austríacas; pero tampoco de Grey , pegó que el Gobierno ingles tuviese semejan’.e de recho; alo que replicó lord Liverpool que no queriendo re hay datos positivos acerca de esta última noticia. tardar con explicaciones inútiles el proceso de la Reina, reALEMANIA. periú lo dicho j de; que reservándose siempre el derecho de 'intervenir eu algunjs circunstancias posibles, no entraba…</t>
  </si>
  <si>
    <t>…rció sé pasó una representación suelto deshacerse del bilí de un modo ú otro. No preten de los diputados del colegio de plateros de esta corte, pi demos averiguar si será el mismo lord Liverpool quien se diendo se cumpla lo prevenido en la ley 25 , título 9.0 de encargará de anunciar que los ministros lian sido engañados, la Novísima Recopilación, que prohíbe la introducción de ó si la propuesta de prorogar la segunda lectura del bilí alhajas de “oro…</t>
  </si>
  <si>
    <t>…e la Gobernación de la Península de que Lord Holland tomó la palabra, y después de.baber re SS. MM. y A A. seguían' disfrutando perfecta salud. sumido todos los argumentos con que lord Liverpool, al. Después de alguna discusión se mandó pasarreorí urgen principiarse el proceso., habia intentado probar á la Cáma cia á la comisión ordinaria de'Hacienda un oficio del señorra que se haría justicia á la acusada, y de haber manifes secretario: de este ramo…</t>
  </si>
  <si>
    <t>…i.a¿Se deberá determinar definitiva ó provisionalmente sobre el nú- -CAMARA DE los lores. —— Concluye la. sesión del IJ. méro de consejeras de Estado r Se acordó casi por unani El lord Liverpool respondió al fuerte ataque de lord midad que definitivamente. 2.1 ¿Cuántos serán los conseje Holland, manifestándole que Rastelli había partido sin sa ros de Estado? Veinte y cuatro, por mayoría absoluta. berlo él; qué tampoco el procurador ni el abogado gene…</t>
  </si>
  <si>
    <t>…de Tenerife, para que se le per ordenes terminantes para el efecto; que aunque habia con mita introducir en aquella isla libre de derechos upa vaha currido á la sesión , en que el lord Liverpool habia dicho de hierro y un tabernáculo de mármol para dicho templo. que se tomarían las medidas necesarias para evitar la au- El Sr. Echeverría apoyó esta solicitud , y se accedió á ella. cencia de los testigos, como él contaba1.con que Rastelli es A la comis…</t>
  </si>
  <si>
    <t>…, que después de haberse podían pasar adelante: 'Esta proposición suscitó una discu llenado el hospital de las Siete-Torres, ha habido que po sión bastante acalorada, que obligó á lord Liverpool á re ner en el de Pera 28 enfermos, de los cuales han muerto cordar á la Cámara todos los pasos que se habían dado deáya 19. El embajador de Francia ha tenido la desgracia de de la presentación del rtiensagé del-Rey hasta la presenta perder uno de sus criados…</t>
  </si>
  <si>
    <t>…gase á una junta secreta, si la Cámara lo tu un número muy considerable de ciudadanos empleados en viese por conveniente. los gremios, y por el pueblo de una capital amante del El lord Liverpool, á quien quizá no gustó la propuesta, Monarca y de la patria, que desean aproveche con ventajas accedió no obstante, en el caso de adoptarse, á que la cor el futuro y feliz .momento de su dichosa regeneración políti respondencia se pasara á una junta secreta,…</t>
  </si>
  <si>
    <t>…ado á realizarse todavía las esperanzas que cultad de navegar con los navios mencionados en el primer habían hecho co.ncebir a muchas gentes las coníerencüs del Articulo referido. lord Liverpool con algunos individuos de la oposición , y , ,, Han producido los mas felices resultados los esfuerzos varias otras circunstancias. Parece que las proposiciones Je de mi enviado en Constantinopla, sostenidos por el minis los ministros no han satisfecho al par…</t>
  </si>
  <si>
    <t>6&lt; 8 hiciese la pregunta definitiva de sí pasaría este bilí, se le de sus propios súbditos, ya metidos en locas empresas con vantó el lord Liverpool; pero inmediatamente hizo lo mis tra los paises comarcanos, sin fe en los tratados, sin pru mo el lord Dacre con un papel en la mano, que se sabia dencia en los proyectos, y por lo común sin valor en la contorna una prctes:a de la Reina. Gritaron en el salón…</t>
  </si>
  <si>
    <t>…itiese bajo esta última forma, si no podía Se asegura que se han señalado ya las columnas en que serlo de otro modo. deberá dividirse el egército austríaco de Italia , como tam El lord Liverpool dijo que se habría opuesto á la admi bién las rutas que han de llevar. sión de aquel escrito como protesta ; pero que no tenia in conveniente en que se trasladase en los registros como sí fue ITALIA. ra una exposición á la Cámara hecha por S. M. en persona. E…</t>
  </si>
  <si>
    <t>…A. na . ha daño lugar .i algunas amargas observaciones en ía Cárvtra do I. s lores. Los ministros q e ten’an presentí ¡a Londres lo de Noviembre. enfática declaración hecha por el lord Liverpool al jsrincipio de la cama , en lt cnal dijo que espera'-a q e ningún CAMARA PE LOS LORES. -------SeSZOU del 8. lord votarla sin haber oído todos los interrogatorios, no se El lord Hoüand £e levantó, y dijo que una indisposi han atrevido á acudir .1 cu deten «a…</t>
  </si>
  <si>
    <t>…icas y con-rítucicnaLs que va tenia expuesta ) , á pesar de e?tar convencido de que CAMARA DT- LOS LORES-----Sesión del IO. la Reina era culpada. A la una y 23 minutos mandaron El conde Liverpool propuso que el bilí contra la Rei que saliesen fuera lo? espectadores , y á las dos se volvió á na se leyese por tercera vez , • el lord canciller dijo que á abrir la saia para hacer saber al público el resultado de la la Cántara tocaba decidir este punto. vo…</t>
  </si>
  <si>
    <t>…regla , especialmente en un asunto de ranta grave tensores para oponerse á la tercera lectura de! bilí. La 'pro dad como el que presenta el actual estado de cosas en el puesta del lord Liverpool hizo inútil este paso de la Reina, reino de las Dos-Sicilias , el cual reclama la mediación de pues no tuvo necesidad de presentar su protesta. un acuerdo común entre los garantes del orden de Euro pa.” Después de esto el ministro austríaco intimó al expre FR…</t>
  </si>
  <si>
    <t>…dt una nota de alta impon® . Concluye ¡a exposición del secretario de listado, L ¡da en el Parí ¡mentó irtuional. ALEMANIA. »&gt;Las contestaciones dadas en el Parlamento ir.g’es por lord Liverpool al .ora C'a'tlereach sobre ia no Inter ertc on de ¡a Worms {orilla izquierda del RliíX iKi;_ \’tzzi¡i&gt;mbe-. Inglaterra en los nea cios de hspa ;a son ta-.nt'ten de bu.a Se acusa á los hesse.es del Rhinlm» nr kho»bos aaJicros A nq'ero para nos .tros, que nos h…</t>
  </si>
  <si>
    <t>…ncipe de Cnstelcícala, á pesar del decreto de i.® •——La Reina-ha mandado á su vice-gentílhombre de Cá de Setiembre , que le destituye de todo empleo y priva de mara que escriba al lord Liverpool, pidiéndole un palacio todos los honores, poniéndose en desobediencia abierta con con toda la servidumbre que corresponde á su clase, á lin las órdenes recibidas por el Gobierno, continúa egerciendo de que pueda en lo sucesivo residir con decoro en Inglater e…</t>
  </si>
  <si>
    <t>…acon penetrándoles del verdadero objeto del interesante estable sejaron que instase de nuevo, escribiendo otra carta ai cimiento de la milicia nacional; y á su virtud me-previene lord Liverpool, y Mr. Keppcl Craven se encargó de llevár el Excmo. Sr. secretario de Estado y del Despacho de la sela. Varios individuos habian ofrecido diferentes sumas al Gobernación de la Península por Real orden de 4 del actual, alderinan Wood para construir un palacio…</t>
  </si>
  <si>
    <t>…pidiéndoles se la fe político de Alava sobre si por ordenados in sat ris se señalase un palacio para su habitación : entienden también los diáconos y sacerdotes. «Que esta du «El lord Liverpool manifiesta que ha recibido orden da se halla resuelta en el artículo 2.” del reglamenta para la de S. M. de anunciar á ia Reina que no le es posible á milicia nacional , pues por ordenados in s.uris siempre se S. M., en las presentes circunstancias, señalar n…</t>
  </si>
  <si>
    <t>…n habia publicado sobre el armamento naval y resolución de siguiente á sus resultados generales. reforzar la escuadra del Mediterráneo; y hablan de la reti rada del ministerio del lord Liverpool, Mr. Canning y lord Ilarrotvby, y que el lord Wellington empuñaría la espa ANUNCIOS. Trisagro seráfico para venerar la muy augusta y santa Trida del poder, juntamente con el lord Castlereagh, quien nidad , y ofrecimiento devotísimo de la pasión de Cristo por…</t>
  </si>
  <si>
    <t>…para este acto el correspondiente permi «La Reina no puede menos de rehusar con toda forma so, y espera completarlo con el mayor orden, alegría y lidad la oferta de dinero que el lord Liverpool ha unido á satisfacción general. su aviso de la proyectada suspensión del Parlamento. Cerca Cádiz 6 de Diciembre. de io meses nan trascurrido desde la muerte del difunto Ha fondeado en este puerto la fragata inglesa WellingRey &gt; y aun no se ha propuesto al Pa…</t>
  </si>
  <si>
    <t>…un cuando 1os asuntos diplomáticos que ocu A este artículo responded Courrier : «Aseguramos sin la pan á los ministros detuviesen á estos por algún tiempo mas menor duda que ni el lord Liverpool, ni lord Harrowby en Troppau , lo que de ninguna manera es de presumir* ni Mr. Canning han hecho su dimisión, y que el conde de No repetiremos lo que los papeles públicos y los noti Spencer no ha sido llamado por el Rey. En suma, es abso cieros de profesión h…</t>
  </si>
  <si>
    <t>Liverpool’</t>
  </si>
  <si>
    <t>…en aquella ciudad; pero ningún periódico de Alemania, de Suiza ni de SoJaodájmenciona cosa alguna sobre el particular. Dícese que al presentarse "una diputación de negociantes al lord Liverpool’ pidiendo la abolición de. Ja ley $pbre los -granos’, les anunció S. E, que el Gobierno nó apoyaría su pretensión; que Ips propietarios y arrendadores ¿e reunián en muchas partes del reino para’formar peticiones al Parlamento, y exigir mayor protección , y que…</t>
  </si>
  <si>
    <t>Ljardizabal, Manuel de</t>
  </si>
  <si>
    <t>Manuel de Ljardizabal</t>
  </si>
  <si>
    <t>…8 del corriente se ha servido S. M. conceder licencia á los ganaderos que constituían el concejo de la mesta para reunirse en junta gu bernativa y económica-presidida por el limo. Sr. D. Manuel de Ljardizabal para tratar los asuntos de su particular ínteres; pero sin nombre tribunal ni uso de jurisdicción. A su consecuencia se ha señalado para celebrar la citada junta el dia 10 de Junio próximo, lo que se avisa á los ganaderos en quienes concurran las cualidades n…</t>
  </si>
  <si>
    <t>Llama, Miguel de</t>
  </si>
  <si>
    <t>Miguel de Llama</t>
  </si>
  <si>
    <t>…de 1814. En el juzgado del Sr. D. Angel Fernandez de los Ríos , del Consejo de S. M., primer teniente de corregidor de esta muy heroica villa y corte , y escribanía del nú mero de D. Miguel de Llama, se hallan radicados los autos de testamentaría de Don Félix Ubeda, del comercio que fue de cerería en los portales de frente á la iglesia de Sta. Cruz, é igualmente los de abintestato de su viuda Doña Josefa Sánchez Orga nero,, que falleció en el estado de d…</t>
  </si>
  <si>
    <t>…omparezcan por sí ó por medio de apoderado con Prestemos el homenage debido á la sociedad filantrópi poder bastante ante dicho señor juez , por la escribanía de nú mero que egerce D. Miguel de Llama, á exponer lo que esti ca que se encargó del gobierno material del establecimiento men sobre la legitimidad y pertenencia de dichos, vales, en vis para los ciegos, y destinó á este objeto en 1784 un gran ta de la reclamación que de ellos se ha hecho; pues no…</t>
  </si>
  <si>
    <t>Llamosa, Juan</t>
  </si>
  <si>
    <t>Juan Llamosa</t>
  </si>
  <si>
    <t>…te interino D. Narciso San Just, quienes comunicaban mis órdenes en el rigor del fuego con la mayor serenidad: se han distinguido también en está jornada los tenientes de la Reina D. Juan Llamosa y D. Pedro Antonio Fer nandez, siendo los primeros que ocuparon la cabeza del puente, el distingui do del mismo cuerpo D. Angel Antonio Cabola, los sargentos segundos An tonio Vázquez y Francisco Uben taja , los soldados Luis ViUomediaoa, Lucas Ribero, Josef Antonio González y Mate…</t>
  </si>
  <si>
    <t>Llamosas, Jo'cf Ambrosio</t>
  </si>
  <si>
    <t>Jo'cf Ambrosio Llamosas</t>
  </si>
  <si>
    <t>…r de la letra. Se vende en la librería de Hurtado, calle de las. Carretas. Su precio 2 rs. en Ultramar. nota. En algunos egemplares de la gaceta extraordinaria de Por promoción de D. Jo'cf Ambrosio Llamosas á la ayer 10, píg. 50, col. 2 , lín. 78 , donde dice santificando,dignidad de maestrescuela de ¡a santa iglesia metropolitana léase sacrificando. v MADRID EN LA IMPRENTA NACIONAL.</t>
  </si>
  <si>
    <t>Llándatf</t>
  </si>
  <si>
    <t>…, y el in algunas hechas por personas de alto rango; pero sus respues terrogatorio de algunos otros. tas han sido enteramente evasivas, Y se reducen á traducir al Uno de estos fue lord Llándatf, quien declaró (después ingles el famoso non mi ricorde. El lordGuilford tan presto de haber prestado el correspondiente juramento) que ha decia «no puedo acordarme por ahora de esas cosas como biendo viajado por Italia en ifst;, había visitado en NA- »no ten…</t>
  </si>
  <si>
    <t>Llano, Fernando Queipo de</t>
  </si>
  <si>
    <t>Fernando Queipo de Llano</t>
  </si>
  <si>
    <t>…* ESPAÑA. I v- Madrid 3 de Mayó. La maestranza de caballería de Ronda comisionó á sos individuos mar ques las Amarillas, actual Secretario de Estado y del Despacho de la Guer ra , D. Fernando Queipo de Llano, secretario del Sermo. Sr. Infante Doíi Carlos , y el coronel D Felipe Lacorte, teniente coronel del Real cuerpo dé Ingenieros, á fin de que tuvieran el honor de felicitar á S. M., y manifestarle su gratitud por haber jurado la Constitución promulgada en Cádi…</t>
  </si>
  <si>
    <t>Llarena, Josef Ramón de</t>
  </si>
  <si>
    <t>Josef Ramón de Llarena</t>
  </si>
  <si>
    <t>…r hubo otro á ¡as dos en el despacho de Negocios extran sistoriales, salió con las cajas del pueblo, mandada por sil jeros. .A las tres se levantó ¡a sesión, que se continuó á las capitán D. Josef Ramón de Llarena , precedida del alcalde curtro, y duró, todavía media hora. Los mismos ministros constitucional D. Vicente Díaz y Escrich , de Jos regidores de Gabinete que a istieron al consejo del martes concurrieron y procurador de este ayuntamiento, con dirección á la ig…</t>
  </si>
  <si>
    <t>Llave, La</t>
  </si>
  <si>
    <t>La Llave</t>
  </si>
  <si>
    <t>…dió, la situación de las unirlos á otras , lo que di fieultaria y entorpecería mucho el dos partes , por lo que no podía menos de suplicar á SS. SS. cobro; y habiendo propuesto el Sr. La Llave, por lo res que se precaviesen del influjo de alguna de ellas para poder pectivo á ¡a provincia de Toledo, que contribuyesen á esta hacer justicia con imparcialidad. con su cupo, como lo hacían antes, los pueblos separados de En seguida manifestó las nulidade…</t>
  </si>
  <si>
    <t>…María Vilches contra el alcalde de Hacienda una exposición de 14 pueblos de la provincia de Motril sobre no haber verificado el juicio conciliatorio cor» Toledo, presentada por el Sr. La Llave, manifestando los D. Antonio Rivas en un asunto judicial que seguia con es perjuicios que se Ies siguen del señorío territorial que eger— te el interesado. La comisión opinaba no habia lugar á la ce sobre ellos la ciudad de Toledo, imponiéndoles gravá formaci…</t>
  </si>
  <si>
    <t>Lledó, Josef</t>
  </si>
  <si>
    <t>Josef Lledó</t>
  </si>
  <si>
    <t>…á nombre del cabildo de la santa iglesia catedral de Cartagena de Murcia, sus individuos D. Francisco Gómez Jara, chantre, del Consejo de S. M., y decano deá tribunal de la Rota , D. Josef Lledó, mi nistro dePReal Consejo de las Ordenes, y D. Juan López Pelegrin, capellán de Honor de S. M., canónigos; y el primero dijo: ,, Señor: Cuando V. M. pensó en su enlace con la ilustre casa deSaxonta, fue sin duda estimulado por el egemplo de su esclarecido Ab…</t>
  </si>
  <si>
    <t>Lleopart, Ramón Macía de</t>
  </si>
  <si>
    <t>Ramón Macía de Lleopart</t>
  </si>
  <si>
    <t>…i _ También ha debido presentar el mismo Boucher á la cente García Cavero. = D. Francisco Cándido de Paz. = Don sociedad económica- el modelo de una embarcación insu Ramón Samé. = D. Ramón Macía de Lleopart. = Madrid mergible , que ha merecido ya la aprobación de un hábil 12 de Julio de 1820. constructor de buques. ^ Sociedades bíblicas.__ Es muy grande el número de ARTICULO DE OFICIO. estas sociedades en Rusia, y trabajan con mucha actividad. La que hay estable…</t>
  </si>
  <si>
    <t>Llo, Atáteo</t>
  </si>
  <si>
    <t>Atáteo Llo</t>
  </si>
  <si>
    <t>…omendando.» rtodos .en general , ,y ha biéndolo de. hacer ea,particular dé los qué mas sé htaii.distinguido.précOmiendo á V. S., para que lo'haga al Exlcm.o.,Sn:vireyi, al.capitan D. Atáteo Llo^ rens, qué se ha portado coó/el teayor valor ; -aii teniente! Miguel 1 Gómez , que fue de los primeros'; que rompiéronle!. fuego’„eo&lt; Ja placaa ; af .teniente Jacinto Amaya, quien asi en la pérdida; como ,en Ja&gt;recupeTacion,;:de esta plaza ha dado pruebas de…</t>
  </si>
  <si>
    <t>Llordella, R. de</t>
  </si>
  <si>
    <t>R. de Llordella</t>
  </si>
  <si>
    <t>…ene los discursos que se insertaron en diferentes do en nombre de D. Jaime Coll á D. Joaquin Fontanills, Don periódicos sino también otros que no habiéndose prenunciado Juan Oñoz, D. R. de Llordella, D. Beraardino de Ereña, gl en la tribuna, se imprimieron particularmente por el autor. comisionado principal del Crédito público en.Cádiz D. N. BminEn esre orden cronológico de escritos sobre tan importan za, Doña Juana Lozano y Doña.Josefa López, tenedores…</t>
  </si>
  <si>
    <t>Llorens, Mareo-</t>
  </si>
  <si>
    <t>Mareo- Llorens</t>
  </si>
  <si>
    <t>…guas del Hacha, se hallaba un número- suficiente de hombres que eí¡ desorden de la dispersión, el hambre,, la sed y la poca distancia habíacongregad», resolví saliese de Moreno el capitán D. Mareo- Llorens y el ayudante- D. Frarrcísccp Orive con gente de aquel sitio,; y unidos con los del -Paso^atacasen al enemigo, !cuya operación ya ía encontraron- verificada dichos ofiéiaíes á su arribo á la ciudad por las del Paso é indios de D. MigueI Gomez ; y replegado en…</t>
  </si>
  <si>
    <t>Llorens, Mateo</t>
  </si>
  <si>
    <t>Mateo Llorens</t>
  </si>
  <si>
    <t>…ce poner otra bandera blanca,y me anticipé yo solo con el objeto de ponerme al habla del castillo, c intimarles se rindiesen á discreción ; pero habiendo avanzado á reunírsetne el capitán D. Mateo Llorens con las tropas que cubrían el fuerte de la playa, y observado qjie Blas V al ver de se había adelantado con 4 individuos? mas, entrándose én las fortalezas-, di la orden de avanzar, y en el momento nos hallamos dentro .del castillo, desarmando al enemigo, que…</t>
  </si>
  <si>
    <t>Llórente, Josef Alonso</t>
  </si>
  <si>
    <t>Josef Alonso Llórente</t>
  </si>
  <si>
    <t>5^6 De Fuente el Saz. D. Josef Alonso Llórente. # De Colmenar viejo. D. Juan Luxigo. ■/ El dia i.° de Junio próximo saldrá deí puerto de Cádiz para las provin cias de Ultramar un buque, correo de la armada, con la correspondencia de i oficio y del público, lo que,¿se avisa para inteligencia de este. Conti…</t>
  </si>
  <si>
    <t>Llórente, Juan Antonio</t>
  </si>
  <si>
    <t>Juan Antonio Llórente</t>
  </si>
  <si>
    <t>…Se vende en la librería de Sójo; y en ia misma se hallará también de venta la historia crítica de la Inquisición de España desde su establecimiento haáta él presente reinado: por D. Juan Antonio Llórente : cuatro tomos en mayor. / Principios'y sistema de economía política, con relación á. la situación de Espa ña, para instrucción de los diputados dé provincia y toda .dase de empleados en ad ministración , aumento de la riqueza de los particulares, y arreglo d…</t>
  </si>
  <si>
    <t>…y cada numero suelto. h i jMéhíetria^fiiítóríca sobré cuál hí; isido* la opinión general de España acerca del teHmiiilleída,e** l¡a¡ áoadé/nia .de la Hisftoriai^nano.udej.8LC por D. Juan Antonio Llórente para ser admitido en la7 clase de académico de nú mero. Véndese á 14 r».seh'riístícáséní''lí libraría de Sojo-, i^Ile ile las Carretas. f .gEjípdsk^Qn;déí lc§5,'d^rq^p^ de. la Nacióny de sus mdrvUuos, que bajo el título de Idea de upa Constitución^, escribió…</t>
  </si>
  <si>
    <t>…e la legitimidad de las dinastías. 2.0 Mónita secreta de los ' tiempo recordó que los retornos de América son por natu- jesuítas. 3.* Constitución antigua del reino de Aragón, por D. Juan Antonio Llórente. 4.3 Homilía del Papa Pío vn, sien ' raleza mas voluminosos que los géneros que se llevan allá; do obispo de Imola. Del (rédito público. 6.a Mosaico po " y que siendo específicamente menos graves el cacao, el pa- lítico y moral. Se hallará en las librerías de…</t>
  </si>
  <si>
    <t>…sitio de Tarayuela de Tordesillanos, de Paz.y de Sojo. de una fanega, 1 x celemines y 6 estadales. Conversaciones entre Cándido y Prudencio sobre el .estado actual de España, por D. Juan Antonio Llórente. Conversa Capellanía fundada por DoñaCatalina Abad en Getafe. ción sexta sobre la división de provincias, conforme á la Cons Una tierra en la cañada de S. Marcos, de 2 fanegas, 4 titución. Los amantes de la prosperidad general, los sabios , y celemines y 7 es…</t>
  </si>
  <si>
    <t>Llórente, Mariano</t>
  </si>
  <si>
    <t>Mariano Llórente</t>
  </si>
  <si>
    <t>…da de Legislación, concedieron las dispensas ción , sino la averiguación del reo y aplicación de la pena; siguientes: pero no la declaración abstracta , y aun hipotética, de que A D. Mariano Llórente y á D. Jacobo Joaquin de Garsi se habia hecho tal cosa, se habia infringido la Constitu ceran la falta de edad para revalidarse de médicos; yá Don ción , sin decir ni indagar quién fuese el infractor. Josef Blanco Moreno la de seis meses para examinarse en La…</t>
  </si>
  <si>
    <t>Lnci, Luis</t>
  </si>
  <si>
    <t>Luis Lnci</t>
  </si>
  <si>
    <t>…la nvsma Cám ra. ha de erigirse en Barcelona en memoria del caudiiiode nues «Que 3 estado dcfieC'.UO'O de la representación del pue tra inJvpooAtíncia nacional el teniente genera] D. Luis Lnci, blo se deben atribuir todo- los males que la nación sufre ha prod cldo desde i S de Abril hasta igual día del mes de con respecto al comercio, agriciiltui.i y i elaciones políticas; Octubre .-,886 rs. y 22 roru y que á ia moma causa deben atribuirse los últi…</t>
  </si>
  <si>
    <t>Lo</t>
  </si>
  <si>
    <t>…parecer Se mandaron pasar todas las indicaciones á la comisión se dijera al Gobierno que la señalara por lo menos la viudedad Especial que ‘e acordó después de la proposición del Sr. Lo correspondiente á dos grado» mas de los que tenia su marido, sada, y para la que fueron nombrados los Sres. Fraile, Var como se habia verificado con las viudas de los que murieron gas Ponce, Martínez de ia llosa, Yandiola, Losada, Cas ea la batalla de Trafaig…</t>
  </si>
  <si>
    <t>Ló</t>
  </si>
  <si>
    <t>…s bases propuestas por la comi Sesión extraordinaria del 13 de Octubre. sión , y la añadida por el Sr. Moreno Guerra, manifestan Leída el acta de la sesión anterior , manifestó el Sr. Ló do al mismo tiempo que el aborrecer el pueblo la contribu pez (D. Marcial) que al discutirse el dictamen de la comi ción directa provenia, lo primero de que su primer esta sión sobre las siete rentillas habia quedado pendiente la si blecimiento fue en el año…</t>
  </si>
  <si>
    <t>Lo, Andrés</t>
  </si>
  <si>
    <t>Andrés Lo</t>
  </si>
  <si>
    <t>…l propio monte los año 1808 hasta el de 1814 á los señores ministros de la au descuentos correspondientes al respecto de los 10 mrs. en diencia territorial que abajo se expresan : D. Andrés Lo pez escudo de la diferencia del sueldo que las referidas clases ha de Frías, D. Josef Soler del Olmo, D. Pedro Pablo Belyan dejado de percibir ; y enterado por exposición de la tran , D. Isidro Lasauca, D. Domingo de Dueñas , D. Fran junta de gobierno del exp…</t>
  </si>
  <si>
    <t>Lo, Car</t>
  </si>
  <si>
    <t>Car Lo</t>
  </si>
  <si>
    <t>…as prontitud que si se verificase la tasa , no D. Rafael del Riego, llamado Constitucional de Fernan se admitió á discusión. do VII.” Tampoco se admitieron las siguientes: una del Sr. Car Lo que de Real orden traslado á V. para su inte rasco: «Pido que las Cortes señalen el sueldo que han de ligencia, cumplimiento y demas efectos correspondientes. gozar los letrados consultores de la junta directiva del Cré &amp; Lorenzo 28 de Octubre de 1820. dito p…</t>
  </si>
  <si>
    <t>Ló, Francheo</t>
  </si>
  <si>
    <t>Francheo Ló</t>
  </si>
  <si>
    <t>…prosiguió el Sr. Banqueri, debía habérsela lla rio de la Gobernación de ja Península. mado después de hechas las proposiciones para que viese Á la de Hacienda dos exposiciones de D. Francheo Ló el íacrificio que amenazaba á la Nación, y se hubiera acaso pez Alcaraz sobre pago de una pensión de 4® rs. que dis excitado el zelo del comercio español para evitarle. frutaba, remitidas por el ministerio del ramo. El Sr. ministro de la Gobernación de la Pen…</t>
  </si>
  <si>
    <t>Ló, Juan</t>
  </si>
  <si>
    <t>Juan Ló</t>
  </si>
  <si>
    <t>…D. Joaquín Cabañíes y Fuster, D. Jesualdo Pé rez de Lema , D. Mariano García y Saleta , D. Josef Guerrero y Sedaño 3 Don Santiago Olloqui y Martínez, D. Manuel La-Cerda y Paiafcx, D. Juan Ló pez Larrainzar , D Francisco Cascajares y Bardnxí, D. Josef Aivarez Reyero , D. Cárlos Casaprin y González, D. Rafael Rodríguez Solís, D. Josef Canals y Mayéis, D. Rafael Galinno y Guillelmi, D. Francisco Rívadeneira y Acevedo, D. Mariano Navarro "y Avellañ,…</t>
  </si>
  <si>
    <t>Loadmitido</t>
  </si>
  <si>
    <t>…o que se Las Cortes no admitieron á dheurion ni la adición que estimase útil al bien público. Las Cortes no tuvieron á bien presentó el Sr. Zapata a: art. í.\ ni la indicación del Sr. Loadmitido á discusión. renzana para que te ‘irvieran fijar la significación de la pa Se procedió á la lectura del art. 3.a, que dice asi: «En labra pueblo, contenida en el arr. 3.' ya aprobado, y se el pueblo donde el número de milicianos no pase de 10 se pasó á leer e…</t>
  </si>
  <si>
    <t>Loba</t>
  </si>
  <si>
    <t>…de los conventos de los bienes de los conventos ó de los bienes del Estado. que dejan , ó sea de los nacionales, por cuanto de no ha •El Sr. Ochoa dijo que quisiera le indicase el Sr. Loba cerlo asi se las dejaba expuestas á perecer deSpues de secu to en qué canon, -concilio ó Santo padre de la Iglesia fun larizadas : ademas que al entrar en el convento se las da do daba la propo icion de que á las monjas se las señalase la te, y parece natural…</t>
  </si>
  <si>
    <t>Lobado</t>
  </si>
  <si>
    <t>…e Sr. secretario de la Gobernaron de la Península para cu presente su dictamen. brir el presupuesto de caminos y canales, y el resto se apli Se tnand &gt; agregar al acta el voto del Sr. Lobado, con cará á las detrás obligaciones del Estado. trario á lo resuelto contra'el juez de primera instancia de Las comisiones primera de Legislación y Comercio pre Navalcarnero. sentaron su dictamen acerca de que subsista el consulado de Se aprobó el dictamen de…</t>
  </si>
  <si>
    <t>Lobaro</t>
  </si>
  <si>
    <t>…llos del egérci en caso necesario se consíkuia el acusador de los secretarios to de Galicia D. Carlos Espinosa y D. Manuel Lacy ; con del Despacho, lo que se levanto la sesión. El Sr. Lobaro dijo como el Sr. Calatrava que el general Observaciones sobre el eclipse del dia J. Riego de nada se habia quejado, y por consiguiente que no habia un motivo para tomar tales resoluciones. Citó el artí Ei próximo eclipse de sol de 7 del corriente llama nues c…</t>
  </si>
  <si>
    <t>Lobato</t>
  </si>
  <si>
    <t>…sión siguiente; y habiéndose contestado que debia traerle Después dé haber contestado los Sres. Muñoz Torrero hoy, pasó A extenderle. Por último, se devolvió para refor y Navas al Sr. Lobato, que opinaba seria suficiente para marle después de algunas reflexiones de los Sres. presidente, esta declaración poner una nota en el decreto dé 18 de Calatrava y Giraldo. Marzo de r8 r 2 ; y de’ haber hecho presente el primero, que Se leyeron otros dos voto…</t>
  </si>
  <si>
    <t>…ademas, y se aprobó, que se Se mandó pasar al Gobierno una exposición del director mandase al ministro de la Gobernación, que en unión con del hospicio de León, presentada por el Sr. Lobato, sobre el de Hacienda , examinase las medidas que debían adop el estado de aquel establecimiento, y ventajas que podrían tarse para consolidar el Crédito público. resultar á la Nación de adoptar las medidas que indicaba. Previa una discusión entre los Sres. M…</t>
  </si>
  <si>
    <t>…le Nación, las Corte' anteriores de fuera de su reno . para formar ios por cuyos derechos sacrificaron, sus vidas. códigos civil, criminal y de comercio, y para que averi Otra del Sr. Lobato para que mientras no se haya he guando los individuos que de ellas existan, proponga los cho un cómputo de los arbitrios necesarios para extinguir la que fallen para completarlas. deuda de la Nación, y satisfacer las cargas de justicia, no se El Sr. Clemencin…</t>
  </si>
  <si>
    <t>…s Sres. diputados que gustasen. Habiendo exp te to ni recepción de grados académicos, número de cursos y demás. dictamen sobre el puntó algunos Sres., &lt;e acordó su*pender Otra del Sr. Lobato para que hasta que la memoria de su discusión hasta que la comifion presen ase el proyec.o la Hacienda.pública precen:ada por el ministro no sea exa con las observaciones que juzgase oportuna*. minada por la comisión, y dé esta su dictamen , no se ad El Sr. T…</t>
  </si>
  <si>
    <t>…este dia vivirá-fuera del convento.' que era. contra lo mandado sobre este particular, y que aun 17. Con este documento se presentará á solicitar congrua, no se había derogado. El Sr. Lobato pidió la determinación ue se le adjudicará á continuación. 18. Con manifestación de las Cortes. El Sr. Gaseo dijo que no debía admitirse la el mismo documento pedirá la separación á sus respecti solicitud, y por último se resolvió no haber lugar á su vo vos o…</t>
  </si>
  <si>
    <t>…cretarios del Despacho de ia Gobernación y de todas partes, ó si e&lt;ue era el precio medio, se preguntó si Hacienda. estaba suficientemente discutido aq el punto; y resuel o que El Sr. Lobato quería que la comisión se h-biera ceñido sí, se pasó A votar por partes el dictamen de las comisione'". en c! dictamen á la Andalucía. Lcido el primer arriculo, hicieron presente algunos se El Sr. Priego , poniendo A la España por su falta de ca ñores diputad…</t>
  </si>
  <si>
    <t>…las vejaciones que no pocas ve ,-ñor Torrero quería que se suprimiese la palabra regulares. ces experimentan . con el objeto de separarlas de su secula Se leyó otra indicación del Sr. Lobato, relativa á lo que rización. Estas son las razones que me han determinado á antes había expuesto, de que siendo por lo cómun sacerdo presentar la adición en esos términos.” tes los religiosos que se secularizan, y señalándoseles á esros Luego el Sr. Lobato, l…</t>
  </si>
  <si>
    <t>…o tan falta de riqueza, y le parecía una co E! Sr. Moreno Guerra Creyó que se podían examinar sa muy ¡una. las cosas y los hechos sin calificar las personas; pero se • Se opu'o el Sr. Lobato, diciendo que los Sres. de la co oponía á que se diera sueldo alguno á [os cesantes de los misión debieran haber tenido presente lo que dispone el Con* establecimientos que fueron extinguidos por la Constitución, cilio de Trento, que autoriza á los eclesiásti…</t>
  </si>
  <si>
    <t>…a la dio gracias duque de Frías El presidente Se leyó el acta de la anterior, a la que se mandaron en un patriótico y elocuente discurso. agregar dos votos particulares , uno del Sr. Lobato, contra FRANCIA. rio á la resolución de las Cortes, acerca de no poder re París 6 de Agosto. unir los eclesiásticos dos beneficios , cuando el uno baste ¿ su Los Sres. Wallard y Bailly, hiladores de algodón en Lila, congrua sustentación; y el otro del Sr. Cas…</t>
  </si>
  <si>
    <t>…hablan dado por servicios hechos contra la Consti reúne. En visra de ello era de parecer la comisión que dicha tución. representación y documentos adjuntos se devolviesen al Go El Sr. Lobato dijo que las rentas de las mitras ó de los bierno para que haga de ello el uso que juzgue conveniente. señores obispos eran el patrimonio de los pobres, y que el También se aprobó» otro dictamen de la misma comi suspender estas pensiones seria sacar estos bie…</t>
  </si>
  <si>
    <t>…los Sres. Pajarea, Dolarea, Mon interiores de otros Estados independientes. tenegro y Gaseo, contrarios á lo resuelto en el artículo 3.0 del proyecto de ley aprobado ayer; el del Sr. Lobato contra la ITALIA. resolución de que los eclesiásticos esten obligados á compa recer , aunque sea por delitos atroces, ante Tos juzgados or Ndpoles 8 de Agosto. dinarios; y el del Sr. Camus y Herrera, contrarío al cita Por varios decretos expedidos por S. M. s…</t>
  </si>
  <si>
    <t>…, ni por otro título alguno, sea lucrati Previa la discusión de si los alimentos y pensiones de vo ú onero'o (1). berían pagarse de los bienes libres ó vinculados, á proporción El Sr. Lobato se opuso á este artículo como pertene délo que correspondiese á cada uno de los posesores, Se ciente solo á la autoridad eclesiástica, citando un gran nú aprobó este artículo y la adición del Sr. Torre Marin . que mero de decretos de los emperadores Romanos y…</t>
  </si>
  <si>
    <t>…aran lo conve anteriormente para extinguir la deuda habian sido las tran— niente acerca del plan de hospitales. - ■ \ saciones suspendidas desde el restablecimiento del sistema El Sr. Lobato, fundado en que én la discusión del art. i.° constitucional, las que juzgaba el ministerio debian autori se habia dicho que los mongas no-habían tenido derecho zarse siempre que los contratos fuesen voluntarios. para adquirir mas bienes que los producidos por…</t>
  </si>
  <si>
    <t>…n ó la perturbación de la tranquilidad pública, se ca lificarán con la nota, de sediciosos, siguiéndose la misma NOTICIAS DEL REINO. graduación que en el artículo antecedente.” El Sr. Lobato pidió que después de las palabras tran Trebujena a a de Setiembre. quilidad pública se añadiera , sostenida y fundada en El 27 del pasado se colocó en esta villa la lápida de la usos y costumbres legales, honestas y justas, expresando Constitución, la cual po…</t>
  </si>
  <si>
    <t>…usar El Sr. Janer expuso que le parecía no ser necesaria la las personas á quienes las leyes conceden esta acción." eoncurrencia.de! fiscal con los síndicos del ayuntamiento, y Al Sr. Lobato le pareció que este artículo' era muy in pidió que en lugar de decir y los síndicos se dijese ó los compatible con la libertad de los ciudadanos, y opinó que síndicos. debía concederse facultad á todo español para quejarse de El Sr. Calatrava pidió también qu…</t>
  </si>
  <si>
    <t>…recibieron los premios que en los exámenes se pasó á votar , y no se aprob 5. cretos de los dias 17, 18 y 19 anteriores les habían sido No se admitió á di.cusion la siguiente del Sr. Lobato: adjudicados por los Sres.'D. Francisco Rico Cervantes, Don «Que siendo el impuesto del clero incompatible con el ac Cristóbal Romero Hidalgo y D. Pedro Martin del Castillo, tual sistema, pedia, según ei art. 8.“ y 339 de la Constitu censbr el primero, curado…</t>
  </si>
  <si>
    <t>…la comisión estas cinco indica acciones, según lo juzgue oportuno y permitiesen los fondos ciones. del erario , con el fin de disminuir los intereses y la pérdi Habiendo pedido el Sr. Lobato que se reformase la par da del honor de 30 por too. tida del débito del clero respecto al subsidio, por no deber 5.° «Y finalmente que las cantidades procedentes del nada realmente el clero, se promovió una discusión, sobre la empréstito se destinen exclusiva…</t>
  </si>
  <si>
    <t>…r base la contribución directa, pues era una modificación en los diezmos, procurando dotar compe •imposible en el estado actual hacer que su repartimiento tentemente al clero;” el Sr. Lobato dijo que desde las pri fuese justo, á causa de no estar formada la estadística; y meras discusiones sobre este punto en el mes de Julio se ha que nunca debía hacerse entrar la contribución directa co bia dedicado á buscar documentos en que apoyar el origen mo…</t>
  </si>
  <si>
    <t>…o precedía una resolución formal; y concluyó recomen mis principios. Reservando á los señores eclesiásticos con dando por todo lo que habia expuesto la necesidad de acor testar al Sr. Lobato sobre si los diezmos eran de institución dar ia modificación de que se trataba. divina, opinión que ya no era de estos tiempos, indicó sin El Sr. Moreno Guerra, como individuo de las comisio embargo que si hubieran sido de derecho divino, lo habría nes reunid…</t>
  </si>
  <si>
    <t>…en todas sus partes, puntos en que si se declaraba que habia lugar á la forman se aprobó la indicación. 1 clon de causa á los ex-diputados, era lo mismo que decir Se leyó esta del Sr. Lobato: «Cualesquiera que sean ¡as que se formara causa á media España, dejando á la otra resoluciones de las Cortes en el negocio de los 69 ex-dipu media con los ojos llenos de lágrimas. También se apoyó tados , pido que se deje su derecho á salvo.” en los egemplos…</t>
  </si>
  <si>
    <t>…ue se cómpone'Con igualdad y proporción'en - r.a «Qué se le puede permitir el úso de bandera extrart- tes votos.f’ ■- - ' •' ' ■’!' . : ! ■ ' gera como solici.ta. , . . Fundado el Sr. Lobato en los victos de que adolecía ¿b 2. a «Que en cuanto á los privilegios 2.d, 4.0 y 5.0 que repartímiénfó del subsidió,'opinó qúé ahteS dé aprobar el solicita, tienen las Cortes determinado en la ley de arance dictamen se debia reformar aquel con arregló á 'i*…</t>
  </si>
  <si>
    <t>…ta clase. juicio del Gobierno.” Al Gobierno se pasó otra exposición de los canónigos Continuando la discusión del art. ro, convino el señor de S. Isidro de León, presentada por el Sr. Lobato, para Martínez de la Rosa en la excepción del dinero efectivo que no se les comprenda en el decreto de reforma de re que proponía la comisión; pero creyendo necesario tomar, gulares. un medio entre la exclusión absoluta de los créditos con Habiendo manifestad…</t>
  </si>
  <si>
    <t>…con 15. «En la liquidación y expedición de nuevos docu cepto debía serlo el Barco por estar en el centro del partido. mentos se tendrán presentes las declaraciones siguientes: El Sr. Lobato manifestó que la posición del Barco no 1.a La deuda de capitales é intereses pertenecientes á los fera tan al centro que pudiese por solo esta ventaja prefe propios y pósitos de la monarquía se retendrán, y serín rírsele en vez de Piedrahita; pues estaba algo…</t>
  </si>
  <si>
    <t>…ón la repetición en los actos de elecciones , á los cuales no es segunda del art. i, añádase: conventos no suprimidos." i aplicable el artículo 374 de la Constitución.” Y otra del Sr. Lobato , pará que en la excepción que se lio que de Real orden- comunico á ■ V. pitra su inte hacia en el art. 15 de fundaciones pertenecientes á familias, ligencia y efectos convenientes. Madrid-to de Setiembre de se comprendiesen también las que éstan agregadas pe…</t>
  </si>
  <si>
    <t>…mo hasta hoy vendiendo al Gobierno exclusivamente la provincias de "Ultramar.” sal que fabriquen por los precios establecidos, o por los que Se m.andói agregar al acta un voto del Sr. Lobato, con concierten en adelante, y las que esten en ¡as costas en la trario á la indicación aprobada del Sr. Diaz del Moral, so libertad de vender al extrangero , pagando los derechos es bre que se hiciese extensiva A la muger é hijos de D. Pablo tablecidos.” ~ L…</t>
  </si>
  <si>
    <t>Loclásica</t>
  </si>
  <si>
    <t>…astilla, por D. Gaspar de Jovellanos : nueva edición: un tomo en 4.^ , que para facilitar la lectura de esta obra , verdaderamente Se mandil pasar á la comisión una indicación del Sr. Loclásica, publica la sociedad. Se hallará en la librería de Calleja á renzana , apoyada por el Sr. conde de Toreno , concebida 14 rs. en rústica. en estos términos: «Que á las últimas palabras créditos con- Informe de la universidad de Salamanca sobre plan de estu soU…</t>
  </si>
  <si>
    <t>Lodares, Rafael</t>
  </si>
  <si>
    <t>Rafael Lodares</t>
  </si>
  <si>
    <t>…l tercio concluido en Agosto en los dias 1.“ Leída y aprobada el acta del dia anterior , entró á ju y 2 de Octubre; y que los contadores rehusaban recibirlos rar y tomó asiento el Sr. D. Rafael Lodares, diputado su con el descuento acordado por las Cortes, por haber con plente por Cuenca. cluido el término fijado. La diputación manifestaba también El Sr. Lagrava presentó una e-xposicion de varios cape que este retraso habia provenido de la conducción , y no…</t>
  </si>
  <si>
    <t>Lodespués</t>
  </si>
  <si>
    <t>…ués de mo drían suprimirse las palabras curados, y la última ordina nacales se añadiera «de uno y otro sexo," y la otra para que ria ; pero habiendo hecho algunas observaciones el Sr. Lodespués de esta cláusula se pusiera «y los colegios.” renznna, con respecto á la primera, y con respecto á la se Se leyó la indicación siguiente de! Sr. Romero Alpuen- gunda los Sres. Cepero, Gareli y Carrasco, se aprobó el ar te: «Entre los monacales y conventos sup…</t>
  </si>
  <si>
    <t>Loe, Jacinto Oaona- y</t>
  </si>
  <si>
    <t>Jacinto Oaona- y Loe</t>
  </si>
  <si>
    <t>…ratos. , •• *. / • V ■ ’ .' . Por providencia del Sr. D. Josef Martínez Moscoso, juez letrado én primera íns‘taritíÉMé esta muy heroica villa, refrendada de su escribano de número D. Jacinto Oaona- y Loe ches, se .ha señalado para el remate en venta ó en rentade unas casas en la'Vjlla de Pinto, sitas eñ su cálle que llaman de los Albañales; tasadas eá - l^s mismas, valuados en 78,654 rs., y4Üi renta 1100 41. amtáiéf: dos palomares eri 38,864 rs., y en renta 5…</t>
  </si>
  <si>
    <t>Loeches, Jacinto Gaona y</t>
  </si>
  <si>
    <t>Jacinto Gaona y Loeches</t>
  </si>
  <si>
    <t>…os. ■ ' '■■■'' '"■■■■■' N'I/'F ■ ■ ■■ ' En virtud de providencia del Sr. D. Manuel Josef Rubio, del Consejo de S. y teniente de corregidor de esta muy heroica villa, refrendada de D. Jacinto Gaona y Loeches, se ha señalado para una junta general de acreedores á los bienes de Don Manuel Antonio Solana el día id de Enero próximo en casa de S. S. y hora de las 9 de su mañana. Lo que se hace saber á los citados acreedores por medio de este anun cio; en la inteligenc…</t>
  </si>
  <si>
    <t>…y comisionado por S. M para entender en los autos de testamentaría de la Excma. Sra. Doña María de la Soledad Rodríguez de los Ríos, marquesa que fue de Santiago , refrendada por D. Jacinto Gaona y Loeches, escribano del número de la misma, se ha señalado el dia 30 del corriente, y hora de las 9 de su mañana, en su posada para la celebración de una junta general de los interesados á los bienes quedados por fallecimiento-de dicha Excma. Sra. Lo que se anuncia y…</t>
  </si>
  <si>
    <t>….— Por providencia del Sr. D. Angel Fernandez de los Ríos, del Consejo de S. M., y teniente primero de corregidor de esta muy heroica villa, refrendada de su escri bano del número D. Jacinto Gaona y Loeches, se ha mandado sacar á pública su* basta por término de 10 días una pasa sita en esta corte, y su, calle de la Concep ción Gerónima, núm. 14, njanz, ióp, qqe tiene de sitior,367o píes cuadrados super ficiales, valuada en 284,312 rs.vn., que t«nta *n la actual…</t>
  </si>
  <si>
    <t>…idencia, de J Sr. E). Angel. Fernandez ^¿ l°s .Ríos, del.Consejo de $. M.# if teniente, primero de cprrfgidor.de esta ¿muy, heroica villa, refrendada ¡de su escri* baño dei mímero D. Jacinto Gaona y Loeches, se ha m&amp;ndado sacar á publica subas* •t« T por térra ano4c-nueve dias, las tierra* y. vinas siguientes; juna tieira de fanega y</t>
  </si>
  <si>
    <t>Loeches, Jacinto Gaonu y</t>
  </si>
  <si>
    <t>Jacinto Gaonu y Loeches</t>
  </si>
  <si>
    <t>…rados por intentados, mediante 72 l letrado en primera instancia de esta M. H. villa, refrendada de la falta de presentación de los demandados............. su escribano del número D. Jacinto Gaonu y Loeches, se ha 170 Id. de menor cuantía no contestados............... 6&gt; mandado citar, llamar y emplazar, como por el presente se Id. de matrimonios no conformes é injurias I1 cita, llama y emplaza á D. Josef Crozat, D. Segismundo Mo 23J rro, IX Juan Bautista Codevi…</t>
  </si>
  <si>
    <t>Loeches, Jacinto Oaona y</t>
  </si>
  <si>
    <t>Jacinto Oaona y Loeches</t>
  </si>
  <si>
    <t>…d de Nájera , fecha 14 del.presente, cumplimentado por el Sr. D. Angel Fernandez de los R ¡os, del Consejo de'S. M., y teniente primero de corregidor, ante su escribano del número D. Jacinto Oaona y Loeches,se cita, llama y emplaza por este periódico i Doña Josefa del Berro, vecina que ha sido de está corte, sus hijos, herederos y de más personas que se consideren tener derechoá varias tierras y un censo, sitas en tér mino de dicha ciudad, y otros pueblos que tu…</t>
  </si>
  <si>
    <t>Loec’hes, Jacinto Gaona y</t>
  </si>
  <si>
    <t>Jacinto Gaona y Loec’hes</t>
  </si>
  <si>
    <t>…Fernandez -Gamboa', juez letrado etv primera instancia de esta muy heroica villa, y hora de las doce en punto.rrljgúáU mente por el mismo señor juez, ante el escribano del número. D. Jacinto Gaona y Loec’hes, sé ha señalado para el remate de las tierras y' viñas'sitas en término del lu gar de Fuencarral, anunciadas en el diario de i.° del corriente, el dia 7 de Abril próximo iensücitada audiencia y hora de las 12 y media. • J Nuevaegércicio cotidiano del cristian…</t>
  </si>
  <si>
    <t>Loizaga</t>
  </si>
  <si>
    <t>…iencias naturales del cantón de Vaud, esta sesión ; y se mandó hacer mención de el en el acra. en la Suiza, leyó poco tiempo hace su individuo Mr. Per— Se leyó una proposición del Sr. Loizaga, para que se ret, doctor en medicina, las observaciones que ha he examine y arregle la deuda de las provincias vascongadas^ cho sobre la acción febrífuga de la raíz de llantén (plan uniformándolas con el sistema general, y cesando los im tado 'majar, minor et…</t>
  </si>
  <si>
    <t>…roporcionan la subsistencia de va cualquiera de los departamentos de cnanto se considere útil rios pueblo- de España. en ia teórica y práctica de la navegación y maniobra?, uso El Sr. Loizaga, que la comisión de Agricultura compren de todas armas, y determinado número de compañías de dió solamente al trigo , pues de otro modo no pudiera ha mar efectivas? ber fijado el precio de Po reales, que seria una prohibición, Oficiales de la armada. 3.0 ;Qué…</t>
  </si>
  <si>
    <t>…uar infinitos rasgos que demuestran el espíritu público de es exigiendo el referido derecho. tos países, indicaremos solamente la función que celebró Ja Con este motivo reclamó el Sr. Loizaga las proposicio villa de Pasages cuando colocó la lápida en la plaza de la nes que tenia hechas, leídas en la sesión de 22 de Julio, re Constitución. lativas al asunto de la representación precedente; las que se Este acio sencillo se egecutó con todas las cere…</t>
  </si>
  <si>
    <t>…ovincias vas ben dirigirse semejantes consultas, ya por el mal totume congadas con las demas de la Península.” sentido de las expresiones que contiene.” La que no fue Manifestó el Sr. Loizaga las causas que le habían obliga admitida á discusión. do á presentar estas proposiciones, siendo de las principales Otra del Sr. Rodríguez de Ledesma: «que se pase el ex el deseo de uniformar aquellas provincias con las restantes pediente al Gobierno para que…</t>
  </si>
  <si>
    <t>…ulidad de fundación. En estos daron unir otras dos; una del Sr. Dolarea con arreglo 4 ios casos los poseedores, ni los que les sucedan, no podrán dis fueros de Navarra, y otra del Sr. Loizaga con respecto á. las poner de los bienes corno libres hasta que en última ins leyes de Vizcaya; y el Sr. Calatrava dijo qnq ¡a comisión tancia se determinen á su favor los juicios pendientes, los tendría mucho gusto en que asistieran á ella los autores. cuales…</t>
  </si>
  <si>
    <t>…le los mayores elogios por el decreto de reforma de que las hará examinar y juzgar por quien corresponda, ó regulares. directamente á las Cortes, conforme al art. 333 de la mis El Sr. Loizaga llamó la atención , exponiendo que aca ma Constitución.” baba de recibir por extraordinario una representación de la Decía el 36: diputación provincial de Vizcaya, y otra firmada por 70c. 36. «Las Cortes en este último caso harán efectiva la res propietarios…</t>
  </si>
  <si>
    <t>Lombardo, Pedro</t>
  </si>
  <si>
    <t>Pedro Lombardo</t>
  </si>
  <si>
    <t>…ción, nú lidad en el cumplimiento de todo lo prevenido, que no mero 311,404. Al Banco nacional de S. Carlos, por endoso de podrá demorarse bajo el mas especioso pretexto sin el ma D. Pedro Lombardo, por otro de la misma cantidad y creación, yor desagrado de S. M.” número 275,518. A £&gt;. Pedro Rodas, como tenedor de otros De Real orden lo traslado á V. para que comunique cuatro vales reales, también de 150 pesos de la citada creación las oportunas á los a…</t>
  </si>
  <si>
    <t>Londres, Hllenbourough</t>
  </si>
  <si>
    <t>Hllenbourough Londres</t>
  </si>
  <si>
    <t>…uedar en el bilí, no puedo votar por su tercera lectura, y me retiro. INGLATERRA. Otros varíes señores contornaron hablando unos en pro v otros en contra del bilí', entre ellos el lord Hllenbourough Londres 12 de Noviembre. votó contra él (por la? razones políticas y con-rítucicnaLs que va tenia expuesta ) , á pesar de e?tar convencido de que CAMARA DT- LOS LORES-----Sesión del IO. la Reina era culpada. A la una y 23 minutos mandaron El conde Liverpool propuso q…</t>
  </si>
  <si>
    <t>Londres, Josef</t>
  </si>
  <si>
    <t>Josef Londres</t>
  </si>
  <si>
    <t>…jo de 1830. sub-inspectores á los coroneles D. Francisco Mendizabal y Paris......... .................................................. 15 9 D. Anastasio de Arango, y á coronel al teniente D. Josef Londres...................................................... 35? 36 Navarro. Amsterdam................................................. 99 Hamburgo................................................... 91 Cádiz...........................................................…</t>
  </si>
  <si>
    <t>Long</t>
  </si>
  <si>
    <t>…retirarse al lado de acá de la línea, y á dejar allá , como ellos se ex presan, el fruto de su industria y las esperanzas de sus familias. Se confirma la noticia de que el llamado general Long se había ido con Lafite á Calvez ton, sin atreverse á volver por el camino que llevo. Finalmente, por haber tenida tan desastrado éxito la decantada invasión, declaman ahora contra aquella ca terva de foragidos , llamándolos inútiles é indignos, y que por est…</t>
  </si>
  <si>
    <t>Lope</t>
  </si>
  <si>
    <t>…o en la gaceta. -• 1 Cortés suspender la provisión de prebendas , ha provisto las El Sr. Sánchez Salvador vesiijtiendose de que se hubie de que hace mérito en su memoria. Otra del Sr. Lope2 sen puesto bajo su nombre aquellas expresiones, y deseando (D. Marcial), para que se establezcan jueces de hecho. Otra que no apareciesen con tacha en la opinión publica, pidió del Sr. Moscoso , dividida, en ochó .artículos, relativa á la que al efecto se hi…</t>
  </si>
  <si>
    <t>Lopej, Ramón</t>
  </si>
  <si>
    <t>Ramón Lopej</t>
  </si>
  <si>
    <t>…g, D. Francisco López Lisperguer, D. Francisco Ibañez Leí va, Pon Manuel Antonio de la Bodega y Mollínedo, D. Jaime Alvaaez Mendieta, D. Andrés Oller , D. Diego. María Vadillos, y D. Ramón Lopej? Pelegrin , fis cal ; y no siendo, posible hasta la próxima reunión de l^jCortes prestar en ellas el juramento conforme á lo prevenido en dicho decreto de 17 de Abril del año de 1812, lo egecutaran interinamente todos los referidos magistrados en manos dd dec…</t>
  </si>
  <si>
    <t>López</t>
  </si>
  <si>
    <t>…eldos asignados á ellos, previ S. M. ha despachado hoy con el Sr.. Secretario del niendo que fuesen preferidos los militares que acreditasen sus Despacho de la Guerra. méritos. El Sr. López (D. Marcial) hizo otra proposición con Se lian recibido periódicos extrangeros, cuyas noticias objeto de perpetuar el dia 9 de Julio de 1820, reducida á alcanzan , de Londres hasta el 26 de Junio, y de París has erigir una estatua pedestre del Rey , con la Co…</t>
  </si>
  <si>
    <t>…e la libertad de Mr. Thierney tomó la defensa de sir F. Burdett, y pi imprenta, sobre la que no recayó resolución. dió que se reuniese la Cámara al dia siguiente ; y habiéndose El Sr. López (l5. Marcial), recordando la proposición procedido á la votación , resultaron 9t votos á favbr'de la que hizo en'la sesión de a/er para que diesen satisfacción propuesta de Mr. Wilberforce, y 124 contra ella! desde la barra los que es enhilen del Congreso con…</t>
  </si>
  <si>
    <t>…or la cultura dé- fa' cien reducirle á lo indispensable para la defensa de los reos.. cias y de laS letras; pero el primer colegio,' destinado á Al mismo tiempo Hizo mérito el Sr. secretario López formal buenos profesores, rio sé estableció" luf-ta, 'I791' de otras dos proposiciones relativas á este mismo objeto; cerca de Copenhague, y bajo el reinado dé'Crbuano -vn, una del Sr. O-Daly etf estos términos: »que se pregun y fue el modelo de otros muchos…</t>
  </si>
  <si>
    <t>…Felipe), Lorenzana, Navas, Ro gran Duquesa de Lúea, y A la descendencia de ambos, de mero Alpuente y Florez Estrada. rogan la referida exclusión, y decretan: que sin embargo dé El Sr. López (D. Marcial) observó que solo se hacia ella, los Señores Infantes Don Francisco de Paula y Doña mérito en el voto particular de los egércúos de S. Fernando María Luí:a con sus respectivos descendientes legítimos.su y Galicia, cuando Jas proposiciones del Sr.…</t>
  </si>
  <si>
    <t>…ta la de su provincia respectiva; y para ha explicara la Constitución con el derecho natural; y ha cer los que falten de esta última clase permitirles á las mis biendo mostrado el Sr. López ( D. Marcial) la diferencia mas diputaciones que de acuerdo con los ayuntamientos de un derecho natural y otro público, y que para la Cons traten de abrir los que les competan , aprovechándose de las titución era poco en su concepto un ano, se aprobó el ar co…</t>
  </si>
  <si>
    <t>…que pueda marchar sin inconvenientes la adminis ba por Real orden de 24 de Diciembre del año último; y tración de justicia. que habiéndose mandado en Mayo de este año que no se El Sr. López (D. Marcial) dijo que las mismas recla pagasen derechos por los frutos que se embarcasen en buques maciones hechas por la provincia de Sevilla podrían hacer españoles, pagando en caso de ser en extrangeros los an otras, por egemplo, la de Aragón, y que asi se…</t>
  </si>
  <si>
    <t>…to promovió una discusión acalorada, Burgos. en que muchos Sres. diputados apoyaban la indicación del El Sr. Moreno Gucrta leyó un informe de las comisio Sr. conde de Toreno; y el Sr. López ( D. Marcial) dió la nes reunidas de Agricultura y Comercio sobre su proyecto misma indicación por escrito, que no fue admitida por ser acerca de exportación é importación de granos. En él ha propia del Sr. Toreno , quien la escribió en estos términos; cen ve…</t>
  </si>
  <si>
    <t>…siones reunidas de Agricul creta. tura y Comercio sobre su proyecto de extracción é introducción Se leyó la lista de los expedientes que existen en la se de granos, se dijo que el Sr. López (D. Marcial) habia hecho cretaría para dar cuenta á las Cortes; y habiéndose aproba por escrito la misma indicación que el Sr. conde de Toreno, y do después la indicación del Sr. Martínez de la Rosa , sobre que por lo mismo no habia sido admitida; en loque hu…</t>
  </si>
  <si>
    <t>…ad reconocida por el Gobier efeciivamente se leyeron. no, 6 por individuos partic lares. Decía el Sr. Ochoa q é no creia futre cite un proyecto’ Se leyó también una indicación del Sr. López (D¿ Mar de ley; pero el Sr. Florez Estrada le hizo ver que si. y cial ) para que en atención al urgente remedio que exige ist convencidos ya todo- de e to , se trató solamente de resol multitud de malhechores que infesta la Penín ula , se excita ver si esra m…</t>
  </si>
  <si>
    <t>…lase , y todos cooperasen ál bien y tranquilidad de Las Cortes oyeron con particular satisfacción la noticia la patria. comunicada por el ministerio de la Gobernación de que el £1 Sr. López (D. Marcial), refiriendo varios robo? , y</t>
  </si>
  <si>
    <t>…tana, contrario al nom- Se leyó una adición del Sr. Cañedo para que el estable ramiento hecho por las Cortes para vocales de la junta de cimiento de jueces de hecho, pedido por el Sr. López (Don Censura de Cataluña. Marcial), en proposición hecha anteriormente, se extienda Se leyó la lista de los individuos nombrados para la co al juicio previo de si ha lugar á la formación de causa. misión extraordinaria de Legislación, acordada ayer á pro Se l…</t>
  </si>
  <si>
    <t>…e tener los sugetos que se nombren para el cargo de A la de Infracciones una exporicion de dos oficiales de jurados. inválidos, quejándose de que habiéndoseles arrestado, no se El Sr. López se extendió en probar las ven ajas que re les toma declaración. * sultarán á la Nación de estos jueces de hecho, que es el ba Al Gobierno una representación 'de varios ciudadanos de luarte de la libertad individual, y q -e con es o se logrará Segovia, reclamá…</t>
  </si>
  <si>
    <t>…quirido mayor número de prensas ; y por fin Madrid una silla episcopal.” La que se mand í pasar á ,1a se aprobó que se imprimiese por separado. comisión Eclesiástica, con otra del Sr. López (D. Marcial), Se mand í puar á la comisión de Premios la so icitud en que reclamó Un expediente sobre el minino asunto rela de Doña Rosa Zamora, viuda de D. N. Plaza, oficial del, tivo áDarocá. ' . regimiento de Húsares francos de Galicia, muerto en. I3 Se ap…</t>
  </si>
  <si>
    <t>…iscusión á que se imprimiera en el Diario de Cortes. numento en la plaza de las Cortes, y robre esto hizo otra Leyó también por primera vez el Sr. Calatrava et pro» proposición el Sr. López (D. Marcial.), creyó la comi: ion yecto de ley, con las reflexiones previas que habia creído oportuno remitir ambos pensamientos á la academia de San oportunas la comisión primera de Legislación, sobre la res Fernando , la cual creta que para poner en movimie…</t>
  </si>
  <si>
    <t>…te voluntarias, ó por capricho de pudieran librar cuando conviniese á otras personas. parte de algunos jueces, se declara que los que las pronun Se admitieron dos indicaciones del Sr. López (D. Mar cien y sostengan contra la ley expresa y terminante, in cial ), una para que jamas se cargue á los pueblos la manu curren en la pena señalada por el artículo 7 de Ja ley de tención de los reos apresados, y seg inda que las costas de responsabilidad de…</t>
  </si>
  <si>
    <t>…ro Fuertes Marzo para que eí general Elío permaneciese en la ciudadela de aquella plaza hasta la reunión de Corres, y la otra de sobre el ramo de salitres. Con este motivo hizo el Sr. López (D. Marcial) las in 1; de Mayo para que se los detuviera en los conventos á los 69 ex-diputados que firmaron la representación del año dicaciones siguientes: i.a «Que no se permita la introducción en España de . 8r4; y en caso de que estas no se hallaran en e…</t>
  </si>
  <si>
    <t>…la subsistencia de Se autorizó al Gobierno, á consecuencia de oficio remi la nobleza. tido por el ministerio de la Gobernación, apoyado por los Apoyó el dictamen de la comisión el Sr. López (Don Sres. conde de Montenegro y Moragues, para que usase de Marcial), fundado principalmente en que conviniendo to los fondos de espolios, pío y del indulto cuadragesimal, dos'en ser injustos los mavorazgos, si habían de proceder .con el tin de atender á los…</t>
  </si>
  <si>
    <t>…aprobaron sin discusión los siguientes hasta el artículo elección de un regidor en lugar de D. Agustín Goicoechea. 38 , al que hizo el Sr. Rovira la adición «después de recibi El Sr. López (D. Marcial) presentó dos exposiciones do su reemplazoy siguieron aprobándose los demas hasta de la diputación provincial de Aragón: una sobre la nece el 44, que después de algunas objeciones de los Sres. Diaz sidad y medios de componer los caminos de la prov…</t>
  </si>
  <si>
    <t>…no 1»Excmo. Sr.: Por el adjunto oficio, que me ha sido en apoyar el voto particular de algunos de los de ia comisión. tregado por el comandante y demas individuos de la guardia £1 Sr. López ( D. Marcial), que apoyó el dictamen de nacional local de esta ciudad, se posesionará V. E. de la la comiñón en su primera parte, dijo después que consul certeza de sus sentimientos, y de la confianza con que con tando el voto general de la Nación , se veia o…</t>
  </si>
  <si>
    <t>…conómico Real mano. = Palacio 23 de Setiembre de 1820. = A Don á ¡a dísposicto/i y orden del metropolitano de Manila. Juan Jabat.” Se mandó pasar á la comisión otra indicación del señor López ( D. Marcial ) para que las Cortes declarasen excep El Rey , en consideración á los distinguidos méritos, tuados á los escolapios de lo prevenido en el art. 9, ofre señalados servicios y probada adhesión al sistema constitu ciéndose el autor á dar las aclarac…</t>
  </si>
  <si>
    <t>…les que se impriman en parada. Yo repetiré la contestación que dió el Sr. Moreno las respectivas provincias, bajo la pena de cinco ducados por Guerra cuando hizo la proposición el Sr. López, sobre que cada contravención.” se introdujese en nuestra legislación el juicio de jurados: «esa El Sr. Priego manifestó la casi absoluta imposibilidad Nación en que apenas se sabe leer es la que nos ha enviado de que uno solo revirase todos los papeles, pues…</t>
  </si>
  <si>
    <t>…discusión entre los Sres. Ezpeleta, y Martínez de la Rosa sobre si la pena de prisión era ó no Estrada y Martínez de la Rosa sobre si era poca ó mucha verdaderamente corporal. El Sr. López (D. Marcial ) extra la pena impuesta al contraventor j pero al lin quedó aproba ñó que en este artículo se mandase prender por los impre do el artículo sin variación. sos denunciados como subversivos, sediciosos é incitadores No se admitieron á discusión las…</t>
  </si>
  <si>
    <t>…u sar la lista de jurados que no tenga la mitad del número ANUNCIOS. Por providencia del Sr. D. Julián de Sojo, juez de primera que sea también de extrangeros.” Y otra adición del Sr. López (D. Marcial) al art. 41: instancia de esta muy heroica villa , refrendada del' escribanoD. Santiago Manuel de Albóniga , se ha señalado el dia z 1 del «Que el ciudadano que no se encontrase en el caso preve presente mes en la audiencia de dicho señor, á las 9…</t>
  </si>
  <si>
    <t>…bla mas recursos para cubrirle que, r.° economía en las que tenían, contra lo dispuesto por las Cortes y el Gobierno. gastos: 2.0 aumento de contribución; y 3.0 empréstito. El Sr. secretario López manifestó que habia otra expo En cuanto al i.” decía que el Congreso habia adoptado ya sición sobre el mismo asunto hecha por un vecino de Za las reformas convenientes. En cuanto al 2.“ seri3 perjudi mora , y propuso que pasasen á la comisión de Reforma de ci…</t>
  </si>
  <si>
    <t>…altaría á la divino, y que por lo tanto no podian suprimirse ni modi justicia, haciendo pagar á los vecinos de los pueblos por lo ficarse. que consumían los forasteros. Recordó el Sr. López (D. Marcial) que cuando se pre El Sr. Cavaleri manifestó que las observaciones del se sentó en el mes de Julio la proposición sobre diezmos fue ñor preopinante no eran del momento, y que supuesto que el primero que se opuso á que se admitiese á discusión; por…</t>
  </si>
  <si>
    <t>…e todos los de los demás cuerpos políti consejeros actuales, y otra si aun en este caso deberían ha cos existentes. cerse algunas excepciones, con arreglo á la conducta particu El Sr. López (D. Marcial) tomó la palabra para apoyar lar de cada uno;y apoyando la primera, dijo que las Corel dictamen de la mayoría de la comisión, manifestando .tes extraordinarias nombraron consejeros en propiedad, y que Jos consejeros actuales lo eran en propiedad p…</t>
  </si>
  <si>
    <t>…e buena moral ,'y otro político en privada.” ... qne se expongan del mismo modo los derechos y obligacio Igualmente se pasó á la comisión la siguiente indicación nes civiles.” del Sr. López (D. Marcial): El Sr. Romero Alpuente dijo que su contexto y espí «Pido que se establezcan escuelas normales en todas las ritu se oponían á la Constitución, pues proponia que se adop provincias.” tase un catecismo religioso y otro político, mientras que la Asi…</t>
  </si>
  <si>
    <t>…el hecho. 2." Si la urgencia ó do, expresados en una exposición dirigida al Congreso. la complicación de circunstancias impidieren que se pueda Se leyó la siguiente indicación del Sr. López ( D. Mar verificar la información sumaria del hecho, que debe cial): »Que las Cortes declaren que los pueblos que antes de siempre preceder, ó el mandamiento del juez por escrito, espirar el término perentorio para pagar las dos terceras que debe notificarse…</t>
  </si>
  <si>
    <t>…el Estado anteriores al año de 1814, puente y Sancho se aprobó el 4.0, que decia: cualesquiera que fuese su procedencia. : 4.0 »»Se autoriza al Gobierno para que en caso de una El Sr. López (D. Marcial), después de hacer presente la absoluta imposibilidad de cubrir las atenciones indispensa demora que habían experimentado en sus liquidaciones mu bles del servicio militar con la fuerza á que queda reducido chos alcaldes y ayuntamientos, cuando ha…</t>
  </si>
  <si>
    <t>…canongías de la iglesia de S. Isidro que permíta sostener el dirige á las Cortes. Este es el discurso, y yo tengo el ho estado actual de sus rentas.” nor de presentarle.” Otra del Sr. López (D. Marcial), concebida en estos Entregado el discurso por el Sr. ministro al Sr. presi términos: dente, le leyó este de un modo que se dejó percibir coa «Pido que por la comisión Eclesiástica se tome en con entera claridad por todo el concurso. { Véase el di…</t>
  </si>
  <si>
    <t>López, Alonso y</t>
  </si>
  <si>
    <t>Alonso y López</t>
  </si>
  <si>
    <t>…o los im tado 'majar, minor et lalifolta de Linneo). Le parece puestos extraordinarios que en ellas se cobran. que esta raíz puede emplearse en la curación de las fiebres Otra del Sr. Alonso y López , dirigida á fomentar los intermitentes ; y excita á los médicos á repetir observaciones, matrimonios en vísta de la decadencia de ia población. cuyo rebultado, siendo feliz, enriquecería la farmacia con A la comisión de Agricultura se pasó una memoria de un…</t>
  </si>
  <si>
    <t>379sistema sobre el gobierno de esta formado por D. Antonio ñor presidente al Sr. Alonso y López. Salas, alcalde constitucional de la plaza de Ceuta, presen Se leyó y mandó agregar al acta ún voto particular fir tado por el Sr. Odali. mado por los Sres. Clemente, Michelena, Moya, Pierola, Igualmente se mandaron pasar' á las comisiones respec Sandino, Can…</t>
  </si>
  <si>
    <t>López, Eusebio</t>
  </si>
  <si>
    <t>Eusebio López</t>
  </si>
  <si>
    <t>…a, y que se haga llevar y pagan los hospitales. á efecto el decreto de ó de Agosto de 1811. Se dio cuenta del dictamen déla comí-ion de Hacienda, A la de Premios i na instancia de D. Eusebio López, que opinaba podría aprobarse el presupuesto de la Goberna solicbando ciertas asignaciones para los hijos de su hermano ción de Ultramar presentado por el ministro del ramo, que D. Sinforiarto, muerto ignominiosamente en la Coruña por ascendía á 1.368,23, rea…</t>
  </si>
  <si>
    <t>López, Francisco</t>
  </si>
  <si>
    <t>Francisco López</t>
  </si>
  <si>
    <t>…y cabildo de la cole gial de Baza. 800. Núm. 734. El limo. Sr. obispo’de Solsona 1®. Núm. 73$. El limo. Sr. obispo prior y cabildo.de la Real casaideS.Márcos de León 24^ Núm. 736. D. Francisco López, dueño de la máquina de figuras movibles en la corredera de S. Pablo, por el producto de una función que dió en benefi cio de los pueblos contagiados, 462 rs. y 30 mfs^ Núm. 737. El limo, señor deán y cabildo de la catedral de Solsona 500. Núm. 738.' Di N. 20…</t>
  </si>
  <si>
    <t>…el fiscal general. Se le de repetidos vivas v aclamaciones. El arcipreste del sagrario preguntó sí alguna vez se habia echado en cara su in de la santa iglesia catedral de Malaga D. Francisco López gratitud h’.cia una Princesa tan generosa: el fiscal getteral les hizo un bello discuno análogo a las circunstancia». se omiso á que respondiese. porque se queria por este medio Madrid 4 de Octubre. averiguar la existencia de un documento escrito. Mr. Broughn…</t>
  </si>
  <si>
    <t>López, Isidro</t>
  </si>
  <si>
    <t>Isidro López</t>
  </si>
  <si>
    <t>…Anto nio Zumaíacarregui , ;D.. Juan Palárea, D. Eugenio de Tapia , D. Josef Ma ría Calatrava.,, D. .Vicente Sancho v D^Eugenio A rrieta, D. Ramón Trujillo. Pattido de Fuencarral. D. Isidro López, presbítero. Idem de Getafei D. Crisáuto Josef García Maroto, oura párroco de Idem de Valdemoro, D. Francisco. Herrero y Blanco. Idem de Valdemortilo, D. Juan Orduña y Angel. ■ „ - Dé Chinchón» pD.^ban Bautista Garrasco. j De Navalcarnero.^ 'D’. Ignacio Olart…</t>
  </si>
  <si>
    <t>López, Juan</t>
  </si>
  <si>
    <t>Juan López</t>
  </si>
  <si>
    <t>…ación provincial de Murcia, ■—Asimismo en dicha librería se halla de venta el Mapa general en solicitud de una declaración para que los electores de de la Península de España, por D. Juan López, que puede servir parroquia y partido prestasen el juramento á ia Constitución - liara la inteligencia de esta historia, y deberá.colocarse al fin de antes de comenzar á egcfcer sus funciones ¿I é-indicando ■ éste tomo 16. MADRID EN LA IMPRENTA NACIONAL.</t>
  </si>
  <si>
    <t>López, Juan Jacinto</t>
  </si>
  <si>
    <t>Juan Jacinto López</t>
  </si>
  <si>
    <t>…ianza pública. De Real orden lo comu nico á V. para su mas exacto cumplimiento. Madrid 2 de, Junio de 1820,’* PorReal decreto de 19 del corriente se ha dignado el Rey reintegrar á D. Juan Jacinto López en la plaza de ofi&amp;al tercero de la secretaría del tri bunal éspeciaí.de Guerra y Marina que obtenía en el año de 1814, nombrán dole al mismo tiempo su secretario con egercicio de decret os. Deseoso S Mi de que se dé una nueva forma al comercio de Ultramar, p…</t>
  </si>
  <si>
    <t>López, Juana Lozano y Doña.Josefa</t>
  </si>
  <si>
    <t>Juana Lozano y Doña.Josefa López</t>
  </si>
  <si>
    <t>…la tribuna, se imprimieron particularmente por el autor. comisionado principal del Crédito público en.Cádiz D. N. BminEn esre orden cronológico de escritos sobre tan importan za, Doña Juana Lozano y Doña.Josefa López, tenedores que tes y diversas materias, enlazadas por medio de sumarios igualmente han sido de otro vale Real de 150 pesos de la mis bien hechos, hay discursos que admirados por los contein- ma creación que el anterior, mím. 15,668 , que asimismo sa ponneos,…</t>
  </si>
  <si>
    <t>López, Julián</t>
  </si>
  <si>
    <t>Julián López</t>
  </si>
  <si>
    <t>…, y las Ledesma, concebida en estos términos: «Que se añada pro otras dos de D. Francisco Rejas, vecino de Carmona, y poniendo el Gobierno los arbitrios que fueren necesarios para D. Julián López , de Torrejon de Velasco , pidiendo licencia las obras.” para administra r sus bienes. Fue aprobada la de los Sres. Vadillo y Cortés, dirigida A la de Hacienda y Guerra una exposición del Gefe á que el Gobierno diese las órdenes correspondientes á los pblític…</t>
  </si>
  <si>
    <t>López, Manuel</t>
  </si>
  <si>
    <t>Manuel López</t>
  </si>
  <si>
    <t>…pasado dél Sr D. Joséf Martincz Moscoso, magistrado honorario de la au diencia de Castilla la Nueva, juez •letrádq-‘de primera -instancia., refrendada del esciü* baño de provincia D. Manuel López de-fRjvas, ve ha acordado convocar á junta ge neral de todos los acreedores é interesados á la Tesramefltafría Sr.JDJLuis Melcudez</t>
  </si>
  <si>
    <t>López, Meliton</t>
  </si>
  <si>
    <t>Meliton López</t>
  </si>
  <si>
    <t>…onio de Sta. María del 23,994', 23,999 y 24,008: D. Manuel Velasco d-el 24,016: D. Ignacio Gi- ventaja se confederaron con otras muchas tribus contra los rona del 24,022 y 55,193= D. Meliton López del 32,523, delawares. En medio de esta contienda se aparecieron los 33,S2bí, 3JÓ4-’ , 32"&gt;545 * 32-55D ¡?2»S53 &gt; 32-556» iD»5^» franceses en el Canadá, y la confederación volvió al ins 32&gt;5tí4, 32.ñ66, 32,569 y 32,584: L-. Gabriel Canais del tante sus armas…</t>
  </si>
  <si>
    <t>López, Miguel</t>
  </si>
  <si>
    <t>Miguel López</t>
  </si>
  <si>
    <t>…o (Giace), término de la nosa ; y gobernadores de las plazas de Malaga y Sanlúcar de navegación de Cook, 800 millas geográficas. Si se atiende Barraineda á los mariscales de campo D. Miguel López á que el teniente Kotzebué penetró por el lado del Este en Baños y D. Felipe Arco Agüero. un estrecho hasta los 15Q Oeste de longitud de Greensxrich, Igualmente se ha servido S. M. conceder los honores y á que los naturales le aseguraron que mas adelante ha d…</t>
  </si>
  <si>
    <t>López, Pablo</t>
  </si>
  <si>
    <t>Pablo López</t>
  </si>
  <si>
    <t>…mo5.’* ue viniera el suplente de la provincia de Cuenca en lugar Se leyó el dictamen de la comhion de Premios Jado en d difunto D. Antonio Ctiar ero. ví«ta de la representación de D. Pablo López , conocido co Se leyeron cuatro minutas de decretos que deben pasar munmente con el nombre del Coja de Malaga, en el que</t>
  </si>
  <si>
    <t>…los que graduasen el mérito comunicado á la junta del Crédito público la resolución de conrraido en él, como los únicos que podian conocer la las Cortes acerca de la recompensa de D. Pablo López, co clase de riesgos y circunstancias particulares de dicho en nocido por el Cojo de Málaga , había contestado qué no es cargo, á las cuales debía ser relativo el valor de aquel ser taba en sus facultades verificarlo, porque sus fondos estaban vicio. destinad…</t>
  </si>
  <si>
    <t>…stin de Arias v: D. Francisco Cos, vecinos de Bar en-Málaga y tincas que produjesen 82» rs. de renta anual celona, y del colegio de cirugía-médica de S. Carlos de esta en favor de D. Pablo López, conocido por el Cojo de corte. La comisión , en vista de estas representaciones, de Al ilaca ; y habiéndose señalado por el Gobierno los fondos las ordenanzas de aquel establecimiento y del espíritu de la del Crédito publico, la junta nacional de este establ…</t>
  </si>
  <si>
    <t>López, Pedro</t>
  </si>
  <si>
    <t>Pedro López</t>
  </si>
  <si>
    <t>…regla que los dirige. Los hombres se reputan libres tiago Martin, D. Tadeo Sánchez de Escanden, D. Juan de «cuando solo los gobierna la ley. La sumisión los hace feliDios Trillo, D. Pedro López, D. Castor del Amo, el se «ces , porque en ella cifran su tranquilidad. Las pasiones, los ñor general Pnlafox, Doña María de Loreto García de Roa, «injustos caprichos, los ambiciosos y exceóvos deseos que D. Antonio Ruiz de Flores, D. Gerónimo Gambo», Doña «t…</t>
  </si>
  <si>
    <t>López, Tadep</t>
  </si>
  <si>
    <t>Tadep López</t>
  </si>
  <si>
    <t>…0. Núm. 803. Un limo, cabildo 175. Núm. 804. El Sr. abad, cura párro co de S. Martin de Madrid, por limosnas recibidas de sus feligreses 340. Nú-? mero 805. D. J. M. 400. Núm 806. D. Tadep López 100. Núm. 807 Don N. N. IO. ; . , En 31 de. Diciembre de 1819 se entregaron al limo. Sr obispo de Cádiz 10© rs. vn. para socorro de los pueblos contagiados de su diócesi é inmedia tos á ella. A R ,T I C V X. O I&gt; E O F I C I O. El Rey nuestro Señor se ha serv…</t>
  </si>
  <si>
    <t>López, Tosef Saez</t>
  </si>
  <si>
    <t>Tosef Saez López</t>
  </si>
  <si>
    <t>…as de Sta. Catalina del Monte y de mues Se aprobó el dictamen de la comisión de Hacienda , qu8 tra Señora de la Luz, convidadas al efecto; y después de un proponía se permiriese á D. Tosef Saez López y otro, según devoro y fervoroso te Deurn para implorar la divina asis habian solicitado , remitir á los pueblos de su naturaleza un' tencia y el acierro en las deliberaciones del Congreso , se cajón, procedente de América, que con'enia dos custodias, cantó u…</t>
  </si>
  <si>
    <t>López, Vicente</t>
  </si>
  <si>
    <t>Vicente López</t>
  </si>
  <si>
    <t>…alle del Gato, y en la librería de Matute, calle de las Carretas, se halla de venta la estampa ecuestre del Rey nues tro Señor D. Fernando vii á caballo, dibujada por la que pintó D. Vicente López, primer pintor de Cámara de S. M., y grabada por D. Tomas López Engrúdanos, gra bador de Cámara de S. M., en pliego de marca mayor, único resto que conserva la viuda, al precio de 60 rs. vn. cada una. EN LA IMPRENTA REAL.</t>
  </si>
  <si>
    <t>López.nidad, Simón</t>
  </si>
  <si>
    <t>Simón López.nidad</t>
  </si>
  <si>
    <t>…vuestros implacables enemigos: los 69 de la representación del aro de 1814, había variado cualquiera que sea su número, su rango, su poder, su dig aquella desde lo ocurrido con el obispo D. Simón López.nidad , debe alcanzar á todos la espada de vuestra justicia. A la de División del territorio español una representa «El abismo de las revoluciones está abierto todavía bajo ción remitida por la diputación provincial de Salamanca, auestros pies, y V. M. prometió cer…</t>
  </si>
  <si>
    <t>LópezSaleedx, Vicente</t>
  </si>
  <si>
    <t>Vicente LópezSaleedx</t>
  </si>
  <si>
    <t>…cia de los socios y de un numeroso concurso de personas, de .ambos sexos y de todas clases , la censura que de orden, del citado señor-director tenia forma da el profesor’y socio D. Vicente LópezSaleedx) de los dibujosíqueée. halla ban presentes, y resultando de ella que Jos trabajados por Nicolás Barreda y Rafael Ximeno debían ser colocados en primera clase?, los de Agustín López y Juan María Higueras en segunda, y los de Julián Mariana y Miguel Gar cía en…</t>
  </si>
  <si>
    <t>Lopfe</t>
  </si>
  <si>
    <t>…muchos números de los de cada impreso. Con respecto á lo que el Sr. Janer dice periódicos Atalaya y Procurador. de los impresos procedentes de paises extrangeros, debo ad Apoyó el Sr. Lopfe á su preopinante, añadiendo algu vertir, que e‘tá prohibida con graves penas-la introduc nas reflexiones, y ampliando la cuestión para manifestar la ción en el reino de cualq fiera obra impresa en español, en diferencia que debe resultar á favor de la segurid…</t>
  </si>
  <si>
    <t>Lopq</t>
  </si>
  <si>
    <t>…egut: sus campañas y puesta á votación.rampoco quedó admitida. miiiroc............. . . ...... Se leyeron por primera vez do; proposiciones , una del Se levó otra, jroposícion del Sr. Lopq^ ( D..; Marcial) Sr, La Santa para qué se nombrase con urgencia una comi por segunda vez paro que se coloca e una estatua,pedestre sión del seno de las Cortes, ia cnal , registrando los trabajos del.Rey. con el Libro dyta Consti ración en la mano,, or que hub…</t>
  </si>
  <si>
    <t>Lorenzana</t>
  </si>
  <si>
    <t>…a sobre si el Sr. Costa y Gali, diputado de Cortes causado , evitando su total ruina. por Cataluña, podía ser nombrado ministro de la audiencia Habiendo opinado en la discusión el Sr. Lorenzana que territorial de Madrid para que había sido consultado por el era muy corto el término de xo días señalado por la comi Consejo de Estado , en atención á que no habiendo tomado sión , hizo la indicación siguiente: «que el término dado po-esion de su plaza de…</t>
  </si>
  <si>
    <t>…orial. Supuso absolutamente nece.ario que las la comisión de Reforma de regulares había nombrado en lu Cortes adoptasen una medida, y medida grande; pero tam gar del Sr. Toreno al Sr. Lorenzana; y se leyó la minuta bién dijo que encontraba la dificultad de no haber visto bien del decreto aprobado en la se-ion extraordinaria de anoche desenvuelto el punto de si la aprobación del artícuto eu sobreel aumento de prest á las clases subalternas del egerci…</t>
  </si>
  <si>
    <t>…stos pueden disponer , como U después de lus palabras: «Que en última instancia se deter del sucesor inmediato.” minen” las de «en propiedad.” No fue admitida á discusión otra del Sr. Lorenzana, que Se mandó) pasar á la comi'ion otra adición del Sr. Ez- decía; «Los inmediatos sucesores no percibirán mas alimen peleta para que después de la palabra fundaciones se aña tos que con proporción á la mitad de bienes en que han de da «venta ó cualquiera otr…</t>
  </si>
  <si>
    <t>…ia del reglamento de las referidas comisiones reunidas, mmifestando las dificultades que en milicias. La comisión en vista de ello proponía se declarase volvía lo propuesto por el Sr. Lorenzana , y el poco perjui que por ordenados in s.uris se entendían de de subdi.ico- cio que resultaría A los fabricantes de las prov¡nc:as interio nos inclusive en adelante : que de los individuos de las secre res , por ser las salinas en menor número y menos abun t…</t>
  </si>
  <si>
    <t>Lorenzana, Josef Pintón y</t>
  </si>
  <si>
    <t>Josef Pintón y Lorenzana</t>
  </si>
  <si>
    <t>…cía; á D. Francisco'Cantero de la de Salaipanca; á D. Josef Qúeipo de la de Segovia ; á D. Josef María Puente de la de Soria; á D. Antonio Leonardo de Letona de la de Vizcaya» y á D. Josef Pintón y Lorenzana de la de Za mora. Asimismo ha venido S. M.ven nombrar gefes políticos interinos al bri gadier D. Josef Marrón de la provincia de Burgos; á D. Manuel Riva Her-? rera de la de Alava; ai intendente D. Josef Blanco González de la de Aragón; á D. Josef Somoza de l…</t>
  </si>
  <si>
    <t>Lorenzana, Pedro Charco de</t>
  </si>
  <si>
    <t>Pedro Charco de Lorenzana</t>
  </si>
  <si>
    <t>…! deseo de tener, no puede poseer por sí nada, y no tiene diccionario manual de Agricultura , traducido del francés mas dominio que sobre lo que necesita-para su subsistencia, por D. Pedro Charco de Lorenzana, presentados por el siendo lo demas patrimonio de los pobres; de donde dedu Sr. Lobato. jo que el pasar al Crédito público los referidos bienes era-el Se mandó pasar al Gobierno una exposición de los se mejor destino que se les podía dar, y el mas análogo á ¡…</t>
  </si>
  <si>
    <t>Lorenzo</t>
  </si>
  <si>
    <t>…destino en la Hacienda 30. »Estas universidades se Irán planteando en toda h» nacíonalVMonarquía al paso que se proporcionen medios y profesores A la- dé Guerra una exposición del coronel D. Lorenzo para verillcarlo.” v . : Calvo, pidiendo que se declare estar en toda su fuerza y Y fue aprobado, suprimiendo á petición del Sr. Pajarea vigor el reglamento del egérci to y decreto dado por la Re las palabras y profesores para -jérijtcarlo. gencia en el año d…</t>
  </si>
  <si>
    <t>Lorenzttna, N.</t>
  </si>
  <si>
    <t>N. Lorenzttna</t>
  </si>
  <si>
    <t>…píteme, y también se dio cuerna el Gobierno el to de este mes sobre fomento del comercio. de otra de la misma na.uraleza, que habia presen ado un Al Gobierno una representación de D. N. Lorenzttna, alterez supernumerario de caballería Dijo el Sr. Zapata que presbítero . ‘obre la aclaración de cierta duda ; y una ins no era es;e negocio de la atribución de las Cortes, y que no tancia del ayuntamiento de la villa de Iznatovafe sobre se deliia deliberar s…</t>
  </si>
  <si>
    <t>Loreto, María Teresa de</t>
  </si>
  <si>
    <t>María Teresa de Loreto</t>
  </si>
  <si>
    <t>…pel, y do en pasta. Se hallan en el despacho y almacén de la imprenta Nacional. _ Habiéndose pedido la redención de un censo de i2Sfrs.» perteneciente á la ca pellanía fundada por Doña María Teresa de Loreto, se’cita» llama y emplaza al po seedor de la expresada capellanía, para que en el preciso término de nueve diás, con tados desde la publicación de este anuncio ¿ a-cuda ante el Sr. J). Josef Martínez Mosceso, juez de primera instancia de esta muy heroica vill…</t>
  </si>
  <si>
    <t>Loridon, Pedro</t>
  </si>
  <si>
    <t>Pedro Loridon</t>
  </si>
  <si>
    <t>…xr), Revira , Ochoa y La.Riva , oponiéndose .i ellos, y sión segunda de Legislación, concedieron carta de ciudada particularmente á la restricción de que se obligase á los fa no A D. Pedro Loridon , natural de los Países-Bajos , y ve bricantes de sal a venderla exclu ivamente á la Hacienda cino de Bilbao. publica. A esto último contestó), en:re otras cosas , el se .Aprobando las Cortes el dictamen de la comisión de ñor Sierra Pambíey, que era necesario…</t>
  </si>
  <si>
    <t>Loriga, Ramón López</t>
  </si>
  <si>
    <t>Ramón López Loriga</t>
  </si>
  <si>
    <t>…establecimiento del cabildo de S. Isidro. diato sucesor ausente. A la comisión de Comercio se mandó pasar una expo El Sr. Martínez de la Rosa, individuo de la referida cosición de D. Ramón López Loriga sobre medios de dismi mi:ion especial nombrada para reconocer el mérito de los nuir la introducción de hierro extrangero. que han padecido por la patria, leyó el proyecto y dicta A la de Hacienda una representación del cura párroco men relativo á esto. (Véase…</t>
  </si>
  <si>
    <t>Losada</t>
  </si>
  <si>
    <t>…necesidad de que los ministros los mero Alpuente, no se admití &gt; á discusión. publiquen por separado como hasta aquí. A la comisión de Legislación se mand pasar otra pro Otra del Sr. Losada para que al lado de los nombres de posición del Sr. La Santa, leida por primera vez en ia se los ilustres Daoiz, Velarde y Alvarez se inscriban los de sión del iA . relativa á que se nombre una comisión que re los dignísimos Porlier, Laci y Acevedo, para perp…</t>
  </si>
  <si>
    <t>…bligación de asistir á la iglesia, como El Sr. Ramoner y el Sr. Romero Alpuente hicieron sucede con algunos. ver que el artículo i. del proyecto, en cuanto á la edad, No quería el Sr. Losada que se mudase en nada el ar había tenido presente cuál es la mas apta para el servicio. tículo. El Sr. Canabal pidió, con motivo de que los jor 1.a de 18 años, porque es en la que esta el hombre en es naleros componen una parte muy interesante de la Nación, t…</t>
  </si>
  <si>
    <t>…de 1820. para que se dijera solamente «los médicos, cirujanos, botica rios y alheñares aprobados y en egercicioadición del Por el ministerio de Hacienda se ha expedido el siguien Sr. Losada á la indicación aprobada por las Cortes de que te decreto: se admitan voluntarios en la milicia nacional «que tengan ,, Interesándose el buen orden para la administración del •propio el armamentootra indicación deLSr. Navas «pido Estado en que no haya empleos…</t>
  </si>
  <si>
    <t>…. Madrid 2 i de Agosto. Se leyeron por primera vez varias proposiciones, una del SS. M\f. y AA. siguen sin novedad en su importante Sr. Priego sobre abolición de pósitos: otra del Sr. Losada, salud. relativa al método de pedir la palabra los Sres. diputados , y S. M. ha despachado hoy con el Sr. secretario del Des de discutir los asuntos; la que retiró su autor: otra del se pacho de la Guerra. ñor Canabal sobre que no se dé por discutido nineun a…</t>
  </si>
  <si>
    <t>…breves. «Acto contin o ci comandante pre el Sr. Bahamonde, y no se admitió á discusión la segunda. guntará á sus subordinados: ; juráis á Dios defender con las Una proposición del Sr. Losada, leída por primera vez armas, que la patria ha puesto en vuestras manos, la Consen 19 de Julio, y concebida en estos términos: «Que al la timeion política de la Monarquía ; obedecer sin excusa ni do de tos ilustres nombres de Daoiz, Velarde y Alvarez, dilació…</t>
  </si>
  <si>
    <t>…Sr. Ezpeleta al art. 10, que decia: «y mientos de casas. que se hayan retirado seis meses antes de la convocatoria;” Se leyó por tercera vez el proyecto de ley sobre aran otra del Sr. Losada al mismo artículo Jipara que la comisión celes: el Sr. presidente señaló para empezar su discusión la aclarase de un modo que evitara todo inconveniente, si los sesión extraordinaria de mañana, manifestando que después que hubiesen hecho una campaña, y se ret…</t>
  </si>
  <si>
    <t>Lotice</t>
  </si>
  <si>
    <t>…nstancia de -Xerez el testimo ba agregado A esta provincia. El Si-. Ezpeleta manifestó/ nio de que se hacia mención , este no se lo habia podido que en vista de lo expuesto por el Sr. Lotice, debía pa— dar por estar dos autos en 'Sevillapor lo cuán' én su opi sarse la indicación á dicha comisión; asi se acordó;. ' nión era-causar-gastos al imeresado, q :e habia ya cumplido A la comisión de Instrucción pública se pasó una soli su obligación-', ef…</t>
  </si>
  <si>
    <t>Louve, Gabriel</t>
  </si>
  <si>
    <t>Gabriel Louve</t>
  </si>
  <si>
    <t>…por para que determine lo que hayra lugar: dictamen que se el ministerio de su cargo los egemplares competentes del aprobó conforme venia propue to. Diario de Corres. El teniente coronel D. Gabriel Louve pre entó á las A la comisión de Comercio una exposición del consula Cortes una queja contra el general Vulacnmpa, pioiendo se do de la (oruña. en visrn del interroga torio remi.ido por des ignase el tribunal compíteme, y también se dio cuerna el Gobierno el t…</t>
  </si>
  <si>
    <t>Lozano, Pablo</t>
  </si>
  <si>
    <t>Pablo Lozano</t>
  </si>
  <si>
    <t>…e;:^n^el empleo; &lt;je. secretario de la interpretarcion de lenguas, con |o¿ mismos honores:, sneldp.y emolumentos que gozaba cuando fue despojado él; y resuelto;al mismo tiempo.que D. Pablo Lozano , que ha ocupado durante este tiempo dicho destino, yuelva á la plaza; que le correspondería ahora en la biblioteca de S^. M. si hubiese cornimiadoen ?dif cho establecimiento. ¡ ■ í; .)• c&gt; isa D. Juan Josefde Yermo, vecino dS )Iá viilk'de Bilbao j*1 en el Gs…</t>
  </si>
  <si>
    <t>Lruriz</t>
  </si>
  <si>
    <t>…estas las de Partida , son tan Sr. Carabaño contrario al art. 2.c del dictamen de la-comi amplias que le dejan al juez la facultad de que prenda á sión sobre ladrones, y otro del Sr. Lruriz contrario al sequien quiera: añadiendo ademas, que en esto no creta se hu : gundo punvo propuesto por la misma para la-detención. biera consultado el verdadero bien de la sociedad , ni que La comisión -de Milicia nacional presentó tres artículos estuviera el…</t>
  </si>
  <si>
    <t>Ltandaff</t>
  </si>
  <si>
    <t>Núm. 122.. [ 7cuartos.] Í37 mxaBaaegaea8B GACETA DEL GOBIERNO. SABADO 28 DE OCTUBRE DE 1820. NOTICIAS EXTRANGERAS. Concluido el interrogatorio de lord Ltandaff, fije lla mado el honorable Reppel Craven , gentilhombre de la cAAUSTRIA. mara de la Princesa en 1814 ; el cual, aunque no salió de Inglaterra para acompasarla en su viage al continente, sin Vierta i.° de Octubre. embargo, habiéndose reunido con S. A. en Brun…</t>
  </si>
  <si>
    <t>Lubomirski, Henrique de</t>
  </si>
  <si>
    <t>Henrique de Lubomirski</t>
  </si>
  <si>
    <t>…invierno habían llegado del norte, á los confines de aquella» provincia numerosas manadas de lobos, qué habían llenado de consternación á; todos los habitantes. Se asegura que el príncipe Henrique de Lubomirski y dos criados suyos habían sido devorados por estos animales al volver de Gallitzia. Idem i.° de Febrera* Ei advenimiento del Príncipe Regente al trono es un suceso de mucha im portancia en las circunstancias actuales.: sin embargo los que conocen ía Gran Bre…</t>
  </si>
  <si>
    <t>Lucadu</t>
  </si>
  <si>
    <t>…ien que el duque de Wellington pasaba al continente condas y entradas de correos. Hoy ha llegado con pliegos el el objeto de asistir á las conferencias que ha de haber en teniente general Lucadu desde Varsovia, y Mr. YYick, Viena entre los ministros délas potencias aliadas; pero es correo deVabinere ina’es, de Petersburgo; Mr. Profeti , cor to ‘e halla en contradicción con lo que aseguró en el Parla reo de gabinete austríaco, ha salido para Viena ; y…</t>
  </si>
  <si>
    <t>Lúea</t>
  </si>
  <si>
    <t>…l, el Austria, antes de pensar en empe tivas á los ramos Je Guerra, Hacienda y Negocios inte zar las hostilidades contra Nápoler, tiene .mimo de empe riores, y entre ellas una del Sr. Lúea sobre la neceridad de ñar á los Soberanos de Dalla a que formen entre u una con tratar sin demora de la1 admini'traciones genera! y provin federación semejante á ¡a de Alemania, cuyo gefe seria na cial, que fue apoyada por el Sr. Cassini. Todos los dipu tural…</t>
  </si>
  <si>
    <t>Lúea, María Antonia</t>
  </si>
  <si>
    <t>María Antonia Lúea</t>
  </si>
  <si>
    <t>…e reunieron gran número de ciegos que habían propietario. == Josef Ignacio Claramune, secretario. = Ex llegado á Lila, de diferente edad y sexo, y atacados de dis celentísima Sra. Doña María Antonia Lúea, viuda del te tintas dolencias. Después de haberles prescrito Mr. Forlence niente general D. Andrés Perez de Herrasti.” el régimen médico que durante muchos días debían observar, Madrid 17 de Diciembre. en el señalado para hacer las operaciones acudieron, mo…</t>
  </si>
  <si>
    <t>Luengo, Mateo Vicente</t>
  </si>
  <si>
    <t>Mateo Vicente Luengo</t>
  </si>
  <si>
    <t>7? lace á'nombre de Ja ciudad de Soria -y^su ¡provincia Jos Sres. I&gt;. Jóséf Perez .Caballero, decano del supremo Consejo! de Hacienda, y D. Mateo Vicente Luengo, regidor decano de su ayuntamiento; el primero de los cuales dijo*. ,, Señor: Xa ciudad de Soria y su provincia, por medio de Sus dos comi.sionados tienen el honor ^de presentarse á los Reales pies de V. M/para tribu tarle la enhorabuena mas respetuosa por su…</t>
  </si>
  <si>
    <t>Luga, Josef Rodríguez</t>
  </si>
  <si>
    <t>Josef Rodríguez Luga</t>
  </si>
  <si>
    <t>…éficit-, que r¡o podía este cubrirse con la contri La comisión de Infracciones presentó su dictamen sobre bución directa, y que por consecuencia era necesario un la queja dada por.D. Josef Rodríguez Luga, alcalde prime empréstito a pesar de sus inconvenientes; y advirtiendo que ro de Tuy, y juez interino de primera instancia, y por bajo el nombre de.contribución directa comprendía no tolo cuatro vecinos de aquella, cuyas casas habían sido allanadas la general…</t>
  </si>
  <si>
    <t>Luis</t>
  </si>
  <si>
    <t>…r el irnni.tro del . A las comisiones de Marina y Hacienda remidas se mismo. mandó pasar un oficio del secrerario del De-pacho de aq :el A la de Legislación varias advertencias de D. Luis de la ramo, incluyendo una representación del mi ni teño de los Torre y otros , para que se tengan presentes respecta de tres departamentos de Marina, en La que pedia se igualasen los españoles adictos al Gobierno ¡ntrcso. tus sueldos con los del egército. A…</t>
  </si>
  <si>
    <t>…Gobierno, para que la D. Pascual Borrelli, presidente ; D. Josef Laghezza, se muchedumbre aprenda á eludir la sujeción de la ley, y cretario general; consejeros D. Donato Colleta, D. Luis para que arrebatada por un movimiento inconsiderado , de Siniscalchí , el barón D. Josef Nanni, y el abate D. Do genere en el desorden. Se sugerirán prisiones arbitrarias con mingo Minichini. , , tra individuos mal puestos en la opinión pública , para que Él…</t>
  </si>
  <si>
    <t>…Francisco de Le- manifestando que hallándose de alférez de Almansa, le ha mos Bitancoort; Luis Monteiro ; Felipe Ferreira de Arau- blan destinado con un piquete para la prisión de D. Luis jo y Castro; el bachiller Josef María Javier de Araujo; el Lacy, por la cual le habían dado el grado de capitán; y coronel de Milicias Josef de Mello de Castro y Abreu; no siendo compatible con su delicadeza,'pedia se le*admi Francisco Josef de Barros Lima; e…</t>
  </si>
  <si>
    <t>…l Rey. Entre A la de Premios se pasó una exposición de algunos ofi tanto, á pesar de la sabia conducta de la nación, de la pa ciales de los comprendidos en las tentativas que hizo D. Luis ternal solicitud del Rey, de la casi total extinción de deli Lacy para restablecer la Constitución , pidiendo se llevase tos y malhechores producida por el nuevo sistema, y en fin á efecto lo que él mismo prometió en una proclama., que su de la Tranquilidad s…</t>
  </si>
  <si>
    <t>…r del acotado; que habia observado, res regidores D. Dionisio de Agnirre y D. Joaquín de Mazas con.no poco disgusto, -que muchos vocales de La Cantara en para que conferencien con D. Luis de-Astigarraga y ligarte lugar de ser jueces imparciales, y de manifestarse propicios sobre el nuevo método de enseñanza mutua que trata de á la acusada, mostraban sentimientos absolutamente contra introducirse en Vizcaya. En sú consecuencia se han toma rios.…</t>
  </si>
  <si>
    <t>Luis, Carlos</t>
  </si>
  <si>
    <t>Carlos Luis</t>
  </si>
  <si>
    <t>…cia , como se nombran sus gefes, en lugar" Je María Francisca y-Doña Luisa Carlotas 2«° sí respecto á serlo natos los gobernadores de las plazas. esrar declarado Infante de España D. Carlos Luis, hijo del Después de haber recordado el Sr. i’alarea que no esta Serino. Sr. D. Cirios María, se le habla de asistir con los ba aun aprobado el reglamento de la milicia nacionalpues alimentos correspondientes á aquella clase; y como la?" el que hicieron las C…</t>
  </si>
  <si>
    <t>…ituir la obediencia en los mismos cuer el contrato matrimonial entre S. A. R. ia Princesa María pos, no solamente serán perdonados, sino que se tendrá Teresa y S. A. R. el Infante D. Carlos Luis ; y el martes con ellos las consideraciones á que se hagan acreedores Lis 15 se celebró la ceremonia religiosa del matrimonio en la boa en el palacio del Gobierno á 2 de Setiembre de 182J.” capilla de la Viña Real de la Reina, representando aL ( Siguen las fi…</t>
  </si>
  <si>
    <t>Luis, Cirios</t>
  </si>
  <si>
    <t>Cirios Luis</t>
  </si>
  <si>
    <t>…endo que ya no hacia falta en Ingla los Luis Alaría, como también de la Serma. Sra. Infanta de terra ; pero que al punto que había observado que su pre Portugal y del Sr.. Infante D. Cirios Luis, se ha vestida sencia polia ser t. davía necesaria, le habia despachado un hoy la corte de gala sin uniforme. correo para hacerle volver. Esta respuesta no satisfizo á Mr. Brougham , por lo que preguntó si podría continuar la CORTES. defea a de la Reina, en c…</t>
  </si>
  <si>
    <t>Luis, Josef</t>
  </si>
  <si>
    <t>Josef Luis</t>
  </si>
  <si>
    <t>…9.0, 10 y 11.se extiendan ciudad de Algeciras, y refrendada por su escribano ma también A los conventos y comunidades de religiosas, y ca yor D. Ventura Fort, se cita y emplaza á D. Josef Luis da una de las que se secularicen disfrutará asimismo too de Silva , D. Juan Josef de Costa, D.,Simón Cohén, Don ducados de pensión anuales.” Juan Grima, D. Sebastian Martínez, D. Manuel Corvero, Aprobado este artículo se suspendió la discusión sobre I). Carlo…</t>
  </si>
  <si>
    <t>Luisa'Carlota</t>
  </si>
  <si>
    <t>…de Mayo.• ■;*» ■-v ■ 'V ' • .. ; ;; •; v • u-; . * . ARTICULO DE OFICIO. • •• • ■ • * i - i X :..Con el plausible; motivo de; haber dado á luz con toda felicidad la Señora Infanta Doña Luisa'Carlota á las cinto y media de la mañana del dia 6 del, corriente un robusto niño, al que se han puesto en el bautismo los nombres dé Francisco de Asís, Luis, Fernando, se ha servido el Rey mandar se cante el: Te Deum en la'Real ‘capilla en acción de gracias, y que.s…</t>
  </si>
  <si>
    <t>Luisa, Alaría</t>
  </si>
  <si>
    <t>Alaría Luisa</t>
  </si>
  <si>
    <t>…18 Se dió principio leyendo el acta de la sesión anterior. de Marzo de 1812, A los Sres. Infantes D. Franci co de Paula El Sr. Moscoso advirtió que al hacer mérito en ella de no y Doña Alaría Luisa, se revocara aquella disposición, y se haberse admitido á discusión las dos primeras proposicio hicieran las declaraciones convenientes. Esta medida parecía A nes suyas, solo se decía tenian por objeto declarar benemé la comisión tan justa y oportuna como ent…</t>
  </si>
  <si>
    <t>Luisa, María</t>
  </si>
  <si>
    <t>María Luisa</t>
  </si>
  <si>
    <t>…ga, para que viéndolos los sujetase corona al Sermo. Sr. Infante D. Francisco de Paula Anto á la deliberación de las Cortes: manifestó la 5 causas que te nio , v á la Sra. Infanta Doña María Luisa , Reina que fue de nia para jsedirlo ; y ro aprobó. Etruria, y actualmente gran Duquesa de Lúea; y tomán Se leyó una exporicion del Sr. Ezpeleta, en que decía dolo en consideración el Congreso , revocara aquel decreto, llevaba 19 años de residencia y vecindad…</t>
  </si>
  <si>
    <t>…rnojletrados los elegidos; la que satisfizo'el Sr. presidente, ma tivaron la exclusión de los Infantes D. Francbco_de"Páulá nifestando que habiéndose de hacer el nombramiento de y Doña María Luisa del derecho á la cotona , pedia q g. ■entre los individuos del Congreso , lós cuales no tenian obli teniendo áhora las Cortes' en consideración los expresados gación de ser letrados, era consiguiente' nó requerirse está motivos, revocasen la primera parte del…</t>
  </si>
  <si>
    <t>…írímos des el de su provincia, y que esta es una medida para toda la cendientes; A falta de ellos, la mencionada Sra. Infanta Nación. Conviniendo todos en que el Gobierno es quien Doña María Luisa, hermana segunda, y gran duquesa de tiene un interes general en el bien de toda la Nación , se Lúea, y los suyos; y en su defecto la Sra. Infanta Doña aprobó por partes este artículo 5.0, añadiendo en la prime María Isabel, hermana tercera, y Princesa hereder…</t>
  </si>
  <si>
    <t>LuisLacy</t>
  </si>
  <si>
    <t>…ierno, que todos los indi viduos.comprendidos en las causas formadas al mariscal de campo D. Fran cisco Espoz y Mina, el de igual dase D. Juan Diaz Porlier.fiíel,teniente ge¿neral D. LuisLacy, el comisario de guerra D. Vicente Richard y el maris cal de campo D. Mariano Renovales, las formadas en Valencia en 1817 y 1819 , la de los acontecimientos del egército expedicionario d&amp;Ultramar en $ de Julio de 1819 , y demas de igual naturaleza, vuelvan al…</t>
  </si>
  <si>
    <t>Lumbreras, Joaquin</t>
  </si>
  <si>
    <t>Joaquin Lumbreras</t>
  </si>
  <si>
    <t>…instancia del Sr. Martínez de la Rosa, de A la de Instrucción publica unos apuntes de una Cons jándole en estos términos: »jS'o obstará á los comprendidos titución académica , por D. Joaquin Lumbreras. en los artículos que preceden su conducta anterior para po Se oyeron con agrado varias felicitaciones, y se mandó der ser repuestos en los mismos destinos que obtuvieron, ó hacer de ellas mención en el diario y acta. colocados en otros. Entraron á jurar los…</t>
  </si>
  <si>
    <t>Luna</t>
  </si>
  <si>
    <t>…facultades de las Cortes la con llo por capitulación, antes de su debido momento ; te ha ser cesión de grados militares, y solo podian acceder á que se vido S. M- resolver que al coronel Luna y á todos los de pasara el curso, conviniendo además sustancíalmente, y am mas citados oficiales se les reponga en sus.empleos, sueldos, pliando lo propuesto por el Sr. Sánchez Salvador. ascensos y honores que les hubiesen correspondido, y de que En seguida s…</t>
  </si>
  <si>
    <t>Luna, Gonzalo de</t>
  </si>
  <si>
    <t>Gonzalo de Luna</t>
  </si>
  <si>
    <t>…las Cortes su aprobación. Se mandó pasar á la co pasado , presentados por D. Jacobo Vülanova. misión ordinaria de Hacienda. Concluida la lectura, pidió el Sr. Vargas Ponce, indivi D. Gonzalo de Luna, abogado, presentó á las Cortes duo de (a comisión, qje te encargara al Gobierno que ínte dos ejemplares de la obra intitulada Economía universal, rin se discutía el proyecto inutilizase los calabozos subter otros dos de! tomo primero del tratado de Policía p…</t>
  </si>
  <si>
    <t>Luna, Josef</t>
  </si>
  <si>
    <t>Josef Luna</t>
  </si>
  <si>
    <t>…on mucha economía en aumentar el inmenso número de en consejo de guerra de oficiales generales, celebrado en Va oficíales militares y el presupuesto de la guerra. lencia contra el coronel D. Josef Luna, del extinguido regi Contestó eiSr. conde deToreno que aunque convenía en miento de Velez-Málaga; D. Segundo Ulibarri, D. Epifanio parte con su preopinante, se proponían sin embargo cosas Lozano, D. PedroPerez Bustamante, D. Juan Felipe Masede ia atribución e…</t>
  </si>
  <si>
    <t>Lushíngton</t>
  </si>
  <si>
    <t>…nda clase, como se proponia en el plan se. El conde dé Grey aprobó la conducta de los defensores. de Instrucción pública, y pidiendo que se la hiciese de de &amp; M. : i primera. ' El doctor Lushíngton expuso.que cuando se le Ínter-, A la ordinaria de Hacienda una solicitud del cabildo de rumpió, no pretendía que :las..declaracÍones de Majocci se, la catedral'de Canarias,: remitida por el minisrerio de Ha considerasen como prueba» de la;conducta del barón,…</t>
  </si>
  <si>
    <t>Lushington</t>
  </si>
  <si>
    <t>…nte al testigo que está preseme en la barra." ; bles de todas las iglesias. La proposición de Mr. Brougham fue apoyada por el A la comisión de Infracciones de Constitución se pasó doctor Lushington, y refutada por el abogado general; con urgencia el expediente documentado, y remitido por la pero por último después de una larguísima discusión , re suprema junta de Censura, sobre la calificación dada acerca solvió la Cámara , siguiendo el dictamen del lor…</t>
  </si>
  <si>
    <t>Luxigo, Juan</t>
  </si>
  <si>
    <t>Juan Luxigo</t>
  </si>
  <si>
    <t>5^6 De Fuente el Saz. D. Josef Alonso Llórente. # De Colmenar viejo. D. Juan Luxigo. ■/ El dia i.° de Junio próximo saldrá deí puerto de Cádiz para las provin cias de Ultramar un buque, correo de la armada, con la correspondencia de i oficio y del público, lo que,¿se avisa para inteligencia de este. Continuación de las contestaciones dadas p…</t>
  </si>
  <si>
    <t>Luyan, Josef</t>
  </si>
  <si>
    <t>Josef Luyan</t>
  </si>
  <si>
    <t>…llos , el marques de Piedrablanca, D. justo.Marta Ibar-Na^ai-* ro, D. Josef Aycinena, D. Antonio Ranz Romanillos, D. Francisco Reque-. na i D. Estéban Varea,' y de los secretarios D. Josef Luyan do y D. JuSnü Madrid Dávila. Asimismo he creído conveniente declarar que ios individuos, que han compuesto el Consejo de Estado hasta et di a 9 del presente tilesea&lt; que juré Yo la referida Constitución , quedan en la clase de jubilados, con el goce de todos…</t>
  </si>
  <si>
    <t>Luyando, Josef</t>
  </si>
  <si>
    <t>Josef Luyando</t>
  </si>
  <si>
    <t>…se mandó pasar á la comisión sión extraordinaria para continuar la discusión de este asun de Marina una memoria relativa á este ramo, presentada por to , levantó la de esta noche. D. Josef Luyando. A la segunda de Legislación se mandó pasar una expo Sesión del £T de Octubre. sición de D. Manuel Cavero, acerca de que c! año de id 1 3 Después de leída y aprobada el acta de! dia anterior , se hallaba con los empleos de tasador y repartidor de plei Sr. Día…</t>
  </si>
  <si>
    <t>M, A. M.</t>
  </si>
  <si>
    <t>A. M. M</t>
  </si>
  <si>
    <t>…S. Cárlos 500: Núm. 748. D. -B. P. 40. Núm. 749¿ El limo. Sr. deán y cabildo de la santa iglesia me tropolitana de Zaragoza 2% Núm. 750. D. N¿, por segunda vez, 2oo. Nú mero 751. Doña A. M. M., por tercera vez, ib. Núm. 752. D. M. J. y R. 80. Núm. 753. D. J. A. un vale Real consolidado de 50 pesos que produjo 204 rs. Núm. 754. D. J. A. 80. Num. 755. Doña Antonia Sanz 20. Num. 756. Don Antonio Villar y Pinto, boticario de Salamanca, 200; Núm. 757. L…</t>
  </si>
  <si>
    <t>M, Henrique</t>
  </si>
  <si>
    <t>Henrique M</t>
  </si>
  <si>
    <t>…latín en dos años, y la lez Estrada, foó. D. Pablo Bertuzi, 80. D. Juan Morales, taquigrafía en tres meses, en su casa ó en la de los alumnos; 500. El cónsul de los Estados-Unidos D. Henrique M. bajo cuyo supuesto, y para la mayor comodidad del público, Cali, 3 20. El cónsul de Portugal D. J. H. Parral, 5 00. han establecido la enseñanza en uno de los mejores parages D. Juan B. Cook, cónsul de los griegos, 320. D. Horario de esta villa; y para arregl…</t>
  </si>
  <si>
    <t>M, J.</t>
  </si>
  <si>
    <t>J. M</t>
  </si>
  <si>
    <t>…ldo de la santa iglesia cate dral de Jaén 4®. Núm. 702. D. F. M. D. 60. Núm. 703. D. L. F., pres4 bítero, 200. Núm 704. Ei Excmo. é limo. Sr. arzobispo de Valencia 12®. Núm. 705 . D. J. M. 200. Núm. 706. La Excma. Sra. C. de C. i®. Núme** ro 707. El ilustre Sr. deán y cabildo de la colegiata de Medinaceli 280. Nú-»* mero 708. El Ilmoi Sr. obispo de Segovia 640. Núm. 700. Un eclesiástico de ■ Oviedo 320. Núm. 71.0. Un establecimiento piadoso en…</t>
  </si>
  <si>
    <t>…802. D. F. J. D. V. 100. Núm. 803. Un limo, cabildo 175. Núm. 804. El Sr. abad, cura párro co de S. Martin de Madrid, por limosnas recibidas de sus feligreses 340. Nú-? mero 805. D. J. M. 400. Núm 806. D. Tadep López 100. Núm. 807 Don N. N. IO. ; . , En 31 de. Diciembre de 1819 se entregaron al limo. Sr obispo de Cádiz 10© rs. vn. para socorro de los pueblos contagiados de su diócesi é inmedia tos á ella. A R ,T I C V X. O I&gt; E O F I C I O. El…</t>
  </si>
  <si>
    <t>M, Manuel S.</t>
  </si>
  <si>
    <t>Manuel S. M</t>
  </si>
  <si>
    <t>…el egército de la-Isla. 1 SS. MM. y AA. siguen sin novedad en su importante Conformándose las Cortes con el dictamen de la comi •alud. sión de Poderes, aprobaron los de los Sres. D. Manuel S. M. ha despachado hoy con el Sr. secretario del Des Echeverría y D. Bartolomé García, diputados por Canarias, pacho de la Guerra. y en seguida juraron y tomaron asiento en el Congreso di chos señores. CORTES. Se procedió después-4 la diicusion pendiente del proye…</t>
  </si>
  <si>
    <t>M, S.</t>
  </si>
  <si>
    <t>S. M</t>
  </si>
  <si>
    <t>…opinaron que no era una ley nueva la que apercibimiento de que pasado ei plazo les parará todo perjuicio.se trataba de promulgar, ni de derogar ninguna otra esta Concluida ya por D. S. M. la traducción de la célebre obra blecida , sino de suspender por algún tiempo el reglamento postuma de Condorcet, titulada Diseño para un cuadro histó de 1778, asi como no se derogan las leyes porque se con rico de los progresos del entendimiento humano, esta…</t>
  </si>
  <si>
    <t>…e tu do la medicina, y reforma en el método de su enseñanza, escri viera presente que, se trataba del presupuesto de! año 20 al to en francés por P. J. C. Cabanis, y traducida por D. S. M.t 21. en cuyo intermedio debía haber otra legislatura, en la un tomo en 8 J Se hallará en la librería de Calleja, y en las de que se presentaría un nuevo presupuesto mas arreglado; y las principales capitales de provincia. MADRID EN LA IMPRENTA NACIONAL.</t>
  </si>
  <si>
    <t>…Despa ciertos no resulta infracción de la líber.ad de la imprenta. cho de la Guerra de mi interino cargo , para que enterado Pero si por la inversa los crímenes que se imputan al Don S. M. , y con su Real resolución, pueda pasarse una á cada Alonso en dicho artículo fuesen falsos, el editor le ha ca uno de los ministerios de-la Gobernación de la Península y lumniado, y el escrito debe ser comprendido en la clase de Hacienda, A que respectivamen…</t>
  </si>
  <si>
    <t>M, Sánchez Salva do S.</t>
  </si>
  <si>
    <t>Sánchez Salva do S. M</t>
  </si>
  <si>
    <t>…ficios, uno del ministro de ca de la uniformidad de pesos y medidas de toda la Nación. la Gobernación de la Península, participando haber señala Se leyó también una indicación del Sr. Sánchez Salva do S. M. la una de este dia para recibir la diputación que dor,, para que supuesto que en el archivo de la extinguida debía llevar el inensage del Congreso ; y otro del ministro diputación do los Reinos se conservan documentos útiles á déla Guerra, remitiendo una circ…</t>
  </si>
  <si>
    <t>M, Vi Deseando S.</t>
  </si>
  <si>
    <t>Vi Deseando S. M</t>
  </si>
  <si>
    <t>…de ARTICULO DE OFICIO. Morales, manifestando lo hacia porque no se le creyese esti Circuí.ir de la Gobernación de la Península. mulado por resentimientos particulares, convino el Sr. Vi Deseando S. M. con la mayor solicitud y cuidado procutorica en la propiedad de los consejeros actuales y en el rar á rodas las clases del Estado el bienestar y ocupaciones nombramiento de solos 30, por las razones que exponía la ue mas convengan á sus necesidades, y mucho m…</t>
  </si>
  <si>
    <t>Ma</t>
  </si>
  <si>
    <t>…te Díaz de la Quintana y Quevedo, ca ballero pensionista de la Real y distinguida orden española de Carlos ni, del supremo Consejo de Hacienda, y diputado general de los reinos; y D. Ma nuel María de Junco, del supremo Consejo de Indias , tuvo el honor de besar la Real mano de S. M. el dia 12 del pasado, y felicitarle por su efectuado matrimonio con la Señora Doña María Josefa Amalia de Saxonia, ha biendo arengado á S. M. el primero en los t…</t>
  </si>
  <si>
    <t>…autor D. Manuel Eduardo de Gorostiza, función que -se egeputó en el teatro dd Príncipe en celebridad del augusto enlacé del Rey nuestro Señor D. Fernando ni con la Señora Princesa Doña Ma ría Josefa Amalia de Saxonia. Se hallará en las librerías de Orea, calle de la; Montera, viuda de Quiroga, calle de las Carretas,.de González, calle de Atocha, y dé Amposta , calle del Príncipe. Su precio 4 rs. en 8.° rústica. EN LA IMPRENTA REAL.</t>
  </si>
  <si>
    <t>…Reina. Para hacer mas solemne este acto se convidó anticipadamente á las clases instruidas del pueblo; y reunidos con él ayuntamiento en la sala destinada, leyó á su presencia el catedrático D. Ma nuel Crespo y Peñalver un discurso que compuso para este egercicio sobre la necesidad y utilidad de la lengua latina, y precisión de enseñarla, si no en se guida de la castellana , al menos combinadas 1 as dos * m anifesró á continua,cion los adelantamientos…</t>
  </si>
  <si>
    <t>…viuda de D. Diego Orejón y secretario de S. M., vecinos de esta corte, se fundó un patronato Real de legos y me-b üioria de misas sobre sus mayorazgos, de que es actual poseedora Doña Ma lta,de la O Arriaz a y Mostetrtn, vecina de esta corte; y siendo su expresa Voluntad qüe el patrono, nombrase por cumplidor cón renta de 200 duca dos, y carga de tres luisas cada semana , á la persona;.que le ^pareciese, pre¿friendp siempre entre los pariente…</t>
  </si>
  <si>
    <t>…anifestando' en la citada consulta que el Consejo, teniendo á la vista todos fc&gt;s;antecedentes ¿ había ofeh servado por ellos , que ocurrencias extraordinarias-hÍQÍenon víctima al D. Ma nuel Oliver de procedimientos en que no era culpable-, embargo de sus bienés^ privación de su empleo, con los perjuicios, gastos y trastorno que eran con siguientes , sin que dicho supremo tribunal hubiese hallado motivo para ello, ni para que careciese del c…</t>
  </si>
  <si>
    <t>…ascenso á cabos á los realistas Agustín Chavez y Vicente Salinas por la bizarría con que se portaron. También pre viene que se den las gracias al bachiller D. Joaquín Alvarez y al doctor Ma gos, recomendando á cada uno según su mérito al ilustrísimo diocesano* Idejn _9 de Setiembre. : QUERETARO. Oficio del comandante general brigadier T). Melchor Alvarez. ,, Excino. Sr.: Habiéndoseme asegurado por dos de mis confidentes que el cabecilla de rebel…</t>
  </si>
  <si>
    <t>…e Borbon, Arzobispo de Toledo, Presidente; el Teniente general D. Fran cisco Ballesteros j vice-Presídente; el Reverendo Obispo de Valladolid de Mechoacan D. Manuel Abad y Queipo, D. Ma nuel Lardizabal, D. Mateo Valdemoros, D. Vicente Sancho, Coronel de Ingenieros, Conde de Taboada, D. Francisco Gres?o de Tejada, D. Bernardo Tarrius, y D. Ignacio Pezuela. odas las providencias que emanen del Gobierno hasta la ins talación constitucional de l…</t>
  </si>
  <si>
    <t>…honra de felicitar á $. M. á nombre del ayuntamiento constitucional de la ciudad de Antequera los Sres. D- Caye tano de Urbina, ministro que fue deí extinguido Consejo de Indias, D. Ma nuel de Aguilar, oficial de lá secretaría de Estado, y el brigadier D. Antonio Remon Zarco del Valle, sub- secreta rio de la. del despacho de la Guerra: es te último dirigió á S. M. las siguientes palabras: Señor: Desde las altas sierras que con el atlas ciñe…</t>
  </si>
  <si>
    <t>66 2 bricado de la Real mano. = En Palacio á 28 de Mayo de 1820. = A D. Ma nuel García Herreros.” 3.0 ,, Por exposición que me ha hecho la Junta provisional he llegado i entender que algunos prelados regulares han suscitado dudas sobre si los legos profesos están ó no comprendidos en mi Real decreto de 21 de Abril próximo pasado, re…</t>
  </si>
  <si>
    <t>…ovincia. 2.0 Una consulta del tribunal supremo de Justicia, remitida por el ministro de Gracia y Justicia, so Madrid jj de Julio. bre conocer del recurso de fuerza introducido por D. Ma nuel López Malo, presbítero , de las providencias del juez SS. MM. y AA. siguen sin novedad en su importante interino de la Real capilla. 3.üO:ro promovido por ei con salud. de de Puñonrostto sobre devolución a sus bienes de las fin S. M. ha despachado hoy co…</t>
  </si>
  <si>
    <t>…e vuelta de su cau -Santurio, D. Anacleto Fagoaga, D. Francisco Redondo tividad por D. Bernardo Mozo Rosales: acompaña también di y D. Felipe Vázquez Canga; y para las fiscalías á D. Ma cho manifiesto con notas críticas. El estilo claro con que estaa nuel. de Echeverría y D. Antonio Martel. tratados muchos punros de política y de derecho, y lo necesa rio que es fa ilustración en esta materia por el valor que dieron los 69 á sú manifiesto, y…</t>
  </si>
  <si>
    <t>…los escribanos de Cá dia 15 de Manuel de Burgos, vecino de Llerena, queján mara del extinguido Consejo de Castilla,-en que hacían dose de las cometidas por el alcalde de la misma D. Ma presente que habían quedado reducidos á su cortísimo suel nuel González García y el juez de primera instancia, y pi do, habiéndoles faltado los emolumentos que formaban :tt diendo se les impusieran las penas correspondientes. La co verdadera dotación , y por…</t>
  </si>
  <si>
    <t>…s Cortes ; pero no le parecía oportuno proceder dor sobre el mismo objeto. á la aprobación de cada artículo en particular, hasta ranto A la de Hacienda un proyecto de aranceles de D. Ma que concluido el examen de todos los que tienen A su cargo riano Gil , del comercio de Barcelona , presentado por el se pudiera en vista de ellos hacer la regulación exacta del Sr. Yandiola, y una memoria de D. Joaquin Díaz de Cór mas ó el menos que A cada ob…</t>
  </si>
  <si>
    <t>…opinión, y Pidió el Sr. Arrieta que se restableciera igualmente la de que se creyera que se trataba de una extinción total, que cátedra de derecho natural, que fue extinguida por D. Ma se añadiera en el proyecto la palabra yor ahora• Después nuel Godoy, y el Sr. Martel dijo que la comisión solo tra hizo presente que acaso de la supresión de los regulares no tó de restablecer estos estudios como se hallaban antes de la se sacarían todas las…</t>
  </si>
  <si>
    <t>…eí tribuna! especial de Sinforiano Diaz de Callejo, y otra de Antonio Morcillo. Ordenes; cuya discusión quedó señalada para el viernes A la segunda de Legislación una expoicion de D. Ma próximo. riano Acosta sobre creación de unas a¡ toridades interme La comisión de Hacienda presentó un reglamento para dias entre los Celes políticos y los ayuntamientos. la enagenacion de tincas del Crédito público, formado en A la especial respectiva las act…</t>
  </si>
  <si>
    <t>…n, provincia de Sevilla, y que en defecto de juez de letras cgerce sabed: Que habiendo Nos propuesto á las Cortes que para la jurisdicción contenciosa, refrendada por el escribano D. Ma hacer la promulgación de las leyes con la solemnidad cor nuel Trigo y Sánchez, se cita y lianva por edictos a todos los que pretendan tener derecho á los bienes de la testamentaría de respondiente salga en público el Gefe político dé esta capi D. Josef Matías…</t>
  </si>
  <si>
    <t>…ra parte con pasar de los geles ó cabezas de las empresa' sin generalizar el dictamen de la mayoría de la comisión . apoyó en la se se, citando por egempio al gobernador de Gerona D. Ma gunda el voto particular, opinando no debía concederse i riano Alvarez, único agraciado con aciuella distinción, sin los emigrados el derecho de ciudadanos españoles. Manifestó embargo del heroísmo de todos los defensores de dicha que el motivo que para elio…</t>
  </si>
  <si>
    <t>…r aquel Gobierno. mitió al Excmo. Sr. general en gefe con fecha de 7 de Ju „Habiéndose presentado á la junta provisional del Gobier nio el parte dado poErel comandante de dragones D. Ma no supremo del reino la carta que V. S-.ha entregado en la nuel Morales, en que refiere haber derrotado enteramente tarde de hoy á uno de sus diputados; y habiendo acordado la división del rebelde Romerito. La pérdida de los enemi que yo pidiese á V. S. las l…</t>
  </si>
  <si>
    <t>…iva de Cuba, el capitán general de ella puede ampliar la ANUNCIOS. fo-maciun prevenida en el artículo anterior al punto donde los oficios y los diálogos de Cicerón, traducidos por D. Ma ¡as circunstancias lo exijan , interinamente y ciando cuenta nuel Valbuena, con el texto latino. Dos tomos en 8.J pro al Gobierno. 3.0 Con el fin dé atender a la organización y longado. Véndense en el despacho de la Imprenta Nacional á demas gastos de dichos…</t>
  </si>
  <si>
    <t>…ondencias de oficio y D. Antonio Breciano,8o. D. Bartolomé Scotto, 2®. Don pública de Filipinas, Nueva-España, Ha vana y Puerto-Rico. Josef Comitre, 1®. D. Manuel Caballero, 2200. D. Ma nuel de los Ríos, 80. D. Josef Playas, 160. D. Diego Baro, 80. D. J. B. Canepa, 80. La Sra. viuda de Hernán Deseando complacer al público en todos sus ofrecimientos dez, hijo y compañía, i0. D. Josef Martínez, x0. Don los profesores de caligrafía, aritmética,…</t>
  </si>
  <si>
    <t>…n embargo cosas Lozano, D. PedroPerez Bustamante, D. Juan Felipe Masede ia atribución exclusiva de las Cortes, como era la habili gosa, D. Antonio Lacerda , D. Saturnino Figueroa, D. Ma tación del curso, y pidió que se accediese á esto, y se hi riano García Cáceres , D. Antonio Hernández y D. Pas ciese una recomendación al Gobierno, dando ademas gra cual González, el 1.0 como gobernador, el 2" como sar cias á los individuos de que se trataba…</t>
  </si>
  <si>
    <t>…onstitucionales. dispensa del tiempo que le falta para ser examinado de La comisión segunda de Legislación presentó su dicta médico. men acerca de la licencia que había solicitado Doña Ma Las Cortes-aprobaron el recargo de i4©rs. que el ayun ría del Amparo Osorio para vender ciertas fincas del ma tamiento de Ciudad-Real, con consentimiento del Gobier yorazgo de su marido D. Manuel Ruiz Huidobro , con el no , había impuesto á 19 pueblos de la Mancha, y á cuén objet…</t>
  </si>
  <si>
    <t>…ohibiere rezcan en el término de un mes á deducir su derecho al juzgado la introducción de manteca de Fíaosles y que«o exrrnnge- de primera instancia de esta muy heróica villa del Sr. D. Ma ro, por no fabricarse la primera en ia Pemmula, y no ser nuel Fernandez Gamhoa, ministro togado, y escribanía de nú suficiente para m consumo el que*o y manteca de las pro- mero de D. Vicente de la Costa , y pasado íes parará el perjui indas septentrionales;…</t>
  </si>
  <si>
    <t>…o, no ha sido Zayos, que !o es suplente por !a isla de Cuba ; D. Ramón preciso , ó álo menos nadie se ha empeñado en alterarle por Giraldo, diputado por la provincia de la Mancha; D. Ma espacio de tres siglos; y «i en estos últimos años se han he nuel de la Bodega, suplente por el vireínato del Perú;Don cho algunas tentativas, rodas ellas se han mirado con indife Vicente Sancho, diputado por la provincia de Valencia; rencia por la poca venta…</t>
  </si>
  <si>
    <t>…-Unidos de Amé vascongada Itzasora Irtenais , compuestas nuevamente y dedi rica.— La sociedad del fomento de la industriase juntó cadas con Real permiso á S. M. la Reina de España Doña Ma en Washington i últimos de, Diciembre, y á pesar de ría Josefa Amalia de Saxonia, por Antonio Bulle. Se hallará á que las noridas que habla pedido:sobre ¿J estado de las fá ijj rs. cada egerriplar .en la librería de Ortega, y en Bilbao, en bricas en los domin…</t>
  </si>
  <si>
    <t>…inserte ademas en la Manuel Martin, D. Miguel Corbesy , D. Agustín Pelaez, gaceta del Gobierno; en la inteligencia .de que cualquiera D. Antonio Gutiérrez, el ya nombrado Navarro, D. Ma solicitud que sobre este punto se dirija directamente al mi nuel Colon y D.Tomas Gil, que realizaron lo expuesto, de nisterio quedará sin curso alguno en perjuicio de los mis mostraron sus adelantamientos en la aritmética y geometría. mos interesados. De Real…</t>
  </si>
  <si>
    <t>Ma, Ana</t>
  </si>
  <si>
    <t>Ana Ma</t>
  </si>
  <si>
    <t>…del decreto, re declaración de Sacclii. lativo á los que han sufrido por la patria. -----Los fondos tuvieron una mudanza favorable en la sema A la misma se pasó una exposición de Doña Ana Ma na pasada, en virtud de haber asegurado nuevamente el lord. nuela Martínez de Velasco , viuda de un oidor de la extin Liverpool las intenciones del ministerio acerca de no mez guida audiencia , de Cáceres, manifestando que su marido clarse en los negocios de…</t>
  </si>
  <si>
    <t>Ma, Andrés</t>
  </si>
  <si>
    <t>Andrés Ma</t>
  </si>
  <si>
    <t>…esta ciudad; él marques de Viilafranca de Ebro, I&gt;. Joaquín'Diez de Tejada , D. Pedro Car isa, D. Juan Romeo, D. Francis co Barber, D. Joaquín Gómez , D. Vicente Ibañez de*Aoiz , D. Andrés Ma? rin, el barón de Torrefiel y D. Pedro Vidal, regidores del ayuntamiento de la misma; D. Bernardo Segura y D. Pablo Treviño, diputados del común de ella, y-D¿ Agustín Conde, síndico procurador general en nombre de esta ca pital. Concluido este solemne acto pr…</t>
  </si>
  <si>
    <t>Ma, Antonio</t>
  </si>
  <si>
    <t>Antonio Ma</t>
  </si>
  <si>
    <t>…de comercio de Cádiz , refrendada pot el escribano de Cámara honorario &amp;c. D. Elias Izquierdo y Payan, dictada en los autos, nútn. 314 de 1815, que son de concurso de acreedores á D. Antonio Ma nuel de Oviedo, se manda citar y emplazar á cualquiera que ppr algún respecto se considere tal acreedor, ó con derecho contra el Tcferido y sus bienes , para que en el preciso término de 15, meses acada al tribunal á formalizarlo con los documentos que le com…</t>
  </si>
  <si>
    <t>Ma, Cano</t>
  </si>
  <si>
    <t>Cano Ma</t>
  </si>
  <si>
    <t>…los egeinplares recogidos del papel por que se ha seguido esta desaprobado. causa; en todas las costas de ella á justa tasación, yádemas Habiendo regresado la diputación , dijo el Sr. Cano Ma se le apercibe que si en lo sucesivo reincidiese en iguales ex nuel, presidente de la misma: «La diputación nombrada cesos, se le castigará con todo rigor;'h.igasele saber ; y tam por el Congreso ha puesto en poder de S. M. para su san bién al promotor fiscal…</t>
  </si>
  <si>
    <t>Ma, Josef</t>
  </si>
  <si>
    <t>Josef Ma</t>
  </si>
  <si>
    <t>…s leguas Oo'n una partida del re gimiento de S. Carlos, á las inmediatas ordenes del teniente graduado D. Atañasio Rojas, y otra de S. Luis á las del de la misma clase y graduadon D. Josef Ma* ría Castillo, que dieron muerte á 2 rebeldes, é hicieron prisioneros á 6, in cluso en este número el teniente de justicia .del expresado pueblo Agustín Cabeza de Vaca y otros dos empleados en la aduana de los bandidos; que dando en nuestro poder'2 fusiles, 1…</t>
  </si>
  <si>
    <t>…nrGiraldo de Afquelíada, D. Manuei Josef Quintana, D. Bernardo de Borjas y Tarrius &gt; D. Felipe Bausa , D. Miguel Anto nio Zumaíacarregui , ;D.. Juan Palárea, D. Eugenio de Tapia , D. Josef Ma ría Calatrava.,, D. .Vicente Sancho v D^Eugenio A rrieta, D. Ramón Trujillo. Pattido de Fuencarral. D. Isidro López, presbítero. Idem de Getafei D. Crisáuto Josef García Maroto, oura párroco de Idem de Valdemoro, D. Francisco. Herrero y Blanco. Idem de Valdem…</t>
  </si>
  <si>
    <t>…acional los abogados.” sidente el Sr. D. Ramón Giraldo, diputado por la provin Se aprobaron la siguiente adición del Sr. Villanueva: «que cia de la Mancha; para vice-presidente el Sr. D. Josef Ma se exceptúen los maestros de latinidad que enseñan en es nuel Vadillo , que lo es por ¡a de Cádiz, y para secretario cuelas públicas aprobadasla indicación del Sr. Moreno el Sr. D. Antonio Diaz del Moral, diputado por la provin Guerra «que á los exceptuados q…</t>
  </si>
  <si>
    <t>…. Juan Barry, capitán de fragata de la Real armada y demas consortes , sus darme aviso del recibo de esta.” Madrid 30 de Octubre ae hermanos y sobrino, se manda citar y emplazar á D. Josef Ma 1820. ría Barry, voluntario que fue de las milicias provinciales de LITERATURA. Córdoba, y hecho prisionero por los franceses al principio de la última guerra, á sus herederos, ó i la persona que se consi Continuación del ensayo sobre la historia antigua y mo…</t>
  </si>
  <si>
    <t>Ma, Juan</t>
  </si>
  <si>
    <t>Juan Ma</t>
  </si>
  <si>
    <t>…las cuatro y media de aquella tarde: se había jurado en Cádiz la Constitución sancionada por las Cortes generales, y extraordinarias de 1812, autorizando el acto los Exemps. Sres. D. Juan Ma ría de Villavicencio, general en gefe de la escuadra; el del egército y capitán general de la provincia D. Manuel Freiré y demás autoridades, y mandando cesar las hostilidades entre las tropas de S. M. y las que se hallaban en la Isla, de León. A consecuencia…</t>
  </si>
  <si>
    <t>…exposición de D. Prós tándola á la capacidad y dialecto de los que le oyen. pero García, vecino de la villa de Muro. Madrid t6 de Octubre. A la segunda de idem otra exposición de D. Juan Ma &amp; M. ha despachado hoy con el Sr. secretario del nuel de Zamudio, alcalde constitucional de Zafra, maní-, Despacho de la Guerra. festando las dudas que tiene acerca de si puede ó no ser juez de primera instancia D. Josef Ponce de León, por tener CORTES. causa…</t>
  </si>
  <si>
    <t>…le dejó en libertad, después de pro Se mandó pasar á las comisiones de Hacienda y Co meter que ó la mañana siguiente se presentaría á la policía; mercio reunidas una exposición de D. Juan Ma rx o t, fabri pero no lo ha hecjro, ni se .sabe de el. Mr. Pearson acusa á cante de pieles charoladas en esta corte, pidiendo se aumen Franklin de alta traición, añadiendo que tiene pruebas de tasen los derechos de ertWatto al género de" esta'dase pro que lia…</t>
  </si>
  <si>
    <t>…la oficina de D. Luis Carreras, y remitido pa SECRETARIA DEL CONSEJO DE ESTADO. ra su calificación por el juez de primera instancia de dicha Cuenca1 del Perú. Por fallecimiento de D. Juan Ma capital D. Juan Manuel de Moya , á petición de D. Jacin nuel Díaz de Avecillas ha quedado vacante la dignidad to Cuarrero, denunciador del artículo inserto en dicho nú de deán de aquella santa iglesia catedral que obtenia en ella; mero, bajo el epígrafe Refle…</t>
  </si>
  <si>
    <t>Ma-</t>
  </si>
  <si>
    <t>…rvar las reglas que van designadas, se reducirán al haber dentes. , . : - que les'toque por ellas, y á los mismos descuentos y con A la que entiende en el asunto, la siguiente del Sr. Ma- tribuciones sin diferencia' ninguna................. * gariño: «que se hagan también extensivas las medidas toma 9.® El cetantc y jubilado que quiera capitalizar,'con das respecto de la exportación de frutos para la isla de Cuba', sultando las tablas dé la pr…</t>
  </si>
  <si>
    <t>Ma-, Torre</t>
  </si>
  <si>
    <t>Torre Ma-</t>
  </si>
  <si>
    <t>…de Comercio y Agri Se mandó pasar á la comisión de Guerra una représen cultura. tacíon de D. Plácido Ilenriquez y otros compañeros, en la A las mismas comisiones se pasó otra de! Sr. Torre Ma- que hadan presente que habiendo salido del cuartel de Guar xin, leída por primera vez en el dia T2 , dividida en dos ar dias de la Real Persona de S. M. . á cuyo cuerpo pertene tículos: el x.° dice que se prohíba la introducción de trigo cían, para reunirse c…</t>
  </si>
  <si>
    <t>Macedonio, Luis</t>
  </si>
  <si>
    <t>Luis Macedonio</t>
  </si>
  <si>
    <t>…e Julio expidió S. A. R. nuevo de Madrid 3 de Agosto. creto, nombrando al general Carrascosa ministro interino de SS. A A., continúan sin la menor novedad en su imporla Guerra; al caballero D. Luis Macedonio ministro inte tante salud.rino de Hacienda; al conde D. Josef Zurlo ministro de Negocios extrangeros, y al caballero D. Rugiero Settimo CORTES. ministro de Marina. ' En el mismo dia 9 se publicó otro decreto, creando una Sesión del 3 de Agosto. Junta provisio…</t>
  </si>
  <si>
    <t>Madariaga, Fermiu de Mendialdua y</t>
  </si>
  <si>
    <t>Fermiu de Mendialdua y Madariaga</t>
  </si>
  <si>
    <t>…da cuenta. la comisión, demostró no solo que era exacto el cálculo El Sr. Pajarea presentó dos memorias, la primera del del Sr. Alvarez Guerra, sino que habia presentado el emprés coronel D. Fermiu de Mendialdua y Madariaga sobre esta tito bajo el único aspecto que debia. Hizo ver con los do blecimiento de colegios militares, y la segunda de D. Fran cumentos que acompañaban al dictamen que no se habiá cisco Condela y Alarcon, cura párróco de Muñera, sobre omitido medio alguno; p…</t>
  </si>
  <si>
    <t>Madrid, Cano Ma</t>
  </si>
  <si>
    <t>Cano Ma Madrid</t>
  </si>
  <si>
    <t>…l de 1812, opinaba que se le debía de de «señalar el dia 30 en lugar del 10.” clarar en aptitud de obtener su plaza en la audiencia de Se ley ó después la siguiente indicación del Sr. Cano Ma Madrid y en cualquiera otra. nuel, «que las Cortes resuelvan si á los pueblos cuyos veci Se oyó con particular satisfacción el parte comunicado nos manifiesten que no pueden pagar en dinero, pero sí en por la secretaría de la Gobernación de que SS. MM. conti granos,…</t>
  </si>
  <si>
    <t>Madrid, La</t>
  </si>
  <si>
    <t>La Madrid</t>
  </si>
  <si>
    <t>…ntribuían; y según la publicación de las listas, debe Se leyó el acta de la anterior. preceder un mes á lo menos á la apertura de las juntas; Juró y tomó asiento en el Congreso el Sr. La Madrid, por lo que es físicamente imposible que se convoquen antes diputado suplente por Bú gos. de fines de Octubre. Se mandaron archivar los egemplares remitidos por el mi Semejantes rumores son pues verdaderos sueños de los nisterio de Hacienda del decreto relati…</t>
  </si>
  <si>
    <t>Máéstre, Francisco de Paula</t>
  </si>
  <si>
    <t>Francisco de Paula Máéstre</t>
  </si>
  <si>
    <t>…erales, á sus respectivas profesiones. Yause han dado á esta fecha dos certámenes públicos, en los que han acreditado, los 'alumnos sus adelanta mientos, y el director., que lo es D. Francisco de Paula Máéstre,’ sú esmero en la instrucción que ha proporcionado á aquellos. Madrid $ de Muero, El dia 12 del pasado tuvieron la honra de felicitar á 5. M. por su augusto . enlace, ¡á nombre del cuerpo de maestrantes de Ronda* el Exorno Sr. Don Francisco Quejpo de. ldano,…</t>
  </si>
  <si>
    <t>Magalhaes, Gaspar Teijeira de</t>
  </si>
  <si>
    <t>Gaspar Teijeira de Magalhaes</t>
  </si>
  <si>
    <t>…do al general Laceruna parte notaría aquel arrejo imprudente y arriesgado que da el siguiente oficio: : inspira la inocencia ; y por otra la precipitación de un fal limo, y Excmo. Sr. D. Gaspar Teijeira de Magalhaes so zelo, y una aparente osadía , mezclada con un gran te y Lacerda. mor. En medio de sus reflexiones sobre la sociedad , la «Viendo el pueblo de esta capital que la junta prepara Constitución y las leyes orgánicas que la componen, llora toria de Cortes no ha…</t>
  </si>
  <si>
    <t>Magalhnes, Gaspar Teixeira de</t>
  </si>
  <si>
    <t>Gaspar Teixeira de Magalhnes</t>
  </si>
  <si>
    <t>…de quintos el de 7200; dejando el aumento de suel «Que se entregue el mando de toda la fuerza armada dos de las clases superiores, que no se halMn tan mal do del reino al Exento. Sr. D. Gaspar Teixeira de Magalhnes tadas, para cuando se aprueben los de la hacienda militar; ■y taccrda. (Siguen las firmas de la tropa, del jaez del y no proveyéndose ninguna de las vacantes que en lo suce pueblo y del escribano.)'' sivo puedan ocurrir en las clases subalternas hasta que se…</t>
  </si>
  <si>
    <t>Maganño</t>
  </si>
  <si>
    <t>…nales, bajo veniente. c aiquier nombre que sea , se es.ablezca este reglamento , ex Los suscriptores á la colección de obras de Mistres Bennet, cepto en la isla de Cuba.” Otra del Sr. Maganño, pidiendo ó historia de la heredera del pais de Gales y la Niña mendiga, »»q .e para evitar la discusión se nombre una comisión espe acudirán á recoger el tomo 11 y pagar el importe del rz, ó ios cial ile naturales de Ultramar, que se una á la de milicia na d…</t>
  </si>
  <si>
    <t>Magariño</t>
  </si>
  <si>
    <t>…sin embargo del mérito conocido infracción de Constitución , se habia sustanciado á tu favor. de los vocales de la Junta, se opuso á la indicación dél Se leyó una proposición del. Sr. Magariño, pidiendo se Sr. Martínez de la Rosa, fundado en que la calificación de decretase amnistía general para la España ultramarina, y se una corporación exigía mucha madurez, aunque fuese jus invitase al Rey á que diese, las órdenes competentes, á fin ta i recorda…</t>
  </si>
  <si>
    <t>…e dijo que cuando salía del Callao en-, tida la proposición por 75 votos contra 56 ; y tampoco fuá traban las 3 fragatas sin novedad á los 19 dias de navegación. admitida otra del Sr. Magariño sobre el mismo asunto. Se leyó un oficio del ministerio de la Gobernación, con que remida una exposición de la diputación provincial de Segovia en solicitud de la abolición de los diezmos, la cual ANUNCIOS. se mandó pasar á las comisiones reunidas de Hacienda…</t>
  </si>
  <si>
    <t>…exige. Se les condena en todas las Se leyó el dictamen de la comisión de Uhramar dado costas camadas y que se causen hasta que tenga cumplido sobre la proposición que pre entó el Sr. Magariño en la se efecto todo lo mandado. El Sr. D. Josef Martínez Mossión del ió de Julio pa-ado (veuse) para que se concediese coso, ministro togado de la audiencia territorial de Castilla una amnistía general para toda La España ultramarina. La la Nueva, y juez de…</t>
  </si>
  <si>
    <t>…rillo por 78 de 126; y en clase de eclesiástico D. Ramón residencia, según mas les acomode.” •Cabrera por 94 de 120. Se aprobaron también los artículos 4.3.° y 6.° Se concedió al Sr. Magariño el permiso que pedia el ca 4.0 «Si el número de licencias que se pidan fuese mayor pitán general de esta provincia para que certificase sobre los que el de oficiales sobrantes de cada clase en las respectivas particulares que citaba. armas, solo disfrutarán d…</t>
  </si>
  <si>
    <t>…te.” de redentores, efectivamente podrían no ser útiles, como lo ‘ A la misma comisión se mandó pasar otra indicación prueba la experiencia ; pero que considerándolos como men del Sr. Magariño para que informase con brevedad acerca dicantes , tai vez. seria un gravamen aL erario la supresión de la idea que proponía , á Jin de conciliar los intereses y de estas órdenes. Por fin declarado el punto suficientemen necesidades del Gobierno y de los acree…</t>
  </si>
  <si>
    <t>…rse en La comisión, continuó, no creía que fuese desairada la farmacia, pagando los derechos de dispensa como promete. declaración, pues no la proponía para que se pudiera revo El Sr. Magariño presentó, en vista del estado actual de car por ningún tribunal, muy convencida por una triste ex las provincias del Rio de la Plata, en Ultramar, las tres in periencia de la necesidad de que las Cortes velen de un mo dicaciones siguientes: do activo en la co…</t>
  </si>
  <si>
    <t>Magariño, Francisco</t>
  </si>
  <si>
    <t>Francisco Magariño</t>
  </si>
  <si>
    <t>…, á los marineros casados y sol temala, y D. Francisco Carabaño, por Venezuela; y no ad eados retirados, bajo la condición de hacer algunos plantíos mitieron la excusa dada por el Sr. D. Francisco Magariño, de árboles &amp;cc. diputado suplente por Buenos-Aires. Otras siete del Sr. Banqueri, que pidió se tomasen en Se aprobó el dictamen de la comisión de Hacienda, re consideración con urgencia, por lo que se interesa en ellas lativo á la exposición documentada que…</t>
  </si>
  <si>
    <t>Magariños</t>
  </si>
  <si>
    <t>…e las capitales antecedentes, se pasó una exposición de la duquesa viuda de provincia las reuniones patrióticas. de Hijar, pidiendo se la mantenga en la posesión de sus Y otra del Sr. Magariños, en que á fin de asegurar la rentas, que se negaban á pagar los vecinos ae algunos pue libertad individual, proponía se nombrase una junta protec blos de su señorío. tora qué hiciese la parte del acusado en los juicios de liber - &gt; A la misma se pasó la expos…</t>
  </si>
  <si>
    <t>…scusión la mica , y que se incorporasen la botánica y agricultura. indicación referida. El Sr. Janer apoyó con las mismas reflexiones la sepa A la comisión se mandó pasar otra del Sr. Magariños, ración de ■ las- cátedras de mineralogía y de qaímica ,:arten- que deera::..MQue-se.establezca'universidad-de* provincia pa diJa la utilidad de la mineralogía en un pais tan montuo ra la segunda enseñanza en Montevideo y Córdoba , como so como la España. per…</t>
  </si>
  <si>
    <t>Magaviño</t>
  </si>
  <si>
    <t>…ar la comisión del Gobierno interior sobré opiuior. que de pues apoyo el Sr. Sierra Lambley. señalar parage donde estuviesen los taquigralos de loype- Se lepó otra proposición del Sr. Magaviño para quede riodistas , los que no era extraño oyesen mal á los dipu lo5 cuatro eclesiásticos designados por la Coirtitucion al tados, cuando muchas veces dentro ael saion mismo no se cornejo de Estado', dos, ó cuando ineoos uñó, íue.en áme.oían estos. ■ rica…</t>
  </si>
  <si>
    <t>Magdeburgo, Escriben de</t>
  </si>
  <si>
    <t>Escriben de Magdeburgo</t>
  </si>
  <si>
    <t>…n la conspiración militar; ayer se le tomó declara marchar después á Roma á continuar sus estudios. ción por la cornil ion de Estado. A la especial de Fuerza armada una memoria de Don Escriben de Magdeburgo que el general Carnor,que vi Vicente Lerin y Calvo, individuo del cuerpo de Guardias vía en aquella ciudad, había desaparecido repentinamente; de la Real Persona, sobre reforma de este. y de e-ta fuga, acaecida en 31 de Agosto, quieren algunos Se dio el curso…</t>
  </si>
  <si>
    <t>Magos</t>
  </si>
  <si>
    <t>…Josef Cristóbal Villaseñor.= Sr; brigadier y comandan te general D. Melchor Alvarez.” S. E. ha mandado que en nombre del Rey nuestro Señor se despache li Real cédula de indulto al doctor Magos, y á los que se presentaron con éli que se den las gracias también á nombre del Rey al bizarro teniente coronel 3L&gt;. Miguel Barragan y á toda su valiente sección ; esperando recibirlos por-» menores de la acción para premiar á los que se hubieren distinguido…</t>
  </si>
  <si>
    <t>Magos, Josef Antonio</t>
  </si>
  <si>
    <t>Josef Antonio Magos</t>
  </si>
  <si>
    <t>…oíícígl original .del teniente i coronel D. Josef Cristóbal Villaseñor, en que me manifiesta los ‘buenos y útjles ser-í vicios egecutados en obsequio de ia justa causa por él Dr. D. Josef Antonio Magos, y, en virtud de ellos los elevo al superior conocimiento de V. E.tef comeada adóselos, cotúo os justo. . / ’ ó!,., - 1. ! t;I „ Dios guarde á V. É. muchos años. Queretaro Agosto,25 de 1819.3 Excmo. Sr.. = Melchor Alvarez. = Excmo. Sr. vírey conde.del Venadit…</t>
  </si>
  <si>
    <t>…n el anterior. ,, Tengo la satisfacción de participar á V. S. que eñ esté momento, que Son las njr de la noche, se mor ha presentado, implorando la Real gracia del indulto, el Dr. D. Josef Antonio Magos, titulado teniente general, y coman dante en gefe de las gavillas de la Sierragorda, y en su compañía un capitán y;4 soldados, y. .lo hubiera verificado con un considerable número si no lo hubiese impedido la total dispersión de los rebeldes de la mencionada…</t>
  </si>
  <si>
    <t>Magos, Joséf Antonio</t>
  </si>
  <si>
    <t>Joséf Antonio Magos</t>
  </si>
  <si>
    <t>…-, alférez y xomandante D. Carlos BenavidesP -r Parte del teniente tQttmkl'pté- Jvsef Gristohalctfillaseñor. ;,En el momento que se presentó ádisfrutárTaRealgracia del- indulto el doctor D. Joséf Antonio Magos ¿ convenimos en qué‘escribiese á Megía con vidándole con el indulto ,, cuya carta conducta el bachiller I&gt;. Joaquín Alvarez, vicario del pueblo de Tiérrabláñéd* quien con su acostumhyado zelo y eficacia desempeñó este encargo;, siendo el resultado que ahora,…</t>
  </si>
  <si>
    <t>Magrat, Vicente</t>
  </si>
  <si>
    <t>Vicente Magrat</t>
  </si>
  <si>
    <t>…de f-Jcaíaloiv. T'n"i 7'# T Asimismo ha conferido S. M. interinamente el gobierno militarle la plaza de Jaca al mariscal de campo D. Felipe Perena ; ehde la de Tortosa al coro nel D. Vicente Magrat; el de la de Figueras al brigadier D. Josef de Igle sias; el de la de Hostalrich al coronel D. Pedro Perena, y la comandancia militar de la provincia de Asturias al coronel D.\ Ramón de la Pola. El Rey, ejn consideración al distinguido mérito y particulares s…</t>
  </si>
  <si>
    <t>Mahelin, Agustín</t>
  </si>
  <si>
    <t>Agustín Mahelin</t>
  </si>
  <si>
    <t>…er conriderados como tales en las propuestas de las plazas ayuntamiento de esta M. H. villa sobre el proyecto presentado que deban.proveerse en ellos, por reputárseles como em por D. Agustín Mahelin para el establecimiento de una asocia ción de seguros recíprocos contra incendios. Se hallará de ventapleados efectivos equivocadamente; se ha servido resolver en la librería de Calleja. Esta causa es la de todos los propietapor punto general que todos los ge…</t>
  </si>
  <si>
    <t>MahL, Nicolás</t>
  </si>
  <si>
    <t>Nicolás MahL</t>
  </si>
  <si>
    <t>…te dicho destino: igualmente ha nombrado para la capitanía general de Castilla la Vieja ál te niente general D. Tomas Moreno; y para la de las Islas Baleares al de la propia clase D. Nicolás MahL Por decretó de 22 ffé Abril próximo pasado ha conferido S. M. la inten dencia de la provincia de Santiago de Cuba á D. íelix Bourman, ministro de las1 cajas nacionales de Valladolid de Mechoacan. JE7 Ret se ha servido aprobar el siguiente reglamento je ara la dir…</t>
  </si>
  <si>
    <t>Mairland</t>
  </si>
  <si>
    <t>…en á necesaria alguna seguridad, sea solo grillete, precediendo la protección otorgada por los ingleses al célebre Alí. El mandato del juez respectivo; últimamente que si no se hu general Mairland, gobernador de las islas Jónicas, se ha biesen destruido ya los potros y demas instrumentos que an puesto de acuerdo con el comandante turco para destruirle. tes se acostumbraban para dar rormento á los presos, man de se verifique inmediatamente su destrucció…</t>
  </si>
  <si>
    <t>Maitland</t>
  </si>
  <si>
    <t>…s, de . 20 años ño se'encenderán' partido para Liorna el día 13 A las tres de la tarde en el ya estas abominables, hogueras.” Se ha i pensado 1 sabiamente navio ingles le Veneeur, capitán Maitland, con la intención enseñar antes á las. niñas-indianas nacidas de,.padres ingle de dirigirse á Laibach, y defender la causa de la nación ses, las cuales; conociendo la lengua del país, pueden ert' lo: napolitana. Ya anteriormente cí día to habia expedido, un s…</t>
  </si>
  <si>
    <t>Maitland, H.</t>
  </si>
  <si>
    <t>H. Maitland</t>
  </si>
  <si>
    <t>…stán en las islas Je nicas. Él general Müans llegó á Gibraltar procedente de Bue El conde Bathurst defendió con energía la conducta del nos-Aire*, y ha llegado aquí pocos días ná. general H. Maitland, gobernador de aquellas islas; y por Pamplona 26 deJulio. último fue aprobada la proposición del lord Lauderuale. En todas las escuelas de esta ciudad se explica la Cons Se ha discutido en la Clamara de los Pares la remisión titución, inspirando á la juventud…</t>
  </si>
  <si>
    <t>Makia</t>
  </si>
  <si>
    <t>…misionado para que en su. nombre y el de los habitantes de la misma felicitemos á V. M. con el plausible motivo del venturoso y deseado enlace de V. M. con la Reina nuestra Señora Doña Makia. Josefa Amalia de Saxonia. Cumpliendo nuestro encarga tributamos</t>
  </si>
  <si>
    <t>Maldonado, Francisco Xa-res</t>
  </si>
  <si>
    <t>Francisco Xa-res Maldonado</t>
  </si>
  <si>
    <t>…sil franceses, qué estuvieron avencidados en esta capital hasta et año de 1812, seguían pleito por el juzgado*que entoñees deSpádhaba D. León de Sagasta, y escribanía numeraria de Don Francisco Xa-res Maldonado., sobre pago de una cantidad que Jes debía D. Francisco Villagrasa; y en parte de satisfacción de ella se les adjudicó una-cava en Ja calle de ia Paloma, señalada con el num.i.° de la matiz. 109. Ahora; la viuda y heredera .del referido Villagrasa han hecho -…</t>
  </si>
  <si>
    <t>Malmonge, Gabriel</t>
  </si>
  <si>
    <t>Gabriel Malmonge</t>
  </si>
  <si>
    <t>…desde los argonautas , que en que instituyó por herederos á sus dos hermanos D. Josef y arribaron á las márgenes del Ister (el Danubio), hasta la Doña Bernarda Fernandez, muger de D. Gabriel Malmonge, conquista de estas costas por Mahomet 11, ha tenido que que se dice han fallecido; y por tanto se emplaza á los q'ue luchar con la dificultad de incluir en un mismo cuadro la tengan derecho á la misma herencia para que dentro de 9 días, historia de 80 pueblo…</t>
  </si>
  <si>
    <t>Malo, Manuel López</t>
  </si>
  <si>
    <t>Manuel López Malo</t>
  </si>
  <si>
    <t>…en el recurso mitió á discusión. de fuerza de las providencias del juez de la Real capilla , in Se mandó pasar á la comisión de Hacienda un oficio del troducido por el presbítero D. Manuel López Malo, opi ministro de este ramo, manifestando Los perjuicios que se nando la comisión que, con arreglo á la facultad designada seguían de no llevarse á efecto el decreto de S. M., en que por la Constitución al expresado tribunal, solo podía este interinamente reso…</t>
  </si>
  <si>
    <t>Mamar, Mariano</t>
  </si>
  <si>
    <t>Mariano Mamar</t>
  </si>
  <si>
    <t>…ria, D. Josef Antonio Arriba, D. Diego Gastambide, Don Termin Antonio Arriaga, D. Antonio Lázaro y Pozo, D. Pablo González, Don Francisco Xavier Guerra Balboa, D Juan de la Torre, D. Mariano Mamar, Don Juan Pió Jaén, D. Manuel Vacas y Pinilla y los señores Balmaseda ¿ hijo, últimos tenedores de 37 vales, citación de fi.° dc Enero de 1809., señalados: 9 de ñocrpesos con los números 365,061; 365,483; 366,553; 369,205; 369,421; 374,623 5 374.7435 374,907…</t>
  </si>
  <si>
    <t>Man</t>
  </si>
  <si>
    <t>…una elocuente y enérgica proclama ha exhortado tidos por el ministerio de Gracia y Justicia, uño sobre dis por segunda vez á los vecinos de aquella ciudad á que se pensa de edad á D. Man el Galarza para administrar sus alisten en la milicia nacional: «¿Necesitáis, dice, egemplos bienes, y otro de los alcaldes de esta muy heroica villa, «que seguir? Barcelona cuenta 80 milicianos. ¿Y Sevilla?..... acompañado de una consulta del tribunal suprem…</t>
  </si>
  <si>
    <t>Manae, Josef Fernandez</t>
  </si>
  <si>
    <t>Josef Fernandez Manae</t>
  </si>
  <si>
    <t>…con la Constitución el privilegio Otra memoria sobre armamento y vestuario, dirigida que. antes gozaban de franquicia de estos derechos , la Junta por el teniente coronel retirado D. Josef Fernandez Manae dirección y gobierno, hecha anualmente con la debida cheño. economía una exacta regulación de la cantidad á que po Resolución de varios problemas de los circulados por la drían ascender estas utilidades, caso de hallarse en vigor junta, presentada por una com…</t>
  </si>
  <si>
    <t>Mancebo, Juan</t>
  </si>
  <si>
    <t>Juan Mancebo</t>
  </si>
  <si>
    <t>…nabé Díaz, sargento 2.° de Otra en el citado campo , de^4 robps.y 2 almudes, ¿a dragones de la Reina; Vicente Salcedo , cabo 1.“ de ídem; la misma jurisdicción , en 330 rs. ■ . .. D. Juan Mancebo, subteniente del i.° de Guardias españo Otra en idem , de S£ robos, jurisdicción de la expre las ; D. Domingo Careaga, capitán graduado de Navarra; sada ciudad de Tudela, en 85b rs. D. Manuel Cisneros, coronel de las Milicias provinciales de .Otra landa en Mo…</t>
  </si>
  <si>
    <t>Manolo</t>
  </si>
  <si>
    <t>…o ciones de las Cortes, según de nuevo los protestan en la re próximo pasado haber atacado á Jn cjadri.ía mandada por presentación que han dirigido á S. M. por el ministerio de el capitán Manolo, y haberla dispersado, matándole ocho la Guerra, cuya copia me acompaña V. E.; siendo en su hombres, y cogiéndole algún ganado , armas y caballos. Real ánimo tanto mas estimables estos votos, cuanto que se conforman con los firmes y constantes debeos de su co…</t>
  </si>
  <si>
    <t>Manrique, Joaquín'</t>
  </si>
  <si>
    <t>Joaquín' Manrique</t>
  </si>
  <si>
    <t>…á la Gonístitucíorí en manos del Hx-: oelestíwmo Sr. Gere político ,{ su presidente, los Sre*. D. Vicente Jaudenes, intendente, D. Antonio Marte!, D. Francisco Crespo de Tejada , D. Joaquín' Manrique .y Manrique;, T?. Martin 4e rGoicoecheay el secretario D. Juan Francisco Morate; y los señdres D. Jóséf López Alonso, D. Francisco FernándezGascó y É&gt;. Simón González: Yuste, que por hallarse ausentes no concurrieron aquel dia, prestaron igual juramento el dí…</t>
  </si>
  <si>
    <t>Manrique, Martin</t>
  </si>
  <si>
    <t>Martin Manrique</t>
  </si>
  <si>
    <t>…rse presentado en aquel mismo mes 24 disidentes á á las perdonas y propiedades de los extrangeros, y el otro pedir el indulto. sobre vínculos y mayorazgos. Otro parte del teniente coronel D. Martin Manrique, Se leveron, y fueron oidas Con agrado, tres felicitacio su fecha en Tecalirlan á 27 de Noviembre, refiere que sa nes; la una presentada por el Sr.Isturiz , y dirigida por va liendo á hacer una correría contra el cabecilla Cortés, que rios españoles estableci…</t>
  </si>
  <si>
    <t>Manrique, Tomas María</t>
  </si>
  <si>
    <t>Tomas María Manrique</t>
  </si>
  <si>
    <t>…ud. • Par providencia del Sr. D. Angel. Fernandez de los Ríos, del Conseja de S. M., teniente primero de corregidor de esta muy heroica vilfci, refrendada del escribano del número D. Tomas María Manrique, se cita, llama y emplaza á todos los parien tes de Matías y Rufino Urrutia , hermanos difuntos, naturales y vecinos que fueron de esta corte, y á otras cualesquiera personas que puedan.tener derecho á sus bienes* para que dentro de 30 dias, contados desde el…</t>
  </si>
  <si>
    <t>…rtud de providencia del Sr. D. Manuel Josef Rubio, del Consejo de S. M., teniente corregidor de esta muy heroica villa, refren dada del escribano de S. M. y del numero de la misma D. Tomas María Manrique, se ha mandado sacar á pública subasta por término de 15 dias, contados desde el 2i del corriente, una casa sita en esta corte, calle angosta de S. Bernardo, señalada con el núm. 36 de la manz. 290, que tiene de sitio 3578§ pies cuadrados, tasada en 16 del pr…</t>
  </si>
  <si>
    <t>…a, ó de Doti Felipe Zapata, su marido, para que en el término de 30 dias, contados desde esta publicación, acudan al juzgado de dicho señor juez, y por la escribanía del número de D. Tomas María Manrique, con suficiente poder, á usar de su derecho, y pedir lo que le convenga; entendidos que-'pasádós sin haberlo egecutado les parara el per juicio que haya lugar. Por providencia del tribunal del Consulado de comercio de la plaza de Cá diz se cita, llama y empla…</t>
  </si>
  <si>
    <t>…providencia del Sr. D. Angel Fernandez de los Ríos , juez de primera instancia de esta muy heroica villa,pezaban á discutir las opiniones de cada uno, seria obra in refrendada de D. Tomas María Manrique, ftscribano del núterminable; contestó el Sr. Toreno que negocios dé tfil con mero de la misma, .se ha acordado citar y emplazar á todos lossecuencia requerían previamente la preparación de los- di acreedores que aun no se hubiesen presentado en la testamenta…</t>
  </si>
  <si>
    <t>…por el Sr. D. Julián Díaz de Yela , juez de primera instancia de asta heroica villa , con lecha «El ayuntamiento de Barcelona representó á las Cortes 26 del pasado, refrendada de D. Tomas María Manrique , es que á tíralo de refacción se estaba prestando en aquella ciu cribano del número de la misma, previo examen de la junta de dad al capitán general y á otras varias autoridades cierta adea- censura, que ha calificado por unanimidad de obscenos y contra la s…</t>
  </si>
  <si>
    <t>…ro togado honorario de Ja audiencia de Castilla la Nueva, y juez de primera instancia de esta muy heroica villa, refrendada Ensayo sobre la historia antigua y moderna de la Nue de D. Tomas María Manrique, escribano del número de la mis va-Rusia j estadística de las provincias que la com ma, se cita, llama y emplaza, por término de 30 días, conta ponen ; fundación de Qdessa, su estado actual, su dos desde el en que salga este aviso , á D. Juan Angel de Aramcom…</t>
  </si>
  <si>
    <t>Mansfíeld</t>
  </si>
  <si>
    <t>…ento ha'producido en aquel pais ' sos de ias luces, y d la prosperidad de cuantas socie mucha sensación. dades se han establecido para propagarlas. £1 grande y venerable canciller lord Mansfíeld, en un NOTICIAS DEL REI NO. discurso que pronunció en la causa de Vilkes (que era la Reina Carolina de aquel tiempo, y amenazaba como esta al Oviedo 8 de Diciembre. Parlamenro si se atrevia á adtninistra'r justicia), hizo las re Los habitantes de esta ciudad,…</t>
  </si>
  <si>
    <t>Manteles, Jiían</t>
  </si>
  <si>
    <t>Jiían Manteles</t>
  </si>
  <si>
    <t>…de provincia D. Luis López de Castro, se han mandado sacar i pública subasta por término de 30 dias un pedazo de ttertat labrantía en,el término dc.Húmera, propia del concurso de D. Jiían Manteles, cu-1 ya figura es un polígono- irregular, que á saliente linda con cierras de dicha villa,i. mediodía con la capellanía de Banales, á poniente y norte con el arroyo qué de mera va á Somosaguas, que comprende ^ fanegas y 11 estadales: otro pedazp alj ojtro la…</t>
  </si>
  <si>
    <t>Manteles, Juan</t>
  </si>
  <si>
    <t>Juan Manteles</t>
  </si>
  <si>
    <t>…ultimo y perentorio término de 15 días, que por equidad se Ies concede, contados desde esta publicación, i todos los que se crean con derecho á los bienes concursa dos del difunto D. Juan Manteles, vecino que fue de esta muy horoica villa, para que dentro de dicho término lo hagan con tar en ia audiencia de dicho señor por me dio de procurador con poder bastante; en inteligencia que espirado el referido tér mino se.dará á los autos el curso que corresp…</t>
  </si>
  <si>
    <t>Mantilla, Pedro Benito</t>
  </si>
  <si>
    <t>Pedro Benito Mantilla</t>
  </si>
  <si>
    <t>…dor de esta muy heroica villa, refrendada de D. Pascual Seco, escribano de S. M. y del número de la.misma, se ha señalado para junta de todos los acreedores á la tes tamentaría de D. Pedro Benito Mantilla el dia 21 del presente mes en su posada, y hora de las nueve de su mañana, lo que se hace saber por medio de este periódico á todos los que lo sean; apercibido? de que la falta de concurrencia á dicha junta les pa rará el perjuicio que hay a Jugar. Compendio…</t>
  </si>
  <si>
    <t>Manuel</t>
  </si>
  <si>
    <t>…sta de los se ñores ministros del suprema Consejo de Indias, qüe se pasó á la imprenta Real para insertarla en la nueva Guia de forasteros, dejó de incluirse en la sala primera ai Sr. D. Manuel de la Bodega, á quien corresponde en dicha sala el número 17, y vive" carrera de S. Gerónimo f casa del marques de Ponte jos. Por providencia del Real tribunal del consulado de comercio de Cádiz., dictada en 20 del pasado ante su teniente escribano mayor D. E…</t>
  </si>
  <si>
    <t>…nes corresponda para su debido cumplimiento. = Está rubrica* do.as Palacio 3 de Abril de 1820.2 A D. Pedro Agustín Girón.” Nota. Se ha comunicado este decreto por extraordinario á D. Manuel</t>
  </si>
  <si>
    <t>…a Constitución política de la Monarquía. Tendreislo en tendido , y dispondréis lo ‘Correspondiente á su puntual cumplimiento. = Está Tubricado.=:En Palacios j de Mayo de 1820.^= A D. Manuel 'García Her reros.” 3.0 ,,iIabiendo dado lelrzmente á luz un Niño la Infanta Doña Luisa Car iota, esposa de mi augusto Hermano el Infante D. Francisco de Paula, no lie podido menos de considerar que coincidiendo tan fausto suceso con los primeros pasos de ¡la…</t>
  </si>
  <si>
    <t>…porcionen sus ventas y ajustes; y de este modo se evitarán los abusos de una tolerancia indiscreta en los años anteriores que traía notable perjuicio al país. Por providencia,del .Sr. D. Manuel .Fernandez.Gamboa. juez primero letrado de primera instancia en esta muy heroica villa, refrendada del escribano de su námero, D. Anselmo Xlrdoñéz, se ha mandado citar y. emplazará cualesquiera persona que sé conceptúe con derecho á.los bienes de Doña María T…</t>
  </si>
  <si>
    <t>…s Cortes con el dictamen de la mis tículos, empiecen á contarse desde el dia en que la juró ma comisión de Poderes, aprobaron los de los señores di S. M. putados suplentes electos D. Manuel de |a Bodega y Don Otra del Sr. Vargas Ponce para que se repartan ciertos Antonio de Moya, por el Perú; D. Josef Sacara, por Goaterrenos, divididos en suertes, á los marineros casados y sol temala, y D. Francisco Carabaño, por Venezuela; y no ad eados retirad…</t>
  </si>
  <si>
    <t>…, y para suplente D. León Gil tantas doncellas sorteadas entre las aspirantes; y por la tar Muñoz, el segundo por unanimidad de votos, faltando á de leyó en la asamblea patriótica D. Manuel de la Rocha,' los demas uno. prebendado de esta catedral, un elocuente y persuasivo dis Se leyeron los nombres de [os Sres. designados por el curso , que llenó de halagüeñas ideas al numeroso pueblo que Sr. presidente para componer la comisión especial á que…</t>
  </si>
  <si>
    <t>…laza el 24 del corrientereno, D. Manuel Estrada, D. Manuel Villafañe, D. Lo- Impugnación y observaciones al manifiesto que firmaron los •renzo Vilianueva, D. Juan Andrés Segó vía, D. Manuel 69 diputados de las Cortes ordinarias con fecha de 12 de Abril de 1814. presentada á S. M. en "Valencia de vuelta de su cau -Santurio, D. Anacleto Fagoaga, D. Francisco Redondo tividad por D. Bernardo Mozo Rosales: acompaña también di y D. Felipe Vázquez Cang…</t>
  </si>
  <si>
    <t>…eras viejas; pero sin Goninma, D. Juan Rull, D. Jaime Bosch, D. Serapio San— gefes ni marinería. Tiene ademas unas 30 embarcaciones mer gertnan, D. Francisco Cortés, D. Juan Pons, D. Manuel cantes , y muchos barcos pequeños de cabotage. Forner, D. Francisco Coima , D. Ignacio Torres GolobarMarruecos se halla actualmente sin marina. des, D. Josef Aranijo, D. Josef Antonio Carerach y Don Los periódicos alemanes dicen que Ali-Bajá ha recibido Alejo…</t>
  </si>
  <si>
    <t>…a. Continuó exponiendo lo que de Toderes, y se le concedió la licencia temporal que pedía. bía hacerse para q. itar el pretexto á los malos jueces é igno Se concedió igualmente al Sr. D. Manuel de la Bodega, rantes. Recomendó como medidas útiles el establecimiento diputado suplente por Vigo, el permiso que solicitaba para de una policía saludab e, sin la cual en vano se rrataria de permanecer en Santorcaz con el objeto de restablecer su salud. extin…</t>
  </si>
  <si>
    <t>…eniente, y S. A R. ha ofrecido timo, al príncipe D. Cayetano Bounanni, al prepósito una amnistía general por lo* desórdenes actuales. con ral que P. Palenno, al marques Radusa, al coronel D. Manuel los extraviados vuelvan á la subordinación debida á las le Requesenz y á D. Josef Tortorici. Se dieron varias sabias ve*. Se han expedido al mismo tiempo. por la vía de las providencias,en las que se distinguieron los oficíale*, suma Calabrias , correos á los…</t>
  </si>
  <si>
    <t>…blecimiento de z? ulte')c itta ducale. 45.261.. Una partida de 50 miñones. 64,57S- A la de Infracciones una queja contra el alcalde de Carrion, dada por Valentín Ibañez; y otra de D. Manuel . Teramo...... 98.501.. zo ulte- 5 fPenne.......... 78,424- del Arroyo, vecino de Sigiienza, contra el alcalde segundo rior.. de dicha ciudad. , Palermo....... 264,^32 . A la ordinaria de Hacienda una exposición del ayunta Palermo..^orleon.e-..... 42.529- mie…</t>
  </si>
  <si>
    <t>…in , para que se nombre á Se aprobó igualmente el dicramen cjue presentó la comi la primera cabeza de partido ; y una exporicion de D. Ig sión de Legislación acerca de la queja de D. Manuel de nacio Lázaro-obre extinción del proto-medi cato. Aróstegui y Larrazabal, vecino de S. Sebastian , contra al A la comisión de Premios unas ideas de D, Pedro Alava gunas providencias dé la chancillería de Valladolid en un y otros sobre la generosidad y desin…</t>
  </si>
  <si>
    <t>420</t>
  </si>
  <si>
    <t>…na provincia, Plan general de reforma del estado eclesiástico secular y deberá egecutarlo por medio de la diputación provincial ó regular, que al Soberano Congreso presenta el Dr. D. Manuel de la Pinta , párroco de la villa de Fuentelaencina. Véndese enGefe político de ella, para que este en todo caso la pase Madrid en las librerías de Sojo y de Brttn; y en las principalescon la debida instrucción al Gobierno. ciudades del reino. Siempre que cua…</t>
  </si>
  <si>
    <t>…que entró ayer, Acuña, Solana y Vadillo , contrarios á la resolución de no procedente de Guayaquil en ico dias de viuge , se sabe lo haber lugar á votar sobre la representación de D. Manuel siguiente: Que ya teman noticia de haber jurado el Rey Velasco y D. Evaristo San Migue!. en y de Marzo la Constitución , asi como el acontecimiento Se leyó una indicación deí Sr. Michelena, dirigida á del 10 del mismo en esta plaza: que la fragata Prueba ha q…</t>
  </si>
  <si>
    <t>…ctos. preguntas, no sabia que responder. Citó por egemplos , pri Se suspendió la discusión mientras juró y tomó asiento mero el no haber sabido decir cuántas horas habia andado el Sr. D. Manuel de la Bodega, diputado suplente por Lima. cierto dia, si ocho ó cuatro, excusándose con que no lleva El Sr. Gisbert apoyó la indicación deí Sr. Villanueva, ba relox; y segundo que cuando se le preguntó cuánta era apoyado en los buenos resultados que obtuviero…</t>
  </si>
  <si>
    <t>…deración á los Discurso pronunciado en la sociedad patriótica constitucio méritos militares, particulares servicios y persecución que nal de Badajoz el dia 9 de Julio de «820: por D. Manuel de la ha sufrido por adicto al sistema constitucional, al capitán Bocha. Véndese en la-librería de Villareal y Paz. SUPLEMENTO</t>
  </si>
  <si>
    <t>…neda, de procurador, con poder bastante, á decir de su justicia en los actuado de haber servido al intruso, se ha servido S. M. de autos que en el juzgado de primera instancia del Sr. D. Manuel clararle diurno de cuantas gracias le hayan podido corres Fernandez Gamboa , ministro cesante de la extinguida sala de señores alcaldes, y por la escribanía de provincia de D Valdo-ponder , concediéndole al mismo tiempo reiief y habilita mero Aloraleda , sigu…</t>
  </si>
  <si>
    <t>…r la sincera reunión de todos los in de 8 del corriente me dicen lo que sigue: dividuos que formaron el Gobierno hasta el 10 del corrien «Las Cortes, enceradas de la exposición de D. Manuel te. SS. EE. salieron al balcón del palacio, en donde dieron de Tejada y D. Josef lbarra , bachilleres á claustro pleno en gracias por estos sinceros obsequios entre mil vivas y acla ambos derechos, en que manifiestan que con motivo del de maciones. Hacía las…</t>
  </si>
  <si>
    <t>…a, y que la ley se encontrará en su Loen. dor de Cruzada; D. M mee! Cisneros , D. Francisco Perez Los pueblos están persuadidos que lo que dice un sacerdo Gayo, D. Joaquín Lazada, D. Manuel de los Ríos y Sa te es lo que debe decir, y lo que ellos deben practicar. Un ladar, y D. Carlos Milne. solo sacerdote convirtió al pueblo de Neocesarea del Ponto, como fue S. Gregorio el Milagroso, y otro perdió una na ción entera como el cardenal Volseo. Si…</t>
  </si>
  <si>
    <t>Manuel, Antonio</t>
  </si>
  <si>
    <t>Antonio Manuel</t>
  </si>
  <si>
    <t>…uando antes de la revolu Andalucía baja, ó que se le señale tribunal donde se le oiga. ción se hacia recaer sobre los consumos, y cuando la Ingla A la de Poderes una exposición de D. Antonio Manuel terra percibe sobre estos las tres cuartas partes. Estos resul Pombo, elector de Ultramar, manifestando que D. Anto tados demuestran la diferencia de los sistemas : no me ex nio Nariño, diputado, no puede egercer este encargo por tenderé á examinar cual sea e…</t>
  </si>
  <si>
    <t>Manuel, Antonio Cano</t>
  </si>
  <si>
    <t>Antonio Cano Manuel</t>
  </si>
  <si>
    <t>…y persecuciones que ha sufrido por adicto al sistema constitucional. El Rey se ha servido nombrar para presidente del tribunal supremo de Justicia ai consejero de Estado honorario D. Antonio Cano Manuel; y para ministros del mismo tribunal á D. Francisco Nogués, D. Benito Hermosilla, D. Francisco Xavier Caro, D. Francisco Alfonso de Tuero, D, Josef Calatrava, D. Pedro Silves, D. Antonio V ilíaurrutia, D. Ramón Giraldo y Don</t>
  </si>
  <si>
    <t>Manuel, Cano</t>
  </si>
  <si>
    <t>Cano Manuel</t>
  </si>
  <si>
    <t>…quella presentase , para manifiesto, dirigido á desvanecer las imputaciones de la ma evitar, que olvidando algún particular, se di atase el asunto. lignidad y de la ignorancia. El Sr. Cano Manuel propuso ademas, y se aprobó, que se Se mandó pasar al Gobierno una exposición del director mandase al ministro de la Gobernación, que en unión con del hospicio de León, presentada por el Sr. Lobato, sobre el de Hacienda , examinase las medidas que debían adop…</t>
  </si>
  <si>
    <t>…o y otro de plata, con el deuda. El Sr. Sierra l’arnbley pidió que se pasara á la co objeto de que se sirviese de alguno ae ellos en el dia memo misión de Hacienda. A petición del Sr. Cano Manuel se rable de la apertura de las Cortes; y salió con efecto para lejro; y habiendo indicado el Sr. Oliver que se imprimiera Madrid , donde habrá tenido el honor de ofrecer este rasgo para que se enterasen los diputados, se acordó asi, y que de industria español…</t>
  </si>
  <si>
    <t>…Cortes, y haciendo algunas obser creta dirigido á la extinción total de los regulares. Deshecha vaciones sobre dotar los curatos incongruos, con lo que se esra equivocación por el Sr. Cano Manuel , opinó también aumentaría la confianza del pueblo, y se afianzaría el siste que se litni ara la comisión ádnr dictamen sobre el caso pre ma constitucional: fue oida con agrado, y mandada pasar á sente, reservando el suyo sobre e¡ punto general, cuyo ex la co…</t>
  </si>
  <si>
    <t>…sin tocar á la patria, que reclama de sus b enos hijos nuevos esfuerzos, la Constitución-, pues no se necesitaba. para a'-egurar los bienes inestimables con que el cielo ha que El Sr. Cano Manuel h¡2o ver q e. el mal sistema de la rido premiar tan largos y heroicos sacrificios Y de Real administración.pública, y la falta de medios para subsistir, erden lo traslado á V. para su conocimiento, y que por Jian sido en España el origen de los malhechores-;…</t>
  </si>
  <si>
    <t>…a lo que acaso seria necesario las vacantes para no faltar al reglamento. Habiéndose opues echar mano de medios ruinosos que gravitasen sobre la par to el Sr. Yandiola, explicó el Sr. Cano Manuel las razones te productiva. que habia tenido la comisión para sentar el dictamen, y El Sr. secretario de la Gobernación manifestó que se ha quedó este aprobado. bia atacado el plan por el punto q :c menos esperaba, pues Se aprobó otro de la misma comisión, red…</t>
  </si>
  <si>
    <t>po, y n! aun se esperó la consulta pedida al consejo de Cas El Sr. Cano Manuel contestó á sus observaciones, re tilla ; sirviendo de apoyo una copia simple.que se suponía cordando que esto era de la mayor trascendencia, ademas de ser exacta y conforme con un original que no había pa injusto, porque los jesuítas que han regresado de Ital…</t>
  </si>
  <si>
    <t>…rto, algunas explicaciones acerca de la planta de la Bernardos de Santa María de Oña. secretaría del Despacho, ocupaciones de los individuos que Se concedió licencia por un mes al Sr. Cano Manuel componen el archivo de Indias, con una idea, aunque ligera, para pasar d Miraflores de la Sierra por hallarse atacado de del progreso de sus trabajos. Se extendió en el objeto y una caries en el rostro. estado de las misiones, el extravío de muchos de sus in…</t>
  </si>
  <si>
    <t>…n, la estudien, v no seduz Oliver, Loizaga, Benitez, Fagoaga y Yandiola, y para la can al pueblo con especies injustas é inciertas. ílabló de los de Legislación , por ausencia del Sr. Cano Manuel, el señor muchos jueces de primera instancia ineptos y malvados, que Gaseo. aun existen , de que podria ofrecer datos , y de la necesi Se dio principio á la discusión de los artículos presenta dad de separarlos, sustituyendo jueces íntegros y estudio os, dos…</t>
  </si>
  <si>
    <t>…e la planta de la secre-aría del Des tamen de la comisión de Hacienda, dando principio con la pacho á lo decretado por las Cortes ordinarias de 1814. lectura de una indicación del Sr. Cano Manuel, en que pe 2d «Deberá fijarse conforme ai art. de la Consti dia que sin perjuicio de las contratas que hubiese hecho el tución el número de buqceslde la marina militar que deben Gobierno, fijava el Congreso, como base preliminar para las armarse ó conservarse…</t>
  </si>
  <si>
    <t>…eferido ministro, opinaba debían Se procedió en seguida á la elección de presidente, sa ábolírse las medias anatas de los empleados. Votado por cando el Sr. Calatrava 43 votos, el Sr. Cano Manuel 19 , el. partes este dictamen, quedó aprobado en su totalidad. Sr. Ciscar 60, y el Sr. Sancho 12; y no habiendo ■ reunido El Sr. Ezpeleta hizo las dos indicaciones siguientes: ninguno de ellos la mitad mas uno, se procedió á segunda 1. a «Que el Gobierno no p…</t>
  </si>
  <si>
    <t>…n del expediente, reservando su resolución á las al tribunal supremo de Justicia y demas tribunales y ma Cortes. gistrados inferiores la providencia adoptada para con los Opinó el Sr. Cano Manuel que solo al Gobierno corres consejeros de Estado que hubiesen intervenido en las causas pondía esre negocio, por tener mayores conocimientos en el de los adicros al sistema constitucional, se procedió á dis asunto que se discutía, y poique creía que seria gra…</t>
  </si>
  <si>
    <t>…se admitirán en las posturas; mas comisión de Hacienda (véase la sesión de ayer), leyen que los créditos sin interes.” do el arbitrio 20 , que fue aprobado, como igualmente los El Sr. Cano Manuel se extendió á favor de la opinión arbitrios 21 , 22, 23 y 24. de que debían admitirse exclusivamente los créditos sin ín El Sr. conde de Toreno se opuso á la aprobación del teres para las ventas de fincas., no siendo para él temibles arbitrio 25 , manifestand…</t>
  </si>
  <si>
    <t>…to de las y paguen á la curia romana.” Cortes de Octubre de 1813 , que trata de este particular. El artículo 23 estaba concebido en los términos si Leídos que fueron, manifestó el Sr. Cano Manuel que guientes: la medida que indicaba el citado decreto solo era provisio 23. nLa junta nacional del Crédito público cuidará de nal , y se dirigía á autorizar al Gobierno para la traslación la egecucion de este decrero, y de todos los demas que se de los minis…</t>
  </si>
  <si>
    <t>Manuel, Francisco</t>
  </si>
  <si>
    <t>Francisco Manuel</t>
  </si>
  <si>
    <t>…ado, procurador de los Reates Consejos, que vive en la calle de Toledo, esquina á la de S. Bruno, cum. 1, cuarto segundo. Habiendo fallecido en esta corte en el año pasado de 1813 D. Francisco Manuel de la Hcrrau, vecino y del comercio de lienzos que fue en ella, se hallan pendientes los autos de su testamentaría en el juzgado del Sr. D. Manuel Josef Rubio, del .Consejo de S. M., teniente corregidor de esta muy heroica villa, por la escribanía del número…</t>
  </si>
  <si>
    <t>Manuelciones, Juan</t>
  </si>
  <si>
    <t>Juan Manuelciones</t>
  </si>
  <si>
    <t>…notíe;as que consi D. Luis Carreras,- y remitido para s¡: calificación por el deren necesarias, fortnen con la mayor escrupulosidad rela juez de primera instancia de dicha capital D. Juan Manuelciones exactas de todos los individuos ú quienes comprenda de Moya, á pedimento de D. Alonso Joset León, por la proclama del general Quiroga de 11 de Enero de este quien se ha denunciado el artículo inserto en dicho número, año, y. la oferta hecha por el general Rie…</t>
  </si>
  <si>
    <t>Manye</t>
  </si>
  <si>
    <t>…e casa Reai al ministro togado cesante del.extinguido Consejo* de Indias ¿&gt;. Bruno fallando , y. para la de ar¡til lanía ^.iiigenieEos .yfmiiiciaS' al de la. misma clase y,Consejo D. Manye! María.ds j^rbizu,, .por ahora-y*has;tífe' que se arregle, este asunto ; debiendo entenderse oye estasVase^oríavquedariuii sujetas al orden de instancias, generalmente, .establecidas por la Constitución*;, ,,Y finalmente que en el arreglo de'ías hojas de serv…</t>
  </si>
  <si>
    <t>Manzanares, Salvador</t>
  </si>
  <si>
    <t>Salvador Manzanares</t>
  </si>
  <si>
    <t>…nte r i ,,Excmo. Sr.: A consecuencia de la variación de las circunstancias políti cas han entrado en esta plaza el general D. Francisco Espoz y Mina, el co ronel Peón, el teniente coronel D. Salvador Manzanares, con. otros muchos oficiales y paisanos armados del comercio de Bilbao y Vitoria , y de los que anteriormente habían servido en la división de Navarra , y ahora se hablan idop reuniendo al general Mina. Se ha tomado la providencia de despedir estos úl timos p…</t>
  </si>
  <si>
    <t>Manzanilla, Josef</t>
  </si>
  <si>
    <t>Josef Manzanilla</t>
  </si>
  <si>
    <t>…bibliotecas .y cualesquiera Conformándose las Cortes con el dictamen de la comi otros efectos pertenecientes á la; enseñanza que existan «nr los sión de Poderes, aprobaron los de D. Josef Manzanilla, se colegios de aquellos religiosos, [ó jxjr cualquier.-hítulo-lei gundo diputado suplente por Toledo , llamado -en lugar del pertenezcan, y no estuvieren ya 'destinados al servicio: pú primero D. Plácido Félix Denche. blico ; remitiendo al Gobierno los índic…</t>
  </si>
  <si>
    <t>Mar</t>
  </si>
  <si>
    <t>…rjuicio que haya lugar. ; Por providencia del Sr. D« Manuel Josef Rubio, del Consejo de S. M., teniente corregidor de esta muy heroica villa, refrendada del escribano de su número D. Mar tin óantin y Vázquez, se ha señalado el dia 28 del corriente, de 12 á una»á las puer tas de su audiencia para el remate dé la casa cálle de Buenavista, núm, 9 , manzana 33 » que consta de 2746! pies de sitio, y está tasada en 82,410 rs. vn. En virtud de provi…</t>
  </si>
  <si>
    <t>…ción civil estuviesen solícitas para que no El Sr. Vitorica terminó la discusión proponiendo, que se las mortificase á ¡as monjas. tanto esta indicación del Sr. Lobato como la del Sr. Mar Luego habló el Sr. Cortés, é hizo presente que la indica tínez de la Rosa, se pasase á la comisión Eclesiástica, lo ción def Sr. Gaseo no solo era conveniente, sino que está que efectivamente se aprobó. fundada en ¡a Constitución de la Monarquía española i que Se h…</t>
  </si>
  <si>
    <t>…una que ha portar á la America frutos de la Península en buques ex- cia relación á personas, y otra á sueldo'. Después de los elo trangeros, y con presencia de una indicación del Sr. Mar gios que creia muy debidos al secretario del Despacho de tínez de la Rosa sobre este punto.El dictamen decía: «Que la Gobernación, y que cuando decía que son necesarios 21 se señale el término de tres meses, dentro del cual no so oficiales, sin disputa son ne…</t>
  </si>
  <si>
    <t>…o de la humanidad doliente. Se aprobaron los cinco jeu.ados á Cortes. artículos. Al Gobierno una representación á nombre de 34 pueblos A petición del Sr. Vargas Ponce se nombró ai Sr. Mar de la provincia de Segó vía sobre los perjuicios de haber tel individuo de la comisión de Beneficencia, á la que pa coro ¡suido a Yi!¡aca*tin cabeza de partido, y pidiendo se saron dos indicaciones, una de dicho Sr. Vargas para que traslade al 1 car de S. Gar…</t>
  </si>
  <si>
    <t>…tanciado -con empiece el pago de la'dotación de la Casa Real." Y tam pruebas por parte de dicho Rodrigo , Juan de Dios Brieba, bién otra adición del Sr. Gareíi á la indicación del Sr. Mar su procurador , "y el fiscal de esta audiencia.^:Vistos &gt;&amp;c =: tínez de la Rosa del día anterior. Fallamos que debemos confirmar y confirmamos la sentencia Anunció el Sr. Calatrava que la comisión de Legislación -dada por dicho juez de primera instancia en 29…</t>
  </si>
  <si>
    <t>…e y anteriormente por las Cortes. El Sr. Romero Alpuente solo su familia.” suprimía esto último, fund ¡ndo-e en la misma aprobación, Otra de los Sres. Martinez de la Rosa y López (D. Mar y en qje este juramento es para toda cía e de personas, tan cial) para que se tenga en consideración á la viuda del dipu to ilustradas como ignorantes; pero por fin se declaró sufi tado D. Isidoro Antillon , y se honre la memoria de este, cientemente discutid…</t>
  </si>
  <si>
    <t>…ias, ó por capricho de pudieran librar cuando conviniese á otras personas. parte de algunos jueces, se declara que los que las pronun Se admitieron dos indicaciones del Sr. López (D. Mar cien y sostengan contra la ley expresa y terminante, in cial ), una para que jamas se cargue á los pueblos la manu curren en la pena señalada por el artículo 7 de Ja ley de tención de los reos apresados, y seg inda que las costas de responsabilidad de 24 de M…</t>
  </si>
  <si>
    <t>…sí q :e también por miras políticas fe había propuesto bre el art. i.° en el artículo la supresión de lov monacales, con el fin de Aprobaron el artículo los Sres. Stibrié* López (D. Mar impedir que permaneciendo reunidos, quisieran conservar la cial ), Díaz del Moral, Couto , Sierra l’ambley , ^.rrieta, pretensión de unos derechos que la Nación no les concede. Cortés, Vadillo , Ramonet, Cepero , Ruiz Padrón Mu Q ,e si se alegaba ¡a costumbre…</t>
  </si>
  <si>
    <t>…. y poniéndolos en uso Admitidas á discusión se mandaron pasar á la comisión en el todo, y no en parte, como ahora por abuso se egedo5 indicaciones de los Sres. Vitorica y López ( D. Mar cuta. De Real orden lo digo á V. para su puntual cum cial ); la primera para que los abades y monges de la claus plimiento. Madrid 17 de Agosto de 182®. tral de Aragón y Cataluña continúen disfrutando las pre bendas de que se hallan en posesión, con la obliga…</t>
  </si>
  <si>
    <t>…y 3.0 c anJo en un iniore'o se refiera á crímenes ó maquinaciones tramadas con escrito se intentase destruir la religión, ó introducir otra, tra e! Esradocon la aclaración que el Sr. Mar inez de la que era el caso de que se trataba, y para el que se aplicaba Rosa,' como individuo de la comisión ^ manifestó debía ha esta ley: de todo lo que dedujo que no era necesaria 1a acla cerse, añadiendo después de la palabra «tramadas” estas: ración pedi…</t>
  </si>
  <si>
    <t>…y bien el señor No se admitieron á discusión las indicaciones siguientes: Martínez de la Rosa, se evitaba la influencia del Gobierno, Una de los Sres. Diaz Morales, Gareli, López (D. Mar ademas de que los individuos de los ayuntamientos eran cial) y Diaz del Moral: «que el número de los jurados no nombrados por el pueblo; y asi concluyo apoyando el baje de 100.” dictamen de la comisión. Otra del Sr. Romero Alpuente: «Los jurados sean la ter E…</t>
  </si>
  <si>
    <t>El Sr. Cepero manifestó que siendo una de las víctimas go y complicado de la causa, y conviniendo cón-el Sr. Mar mas perseguidas por los 69 ex-diputados, no podría cul tínez de la Rosa en'que no se verja el fin del procero. - pársele de parcialidad; que en los primeros dias de las se El Sr. Navarro (D. Fernando) se opuso á ella, diciendo siones habia hecho una proposici…</t>
  </si>
  <si>
    <t>…" Si la urgencia ó do, expresados en una exposición dirigida al Congreso. la complicación de circunstancias impidieren que se pueda Se leyó la siguiente indicación del Sr. López ( D. Mar verificar la información sumaria del hecho, que debe cial): »Que las Cortes declaren que los pueblos que antes de siempre preceder, ó el mandamiento del juez por escrito, espirar el término perentorio para pagar las dos terceras que debe notificarse en el act…</t>
  </si>
  <si>
    <t>…mos A V. É. para Se mandó pasar A las comisiones que habían entendido que lo haga AS. M., A fin de que se sirva disponer lo con en el asunto precedente la siguiente indicación del Sr. Mar veniente A su cumplimiento.” tines (D. Javier): «Que sea extensiva la gracia A todas las Lo que de Real orden comunico á V. para su inteli demas pensiones ó prestaciones, que por cualquiera otro gencia y cumplimiento. Madrid 30 de Setiembre de 1820. pueblo ó…</t>
  </si>
  <si>
    <t>Mar, Francisco de Paula</t>
  </si>
  <si>
    <t>Francisco de Paula Mar</t>
  </si>
  <si>
    <t>…Torre Marín que se añadiera; »no sién Turco, en la casa que fue almacén de cristales, cuya ense dola pública subasta, sino ajusta tasación y el jo se apro- ñanza está á cargo del profesor D. Francisco de Paula Mar bó igualmente después de haber reformado la primera parte, tí, y al cuidado de la sociedad económica matritense de or que se dejó en estos otros términos: «en el" caso que el Go den del Gobierno: es gratuita para el público; pero será bierno nombre alguno.de…</t>
  </si>
  <si>
    <t>Mar, Manuel Santos</t>
  </si>
  <si>
    <t>Manuel Santos Mar</t>
  </si>
  <si>
    <t>…entrando al efecto en un exa otorgado en el propio pueblo de Huancayo en 4 de Abril de men muy prolijo del modo de hacerse la recaudación de 1806 ante el escribano público y Real D. Manuel Santos Mar— las rentas del excusado, noveno, cruzada, papel sellado y ticorena. E ignorándose el pueblo de la residencia de los hijos sal, haciendo también presente el recargo de empleados que de los referidos D. Francisco., D. Antonio, D. Josef y D. Nase han establecid…</t>
  </si>
  <si>
    <t>Mar-</t>
  </si>
  <si>
    <t>…sión sobre varios artículos, se apro to. Se pasó á votar, y quedó aprobado. baron todos, excepto el 3.0, quí se suspendió en virtud de No se admitió á discusión una indicación del Sr. Mar- haberse pedido la lectura de un artículo del decreto de aran tel, en que por las causas que expresaba, pedia que el im celes. puesto de lanzas se entendiese solamente por este año, que Se continuó entre tanto la discusión ; y pasando á la dando suprimido para…</t>
  </si>
  <si>
    <t>Mar.inez</t>
  </si>
  <si>
    <t>…comisión en voto particular convienen en que tura acerca de la memoria de unos ciudadanos de Granada, se conceda á todos los emigrados patria, posesión y bienes; presentada por el Sr. Mar.inez de la Rosa, sobre fomento pero no el goce de los derechos de ciudadano, á no ser que del cultivo de cañamo; en él proponia que en las compras y parg ello soliciten carta especial de las Cortes; y creen que contratos no u ase la marina de guerra de otros ciñam…</t>
  </si>
  <si>
    <t>Mar.rnez</t>
  </si>
  <si>
    <t>…us miras no eran otras que las^de ali por el referido ministro al tiempo de leerse por segunda vez viar .i los infelices labradores, sumamente recargados con el la proposición del Sr. Mar.rnez de la liosa, relativa al mis peto de lina contribución enorme como la que cuan sufrien ino objeto, añadiendo que en Aragón habia llegado la bar do ; pero que no se hadaban en el ca*o de que se admi iebaridad á tal extremo, que habían quemado á algunos via— ra…</t>
  </si>
  <si>
    <t>Marchámalo, Francisco</t>
  </si>
  <si>
    <t>Francisco Marchámalo</t>
  </si>
  <si>
    <t>…publicó en la gaceta del jueves 22 del corriente dejó de incluirse por equivocación entre los ministros de l tribuna! supremo de Justicia, y después de -D. Antonio Villaurrutia, á D. Francisco Marchámalo, á quien S. M. había nombrado también para una de las plazas del mismo tribunal. Se desea saber el paradero de D. Jo^ef Camino, natural de Vímianzo, en Gali cia, quien hace algún tiempo pasó á Madrid Se dar razón sobre su paradero, diri giendo; e á O. Ba ilio…</t>
  </si>
  <si>
    <t>Marcial</t>
  </si>
  <si>
    <t>74-6 Calatrava por 25, Quiroga por 68, Giraldopor 57 y López (D. Marcial) por 62. Concluido este acto, se procedió al del nombramiento de la comisión de tres individuos para examinar los poderes de los cinco mencionados, y salieron eléctos los Sres. Cepero por 83 votos , Ramos Arispe por 68, y Bahamoñde por 64. Dióse entonces por…</t>
  </si>
  <si>
    <t>…ados á ellos, previ S. M. ha despachado hoy con el Sr.. Secretario del niendo que fuesen preferidos los militares que acreditasen sus Despacho de la Guerra. méritos. El Sr. López (D. Marcial) hizo otra proposición con Se lian recibido periódicos extrangeros, cuyas noticias objeto de perpetuar el dia 9 de Julio de 1820, reducida á alcanzan , de Londres hasta el 26 de Junio, y de París has erigir una estatua pedestre del Rey , con la Constitución e…</t>
  </si>
  <si>
    <t>…á las necesidades , posibilidad y modo de vivir votar, „ ........ de sus habitantes. - ; 4,° Establecer después que esta contribución se recoja y Con este motivo'él‘-Si'.' López (D. Marcial) hizo la pro posición- tíe qúé ál que jfú.esc p-ado á hablar con vilipendio y*menospreció'dé fa ‘Representación nációiyal, se le obligase (1) El autor de este papel es el intendente de los egereitos á comparecer en la barra, y dar una' satisfacción. nacionale…</t>
  </si>
  <si>
    <t>…renzana, Navas, Ro gran Duquesa de Lúea, y A la descendencia de ambos, de mero Alpuente y Florez Estrada. rogan la referida exclusión, y decretan: que sin embargo dé El Sr. López (D. Marcial) observó que solo se hacia ella, los Señores Infantes Don Francisco de Paula y Doña mérito en el voto particular de los egércúos de S. Fernando María Luí:a con sus respectivos descendientes legítimos.su y Galicia, cuando Jas proposiciones del Sr. Moscoso no s…</t>
  </si>
  <si>
    <t>…provincia respectiva; y para ha explicara la Constitución con el derecho natural; y ha cer los que falten de esta última clase permitirles á las mis biendo mostrado el Sr. López ( D. Marcial) la diferencia mas diputaciones que de acuerdo con los ayuntamientos de un derecho natural y otro público, y que para la Cons traten de abrir los que les competan , aprovechándose de las titución era poco en su concepto un ano, se aprobó el ar compañías de po…</t>
  </si>
  <si>
    <t>…rovisto las El Sr. Sánchez Salvador vesiijtiendose de que se hubie de que hace mérito en su memoria. Otra del Sr. Lope2 sen puesto bajo su nombre aquellas expresiones, y deseando (D. Marcial), para que se establezcan jueces de hecho. Otra que no apareciesen con tacha en la opinión publica, pidió del Sr. Moscoso , dividida, en ochó .artículos, relativa á la que al efecto se hiciese mención en las acta . formación de un nuevo censo: un proyecto de…</t>
  </si>
  <si>
    <t>…archar sin inconvenientes la adminis ba por Real orden de 24 de Diciembre del año último; y tración de justicia. que habiéndose mandado en Mayo de este año que no se El Sr. López (D. Marcial) dijo que las mismas recla pagasen derechos por los frutos que se embarcasen en buques maciones hechas por la provincia de Sevilla podrían hacer españoles, pagando en caso de ser en extrangeros los an otras, por egemplo, la de Aragón, y que asi seria muy del…</t>
  </si>
  <si>
    <t>…una discusión acalorada, Burgos. en que muchos Sres. diputados apoyaban la indicación del El Sr. Moreno Gucrta leyó un informe de las comisio Sr. conde de Toreno; y el Sr. López ( D. Marcial) dió la nes reunidas de Agricultura y Comercio sobre su proyecto misma indicación por escrito, que no fue admitida por ser acerca de exportación é importación de granos. En él ha propia del Sr. Toreno , quien la escribió en estos términos; cen ver sus individ…</t>
  </si>
  <si>
    <t>…a formación de causa á los referidos alcalde y juez taban. Después de una discusión, en que los Sres. Vitorica de Llerena; pero opinaba se devolviese la exposición al Go y López ( D. Marcial) opinaron que debia pasar á la co bierno para que tuviera en consideración los demas defec misión de Hacienda, para que los tuviese presentes como á tos que comprendía, y que tomando informe del Gefe po los demas cesantes, y por el derecho que aparecía del mo…</t>
  </si>
  <si>
    <t>…idas de Agricul creta. tura y Comercio sobre su proyecto de extracción é introducción Se leyó la lista de los expedientes que existen en la se de granos, se dijo que el Sr. López (D. Marcial) habia hecho cretaría para dar cuenta á las Cortes; y habiéndose aproba por escrito la misma indicación que el Sr. conde de Toreno, y do después la indicación del Sr. Martínez de la Rosa , sobre que por lo mismo no habia sido admitida; en loque hubo equi voca…</t>
  </si>
  <si>
    <t>…es que infesta la Penín ula , se excita ver si esra materia deheria admitirse á di cusíon ó no. ra al ministro de la Guerra para que diese cuenta de los tra Se opaso el Sr. López (D. Marcial) ti que se admitiera,bajos hechos relativos á este asunto, y que se recomendase diciendo: «Que no le quedaba la mas pequeña duda de qué ni Gobierno con urgencia. Manifestó el a .tor de la índica—, los sentimientos de los Sres. preopinantes iban enijidos ai ci…</t>
  </si>
  <si>
    <t>…teo celebrado en el dia de ayer. maño desorden, ó si se necesita para algunas medidas la cooperación de las Cortes.” Números. Preifiios. Administraciones. El Sr. secretarlo López (D. Marcial). manifestó los mo 25001. 10000 p.” f.5... Santiago. tivos por qué se habla suspendido esta proposición al tiem 2948, 4000.............i Madrid. po de su segunda lectura y los de haberse después renovado,8528, ....................... Cádiz. leyendo ademas otr…</t>
  </si>
  <si>
    <t>…ndi-que no se duermen los españoles ni sus representantes cuan no, Zubia, Cotuminas , Diaz del Moral, Arríeta, López do se trata de conservar el inapreciable derecho de la liber ( D. Marcial), Castañedo, Gisbert, Peúafiel, Fletóla, Be tad de imprenta. Reprodujo algunas razones, que le hadan cerra, Huerta, Bahamonde, Toreno, Giraldo, Prieao, dudar sobre asentir al dictamen de la comisión , principal Sánchez Salvador, Puígblánch, O-Daly, Verdú, Aza…</t>
  </si>
  <si>
    <t>…an pagarlas los que los pidieron á nombre de JJgarte (D. Agustín), La Riva, Valle, Bahamonde, Huer los pueblos, siéndolos mas enemigos de los mismos pueblos, ta, Cepero, y López ( D. Marcial). a saber, los regidores perpetuos que hicieron regidor de Continuó la discusión el Sr. Vadillo para rectificar una todas partes á Godoy y á Lozano, y que en todas partes equivocación del Sr. conde de Maulé, pues hablaba en su habían sido unos estafadores per…</t>
  </si>
  <si>
    <t>…que se siguen de agregar clusivos. estos al partido de Sepúlveda. Se hizo la segunda lectura de la proposición del Sr. Ló A la de Premios una representación de D. Manuel Gon pez ( D. Marcial) leída por primera vez en 2 1 de Julio pa zález del Campo, D. N. Polo y D. Francisco Belda, pi sado, acerca del establecimiento de jueces de hecho, fiján diendo se establezca una distinción para premiar y clarificar dose al mismo tiempo las calidades y requir…</t>
  </si>
  <si>
    <t>…osa, Martínez de la capitán general del egército la siguiente carta: Rosa, Ramos García, Muñoz Torrero, Tapia, Cuesta, &gt;»Sr. general: No siendo mi Real ánimo que esta época López (D. Marcial), Ramírez Cid, Ugarte ( D. Gabriel), feliz de la regeneración política del reino, verificada con Gareii y Dolarea, contrarios á la resolución tomada sobre tanto orden y tranquilidad, se vea manchada con un nume la exposición de D. Alejandro O-Donell; y los de…</t>
  </si>
  <si>
    <t>…e distraigan á otros objetos que á los actuales Gisbert, Ug^rte (D. Gabriel), Yandiola, Zapata, Arrieta, hospitales, hospicios, casas de misericordia y de niños ex Cepero y López (D. Marcial). pósitos , y demas de esta clase, á quienes por los brews de A la comisión de Hacienda se mandó pasar un oficio su concesión están asignados estos caudales. del •ecretario de Hacienda, en que daba parte, con referen Admitido á discusión , se promovió esta en…</t>
  </si>
  <si>
    <t>…or número de prensas ; y por fin Madrid una silla episcopal.” La que se mand í pasar á ,1a se aprobó que se imprimiese por separado. comisión Eclesiástica, con otra del Sr. López (D. Marcial), Se mand í puar á la comisión de Premios la so icitud en que reclamó Un expediente sobre el minino asunto rela de Doña Rosa Zamora, viuda de D. N. Plaza, oficial del, tivo áDarocá. ' . regimiento de Húsares francos de Galicia, muerto en. I3 Se aprobó una adi…</t>
  </si>
  <si>
    <t>…que se imprimiera en el Diario de Cortes. numento en la plaza de las Cortes, y robre esto hizo otra Leyó también por primera vez el Sr. Calatrava et pro» proposición el Sr. López (D. Marcial.), creyó la comi: ion yecto de ley, con las reflexiones previas que habia creído oportuno remitir ambos pensamientos á la academia de San oportunas la comisión primera de Legislación, sobre la res Fernando , la cual creta que para poner en movimiento todos po…</t>
  </si>
  <si>
    <t>…Marzo para que eí general Elío permaneciese en la ciudadela de aquella plaza hasta la reunión de Corres, y la otra de sobre el ramo de salitres. Con este motivo hizo el Sr. López (D. Marcial) las in 1; de Mayo para que se los detuviera en los conventos á los 69 ex-diputados que firmaron la representación del año dicaciones siguientes: i.a «Que no se permita la introducción en España de . 8r4; y en caso de que estas no se hallaran en el expediente…</t>
  </si>
  <si>
    <t>…de cederlas á los hi Queipo, Lastarria, Lagrava, Lecumberri, Vargas l’once, jos; con lo cual creía el Gobierno se remediarian los mates Vadillo , Ribera , Florez Estrada , López ( D. Marcial ) y que han ocasionado las vinculaciones, y se disminuirían es Couto. Luego nombró al Sr. Lasanta en lugar del Sr. Va- tas en poco tiempo sin chocar con las opiniones y obstácu diilo, y levantó la sesión. los que hasta el día han existido. El Sr. Vadillo, ind…</t>
  </si>
  <si>
    <t>…sin discusión los siguientes hasta el artículo elección de un regidor en lugar de D. Agustín Goicoechea. 38 , al que hizo el Sr. Rovira la adición «después de recibi El Sr. López (D. Marcial) presentó dos exposiciones do su reemplazoy siguieron aprobándose los demas hasta de la diputación provincial de Aragón: una sobre la nece el 44, que después de algunas objeciones de los Sres. Diaz sidad y medios de componer los caminos de la provincia,’, Mor…</t>
  </si>
  <si>
    <t>…contestó que no habia en aquel articulo mas que una medi Se mandó parar á la comisión una indicación del señqr da que estaba en las facultades de la autoridad civil; y lo -López (D. Marcial) para «qué á los casados hasta el dia probó con citas de santos padres y concilios, y con varias ,cn Aragón , con arreglo al fuero, se les mantengan ilesos los derechos de viudedad, sea cual fuere la suerte de los bie f i ) F.s lo que se halla mandado para Va…</t>
  </si>
  <si>
    <t>…de pastos.” aparecido en aquella bahía, de vuelta del Océano, una fra Los Sres. Gaseo, individuo déla comisión, y López gata de guerra argelina de 24 cañones, la que no pudiendo ( D. Marcial), haciendo diferencia entre los terrenos de pro seguir su rumbo al Mediterráneo, se habia mantenido bor pios como pertenecientes exclusivamente á los pueblos, y deando hasta la noche en la altura de Gíbraltar á Ceuta: los baldíos y comunes como correspondient…</t>
  </si>
  <si>
    <t>…Sr.: Por el adjunto oficio, que me ha sido en apoyar el voto particular de algunos de los de ia comisión. tregado por el comandante y demas individuos de la guardia £1 Sr. López ( D. Marcial), que apoyó el dictamen de nacional local de esta ciudad, se posesionará V. E. de la la comiñón en su primera parte, dijo después que consul certeza de sus sentimientos, y de la confianza con que con tando el voto general de la Nación , se veia obligado á opo…</t>
  </si>
  <si>
    <t>…Prosigui ' diciendo que si se creyese justo que Señores tañe se opusieron al dictamen de la comisión. pudieron seguir el partido á ciue se adhirieron , era preciso Subrié, López (D. Marcial), Diaz del Moral, Coufo, convenir en que la Nación habia sido rebelde ; y los que se Vadillo, Donato, Muñoz Torrero, Vargas Ponce, Puígencerraron en el recinto de Cádiz , los que no desesperaron blanch, Cancero, Valcarcel, Bernabett, Coraminas, Gísen los mayo…</t>
  </si>
  <si>
    <t>…ficiales sobrantes de los mismos cuerpos. tamen de la mayoría de la comisión, que firmaron los se Concluido el término q ’.e se prefije para solicitar es ñores García Page, López (D. Marcial), Palarea , Moscoso, tas licencias, se reemplazarán en propiedad las vacantes con Bernabeu. Medrano, Coraminas, Oliver, Vargas Poncé, los oficiales que permanezcan en los cuerpos, formándose Muñoz, Bahamonde, Lobato, Muñoz Torrero, Carrasco, para ello una esc…</t>
  </si>
  <si>
    <t>…mano. = Palacio 23 de Setiembre de 1820. = A Don á ¡a dísposicto/i y orden del metropolitano de Manila. Juan Jabat.” Se mandó pasar á la comisión otra indicación del señor López ( D. Marcial ) para que las Cortes declarasen excep El Rey , en consideración á los distinguidos méritos, tuados á los escolapios de lo prevenido en el art. 9, ofre señalados servicios y probada adhesión al sistema constitu ciéndose el autor á dar las aclaraciones que aqu…</t>
  </si>
  <si>
    <t>…fuesen nece del Sr. Vitorica estas palabras :'«Con aprobación dét Go sarias estas modificaciones. • bierno" en vez de estas otras: «De acuerdo con el Go Los Sre*. Cepero y López (D. Marcial) apoyaron el ar bierno.” - tículo , probando la necesidad c'e que en un sistema repre Concluida la 'discusión de este proyecto , se leyeron va sentativo , y cuando la libertad consiste en la igualdad de rias indicaciones, de las que se mah'daíoripasará la com…</t>
  </si>
  <si>
    <t>…choso de conspiración. tablecimiento de milicias rurales en la isla de Cuba. Se leyó por primera vez la siguiente proposición de los NOTICIAS DE ESPAÑA----- ULTRAMAR. Sres. López (D. Marcial) y Villa: «Que se suprima en Ara gón la contribución de un millón de reales que hasta ahora Caracas 17 de Junio. ha pagado y paga anualmente para las obras del canal de la El coronel D. Sebastian de la Calzada remitió al Si*, pres- misma provincia.” sidenre d…</t>
  </si>
  <si>
    <t>…e aprobada. do al ministro del ramo propusiera lo conveniente. No se admitió á disensión otra de los Sres. Cortés y El Sr. Sierra Pambley, individuo de la comisión, hizo ob López (D. Marcial), dirigida á que se excitara al Gobierno servar, que esta no habia señalado dotaciones, sino que habia para que se empleasen muchos brazos que deberían quedar hecho solamente una asignación para el ramo, añadiendo ociosos, dando trabajo á los jornaleros hasta…</t>
  </si>
  <si>
    <t>…ga, Espiga, Muñoz sueltos. Torrero, Cortés, Árrieda, Liña». Espoleta , Lecumberri. Arr. 30. «Los impresores de los escritos calificados con Lobato, Ramonet, Zapata, Golfin, López (D. Marcial) alguna de las notas comprendidas en los arriculos it, 12, y Couto. 13, 14, 1; y 16, que hubiesen omitido ó falsificado algu Se aprobó un dictamen de la comisión de Marina, en no de los indicados requisitos, pagarán la inulta de 500 que á consecuencia de la d…</t>
  </si>
  <si>
    <t>…entre los Sres. Ezpeleta, y Martínez de la Rosa sobre si la pena de prisión era ó no Estrada y Martínez de la Rosa sobre si era poca ó mucha verdaderamente corporal. El Sr. López (D. Marcial ) extra la pena impuesta al contraventor j pero al lin quedó aproba ñó que en este artículo se mandase prender por los impre do el artículo sin variación. sos denunciados como subversivos, sediciosos é incitadores No se admitieron á discusión las dos indicaci…</t>
  </si>
  <si>
    <t>…sta de jurados que no tenga la mitad del número ANUNCIOS. Por providencia del Sr. D. Julián de Sojo, juez de primera que sea también de extrangeros.” Y otra adición del Sr. López (D. Marcial) al art. 41: instancia de esta muy heroica villa , refrendada del' escribanoD. Santiago Manuel de Albóniga , se ha señalado el dia z 1 del «Que el ciudadano que no se encontrase en el caso preve presente mes en la audiencia de dicho señor, á las 9 de su ma ni…</t>
  </si>
  <si>
    <t>…redera del pais de Giles, y Rosa q la ñi Se leyó también una indicación del Sr. Diaz del Moral, fla mendiga, acudirán á recoger el tomo ti, y pagar el impor Florez Estrada, López (D. Marcial) y Zapata, en que pe te del 13, ó los demas que gusten hasta el 14, á las librerías dé dían se mandasen omitir en los testamentos las mandas for Escantilla y de Amposta, donde sigue abierta la suscripción has zosas , y las cláusulas y fórmulas con que se expr…</t>
  </si>
  <si>
    <t>…. sión , y la añadida por el Sr. Moreno Guerra, manifestan Leída el acta de la sesión anterior , manifestó el Sr. Ló do al mismo tiempo que el aborrecer el pueblo la contribu pez (D. Marcial) que al discutirse el dictamen de la comi ción directa provenia, lo primero de que su primer esta sión sobre las siete rentillas habia quedado pendiente la si blecimiento fue en el año 1810 por el Gobierno intruso, guiente indicación del Sr. Corominas: »Que .…</t>
  </si>
  <si>
    <t>…de los demás cuerpos políti consejeros actuales, y otra si aun en este caso deberían ha cos existentes. cerse algunas excepciones, con arreglo á la conducta particu El Sr. López (D. Marcial) tomó la palabra para apoyar lar de cada uno;y apoyando la primera, dijo que las Corel dictamen de la mayoría de la comisión, manifestando .tes extraordinarias nombraron consejeros en propiedad, y que Jos consejeros actuales lo eran en propiedad por haber pud…</t>
  </si>
  <si>
    <t>…os actuales consejeros de Esta 1814, y levantó la sesión. do, y por la noche para negar esta existencia. Sesión ordinaria del 18 de Octubre. Se opuso á la indicación el Sr. Eopez (D. Marcial), Se ley ó el acta de la sesión anterior. opinando que no debia extenderse Iq que en ella se propo Se mandó pa&lt;ar á la comisión de Legislación una expo nía mas allá de lo aprobado esta mañana en otra del mis sición de la diputación provincial de Zamora, remit…</t>
  </si>
  <si>
    <t>…emios , que á la posible brevedad el informe que se le ha confiado.” C011 proponía se manifestase haber sido grates á las Cortes los este motivo los Sres. Lagrava, Ceperó, López ( D. Marcial) servicies de D. Vicente Alcaraz , y que se remitiese su ex y Cortés hicieron presente lo mucho que se habían aumen posición al Gobierno para que le colocase con preferencia • tado tos excesos, hasta el punto de no respetarle ya las po en el desrino que conce…</t>
  </si>
  <si>
    <t>…al ,'y otro político en privada.” ... qne se expongan del mismo modo los derechos y obligacio Igualmente se pasó á la comisión la siguiente indicación nes civiles.” del Sr. López (D. Marcial): El Sr. Romero Alpuente dijo que su contexto y espí «Pido que se establezcan escuelas normales en todas las ritu se oponían á la Constitución, pues proponia que se adop provincias.” tase un catecismo religioso y otro político, mientras que la Asimismo se pas…</t>
  </si>
  <si>
    <t>…nteriores al año de 1814, puente y Sancho se aprobó el 4.0, que decia: cualesquiera que fuese su procedencia. : 4.0 »»Se autoriza al Gobierno para que en caso de una El Sr. López (D. Marcial), después de hacer presente la absoluta imposibilidad de cubrir las atenciones indispensa demora que habían experimentado en sus liquidaciones mu bles del servicio militar con la fuerza á que queda reducido chos alcaldes y ayuntamientos, cuando habían acudido…</t>
  </si>
  <si>
    <t>…eficaz, castigando A los jueces que ci'ori del Estado, y podóles exigir la responsabilidad cuan no administrasen pronta justicia. do no cumplan con su obligación. ■ El Sr.'-López (D. Marcial ) pidió que en vísta de esto Habiendo hecho presente el Sr. Martínez de la R'ósa se despachase prontatnen.e un í proposición qué tenia hecha que el nuevo proyecto de libertad de imprenta estaba A lá” sobre el''particular, y se hallaba en la comisión segunda s…</t>
  </si>
  <si>
    <t>…la indicación siguiente del Sr. Moya: «Que sean com Para la de Legislación los Sres. Valle , Gareii, Manesprendidos entre los puertos habilitados del Perú ios llama cau , López ( D. Marcial) , Sandino , Echeverría , Navarro dos Guaimas, Paita y Pascamayo, conocido también con ( D. Andrés) y Huerta. el nombre de Guayanco.” Para la de Marina los Sres. Rovira, Ciscar, Oliver, Las Cortes recibieron con aprecio una memoria sobre Benitez, Losada, Rome…</t>
  </si>
  <si>
    <t>…e la misma de los beneficios del expedientes que se quedaban sin resolver, se hizo por los nuevo arancel general. Ambos dictámenes^ fueron aprobados. Sres. Díaz del Moral y López (D. Marcial) ia indicación Se leyó en seguida otro de las mismas comisiones divi siguiente, que no fue admitida á discusión : «Que mañana dido en siete artículos, que decían asi: haya se'ion hasta la hora que el Sr. presidente en uso de sus ■ i..° «Que se guarde y cumpla…</t>
  </si>
  <si>
    <t>…e la iglesia de S. Isidro que permíta sostener el dirige á las Cortes. Este es el discurso, y yo tengo el ho estado actual de sus rentas.” nor de presentarle.” Otra del Sr. López (D. Marcial), concebida en estos Entregado el discurso por el Sr. ministro al Sr. presi términos: dente, le leyó este de un modo que se dejó percibir coa «Pido que por la comisión Eclesiástica se tome en con entera claridad por todo el concurso. { Véase el discurso sider…</t>
  </si>
  <si>
    <t>Marco, Josef</t>
  </si>
  <si>
    <t>Josef Marco</t>
  </si>
  <si>
    <t>…almente en el espíritu y propa y adiciones, para que se han tenido presentes las Reales orde gación de esta sociedad político-religiosa. Los lectores un- ne. mas moderna., el Lie. D. Josef Marco, Gutiérrez: ocho parcitiles , que deseen conocer á tnnJo tas causas de evos fe tomos en 4. =rCarta nona del compadre del holgazán. == Me nómenos políticos, r.o podrán írtenos de preguntarse j sí moria sobre la fiebre amarilla observada en España desde la en t…</t>
  </si>
  <si>
    <t>Marco, Manuel</t>
  </si>
  <si>
    <t>Manuel Marco</t>
  </si>
  <si>
    <t>…rto, capitán idem; D. Manuel risdicción de la misma ciudad , en 960 rs. Cortés, oficial de la secretaría del Desnacho dé Hacienda; Otra pieza.cn el mismo campo, de 2 robos y ia al D. Manuel Marco, contador principal ae Rentas de aquella mudes, jurisdicción di la referida ciudad, en 315 rs.</t>
  </si>
  <si>
    <t>Margarita</t>
  </si>
  <si>
    <t>…a, que dando vueltas, debia poner la má alto, y 14 y 6 de ancho; á 60 rs.ez D. Diego Velazquez , re quina en movimiento ; pero apenas había girado dos veces, tratando á la Infanta Doña Margarita, hija de Felipe iv, pinta cuando los árabes se aturden y saltan de la rueda abajo, la do por Velazquez, y grabado por Audouin : 19 y 9 de alto, cual, habiendo perdido de este modo el contrapeso, desha y 16 y 8 de ancho: á 36 rs. — S. Gregorio Magno, pintado p…</t>
  </si>
  <si>
    <t>Mari, Josef</t>
  </si>
  <si>
    <t>Josef Mari</t>
  </si>
  <si>
    <t>…remediar en lo po sible un “mal tan trascendental, el Ilmqt. ,Sr. obispo de Pamploiía en.su ultima visita acordd oportunamente la formación de una junta compuesta de los se ñores D. Josef Mari3 de Soroa y Sproa, ydD-j ^Manuel de Gogorza para la re posición de otros'nuevos libros, á cuyo fin.se hace saber á todos los interesa dos en las partidas de ba3tizados, casados, velados y finados de las mismas parroquias acudan á dichos comisionados en el tér…</t>
  </si>
  <si>
    <t>María</t>
  </si>
  <si>
    <t>…de los Ríos, del Consejo de S. M., y teniente primero de corregidor de esta muy heróica villa, y comisionado por S. M para entender en los autos de testamentaría de la Excma. Sra. Doña María de la Soledad Rodríguez de los Ríos, marquesa que fue de Santiago , refrendada por D. Jacinto Gaona y Loeches, escribano del número de la misma, se ha señalado el dia 30 del corriente, y hora de las 9 de su mañana, en su posada para la celebración de una junt…</t>
  </si>
  <si>
    <t>…ores. Entonces ru2ió el Conrifiuaha después en la misma forma la carroza en que león de España, y un grito general y uniforme da aliento ilxtn los Sermo. Svc. Infantes D. C.rlos y Doña María y vigor á los esforzados hijos de Pelavo; y mientras que Erancisca con igual escolta. Ocho magníficos caballos, so los bravos guerreros presentan sus pechos ce bronce, y berbiamente enjaezados, tiraban de la carroza en que iban ahuyentan de este virtuoso suel…</t>
  </si>
  <si>
    <t>…ecialmente por su conducta en los días 6 y 7; López de Cárdenas , vecina de Montoro; otro por D. Pe el Sr. Gaseo recordó la patriótica y virtuosa que observa dro Morales Cardara y Doña María de la Concepción Al ron en los dias 7,8 y 9 de Marzo, y los sentimientos dé férez, y el cuarto por D. Ildefonso Valenzitela, vecino de modestia que les han hecho guardar siempre en silencio sus Andújar; lodos sobre enagenacion y subrogaciones de fin servicios…</t>
  </si>
  <si>
    <t>…as de un oficio del Sr. mi de Málaga, natural de Francia, solicitando carta de ciu nistro de Gracia y Justicia, en que participaba que S. M., dadano; y un expediente promovido por Doña María del con arreglo ó lo acordado por las Cortes en-23 de Setiem Amparo O.orio, pidiendo permiso para dar á censo -reser bre de 181 2 , habia mandado se vistiese la corte de gala con vativo una tierra, y vender una casa perteneciente á cierta uniforme, y hubie&gt;e…</t>
  </si>
  <si>
    <t>…hechos que el ayun formado todos los acreedores cotí las condiciones propues tamiento de Pamplona expone en su manifiesto presentado tas para su pago , la marquesa de la'Cññada y Doña María ajas Cortes. Teresa de Larraga le apremian; y pidiendo se declare que A la ordinaria de Hacienda se pasó un oficio del señor dichas señoras deben sufrir la misma suerre que los demás secretario de este ramo, en que iacluia una lista de las pen acreedores. sio…</t>
  </si>
  <si>
    <t>…se coloque en su no el debido juramento de obediencia al Gobierno, á las secretaría. • Cortes y á la Constitución que estas han de hacer. Lo mis Se dio cuenta de una exposición de Doña María de la Paz mo se ha hecho con los arzobispos y obispos y todo el cle Ontariz y Galísteo, viuda de un consejero de Indias, ma ro para que lo presten en sus respectivas diócesis, y se can nifestando se la están debiendo 42 meses de su pensión de te el Te Deum po…</t>
  </si>
  <si>
    <t>María, Alonso de</t>
  </si>
  <si>
    <t>Alonso de María</t>
  </si>
  <si>
    <t>…Mallen , y en Pamplona en la de I.ongás. á petición del Sr. Zapata por partes las adiciones de la co Memoria sobre la epidemia de Andalucía del ano 1800 almisión. 839, por el Dr. D. Alonso de María, profesor en medicina y Después de aprobado el artículo pidió el Sr. Cepero que cirugía: un tomo en 4.°, á 1 5 rs. en rústica__ Manifiesto dél se le permitiese nacer una adición después de donde dice: coronel del regimiento infantería de Valencey: un cuaderno…</t>
  </si>
  <si>
    <t>María, Antohio</t>
  </si>
  <si>
    <t>Antohio María</t>
  </si>
  <si>
    <t>…ay mutua comu* nicacion entre los dossvolcanes. v; s ; . . ; ; V ' ;; REINO DE ÑAPOLES. ' ^ n ^ Jtfdyoles 2 de Mayo. Por decreto de 5. M. de 21 de Marzo, el marques de Spaccaforno Don Antohio María, Statell*, de la familia de ios Príncipes, de Cassero^eh cual hasta ahp¿aha égercMq ^ destino de enviado extraordinario cerca 4et S.' M. el. Rey de¡Cerdeña ^«í^ijejp.’ nombrado;embajador eKtra.ordinano. cerca. de S. M. Católica, en lugátlgt Príncipe de Scilla…</t>
  </si>
  <si>
    <t>María, Carlos</t>
  </si>
  <si>
    <t>Carlos María</t>
  </si>
  <si>
    <t>…ota Sr. Isturiz dijo que antes-de votar debía advertir que el ar 6oo© rs. id. t¡.° Y para lo: dos Sermos. Sres. Infantes ticulo de que se estaba hablando era contrario al espíritu D. Carlos María y D. Francisco de Pau'a da suma de 300© expreso y literal de la Constit .cion , o que de otro modo la ducados, también "anuales. Madrid 8 de Agosto de 1820.” libertad individual no seria mas que una palabra vana é ilu 1*0r tanto mandamos á todos los tribunales , justicias, soria, mi…</t>
  </si>
  <si>
    <t>María, Cirios</t>
  </si>
  <si>
    <t>Cirios María</t>
  </si>
  <si>
    <t>…sí respecto á serlo natos los gobernadores de las plazas. esrar declarado Infante de España D. Carlos Luis, hijo del Después de haber recordado el Sr. i’alarea que no esta Serino. Sr. D. Cirios María, se le habla de asistir con los ba aun aprobado el reglamento de la milicia nacionalpues alimentos correspondientes á aquella clase; y como la?" el que hicieron las Cortes era ¡merino, y el expedido por dotaciones de los Infantes-no comprenden á sus hijos, lo…</t>
  </si>
  <si>
    <t>María, Felipe</t>
  </si>
  <si>
    <t>Felipe María</t>
  </si>
  <si>
    <t>…también si seria bueno expedientes remitidos pior el ministerio de Gracia y Justi subdividirlo. El cornejo de E:tado en su consulta, concep cia ; ios tres primeros promovidos por D. Felipe María de tuando que no eran del momento los medios propuestos por Paz, D. Rodrigo Rodríguez de Campománes, imrques de la Juma provisional , creia que se podría acceder á la fr.anVillagarcía, y por los duques de Tamames. sobre enaje ■jicia y demas que se pedia, todo…</t>
  </si>
  <si>
    <t>María, Jacobp</t>
  </si>
  <si>
    <t>Jacobp María</t>
  </si>
  <si>
    <t>…OF ICIO. Él P-ey,ha expedido los depr^tps siguientes:-k ■ ^ « ,, Cuando tuve á bien nombrar £ecretario¿ in-terjno.de Estado ydel Des i, pacho de la Gobernación de la&lt; Península á D. Jacobp María jde Parga, me representó este que el estado dé su salud le hacia temer no podría desempeñar jib destino de tanto trabajo en las circunstancias actuales,'y me pidió le exo nerase de él. Persuadido de que su zelo y conocimientos en el ramo cuya di rección le co…</t>
  </si>
  <si>
    <t>María, Josef</t>
  </si>
  <si>
    <t>Josef María</t>
  </si>
  <si>
    <t>…nzanares D. Félix Go zalez Vizcaíno á la vara, dé 1 gobierno de lí . ciudad de Almagro, y nombrar para la dé la villa de Tarancon, todas del territorio de las Ordenes Militares, á D. Josef María de la Escalera Ruiz. Ea virtud de providencia de 4 de Diciembre del año último, dada por el Señor D. Manuel Fernandez Gamrboa, del Consejo dé S. M., alcalde dé su Real Casa y Corte , refrendada del escribano de provincia D. Valdoméro Moraleda, ¿instancia del…</t>
  </si>
  <si>
    <t>…nterrumpidos servicios. Tendreislo entendido, comunicando las ordenes 'quécorréVpondan para su pronta egecucion y cumplimiento. Palacio 12 de AÍafz6'deiJiS2o. = Estárubricado. =:A D. Josef María de 1* Torre.” ’ .. r :íPófél ministerio de Hacienda con fecha de'6 del actual se nos ha c6muriicado la orden que sigue: _ ’ ' ~ Excitio. St.: Leyes poco meditadas, y algunas de efecto contrario al que 'se calculó al tiempo de dictarlas, y un sistema de aduana…</t>
  </si>
  <si>
    <t>…del ministro, archivo ge A la de Legislación una exposición de D. Josef Santos neral de Indias, que exhte en Sevilla, y oficinas del extin Macho de Qeevedo, quejándose de otra de D. Josef María guido Consejo de Indias, misiones de Ultramar, y hospi Bárona, en que le acusaba de infractor de la Cons iiucion. cio del Puerto de Sta. María. A la primera de Legislación una exposición de las villas El Sr. Ramos Ari-pe, deseando mayor extensión en el de Sta…</t>
  </si>
  <si>
    <t>María, Josef Joaquín de Santa</t>
  </si>
  <si>
    <t>Josef Joaquín de Santa María</t>
  </si>
  <si>
    <t>…aron y cooperaron con ellos á la caida del sis el Sr. secretario de Gracia y Justicia, con motivo de una tema. Que por consiguiente no debia abrirse esta sima, donde exposición de D. Josef Joaquín de Santa María, oidor de -•caso se precipitaría á la mitad de los españoles. Leyó su la extinguida audiencia da Sevilla, para que se le declarase por adición, que decía: «Quedarán separados de todos los des jubilado con el sueldo correspondiente; y pidiendo que las tinos ,…</t>
  </si>
  <si>
    <t>María, Joset</t>
  </si>
  <si>
    <t>Joset María</t>
  </si>
  <si>
    <t>…asunto de regulares. Para probar es y á los militares con residencia fija en aquella plaza. to recordó el expediente que existe en las Cortes, y estala ya Al Gobierno una queja de D. Joset María várela y So para discutirse cuando las circunstancias pasadas lo impidie moza , abogado, contra la audiencia de Galicia , en que pe ron ; v a! mismo tiempo los decretos dados por el Gobier dia también que se pasara el asunto a! tribunal de Justicia; y no ante…</t>
  </si>
  <si>
    <t>María, Labio</t>
  </si>
  <si>
    <t>Labio María</t>
  </si>
  <si>
    <t>…de adhesión al sistema ac A la especial de Hacienda se pasó una exposición del tual, y si los que proponían á los que habían de administrar procurador síndico de Ciempozuelos y de D. Labio María la ju&lt;ticia debian hallarse en igual caso: y el Sr. ministro de Olive , pidiendo se reintegre á los vecinos de aquella villa del Gracia y Justicia dijo que la pregunta se hallaba contestada importe de las tierras por dónde se abrió él canal de riego por vario…</t>
  </si>
  <si>
    <t>María, Manuel</t>
  </si>
  <si>
    <t>Manuel María</t>
  </si>
  <si>
    <t>…pañaron al conde del Abbb.il, sobre los el que han empleado en estudiar el derecho natural y de servicios hechos por ambos egércitos en Navarra y la Man gentes privadamente con el profesor D. Manuel María de cha, y mientras no se resolviese también el de división Malo. de partidos de la provincia de Toledo, cuyos expedientes Igualipente se aprobó el dictamen de la misma comisión reclamaban algunos Sres. diputados, como asimismo el da para que se dispense á D.…</t>
  </si>
  <si>
    <t>María, Miguel</t>
  </si>
  <si>
    <t>Miguel María</t>
  </si>
  <si>
    <t>…e aquella corporación. nota. En la gaceta núm. 9, pág. 38 , col. i.% Iín. 1.1, don Se ha hecho sobremanera celebre por los hombres ilustres de dice D. Miguel María Metía, debe ser D. Miguel María de que ha contado entre sus socios, como son Cullcn, Mouro, Mata. MADRID EN LA IMPRENTA NACIONAL.</t>
  </si>
  <si>
    <t>…formar las lista? de las hereda art. del decreto de 6 de Agosto de iíln , y otro?. des y posesiones: de anunciar al público su enagenacion: de A la Eclesi’stica una exposición de D. Miguel María de hacer la subasta: quiénes son los jueces que deben presidir Acedí lio obre la escandalosa posesión en que está la abade las : -c 'mo se debe proceder á ellas : qué medios se deben sa de las Huelgas de Burgos de dar licencias para confesar emplear para la t…</t>
  </si>
  <si>
    <t>Mariano</t>
  </si>
  <si>
    <t>…arlos iv, hacen sa civilizado. Daremos principio por los ber que en dicha ciudad á 4 de Abril del corriente año murió está&amp;os-un'idos De AMERICA. E#te país llama desde el referido D. Mariano, dejando herederas á sus dos hermanas luego la atención del observador; y su civilización , muy Doña Ines y Doña Teresa, con el hijo de esta D. Francisco adelantada ya bajo diversos aspectos, presenta un espectá Salavert; que habiendo avisado inmediatamente á…</t>
  </si>
  <si>
    <t>…Vallado/id i.® de Agosto. A la de Instrucción pública una obra titulada Prin Las acertadas providencias del Gobierno, dirigidas á ins cipios de educación, presentada por su autor D. Mariano truir al pueblo acerca de sus verdaderos intereses por medio Sánchez, canónigo de Salamanca; y una representación del de la explicación déla Constitución, sus bases y objeto, y rector y claustro de la universidad de Zaragoza, sobre que el zelo verdaderamente…</t>
  </si>
  <si>
    <t>…te que ¡a Diputación re Por el presente se cita, llama y emplaza i todos los que ten*, cibirá benignamente los cordiales votos que se toman la gan derecho á Ips bienes del difunto Sr. D. Mariano i obcra libertad de dirigirla, al mismo tiempo que ruegan á Dios y Larran, natural de la ciudad de Huesca , que fue del extinguido conceda salud y firmeza á unos individuos tan interesantes Consejo de S. M., para que dentro de 30 dias comparezcan por a Ja Esp…</t>
  </si>
  <si>
    <t>Marín</t>
  </si>
  <si>
    <t>…adalupe y Concepción, de los que se separó en la lat. Recibieron las Cortes con agrado, y mandaron pasar á de 30o 17' N., y long. 71o 33' al O. de Cádiz. su biblioteca la obra del Sr. Marín, presentada por su autor, También ha entrado el jabeque Esperanza, de Mahon, titulada Juicio crítico de la Novísima Recopilación. en 5 días, con 49 marineros que conduce para el servicio. Se mandaron repartir y archivar los egemplares corres En Mahon quedaban…</t>
  </si>
  <si>
    <t>Marín, Antonio</t>
  </si>
  <si>
    <t>Antonio Marín</t>
  </si>
  <si>
    <t>…en la ca&lt;a de dicho término. autoridades superiores de ella;.” Otro en el cerro de las Vacas en dicho término. Til Sr. Florez lastrada hizo dos indicaciones, una pi Idem idem por D. Antonio Marín. diendo que la comisión encargada de examinar la conducta Otro olivar de 85 pies al pago de la Torrecilla, término de los ex-dipufados llamados persas concluya hoy su dic de Montoro. tamen , y desde mañana se trate en el Congreso de su dis Idem idem por T&gt;. A…</t>
  </si>
  <si>
    <t>Marín, Pedro</t>
  </si>
  <si>
    <t>Pedro Marín</t>
  </si>
  <si>
    <t>…rería de Quirós, calle de Atocha; en Cádiz á la de Zara goza; en Santiago á la de Rey y Romero; en Barcelona á casa de D. Narciso Oli va, calle de la Platería; en Zaragoza á la de D. Pedro Marín del comercio, junta al arco de Sto. Dominguito, y en Valencia á la de D. Francisco Navarro , calle de Caballeros. Igualmente se avisa á los suscriptores que se hallan sin algunos de los últimos tomos que han salido á luz, que si en el término de dos meses de…</t>
  </si>
  <si>
    <t>…brería de Quirós, calle de Atocha; en Cádiz á la de Zaragoza; en Santiago á la de Rey y Romero; en Barce lona á casa de D. Narciso Oliva, calle de la Platería; en Zaragoza á la de D. Pedro Marín, del comercio, junto al arco de Sto. Domingoito, y en Valencia á la de Na&lt;* Tarro » calle de Caballeros. ' EN LA IMPRENTA NACIONAL.</t>
  </si>
  <si>
    <t>…aldrá pronto, á la librería de Quirós, calle de Atocha; en Cádiz S la de Zaragoza; en Santiago á la de Rey y Romero: en Barce lona á casa de D. Narciso Oliva : eh Zaragoza á la de D. Pedro Marín , del comercio, y en Valencia á la de D. Francisco Navarro. . ^ Auto de fe celebrado en Logroño en los días 7 y 8 de Noviembre de xtfio, é ilustrado con notas por el bachiller Gines de Posad!lia, natural de Yébenes. En este precioso documento se puede ver, co…</t>
  </si>
  <si>
    <t>Marín, Rodrigo</t>
  </si>
  <si>
    <t>Rodrigo Marín</t>
  </si>
  <si>
    <t>…Ortega. Se cita á los acreedores de D. Jaime Buscallá, del comercio Una hacienda de riego en Benadux. de esta corte, para Ja junta que ha de celebrarse ante el señor Idem idem de D. Rodrigo Marín de la Ala. D. Angel Fernandez de los Ríos,ministro togado, juez de pri mera instancia én esta muy heroica villa, ante el escribano de Dos bancales de tierra en idem, Vega Viator. su número D. Juan Raya, en.el dia 9 del corriente á las 8 en Idem idem de D. Mig…</t>
  </si>
  <si>
    <t>Marin, Torre</t>
  </si>
  <si>
    <t>Torre Marin</t>
  </si>
  <si>
    <t>…s 3027-.total 9330. Se retiraron los. secretarios dei Despachó .por ser tarde,’ y muy-dilatada la exposición del de.Hacienda. . i ■' Madrid 12 deJulio. Se leyó una proposición del Sr. Torre Marin, dividida en dos puntos: primero , que se prohibiese la importación S$. MM. y AA. siguen sin novedad en su importante de' trigo extrangero por todos los puertos dé la Península, salud. siempre que no excediese de 70 reales vellón cada fanega-. S. M. ha despac…</t>
  </si>
  <si>
    <t>Marín, Torre</t>
  </si>
  <si>
    <t>Torre Marín</t>
  </si>
  <si>
    <t>…niente tuviera la comi Monarquía española, estarían prontos á reconocer al Go sión á la vista antes de dar su dictamen. bierno español ; y que el Sr. de Arana habia pasado está El Sr. Torre Marín advirtió dos equivocaciones en el ac propuesta al general en gefe D. Pablo Morillo. ta; una que al Sr. obispo de Mechoacan se le daban los .ape llidos Queipo de Llano , debiendo ser Abad y Queipo ; ..y NOTICIAS DEL REINO. la otra que se habia antepuesto á la…</t>
  </si>
  <si>
    <t>…cesarios. tamientos y diputaciones provinciales cuiden de los estable A la misma se mandaron pasar dos adiciones , una del cimientos piadosos y de bencíicencia, y por consiguiente Sr. Torre Marín, y otra del Sr. Ledesma , y dos indicacio creia no haber lugar á la aprobación del articulo. nes , una del Sr. Banqueri, y otra del Sr. García (D. Antonio). Otro señor diputado recordó la necesidad de que se Preguntó el Sr. Cepero si se concedía al Sr. diputa…</t>
  </si>
  <si>
    <t>…iba , se vendrá recibido multitud dé quejas, que si bien algunas deben decá tierra el edificio santo de la libertad. preciarse por infundadas, otras reclaman al parecer con jus El Sr. Torre Marín insistí &gt; en que era mas grávela cri ticia que se tomen medidas prontas y eficaces. La dirección, tica y censura por escrito que de palabra; añadió que Agui deseosa de dar á sus operaciones el impulso rápido y uni lera habla abusado de la libertad de imprenta…</t>
  </si>
  <si>
    <t>…l espediente una representación partía** ■ No se admitió á discusión, por ser contraría á lo. apro lar,sobre el .restablecimiento del cabildo de S. Isidro. bado , otra adición del Sr. Torre Marín, que decía ad: «Que A la comisión de Divi-ion de territorio una exposición en el art. 1 7 no se imponga como un deber á esta milicia relativa á este objeto de D. Doroteo Josef Sobrino. el defender los hogares-y término de sus pueblos de los ene Al Gobierno un…</t>
  </si>
  <si>
    <t>…iglesia ha quedado vacante la ración to por la comisión. que obtenía en ella, cuyo valor está regulado en 1458 pe Se leyeron por primera vez dos proposiciones, una del sos al año. Sr. Torre Marín , para que se solicite una bula de S. S. &gt; ha Se admiten memoriales por término de xj dias. Palacio bilitando á los obispos para conceder las dispamas matrimo 17 de Agosto de 1820. niales ; y otra del Sr. Díaz Morales, pidiendo el a.invento de Por tallecimieo…</t>
  </si>
  <si>
    <t>…taquigrafía, ó del arte de escribir con También se aprobaron los artículos 7.0 y 8.° sin discusión; tanta velocidad como se habla, en la escuela de la calle del en el 9.0 pidió el Sr. Torre Marín que se añadiera; »no sién Turco, en la casa que fue almacén de cristales, cuya ense dola pública subasta, sino ajusta tasación y el jo se apro- ñanza está á cargo del profesor D. Francisco de Paula Mar bó igualmente después de haber reformado la primera parte…</t>
  </si>
  <si>
    <t>…Reales órdenes, y que deben continuar mientras Sr. Moreno Guerra acerca de aquella grangería, y de la el augusto Congreso otra cosa no resuelva. Para evitar tan cria de muías. El Sr. Torre Marín fue de parecer que se tas dudas, y que las operaciones de las intendencias pue pidiera al Gobierno un expediente formado sobre este asun dan caminar con la uniformidad que es de desear, la direc to, indicando al mismo tiempo la necesidad de precaver ción ha c…</t>
  </si>
  <si>
    <t>…onó’ ción sobre las palabras bienes raices y estables. Se aprobó y se mandó pasar á la misma comisión otra Se aprobaron las dos adiciones siguientes: la primera del indicación del Sr. Torre Marin: «Qje no sea responsable á Sr. Martínez de la Rosa para que después de bienes «raí -las deudas contraidas por los poseedores actuales la mirad ces y estables” se añadiera «ni otra ciase de bienes ó dere que se reserva eu el art. 2.0 para el inmediato sucesor…</t>
  </si>
  <si>
    <t>…ión pendiente del proyecto de ficarán con. la nota de obscenas ó contrarias d las buenas libertad de imprenta, y se dio principio con la lectura de costumbres." una indicación'del Sr. Torre Marín, en que para dar ma No se admitió á discusión la indicación que hizo el se yor claridad al art. 11 aprobado, proponía se expresara en ñor Rodríguez de Ledesma, con el objeto de dar mas exac estos términos: »Los escritos que de un modo directo ex titud y clari…</t>
  </si>
  <si>
    <t>…os. Y en su vista ha tenido á bien declarar S. M. bre el delicado asunto que se discutía- que le han sido gratos los que hizo á la Patria la propia ca Habiendo parecido injusto al Sr. Torre Marin que los sa en la pasada guerra, sin que perjudique á su opinión y pueblos en donde se dejaban subsistentes los derechos de buen concepto el que se le haya pedido la mencionada lian puertas pagasen la cuota respectiva de los 27 millones re za; mandando se inse…</t>
  </si>
  <si>
    <t>…arar, previa aprobación de las expre:adaí La comisión había adoptado, y se puso á votación , él ar Cortes, que las intendencias de ambas provincias pertenecen tículo 'iguiente del Sr. Torre Marín , s .stuuído al art. 2.0 á la misma clase que sus respectivos gobiernos políticos. del dictamen de aquella : «Que de:dé la p biicacion de este Tendreisío entendido, y dispondréis su cumplimiento.^ decreto queden extinguidos los derechos de puertas, y los Rubr…</t>
  </si>
  <si>
    <t>Marín, Torres</t>
  </si>
  <si>
    <t>Torres Marín</t>
  </si>
  <si>
    <t>…ta del ministro. diendo.” ' Se dip cuenta del dictamen de la comisión de Hacien NOTICIAS DEL REINO. da sobre dos adiciones hechas al que fue aprobado en la sesión del 22 ; una del Sr. Torres Marín, concebida en es Barcelona 14 de Julio. tos términos: «Que se sobresea en rodas las causas forma El júbilo con que esta ciudad'ha recibido la noticia de das sobre delitos de-fraudes de rentas estancadas que ha la apertura de las Cortes, y juramento prestado p…</t>
  </si>
  <si>
    <t>Marina</t>
  </si>
  <si>
    <t>…te desde en dar la voz de libertad; y conformándose con lo proayer del proyecto de ley sobre sociedades patrióticas. El Ímesto por la expresada ¡unta, era de parecer que al cuerpo Sr. Marina creyó que podría leerse el papel que tenia pre iterarlo se le pasase el curso de este año como de electiva sentado, con cuyo motivo se suscitaron varias dudas sobre asistencia para su carrera , y que se concediesen grados y sh debería discutirse el artículo 3…</t>
  </si>
  <si>
    <t>Marina, Francisco Martínez</t>
  </si>
  <si>
    <t>Francisco Martínez Marina</t>
  </si>
  <si>
    <t>…hasta el dia 5 al secretario del ayuntamiento. cional. Juicio critico dé la Novísima Recopilación , escrito por el La comisión de Premios, en vista de cuanto exponía el ciudadano D. Francisco Martínez Marina , canónigo que fue de teniente de vicario general de los egércitos D. Jaime Gil ía L’dro de Madrid, y actualmente de la de Lérida, Orduña, proponía se manifestase !o gratos que habian sido individuo de número de ¡as academias Española y de la Historia, á las…</t>
  </si>
  <si>
    <t>Marina, Je</t>
  </si>
  <si>
    <t>Je Marina</t>
  </si>
  <si>
    <t>…es, se entregalian dentro de algunas lloras. La Cámara levantó la sesión, Con fecha 12 de Noviembre desde el Real sitio de San y quedó citada para el lunes 2;. Lorenzo dice el Sr. secretario Je Marina al Sr. secretario de __Empieza á extenderse la voz de que no obstante que la la Gobernación de la Península lo que sigue: Reina sea inocente, su causa se ha convenido en un eu-ayo «SS. MM. y AA. continúan en este Real sitio sin no político de tuerzas entre el…</t>
  </si>
  <si>
    <t>…nte), 2 comerciantes y un cardenal. La misma carta Con fecha 14 de Noviembre derde el Real sitio de San añade que según el prospecto de los elementos de que se Lorenzo dice el Sr. secretario Je Marina al Sr. secretario de compone esta asamblea, se pueden sacar las siguientes con la Gobernación de la Península lo que sigue: secuencias: el término medio de la edad de los diputados, »SS. MM. y AA. continúan en este Real sitio sin ñor ni llega á los primeros a…</t>
  </si>
  <si>
    <t>Marina, Martinez</t>
  </si>
  <si>
    <t>Martinez Marina</t>
  </si>
  <si>
    <t>…to la dehesa llamada Que era falsa la diferencia que se habia querido suponer del Lomo de Grullo, sita en Andalucía. entre el hablar 6 imprimir, pues el resultado era el mismo, El Sr. Martinez Marina insinuó que según la Constitu y aun peor: que sí Aguilera hubiera ocultado su nombre, ción, las Cortes eran quienes debiun determinar cuáles fue no hubiera sido arrestado; de modo que el procedimiento sen los sitios de recreo de S. M. del gefe no habia sido e…</t>
  </si>
  <si>
    <t>Marina, Martínez</t>
  </si>
  <si>
    <t>Martínez Marina</t>
  </si>
  <si>
    <t>…ue evitara este choque , no lo si en lugar de las palabras bienes ratees y estables se debía d darce en la elección. pusieran otras que se refirieran á los mayorazgos, cuya ren El Sr. Martínez Marina, individuo de la comisión , de ta anual se halle en los términos de un máximum y mí fendió el dictamen de esta, y añadió que á pesar de haber nimum. se dicho si obtendria ó no la sanción Real, no esperaba él Concluido el discurso del Sr. Vítorica se declaró e…</t>
  </si>
  <si>
    <t>Marina, Secretario de</t>
  </si>
  <si>
    <t>Secretario de Marina</t>
  </si>
  <si>
    <t>…táctica. ARTICULO DF. OFICIO. Madrid íj de Noviembre. Con fecha 16 de Noviembre desde el Real sitio de Sata El alistamiento de la milicia nacional se hace con ra I.orenzo dice el Sr. Secretario de Marina al Sr. secretario pidez en casi todas las provincias. de la Gobernación de la Península lo que sigue: Guipúzcoa, Santander, Guadnlajara, Vizcaya, Falen «SS. MM. y A A. continúan en este Real sitio sin no cia, Segovia, Burgos y otras ofrecen ya tina fuerza org…</t>
  </si>
  <si>
    <t>…todas sus partes. Tendreislo entendido para su cum ConTecha 17 de Noviembre desde el Real sirio de San plimiento, y dispondréis se imprima , publique y circule. = Lorenzo dice el Sr. Secretario de Marina al Sr. Secretario de ' Rubricado de la Real mano. =En S Lorenzo a 12 de No la Gobernación de la Península lo que sigue: viembre de 1820.=A D. Antonio Remon Zarco del Valic. »SS. MM. y AA. continúan en este Real sitio sin no Circular del ministeri&gt; de Lt Crite…</t>
  </si>
  <si>
    <t>Marina, Secretario del Despacho de</t>
  </si>
  <si>
    <t>Secretario del Despacho de Marina</t>
  </si>
  <si>
    <t>…Cádiz 15 de Marzo de 1820.=Juan María Viiiaviceucio.= Señor D. Josef Ignacio Alvarez Campana. = Es copia,” El comandante de las fuerzas navales de la bahía de Cádiz ha dirigido al Señor Secretario del Despacho de Marina el oficio siguiente: „Excmo. Sr.: Por la Real orden que V. E. me comunica con fecha de 7 del corriente quedo enterado del Real decreto que S. M. se dignó expedir en el mismo día, manifestando haber admitido y jurado la Constitución; cuya Real orden circularé…</t>
  </si>
  <si>
    <t>Marino</t>
  </si>
  <si>
    <t>…. los eclesiásticas; ‘y otra para mandar se lleve á debida ob servancia uq decreto de las Cortes que citó. . • . ; - Estado que manifiesta los caudales.que han entrado en Otra del Sr. Marino , reducida i que las proposiciones, la depositaría de esta M-. H. villa desde. 4,?. .hasta 30 de Ju de los diputados se hagan por escrito, y las indicaciqnes nio ae este año, y su. distribución en el-propio tiempo, con verbalmente, .. • ; •. •' arreglo á lo m…</t>
  </si>
  <si>
    <t>Mario, Torre</t>
  </si>
  <si>
    <t>Torre Mario</t>
  </si>
  <si>
    <t>…e relevasen dé la infracción del artículo constitucio cuyo concepto defendió el dictamen de la comi.-ion. nal , se conformaría lleno del mayor gozo con el dictamen Le impugnó) el .Sr. Torre Mario, reproduciendo las re de la comisión. ■ ■ . '* flexiones del ir. Martínez de la Rosa ; y le apoyó» el señor El Sr. presidente suspendió la discusión "piara continuar Florez Estrada , expresando que no podia ni debia subsistir la á la noche; señaló para mañana…</t>
  </si>
  <si>
    <t>Maro</t>
  </si>
  <si>
    <t>…En el tomo 6.°: sobre la religión y la literatura de los v para el alojamiento de las gentes de guerra en sus mar barmas (acaso bramas): sobre la antigüedad del Gouvyachas, por el-general Maro. siddhauta, que es el tratado mas antiguo de astronomía que Memoria con el título de Enunciación, resolución y de tienen los hindous, los cuales quieren decir que se escribió mostración de los 20-problemas que contiene la nota que hácia fines del Satya youga.…</t>
  </si>
  <si>
    <t>Maroto</t>
  </si>
  <si>
    <t>…nte á las Cortes sean las últimas, exami La comisión, en vista del expediente, opinaba haber la nadas y finiquitadas por la contaduría mayor. gar á 4a formación de causa contra el alcalde Maroto, por 2.0 Que e=ta presentación de cuentas á las Cortes no haber hecho sufrir al citado Ximenc-z ~¡\ días de prisión por ¡se entienda de los voluminosos legajos de que constan , sino una causa leve, y por lo demas que arrojaba de sí el ex del extracto general…</t>
  </si>
  <si>
    <t>Maroto, Crisáuto Josef García</t>
  </si>
  <si>
    <t>Crisáuto Josef García Maroto</t>
  </si>
  <si>
    <t>…D. Eugenio de Tapia , D. Josef Ma ría Calatrava.,, D. .Vicente Sancho v D^Eugenio A rrieta, D. Ramón Trujillo. Pattido de Fuencarral. D. Isidro López, presbítero. Idem de Getafei D. Crisáuto Josef García Maroto, oura párroco de Idem de Valdemoro, D. Francisco. Herrero y Blanco. Idem de Valdemortilo, D. Juan Orduña y Angel. ■ „ - Dé Chinchón» pD.^ban Bautista Garrasco. j De Navalcarnero.^ 'D’. Ignacio Olarte. De Alcalá. D: Casimiro Verdá. ‘ De Almonacid de Zorita, D.…</t>
  </si>
  <si>
    <t>Márquez, Juan</t>
  </si>
  <si>
    <t>Juan Márquez</t>
  </si>
  <si>
    <t>…en la última sesión , que se reducia á que Cómi-ion para este efecto; lo que se aprobó. Aliando pidió qtié se imprimiesen la memoria y documentos Se dió cuenta de una solicitud de D. Juan Márquez, pi del Secretario de Hacienda, en lugar de estos debió haber diendo carra de ciudadano español; la que se le neg. en 'dicho' estádos de presupuestos. Después de algunas obser otro tiempo por no estar casado. Se mandó pasar á la comi vaciones'se aprobó lis in…</t>
  </si>
  <si>
    <t>Marquiegui, Guillermo</t>
  </si>
  <si>
    <t>Guillermo Marquiegui</t>
  </si>
  <si>
    <t>…el caudillo Arias, el que habiendo con anticipación tomadolas al turas que están a-l fren té del pueblo, huyó perseguido por los dragones Ame ricanos! mandados por ios-coroneles ,D. Guillermo Marquiegui y D. Pédro An tonio Castro. -r- i!' . r.,- • . í, No habiendo podido-¡cercíor,arme en Humahuaca de si estaba ó üó en</t>
  </si>
  <si>
    <t>Marra, Salvador</t>
  </si>
  <si>
    <t>Salvador Marra</t>
  </si>
  <si>
    <t>…Resulta pues que la población de Taris, que viene á ser artillería, por el comisario de guerra D. Antonio Montoro, la cuadragésima parte de la del reino, consume anualmente por el teniente D. Salvador Marra, secretario de la plaza los - productos de una décimaquinta parte del territorio de Metí na: agradecimiento y loor á la vigilancia y zelo de francés; de forma que tres habitantes de los departamentos S. E. el teniente general príncipe de la Scaíleta, comandan…</t>
  </si>
  <si>
    <t>Marrinez</t>
  </si>
  <si>
    <t>…ansversal. Asi que, le parecía ó. ver sus buenos efectos hasta que pasasen á io menos 3c años. Una injusticia notoria privar de toda esperanza A los suceso Apcyó la indicación del Sr. Marrinez de la Rosa, y luego res en línea recta, cuando á los otros se les deja por este propuso, como un arr. 3.0, que debería seguir á la indica art. 2.a la de la mitad de los bienes; con io que podría lle ción referida en caso que se aprobase , el que cuando el po…</t>
  </si>
  <si>
    <t>Marrinez, Josef</t>
  </si>
  <si>
    <t>Josef Marrinez</t>
  </si>
  <si>
    <t>…i le habia pasado por la imaginación tratar A ia que entiende en el apunto de los llamados persas de si debía haber ó no jueces de hecho, cuya institución de una representación de D. Josef Marrinez, uno de los 69 di seaba como el que mas ver establecida en España , sino que putados que firmaron-la representación en él año de 1814, estaba persuadido, como habia dicho al discutirse el art. 4.°» manifestando el buen informe que habia dado de su con de que…</t>
  </si>
  <si>
    <t>Marrón, Josef</t>
  </si>
  <si>
    <t>Josef Marrón</t>
  </si>
  <si>
    <t>…ia; á D. Antonio Leonardo de Letona de la de Vizcaya» y á D. Josef Pintón y Lorenzana de la de Za mora. Asimismo ha venido S. M.ven nombrar gefes políticos interinos al bri gadier D. Josef Marrón de la provincia de Burgos; á D. Manuel Riva Her-? rera de la de Alava; ai intendente D. Josef Blanco González de la de Aragón; á D. Josef Somoza de la de Avila; al brigadier D. Josef del Castellar de la de Cataluña; á D. Pedro Lainez de la de Córdoba; al brig…</t>
  </si>
  <si>
    <t>MarSe</t>
  </si>
  <si>
    <t>…e la mesa, y se seña las promesas que se.hablan hecho en tiempo de este; aña lara después día para la discusión; lo que se acordó. diendo que tendría mucha fuerza la reflexión del Sr. MarSe aprobó otro dictamen de la misma comisión , laque en tinez de la Rosa relativa á la rebaja acordada por las Corres vista de la instancia documentada de-D. Antonio Saez de Te en los dos tercios de este año. si hubiera tenido esta felices jada, vecino de la Cor…</t>
  </si>
  <si>
    <t>Mart, Jacinto</t>
  </si>
  <si>
    <t>Jacinto Mart</t>
  </si>
  <si>
    <t>…los votos particulares de los Síes. Castrülo, Deifico; al teniente general D. Florestano Pepe; al barón Couro, Espiga, Villanueva, Navas, García Page, DolaD. David Winspeare, y al caballero D. Jacinto Mart"cci, á rea, Lecumberri, Martínez Cid, Ca aseca, Gareli y Liáan, fin de que reunidos en comisión presentasen una lista de otras contrarios á ia resolución tomada sobre la indicación del se%o personas, de las cuales elegiría S. A. R. ib, que unidas fior Gaseo.…</t>
  </si>
  <si>
    <t>Marte</t>
  </si>
  <si>
    <t>…iere en el campo, hasta que se erija la correspondiente parceno González, del colegio de abogados de Málaga, uno roquia.” de los seis sugetos nombrados el día 6 de Marzo por el El Sr. Marte! pidió que la comisión tuviese presente pueblo de Madrid,para representar al Rey acerca del ju que siempre ha habido grandes disputas entre los calzados ramento de la Constitución ; cuya instancia, opinaba la co y descalzos; y asi era necesario determinar si…</t>
  </si>
  <si>
    <t>…rada , que es mi pa de egercicios públicos y vacaciones, el modo de obtener recer.” los grados que se establecieren, y cuanto pueda pertenecer Eti vista de algunas reflexiones del Sr. Marte! retiró el al arreglo literario, será objeto de reglamentos particulares. Sr. Carraco una indicación que había extendido", y decía; 29. «Igualmente lo será U organización de estas univer-</t>
  </si>
  <si>
    <t>…ou pues nos prescribe que adoptemos la interinidad como único arreglo á la Constitución" se pusiera »y á las leyes.” medio de asegurar el sistema, y evitar los males que los de El Sr. Marte! pidió se leyera por segunda vez la propo mas pueden producir. sición que tenia hecha sobre amnistía, con cuyo motive» ti Sr. Navas, creyendo que se presentaban dos cuestio reclamó el Sr. Cepero la que presentó acerca del mismo nes, una si los magistrados era…</t>
  </si>
  <si>
    <t>Marte, Antonio</t>
  </si>
  <si>
    <t>Antonio Marte</t>
  </si>
  <si>
    <t>…bril, y eítt eV rnismó áctd prestaran el- juramentó á la Gonístitucíorí en manos del Hx-: oelestíwmo Sr. Gere político ,{ su presidente, los Sre*. D. Vicente Jaudenes, intendente, D. Antonio Marte!, D. Francisco Crespo de Tejada , D. Joaquín' Manrique .y Manrique;, T?. Martin 4e rGoicoecheay el secretario D. Juan Francisco Morate; y los señdres D. Jóséf López Alonso, D. Francisco FernándezGascó y É&gt;. Simón González: Yuste, que por hallarse ausentes no…</t>
  </si>
  <si>
    <t>Martel</t>
  </si>
  <si>
    <t>…ecesiJades del ho piral proponga las A la comisión ordinaria de Hacienda, donde se hallan medidas que halle oportunas. los antecedentes, un expediente pasado por el mismo minis El Sr. Martel, conviniendo en que se socorriesen las neterio 'obre medios propuestos para armar los cotvulados ce-idades del dia, dijo que en su opinión lo que pertenecía varios buques, con el fin de proteger el comercio contra los examinar al cuerpo legislativo eran dos c…</t>
  </si>
  <si>
    <t>…l plan de instrucción pública. y valor de estos, con otros pormenores sobre el mismo Se oyeron con particular satisfacción los partes comuni asunto; y después de hacer presente el Sr. Martel que esta cados por el ministerio de la Gobernación, de queSS. MM. ba pedida por el Gobierno esta noiícia con todas las cir continuaban sin novedad, y que el Rey habia señalado el cunstancias que la indicación prevenía, no se admitió esta dia 12 para salir de…</t>
  </si>
  <si>
    <t>…ocurarán promover los ingresos de estos ramos de Se mandaron pasar á la comisión estas otras dos indi las rentas bajo la mas severa responsabilidad. Madrid 11 de caciones, una del Sr. Martel: «que el artículo pase nueva Agosto de 1820. mente á la comisión para que clasifique prudentemente, no Continúa la lista de las fincas de la extinguida Inqui las personas, sino las circunstancias generales de jubilados, sición.xeformados y cesantes , distingu…</t>
  </si>
  <si>
    <t>…eyera que se trataba de una extinción total, que cátedra de derecho natural, que fue extinguida por D. Ma se añadiera en el proyecto la palabra yor ahora• Después nuel Godoy, y el Sr. Martel dijo que la comisión solo tra hizo presente que acaso de la supresión de los regulares no tó de restablecer estos estudios como se hallaban antes de la se sacarían todas las ventajas que espera la Nación si se los venida de los jesuíta^. ha de mantener por la…</t>
  </si>
  <si>
    <t>…ser benéficos es un puro consejo, y El Sr. Calderón creyó que debia expresarse este artículo no una obligación. con mas claridad, explicando los casos en que no estará Por fin el Sr. Martel consideró el artículo como una obligada una persona á obedecer este artículo, como en el ley para hacer efectiva la obligación que la Constitución caso de arrestar un hermano á otro hermano , un padre á impone á los ciudadanos. Declarado suficientemente discu…</t>
  </si>
  <si>
    <t>…s mayorazgos para la conser Que en la sucesión de ios mayorazgos de aquí en adelante vación de la grandeza del reino. se proceda del mismo modo que en la sucesión de la corona. El Sr. Martel manifestó que en su concepto los perjui Añadió que su opinión particular era que los mayo cios morales que se habian atribuido en la discusión á los razgos no son necesarios ni para sostener la nobleza ni para mayorazgos no eran efecto de estos, sino de las f…</t>
  </si>
  <si>
    <t>…de cia de la ley , que estarla repitiendo á cada paso , y que lo Agricultura sobre patentes, leído el dia 2 del corriente. que proponía la comidon en su art. estaba.ya dópue-ro El Sr. Martel leyó 17 proposiciones sobre reforma de en la Constitución , no tuvo la comisión inconveniente en catedrales. retirarle. Decia asi: Conformándote las Cortes con el dictamen de la comi Art. 5.0 «Las autoridades á quienes toque 110 consenti sión especial encarga…</t>
  </si>
  <si>
    <t>…religiosos te Asimismo' fue aprobado otro de la misma comisión,' nían diferentes trages y estatutos. acerca de la representación del brigadier D. Tornas García Continuó después el Sr. Martel manifestando la necesi Vicenre, en que manifestaba sus méritos y servicios patrió dad de que se tuviesen presentes todas las dificultades que ticos; en la que observaba la comisión que nada pedia el in pbdrian oponer los religiosos al cumplimiento de este art…</t>
  </si>
  <si>
    <t>…io en sujetar los re sobre el Crédito público la pensión que juzgue necesaria.” gulares á los ordinarios. Este articulo fue aprobado con la siguiente adición del se Por último, el Sr. Martel, creyéndose también en la pre ñor Fraile: «No alcanzando la renta y el producto, de la cisión de contestar al Sr. Casaseca, bizo ver que se usaban demanda.” con una equivocación demasiado funesta las palabras de de También se aprobó el art. 1 7 : «si en virtu…</t>
  </si>
  <si>
    <t>…Martínez déla Rosa, hechi en la sesión de anteriormente tenían , -quedando inhabilitados para poder anoche ( véase esta), la que volvió á leerse. jamas obtener empleo alguno.” El Sr. Martel, conociendo el doloroso conflicto en que Se leyeron igualmente otras dos del Sr. Sancho , que de se veían las Cortes, tratándose de castigar á españoles des cían asi :• graciados , confesó por otra parte que era muy halaguen*? t.a «Que la privación de empleos…</t>
  </si>
  <si>
    <t>…o na- enseñanza pública, presentado por la comisión correspon ■ --cional, luego que sus dolencias se lo permitan. diente. »No queriendo interrumpir las graves ocupaciones de la El Sr. Martel manifestó que la comisión , para poner junta, y no hallándose todavía establecidas las relaciones de en las universidades de provincia las cátedras que señalaba ■oficio entre el Parlamento y el Gobierno, lie preferido va en el art. 20, reuniendo en algunas de…</t>
  </si>
  <si>
    <t>…consulado de puesto sin embargo á ser desairado por el tribunal á que se Bilbao, que estaba sobre la mesa. ) pasara después el asunto. Se leyó por primera vez una proposición del Sr. Martel, El Sr. presidente, como individuo que fue de la comi dirigida á que se decretase una amnistía ú olvido general de sión , conviniendo en que le desecharon las Cortes ordina todo lo pasado desde el año 14 basta el día, tanto en la rias , pero ignorando el moti…</t>
  </si>
  <si>
    <t>Martel, Antonio</t>
  </si>
  <si>
    <t>Antonio Martel</t>
  </si>
  <si>
    <t>…do Mozo Rosales: acompaña también di y D. Felipe Vázquez Canga; y para las fiscalías á D. Ma cho manifiesto con notas críticas. El estilo claro con que estaa nuel. de Echeverría y D. Antonio Martel. tratados muchos punros de política y de derecho, y lo necesa rio que es fa ilustración en esta materia por el valor que dieron los 69 á sú manifiesto, y por la importancia de los sucesos y su notable historia, hacen a esta obra apreciable para los que quie E…</t>
  </si>
  <si>
    <t>Marti</t>
  </si>
  <si>
    <t>…Mr. Sphott enfCa1jdad.de jardinero,; Mr. Eu.der, pintor de paisages ,-y Mr- Frick* pinfor de historia ñarural. Jfo^ el Go bierno de Baviera haoído.ei doctpr.SpriX', zoólogo,-y el catedrático Marti nas, botánico.; y por el gran Duque de Toscana el naturalista Mr. R.$sdi. ■ FRANCIA. V "■'J'' París 2 de Énero. \ v’ ■ . J - : i. : i.# '»r, : . ' .. &gt;• j i T ■ •r" ') ■ : ; ■ i. ^ , Ayer á las 10 y cuarto dé la noche S. A. R. U duquesa de Orleans dicf á luz…</t>
  </si>
  <si>
    <t>Martí</t>
  </si>
  <si>
    <t>…, redu ca de si era provechoso o uuil. insertar literalmente las feli cido A que las Cortes debían aprobar y sancionar el citado citaciones en el Diario, se aprobó A petición del Sr. Martí decreto y bases del- referido empréstito, y que. debían cum nez de &lt;la-Rosa que se expresará en las actas: «que habién plirse religiosamente las estipulaciones.hechas por las canti dose felicitado á las Cortes por tales y tales individuos, se dades suscritas,…</t>
  </si>
  <si>
    <t>…eldos serán conforme al de su último desti clarado suficientemente discutido. no ; pues hizo ver que podrá haber algunos que hayan ser Se leyó y aprobó la siguiente indicación del Sr. Martí vido muchos años en otro antes del que desempeñaban ú i ti nez de la Rosa despees de haberla apoyado el Sr. Gareli, y mámente, y podrían quedarse sin la recompensa á que fue hablado el mismo autor: «Siendo contra los principios del sen acreedores. También hab…</t>
  </si>
  <si>
    <t>…ldíos arbitra dos, y no entraban para nada las opiniones políticas , se de dos, ni los que pertenezcan exclusivamente á los pueblos terminó que pasara á la comisión la adición del Sr. Martí respectivos, ó á algunos comuneros, á cuyo fin pase esta nez de la Ro&lt;a con estas palabras mas «exceptuando siem adición á la comisión." Manifestó su autor que la habia pre las opiniones políticas." hecho. porque estaba persuadido de que el artículo como Fue…</t>
  </si>
  <si>
    <t>…aban, á favor de la Habiéndose juzgado ofendido el Sr. Cuesta con, algunas amnistía, como propone la mayoría de la comisión. No he de las objecionaes con qve le había impugnado e! Sr. Martí mudado de dictamen ; pero habiendo oido ayer sentar cier nez de la Rosa en la primera parte de su discurso , repro tos principios, en mi concepto peligrosos, me veo en la ne dujo y aclaró las ideas que habia manifestado en la sesión cesidad de rebatirlos, aun…</t>
  </si>
  <si>
    <t>…editarán haber estudiado lati debía esperar en el resto de la discusión. nidad, lógica y física experimental, ó bien tres anos de filo Continuó discutiéndose la cuestión en que el Sr. Martí sofía e colástic’a, con cuyos estudios serán admitidos al gra nez de la Ro&lt;a hizo ver cuan indiferente seria aprobarla do de bachiller en artes en este colegio, previo el examen ó reprobarla ahora ó después. correspondiente, aunque sí le trajeren por universi…</t>
  </si>
  <si>
    <t>Martí, Mateó</t>
  </si>
  <si>
    <t>Mateó Martí</t>
  </si>
  <si>
    <t>…ccion de la primitiva lotería nacional, eje gisiagion deb resultas Üe haber. examipadcT las , dudas, pro-r cutada en la tarde de.este dia, hai&gt; salido por el misino or puestas por D. Mateó Martí, leído por primera,en. ayude den con-que aquí se anotan los curco números siguientes: Agosto: 2.0 :et presentado por la comúian. nombrada para 21, S8 , 12, 63 y 77- • ! c:&lt;ow«uaic el espediente relativo .i los premios debidos á:.los * El premio de-2Soo rs. vn…</t>
  </si>
  <si>
    <t>Marti, Xavier</t>
  </si>
  <si>
    <t>Xavier Marti</t>
  </si>
  <si>
    <t>…que "decía: «Los monges que No fueron admitidas á discusión ninguna de dos indica quieran continuar observando la regla que han profesado ciones que presentaron los Sres. Arnedo y D. Xavier Marti podrán hacerJoi'con aprobación de! Gobierno, y sujetándose nez, para que se considerasen comprendidas en el artículo al ordinario respectivo en los conventos que no se vendan , ó primero las cacas del instituto religioso conocido con el que el Gobierno no des…</t>
  </si>
  <si>
    <t>Marticorena, Juan de Dios</t>
  </si>
  <si>
    <t>Juan de Dios Marticorena</t>
  </si>
  <si>
    <t>…ca, cla responda , puedan verificarlo , dirigiéndose para adquirir las de ra y exacta; que era preciso disminuir los gastos de ad- mas noticias que juzguen convenientes al albacea D. Juan de Dios Marticorena , vecino del mismo pueblo de Huancayo, y rninbrracion. y que no se podía aprobar el presupuesto sin á D. Carlos Pedemonte, residente en Madrid , quien tiene parauna tsran reforma. ellos una carta instructiva é interesante. Conviniendo el Sr. ministro de Hacie…</t>
  </si>
  <si>
    <t>Martifiez</t>
  </si>
  <si>
    <t>…separarlos. Por todo lo cual opinó que que debía archivarse el expediente. no debía aprobarse el artículo. La comisión de Hacienda presentó Su dictamen acerca Estando hablando el Sr. Martifiez de ía Rosa, salió para de la solicitud de D* Vicente Ximenez de Cisneros, em pakcio la comisión encargada de llevar á la sanción .Real pleado qúe fue de Rentas, para que se le abonasen en cuen dos decretos de las Cortes. , ta 42,^ 27 rs. vn. que .debía á'la H…</t>
  </si>
  <si>
    <t>Martin</t>
  </si>
  <si>
    <t>…fecto, citará el alcal consiitucional pasar al juez de primera instancia una lista de á dichos jueces.” certificada de los doce jueces de hecho que han de calificar Indicación del Sr. Martin: «Que se exceptúen para jue el impreso, los cuales habrán sido sacados por suerte de ces de hecho todos aquellos que no pueden ser elegidos di entre ios que quedaron insaculados en el primer sorteo, ob putados de Corresla que no se admitió) á discusión. servá…</t>
  </si>
  <si>
    <t>Martin, Ana</t>
  </si>
  <si>
    <t>Ana Martin</t>
  </si>
  <si>
    <t>…serva las iglesias menos decentes para las'devociones de sus Claudio Sanz, escribano del número, se cita, llama y emplaza ámusulmanes. Ocho dias después de la toma de la ciudad da Doña Ana Martin, natural dd lugar de Naval manzano , jurisun gran convite á todos los principales armenios que habian dicción de la villa de Cuellar, obispado de.Segovia ó á sus he entregado el país, y al despedirlos hace que bajen por una rederos, pata '"ye dentro del preci…</t>
  </si>
  <si>
    <t>Martin, Bernardino S.</t>
  </si>
  <si>
    <t>Bernardino S. Martin</t>
  </si>
  <si>
    <t>…Dios , guarde á V. muchos anosí*Madrid r4 de Mayo de 1820.” . En atención á los dilatado^ méritos y servicios contraídos por el con tador de.fragata jubilado de la armada nacional D. Bernardino S. Martin, ha venido S. M. en concederle Los honores de oficial primero del ministerio de Marina;. &gt; '■ * * • *j Para que con mayor prontitud puedan recibirse aquí noticias del Perú, y allí Ms de la península, ha resuelto el Rey que toda la oorré%pondencia que conduce…</t>
  </si>
  <si>
    <t>Martin, Domingo San</t>
  </si>
  <si>
    <t>Domingo San Martin</t>
  </si>
  <si>
    <t>…cha traslado esta re tos constitucionales, y aun á todo contribuyente, por las espe solución de S. M. al ministerio de la Gobernación de la Pe cies que contiene: por el licenciado D. Domingo San Martin, nínsula , para que los Gefes políticos contribuyan por su juez interino de primera instancia de la villa de Haro. Se vende parte al logro de los efectos á que se dirige. Palacio 28 de á g rs. en el puesto de libros, calle de las Carretas, frente á la Julio d…</t>
  </si>
  <si>
    <t>Martin, Eugenio Francisco de</t>
  </si>
  <si>
    <t>Eugenio Francisco de Martin</t>
  </si>
  <si>
    <t>…jandro; en Burgos en la de Viilanueva y Hervías; en Valladolid en la de Santander; en León en la de González Candanedo; en Soria en la de Perez Rioia* y en Bilbao en la escuela de D. Eugenio Francisco de Martin. En el despacho de la imprenta Real se halla de venta el tratado de Matemáticas para la instrucción de los militares. Principios de música y guitarra compuestos por D. Salvador Gil, que se dio a luz en el año de 1814, y tuvo tan buena acogida entre los profes…</t>
  </si>
  <si>
    <t>Martin, Manuel</t>
  </si>
  <si>
    <t>Manuel Martin</t>
  </si>
  <si>
    <t>…memoriales al alcalde constitucional de di cha villa. nuel Pardo , de edad de 19 años, que lleva 3 y medio de Está vacante el magisterio de primeras letras de la villa de escuela; D. Manuel Martin, de 17 años y medio, y cinco Orusco, con la dotación de 300 ducados anuales, para cuyo de escuela; Eugenio Becerro , de 14 años, y 3 y medio de magisterio se desea un secular. Se dirigirán los memoriales al escuela; D. Antonio Gutiérrez, de 19 años, y 4 de es…</t>
  </si>
  <si>
    <t>Martín, Manuel</t>
  </si>
  <si>
    <t>Manuel Martín</t>
  </si>
  <si>
    <t>…uno en perjuicio de los mis mostraron sus adelantamientos en la aritmética y geometría. mos interesados. De Real orden lo comunico á V. S. para Por último los referidos Gutiérrez, D. Manuel Martín inteligencia y cumplimiento de ese tribunal, en la parte que y D. Agustín Pelaez pronunciaron cón voz clara é inteli .le toca. Madrid 22 de Diciembre de 1820.” gible algunas oraciones religiotas, y contestaron con acier to sobre los puntos del dogma en que se…</t>
  </si>
  <si>
    <t>Martin, Pedro</t>
  </si>
  <si>
    <t>Pedro Martin</t>
  </si>
  <si>
    <t>…llama y emplaza, por término de 30 días, conta ponen ; fundación de Qdessa, su estado actual, su dos desde el en que salga este aviso , á D. Juan Angel de Aramcomercio 6-r. buru, D. Pedro Martin de lriarte y D. Faustino Sta. María y No hay en todo e¡ globo punto mas interesante para un Velasco, últimos tenedores el primero de dos vales reale*-de observador que los países bañados por las aguas del mar Ne 300 pesos cada uno, creación de t.° de Setiembr…</t>
  </si>
  <si>
    <t>Martines</t>
  </si>
  <si>
    <t>…or el articulo anterior, podran disponer libremente de disponga de ella con igual libertad el sucesor inmediato. la mitad de los bienes en que aquellas consistiesen , y después El Sr. Martines de la Rosa se opuso á la aprobación de de su muerte pasará la otra mirad a! sucesor inmediato del este 2.0 artículo, en cuanto lo creía en primer lugar abso mayorazgo, quien podrá también disponer de ella con ente lutamente en contradicción con los mismos pri…</t>
  </si>
  <si>
    <t>…aprobó último se declaró no haber lugar á votar, mandando se de- el presupuesto como lo propotiia !a comisión. ■ volviese á la comisión el dictamen, para que teniendo pre Pidió'el Sr. Martines de la Rosa que se leyeran las ob sentes las observaciones que se habían hecho, le arreglase. servaciones indicadas por la comisión , á lo que ce accedí-', Habiendo pedido el Sr. Zapata se declarase terminanre- habiendo hecho antes el Sr. presidente la adverte…</t>
  </si>
  <si>
    <t>Martinest</t>
  </si>
  <si>
    <t>…¡a discu Previa alguna explicación acerca de los arbitrios com sión del art. 18. prendidos bajo los números 3 y 7, se aprobaron todos los Leida después la indicación referida del Sr. Martinest</t>
  </si>
  <si>
    <t>Martinete, Plácido Benigno Justo Severo del</t>
  </si>
  <si>
    <t>Plácido Benigno Justo Severo del Martinete</t>
  </si>
  <si>
    <t>…Carretas; d.e"Coronel, en Jas gradas de S. Felipe, y en Valencia en la de Mallen. f ¡ , ... El piénsalo bien político de Madrid, sobre cosas pasadas, presentes y futuras: su autor D. Plácido Benigno Justo Severo del Martinete. Esta obrita,..que se irá dando á lúz á respecto de un pliego cada semana , se despacha énjas librerías de Paz , frente ‘ * ¡ . ‘ ;,í ; '• . ,i .iá las Covachuelás,■ ... /y en, la de' Minutria,•; calíé*.dévil'iToledo.. :,r, '.'V•• _________ __________________…</t>
  </si>
  <si>
    <t>Martínez</t>
  </si>
  <si>
    <t>…. los escrutadores que debieran nombrarse, se acordó que no fuesen mas que, dos; y hecha la votación, resultaron electos, el Sr. Travev por 72 votos, y ef Sr. Cauto por 62. El Sr. secretario Martínez de la Rosa leyó’ Mego la lista dé todos los; Sres. diputados, y por ella se fueron presentando á Jía&lt; mesa del Sr. presiden te, á. quien entregó cadar uno sus poderes. El limo. Sr. obispo* electo, de Va— lladolid de Meehoacan hizo presente á la junta preparat…</t>
  </si>
  <si>
    <t>…rí una de las huérfanas de lo&lt; militares o patrio de la acción patriótica de este ciudadano, se aprobó la in tas que hubieron muerto en detensa de la justa cama ce la dicación del Sr. Martínez de la Rosa , en que propuso pa Nación, ha cabido en suerte del primer extracto de la de sara á la comhion de Gobierno interior de Cortes. este dia á Juana Olivares, hija de Franci-co, sargento i. El Sr, Calatrava hizo otra proposición para que se nom que fue…</t>
  </si>
  <si>
    <t>…la obra de la felicidad ge las Cortes, sino á que le tuvieran exclusivamente, como cre neral.. Estándose leyendo esta memoria , salió la diputación yó habia intentado persuadir el Sr. Martínez de la Rosa; y encargada del mensaje; y al concluirse la lectura contestó habiendo dicho el-Sr. Tapia que cuando ios secretarios del el Sr. presidente que su contenido habia ocupado toda la Despacho proponen es á nombre del Rey, por lo que atención de las Cort…</t>
  </si>
  <si>
    <t>…sobre el En sesión del 28 aprobó la Cámara de los Pares el. asunto, por exigirlo asi la vindicta pública. proyecto de ley sobre las elecciones por una mayoría de Se leyó otra del Sr. Martínez de la Rosa para que aten 141 votos contra jó. diendo. á la multitud-de ladrones que infestan Ids Caminos, de que se sigue la inseguridad de las propiedades, tomando NOTICIAS DEL REINO. ocasión los malévolos para extraviar la Opinión publica, y hacer creer á l…</t>
  </si>
  <si>
    <t>…y La comi.uon rccreta hábia empezado a examinar lor. docu jse olvidase una ley que protegía ¡á súplica; mucho más, mentos presentados á las Cámaras ; y la Reina habla pedi dijo el Sr. Martínez de la Rosa, cuando atendida la perso do se suspendiera por do- meses la demanda contra ella, na quela había hecho, parecía querer decirla con la nega hasta que tuviese en su poder los papeles que debían acre tiva : »esa¡ misma-Constitución, de que ha sido víc…</t>
  </si>
  <si>
    <t>…ubricado de la Real mano. = cerse; se repitió la lectura del irrfonnede las comisiones j y En palada a ó de Julio de 182c. = A D. Manuel García quedó aprobado; ' b ' Herreros." El Sr. Martínez dé lá Rósá indicó qúe se diesen graóias en norhbre de la Naclo'ñ á los que habían suscrito al em Expostcim de ta Junta, suprema gubernativa d S. AI. préstito sin ínteres; pero habiéndose.hecho presente' por los «Señor: Llegado el fausto día Cn que abre sus se…</t>
  </si>
  <si>
    <t>…lea providencia de estas. La comisión era de opinión que de dos públicos, sueldos y demas con que deberán quedar. bía proponer los arbitrios la referida junta, y no el mi Otra del Sr. Martínez para que las Cortes actuales, á nisterio de Hacienda, é indicaba los puntos que debería imitación de las extraordinarias y ordinaria' publiquen un abrazar el informe ó estado que aquella presentase , para manifiesto, dirigido á desvanecer las imputaciones de…</t>
  </si>
  <si>
    <t>…el 10 se apostaron ya ra, Ciscar, Rodríguez, Rovira, y García (D. Juan Josef). gentes para avisar con cohetes la llegada del expreso , la cual Se leyó la siguiente proposición del Sr. Martínez de la no se verificó hasta las 11 y media de la noche siguiente. Rosa: ,,que el Gobierno con urgencia de antecedentes, y to Apenas llegó á las puertas del pueblo, corrió la voz con tal mando las noticias que estime oportunas, informe á las Cor velocidad, que…</t>
  </si>
  <si>
    <t>…e y de propios, mediante estar designados estos en la memo presidio , por su mucha analogía con la presentada hoy por ria del ministro de Hacienda para el pago de la deuda; sin el Sr. Martínez de la Rosa. rjuicio de apreciar del modo conveniente los servicios de A la de Gobierno interior de Cortes otra del Sr. Vito1 tropas de la Isla, y demas que se crean en caso semejante. rica , leida por primera vez en 10 del presente, para que seC Otra del Sr.…</t>
  </si>
  <si>
    <t>…titución, y que en el dia ha empezado á ex Se dio cuenta de un oficio del ministerio de la Gober-; plicarse. nación, remitiendo el acta de instalación de la diputación Demostró el Sr. Martínez de la Rosa que los dos pre provincial de la Coruña: las Cortes quedaron enteradas, y opinantes procedían equivocadamente, pues la comisión, acordaron se archivase. cuyas reflexiones reprodujo , no había sentado que las uni Se aprobó la propuesta que hacia la…</t>
  </si>
  <si>
    <t>…la actualidad de este público es favorable; que la milicia nacional se presta gus objeto. tosa á cuantos servicios exigen las circunstancias, siendo dig Habiendo hecho presente el Sr. Martínez de la Ro a na de elogio la oferta de la séptima compañía de la milicia que la comisión de libertad de Imprenta estaba trabajando del Ferrol , que viendo' salir al batallón de Marina, habÍ3 un reglamento acerca de esta, por el cual recibirían alguna pedido per…</t>
  </si>
  <si>
    <t>…, diputado secreta á la marina, y que dentro de pocos años en vano se quer rio. = Ladeo Ignacio Gil, diputado secretario. == A la Re ría recoger la licencia. gencia del Reino.” El Sr. Martínez de la Rosa pidió se señalara dia para la discusión. El Sr. Calatrava dijo que siendo un proyecto de ley no se podía discutir sino por los trámites regulares; 1 ANUNCIOS. y tratándose de si debía ó no discutirse, se acudió á la Constitución, y citando el artíc…</t>
  </si>
  <si>
    <t>…la mí ma comisión se vuelva á examinar el expediente, que los que gobiernan se desvelan por el bien público , apo á fia de que informe sobre si á dichos funcionarios se les yó el Sr. Martínez de la Rosa en un todo á su preopi deben imponer las penas que de palabra he enunciado al nante. Congreso ú otras mas severas ó suaves, ó absolutamente nin El Sr. Florez Estrada, juzgando demasiado suave el dic gunas." Habiendo pedido uno de los Sres. diputado…</t>
  </si>
  <si>
    <t>…, calificando de usura y monopolio el comercio de sobre granos debe ser anual, y debe hacerse en vis a de la granos, habiéndote permitido el de todos los demas frutos; cosecha: el Sr. Martínez de la Rosa, que se exprese que es por el Gobierno, con providencias de tutela, coartando la una medida temporal, por la suma decadencia en que se libertad continuamente , y temblando que llegara el caso tan halla la agricultura; y el Sr conde de Toreno, que p…</t>
  </si>
  <si>
    <t>…a gencia con que debe cumplir el desempeño de este impor ciones del Sr. Villanueva , á que contestó el Sr. de Sierra, tante y principal deber que le impone su cargo, manifieste el Sr. Martínez de la Rosa pidió que se extendiese á los á V. S. que cualquiera omisión en este interesantísimo ne presidios de Africa la misma excepción , pues bastante su gocio produciría la irremisible destitución del empleado que fren aquellos miserables habitantes, que…</t>
  </si>
  <si>
    <t>…ltarían mayores geros. Habiendo hablado diferentes señores, sobre la prefe inconvenientes ; y que solo debiera haberse hablado en los* rencia que exigía C'te asunto, 6 indicado el Sr. Martínez de términos que lo habían hecho los que le precedieron, si sé la Rosa que se señalara dia para abrir ladiscUtion que tenia hubiera determinado que habia lugar á discutir. Que sabia pedida en su proposición citada , la que solo habia retirado de muchos labrado…</t>
  </si>
  <si>
    <t>…a declaración del NOTICIAS DEL REINO. Congreso ; se acordó no haber lugar á votar sobre este punto. Se leyeron y aprobaron las dos indicaciones ofrecidas Avila 22 de Junto. por el Sr. Martínez de la Rosa , concebidas en estos térmi Luego que el ayuntamiento constitucional de esta ciu nos: i.a que las comisiones reunidas de Agricultura y Co dad recibió en la mañana del dia 10 la lisonjera noticia de mercio, con visti de los documentos que presentó,…</t>
  </si>
  <si>
    <t>…lumna de la Península contestó que nada se podía decir de oficio, sin nuestra libertad. embargo de la satisfacción que tendría en anunciarlo. Se leyó.en seguida ¡a proposición del Sr. Martínez de la Madrid 30 de Julio. Rosa , dirigida á evitar el crecido número de ladrones que SS. AA. continúan sin la menor novedad en su impor daba lugar á la discusión, y estaba concebida en estos tér tante salud. minos: «Pido que se señale dia para abrir discusión…</t>
  </si>
  <si>
    <t>…ución para sus Estados ; pero las medi que’ los producían; pero convencido de ¡a urgencia del mal-, cas tomadas en aquel reino, cortando é impidiendo toda adoptó la indicación del Sr. Martínez de la Rosa, relativa comunicación con el extrangero, tanto por mar como por á una ley interina y supletoria , reservando para el Gobier •tierra, para conservar asi la tranquilidad pública, y evitar que no., en.caso necesario, la iuiciativa.de echar man© de la…</t>
  </si>
  <si>
    <t>…abría motivo para defraudar á la que habian con ribiido á la empresa A petición del señor Hacienda pública, mas necesitada acaso que el hospital, y conde de Toreno, apoyada por el Sr. Martínez de la Ro en el segundo deberia socorrerse con prontitud á la huma sa . no obstante la oposición del Sr. Ramonet, Lindada en nidad doliente. Respecto de lo indicado por el Sr. Martel, que no debían as Corres permitir se creyese que les habian dijo que la diput…</t>
  </si>
  <si>
    <t>…r de su derecho siciones de los Sres. Vargas Ponce y López. en los términos que previenen las leyes, y que se pasase ¿ Se levantó la sesión, y quedaron en secreta. la comisión. El Sr. Martínez declamó, refiriéndole á experiencia pro ARTICULO DE OFICIO. pia, contra el- escandaloso gasto de cinco millones que se ha bía sentado consumía el hospital anualmente. Con fecha 31 de Julio, desde la villa de Sacedon, dice Con motivo de la discusión que se cit…</t>
  </si>
  <si>
    <t>…ta fija en el Congreso , esperando el pago del todo ó aprobado el primer artículo. parte de sus deudas. Asi como el particular que teniendo me Leido que fue el segundo, propuso el Sr. Martínez de la dios no quiere satisfacer susdébitos, después no encuentra quien Rosa que se añadiera, ,,con exclusión de metálico;” adi le dé nada á préstamo, del mismo modo sucede á la Na ción en que convino el Sr. conde de Toreno á nombre de ción. Hallándose esta co…</t>
  </si>
  <si>
    <t>. V1 •fin y Sierra Pambley, se aprobó el artículo con la siguiente 49 vales; y aunque para su recobro habla acudido á la ¡unta adición del Sr. Martínez de la Rosa, „quemándose en del Crédito público reclamándolos, nada habia conseguido. publico.” La comisión era de dictamen que este negocio no corres El Sr. Calatrava propuso se hiciera esta adición , «sin pondía á las Cortes, y debia pasarse al Gobierno para…</t>
  </si>
  <si>
    <t>que en todas partes to mismo se ha llamado religiosos á ios Hizo otra Indicación el Sr. Martínez de la Rosa, redu de uno que á los de otro sexo; pero habiendo observado el cida á que la comisión Eclesiástica, en conformidad de las Sr. Sancho que esto no era tan general, puesto que habia benéficas ideas que ha manifestado , proponga á las Cortes dado luga…</t>
  </si>
  <si>
    <t>…io habría en Cataluña libertad de impren «diente, á propuesta de la suprema. 2.a Que se encargue .i ta, pero no censura. «la Junta suprema que haea Inmediatamente la propuesta. Él Sr. Martínez de la Rosa opinó que debia tratarse «3.a Que se declaren válidas las censuras que haya dado con delicadeza un derecho tan precioso como el de la liber «hasta ahora.” tad de imprenta, y que las Cortes no debían proceder á Para la'comisión especial de Ultramar,…</t>
  </si>
  <si>
    <t>…era absolutamente necesario sesiones del 20 y 23 de Julio, y dispuesto en vjs¡a de las atender á cubrir sus urgencias. proposiciones hechas por varios diputados en esta ultima, El Sr. Martínez de la Rosa dijo que sentía oponerse al mandadas pasar á la comisión. -artículo propuesto por la comisión ; pero que era necesario Fueron nombrados para la comisión especial de la divi ante todas cosas separar las cuestiones que no eran del dia. sión del terri…</t>
  </si>
  <si>
    <t>…ncipio A la del tanto por las razones expuestas, como igualmente por la dictamen de la comisión de Hacienda sobre los presupues delicadeza de los Sres. diputados. No solo apovó el Sr. Martínez de !a Rosa la opinióntos de los gastos de la Ca‘a Real presentados por el secre del Sr. conde, sino que añadió» que no se debía esperar Atario del Despacho de Hacienda. Como el ministro presen nada para fijar dicha dotación . puesto q: e en su dictamen ta la…</t>
  </si>
  <si>
    <t>Martinez</t>
  </si>
  <si>
    <t>…o entre nosotros presentado una proposición, sobre que se declarase si en aquella ley fundamental del Estado. el artículo 371, en que se establece que todos los españoles Apoyó el Sr. Martinez de ta Rosa el dictamen de la tienen libertad de imprimir, estaban ó no comprendidos los comiion ; y después de haberle aclarado mas, añadió, con militares, se hubiera reprobado por unanimidad de votos. .respecto á la opinión de los que le habian precedido, qu…</t>
  </si>
  <si>
    <t>…suspensión de privilegios, á lo que el Sr. conde de Tore- vieron que no había lugar á votar. no dijo que la comisión de Hacienda había dado ya su in Se leyó la otra indicación del Sr. Martínez de la Rosa, forme sobre esta materia, y añadió el Sr. Sierra que estaba pidiendo «que la comisión de Hacienda examine sí conven en el mismo expediente otra exposición igual del mismo. drá fijar un plazo prudencial en que puedan verificarse las D. Josef María…</t>
  </si>
  <si>
    <t>…re que esté cumplida. procedió á la votación , y se aprobó también este artículo. Igualmente ha resuelto S. M. que en el expresado térmi Se admitió á discusión esta indicación del Sr. Martínez no perentorio de 15 dias se presenten los unos á tomar po de la Rosa ,,c¡ue se añada á las obligaciones de la milicia sesión de sus destinos, y los otros á desempeñar los que va nacional la de escoltar en defecto de otra tropa las con obtenían; debiendo los i…</t>
  </si>
  <si>
    <t>…se necesario, dientes. por las qué había la comisión puesto las milicias á las órde nes de la autoridad civil local. Ei capitán de navio D. Joref de Alcalá, comisionado - Apoyó el Sr. Martínez de la Rosa lo expuesto por el por S. M. para conducir en el l-ergantin Diligente, correo Sr. Vitorica, haciendo patente lo recesarlo que es siempre de la armada, á Tenerife, Puerto-Rico y la Havana lo» en las operaciones militares la unidad de mando y la cele…</t>
  </si>
  <si>
    <t>…o se debía sacar nada de las mismas, sino hacer que los to, á cuyo cargo corría anteriormente. paguen Jos que los trajeron. El Sr. Dolares, después de haber convenido en que se El Sr. Martínez de la Rosa dijo, que decretada ya por habia procedido al restablecimiento de los jesuítas sin for el. Congreso la extinción de e ta Compañía, ju-tameme me malidad ninguna, como habia visto por sí mismo en ia se ditada por Carlos m , é ilegítimamente restablec…</t>
  </si>
  <si>
    <t>…ustración , el Congreso no se hu y Palarca, sobre el curo que debía darse á esta represen biera reunida. tación , y sobre si era ó no una infracción de Constitución La opinión del Sr. Martínez de la Rosa fue que debía ó de ley los procedimientos del. ministerio de la Guerra admitirse á discusión este punto, cuando menos por el ho con el coronel O-Donell; y por último se acordó que pa nor del mismo Congreso; y que tanto sus compañeros de sara á la c…</t>
  </si>
  <si>
    <t>…ncas de su mayorazgo. trataba de un proyecto de ley, sino de dejar vigente la La misma comisión en consecuencia del expediente re que lo estaba antes ; pero lijando la cuestión el Sr. Martínez mitido por la misma secretaría de Gracia y Jus ida , sobre de lá Rosa , demostró que no podía ser incluido el decreto dispensa de 9 meses de edad á D. Faustino Rodríguez, pre de que se hablaba en el número de los peculiares de las Cor sentó su dictamen, que a…</t>
  </si>
  <si>
    <t>…idido que estos asuntos pertenecen al Gobierno, del Congreso, señaló el Sr. prsidente para ella el dia de y efectivameme se declaró que no habia lugar A votar. Re mañana. clamó el Sr. Martínez de la Rosa la lectura del decreto de A la comisión de Guerra se mandó pasar una memoria' las Corres anteriores, con objeto de evitar que se distrajera de D. Pedro de Herrera sobre puntos concernientes á la la atención del Congreso; y' el Sr. Vitorica observó…</t>
  </si>
  <si>
    <t>…añadirá «y sereis ademas responsables , con día , Játiva, Ayora, Alberique, Alcira, Sueca, Morella, arreglo á las leyes.” Peñíscola, Castellón de la Plana, Alcora, Nules, MurvieEl Sr. Martínez de la Rosa pidió que este artículo vol dro, Onda, Segorve, Liria, Chelva y Chiva. viese á la comisión,, porque le parecía que «sostener las Cor Bureos. Aranda de Duero, Aranzo de Miel, Aillon, tes” no quiere decir nada; y el Sr. Vargas Ponce dijo que Belorado…</t>
  </si>
  <si>
    <t>…nombrar á D. Antonio Allue por mí Los artículos 53 y 54 fueron aprobados ; no obstante pro-capellan y limosnero mayor y patriarca de las Indias, que acerca de este último dijo el Sr. Martinez de la Rota en atención á sus méritos y buenas prendas. Tendreíslo en que notaba se daba muy poca importancia á los deberes y tendido, y dispondréis lo necesario á su cumplimiento.^Ru funciones de esta milicia , por lo que se citó y leyó el ar bricado de la Re…</t>
  </si>
  <si>
    <t>…y debía entenderse puramente en los actos de servicio ; pero nombres de los declarados beneméritos de la patria.” habiendo dicho el Sr. Romero Alpuente, que se hallaba ya Otra del Sr. Martínez (D. Xavier) para que la comisión esta advertencia en otra parte del mismo reglamento, retiró tenga presente en su informe á los hijos y hermanos de Don aquel su indicación, y se aprobó el art. 47. Sintbriano López. A pesar de la observación del Sr. Martínez d…</t>
  </si>
  <si>
    <t>…O. dos , no se podia aplicar en rodo su rigor hasta la formacion de otros mas ciaros, sencillos y bien meditados. El Rey se ha servido dirigirme el decreto que sigue: Respondió el Sr. Martínez de la Rosa , que por mas Don Fernando vii, por la gracia de Dios y por la exacta que sea esta verdad, á la comisión no le tocaba sacar Constitución de ¡a Monarquía-española, Rf.y de las Espaá los jueces -de esta estrechez, y que quiza seria una des ñas, á tod…</t>
  </si>
  <si>
    <t>…se en caso nanza, ni les ha dado otro nombre que el mismo bajo de haber malicia , como advierte la ordenanza de vagos. que se hallan anunciados y conocidos en las leyes. Con resEl Sr. Martínez de la Rosa . después de manifestar que ecto á lo que habla propuesto el Sr. Silvas , dijo , que opinala comisión había tratado de tomar la' medidas propias riel a que la comisión no tendtia inconveniente alguno en que poder legislativo, sin pas'ar á las pecul…</t>
  </si>
  <si>
    <t>…os, siendo necesario el re á la-circunstancia particular de hallarse abierto aquel puerto emplazo del egército permanente. al comercio extrangero.” 1 La razón poderosa que dijo el Sr. Martínez de la Rosa Lo que de Real orden comunico á VV..SS., á fin de que había tenido ía comisión para liaeer la variación en la que dispongan el hacerlo saber á todos los inténdentes¡y de pena , era la de que se necesita rectificar la opinión; y aun mas autoridades…</t>
  </si>
  <si>
    <t>…r.” guardia, en el cuaTto segundo. Nada tienen que llevar los Se aprobó, también él 13 como estaba, no obstante que concurrentes mas que papel y pluma y el arte de taquigrafía, al Sr. Martínez de la Rosa le pareció expresión muy inde que se vende ea Madrid en las librerías de Castillo y de finida la de largos años. Barco. Pedia el Sr. Caiatrava que ea el último artículo se com prendieran no solo los inquisidores regulares, sino á todos ■ En egecuci…</t>
  </si>
  <si>
    <t>…tan discusión sobre si deberiasimprimirse por separado ó en el tos ociosos por no tener quien les dé que trabajar, no se diario de Corres. trate de suprimir los días Festivos. El Sr. Martínez de la Rosa dijo que á la tercera lectura Se leyó por primera vez la siguiente proposición del se probablemente se hallarla impreso ya; el Sr. Navas, qce ñor Vargas Poncc: «Pido que unidas las dos comisiones podría no e-tar aun: el Sr. Cortés, que por punto ge…</t>
  </si>
  <si>
    <t>…solo la obligación de hacerla. «para su persecución, arresto y castigo” en las últimas pala El Sr. Cepero dijo que hallaba el artículo arreglado exac bras; ú lo que le contestó el Sr. Martinez de la Rosa. tamente á la Constitución , pues que esta misma prescribe El Sr. Lasanta apoyó este segundo artículo, y el señor á todos los españoles el ser benéficos; y que uno dé los ma Cortés creyó necesaria la adición de estas palabras «en cuan yores benefic…</t>
  </si>
  <si>
    <t>…bs.a para que ro de responsabilidad, lo que pone en gran,compromiso y se establezcan bajo ciertas leyes ó reclamemos. aflicción al Gobierno y á todas las autoridades, como expe El Sr. Martínez de la Rosa, después de demostrar, co rimentarían á su vez los individuos de jas mismas que pár- mo el ministro de la Gobernación de la Península-, que de sasen ,á serlo en algún caso. Tara prueba de las facultades que bían separarse las dos indicaciones, dijo…</t>
  </si>
  <si>
    <t>…tir general una orden de S. M. para que saliese inmediatamente las indicaciones y demas. de la corte’, y pasase de cuartelá Oviedo, exonerándole del En este concepto se levantó el Sr. Martínez de la Rosa, mando de Galicia. y dijo: Para ver si se debe admitir á discusión la indica En el discurso recordaba los servicios del egército de San ción del Sr. Gutiérrez , la primera cuestión que se ofrece es Fernando ; que á consecuencia de las órdenes del G…</t>
  </si>
  <si>
    <t>29° ello, y se veía precisado a buscar esta prueba de que care su informe al general Quiroga, y otra del Sr. Martínez para cía, por lo que había hecho su indicación; y por fin, que que se tengan en consideración ¡os dos caudillos del egérci en caso necesario se consíkuia el acusador de los secretarios to de Galicia D. Carlos Espinosa y D. Manuel Lacy ; con del Despacho, lo q…</t>
  </si>
  <si>
    <t>…Sr. Toreno expuso que parecía muy justo que se die por lo que pueden influir .en nuestras relaciones exteriores. ra al egército una especie de gratificación por el zelo y Dijo el Sr. Martínez de la Rosa que de cualquier modo trabajo de estos día-, á lo que el Sr. Canga Arguelles que fuera , no podía menos de ser sumamente importante la replicó, que ya se habían dado las órdenes, y que hoy re-: discusión proporcionada por el Sr.'Moreno Guerra, que…</t>
  </si>
  <si>
    <t>…bstáculo ¡rara que se apro Sr. conde de Toreno por 113 votos de 146. bara d dictamen. Esto mismo aprobó el Sr. Goilin. Para el segundo no resultó elección en primer escrutinio; El Sr. Martínez de la Rosa dijo que siendo este decreto y habiendo entrado en el segundo los Sres. Calatrava , Cues el mejor medio de aumentar el número de partidarios del ta, Zayas y Moscoso, recayó la elección en el primero por sistema constitucional, no se debia evitar co…</t>
  </si>
  <si>
    <t>…e nombró para la comisión encargada bierno, proponiendo la primera fuese de 300 reales, á lo del exterminio de malhechores al Sr. Bahamonde en lugar que accedieron las Cortes. del Sr. Martínez de la Rosa ; para la de Diputaciones pro A la comisión segunda de Hacienda se mandó pasar una vinciales al Sr. Valcarcel; para la ordinaria de Hacienda en consulta remitida por el ministerio del tribunal de Cruzada lugar del Sr. presidente al Sr Moscoso; para…</t>
  </si>
  <si>
    <t>…las dudas propuestas por D. Mateo Martí y Albiñana, ayu mandaron patar á la comisión las indicaciones siguientes. dante mayor del batallón ligero ¿e Hostalrich , sobre el Luía del Sr. Martinez de la Rosa: «que la comisión modo de tomar parte en las elecciones civiles los militares, prefije las circunstancias que constituyen vecindad y resi leído por primera vez en 2 i de Agosto. dencia , asi respecto á los ciudadanos militares como á los Se leyó el…</t>
  </si>
  <si>
    <t>…a sido el amor de la lemines y 1 f estadales. proposición que dió lugar al expediente que se promovió Otra á Acabatnuebles, de una fanega, 9 celemines y ry entonces. estadales. El Sr. Martínez de la Rosa, después de haberse extendi Otra que hace frente á la cañada de S. Márcos, de una do en manifestar los males que á la Nación se siguen de las y media fanegas, 2 celemines y 3 estadales. vinculaciones, creyó que en el artículo debian comprender Otra…</t>
  </si>
  <si>
    <t>…suelto en la sesión extraordinaria de del Sr. Silves, las reflexiones del Sr. Calatrava; satisfizo á lo anoche, relativo al reemplazo de los oficiales que gocen de expuesto por el Sr. Martínez de la Rosa, diciendo que lice^ía ilimitada. aunque la decadencia de España se debiera, como en cfecSe aprobó la indicación del Sr. Sancho, relativa al artí ,to habia sucedido , al conjunto de causas que la privaron culo t.u del dictamen aprobado anoche sobre…</t>
  </si>
  <si>
    <t>…fue Luego dijo. apoyando en todas sus partes el artículo pri ron admitidas. La del Sr. Cepero, que presentó ayeruna mero. que no se debía extraviar la cuestión de este; y que del Sr. Martínez de la Rosa para que las Cortes se sirvieran si se esperaba para la abolición de los mayorazgos á que no declarar si la aprobación del primer artículo impedía poner hubiera quien se opusiera á ella, no llegada nunca el caso alguna excepción ó limitación ala re…</t>
  </si>
  <si>
    <t>…esultados en ningún ramo de industria y uti del Sr. Cantero , para que los señores de las comisiones de lidad pública.” Marina y .Comercio diesen razón de la notable diferencia El Sr. Martínez de la Rosa, individuo de la comisión que se encuentra entre el reglamento original y el impreso. especial de Libertad de imprenta , leyó por primera vez el Se mandó pasar á la comisión ordinaria de Hacienda proyecto de ley sobre este objeto; en el cual lo mas…</t>
  </si>
  <si>
    <t>SJ7de los mismos poseedores; pero si no lo fuesen podrán los discusión la siguiente indicación del Sr. Martínez déla Ra sucesores actuales disponer únicamente de la mitad de los sa: »Los poseedores actuales de las vinculaciones suprimi bienes, reservando hasta su muerte la otra mitad, para que das por el articulo anterior, podran disponer libremente de disponga de ella…</t>
  </si>
  <si>
    <t>…no alcance la otra mitad de que este puede dis directa ni indirectamente la enagenacion de esta clase de poner. bienes. Se mandó pasar á la comisión la siguiente indicación del El Sr. Martínez de la Rosa pidió que se suspendiese la Sr. Romero Alpuente: «El poseedor que perdiere la tenuta discusión de este artículo para después de la del 7.0 y 8.°; tendrá cuatro meses de término para intentar el juicio ple- y habiéndose controvertido ligeramente est…</t>
  </si>
  <si>
    <t>…vinculadas, haciendo el síndico las veces del inme suítas y restablecimiento del cabildo de S. Isidro. diato sucesor ausente. A la comisión de Comercio se mandó pasar una expo El Sr. Martínez de la Rosa, individuo de la referida cosición de D. Ramón López Loriga sobre medios de dismi mi:ion especial nombrada para reconocer el mérito de los nuir la introducción de hierro extrangero. que han padecido por la patria, leyó el proyecto y dicta A la de H…</t>
  </si>
  <si>
    <t>…restantes del proyecto, que los pueblos. decían asi: El Sr. Moscoso opinaba que esto seria propio para el ar Art. 3.0 «No se exigirán á los ganados trashumantes, tículo 2*0, y el Sr. Martínez de la Rota insistir) en que cor estantes y riberiegos los impuestos, que con varios títulos respondía al primero ; pero el Sr. presidente advirtió que se cobraban por particulares y corporaciones ; pero sí los era preciso excluir de esta adición , que se prop…</t>
  </si>
  <si>
    <t>…de que ha según lo prevenido en la Real pragmática de 1772,7 ór bía sido ofendida la representación nacional. denes particulares de 1747 y 1782, y unas y otras se cor Manifestó el Sr. Martínez de la Rosa que esta declara tarán inmediatamente en las mismas casas: bien que si los ción era inútil, y que estos seis últimos años serian una dueños no quisieren dejarlas en ellas, les será permitido el buena prueba del perjuicio que A la Nación se seguirá…</t>
  </si>
  <si>
    <t>…egunda de Legislación un informe de la audiencia Continuaron la discusión el ir. Gollin apoyando .a in de esta provincia sobre cierta dispensa para recibirse de abo dicación, y el Sr. Martínez de la Rosa, individuo de ¡a co gado D. Josef Alvarez Crespo. mí ion, ampliando las reflexiones del Sr. Fraile. Por ulti A las de Comercio é Industria una exposición de ¡os mo, puesta á votación, no se aprobó por j j votos con maestros carpinteros y ebanistas…</t>
  </si>
  <si>
    <t>…ue habiendo tenido presente los indi suficientemente discutido ; pero habiendo declarado que no. viduos de la comisión la necesidad de reconciliar con ¡tí ma y tocándole hablar al Sr. Martínez de la Rosa, suspendió dre patria á estos hijos que la dejaron en borlandad , ha el Sr. Presidente la discusión para continuarla mañana por bian convenido en que se les concediese volver á ella y dis ser cerca de las tres de la tarde; y levantó la sc-ion. frut…</t>
  </si>
  <si>
    <t>…cusión pendiente acerca de no solo conformae con el egemplo de toda la Europa y de emigrados con el gobierno intruso. todas las naciones antiguas y modernas, sino reclamada tam El Sr. Martínez de la Rosa dijo: «Cuando pedí la palabra, bién por la poBiaica y la conveniencia pública , y digna ade mi único objeto era demostrar que asi las razones de políti mas de la generosidad de las Cortes. ca como las de conveniencia pública estaban, á favor de la…</t>
  </si>
  <si>
    <t>…ta, en que manifestando sus servicios, pedíase le socor nuirse los monges, pero no esijifjinjfiirss-t dtd toda. riese con alguna cantidad , á cuenta de sus sueldos atrasados, - El Sr. Martínez de la Rota tris* rcffi «s-nmi aar la cues para restituirse á España. El Sr. presidente le recomendó tión bajo el aspecto político coilqUjit healiia quefido presen como un hombre benemérito , lleno de luces, patriota , con tarla el Sr. Dolarea, lo que CekV?nii…</t>
  </si>
  <si>
    <t>…ue no se decidiera de pronto; á lo que los Se mandó pasar á la comisión ordinaria de Hacienda la Sres. presidente y Sancho contestaron no ser necesaria la siguiente indicación del Sr. Martínez de la Rosa: «En vir segunda lectura, y que podría pasarse á la comisión si el tud de establecerse en Málaga la intendencia correspondien Congre-.o lo juzgaba conveniente. Después el Sr. Priego fue te , cere en el misino acto el establecimiento conocido con de…</t>
  </si>
  <si>
    <t>…cuparse cti esto, pues pertenecía al Gobierno. Con este mo toles , cuya diferencia era notable. tivo, después de una ligera discusión, en que tomó parte el Con este motivo hizo el Sr. Martínez de la Rosa una Sr. secretario de la Gobernación de la Península, no fue indicación, que fue aprobada, para que se encargarse á la aprobada esta indicación. No se admitió tampoco á discu misma comisión presentar el proyecto de decreto que juz sión esta otra de…</t>
  </si>
  <si>
    <t>…este asunto. Sr. Puigblanch, y decía asi: Se mandó pasar á la comisión de Poderes, ú que se en ■ 21. «Si de las comunidades religiosas de ambos sexos vió ayer otra indicación del Sr. Martínez de la Rosa, una que deben subsistir resultasen algunas con rentas superiores del Sr. Cortés, en la que, en a'encion á que no.existe regla á las precisas para su decente subsistencia y demas atencio mento ninguno para la formación de las juntas parroquia nes d…</t>
  </si>
  <si>
    <t>…vigoroso y decisivo ; los los extrangeros y sus propiedades, con un artículo adicionado enemigos, que se habían puesto en detensa en las casas de la en vista de la indicación del Sr. Martínez de la Rosa, y de plaza, fueron desalojados y perseguidos después por la ca lo manifestado en la discusión del mismo. (Véase dicha ballería , que unida con las partidas de infantería, había listón.) recogido cuantos habían quedado vivos, siendo uno de los' Se…</t>
  </si>
  <si>
    <t>La comisión primera de Legislación, habiendo examina El Sr. Martínez de la Rosa, individuo de la comisión , con do el mensaee del Rey, en que proponía la prorogacion de viniendo en. el enlace de todo el sistema , manifestó que no Jas sesiones del Congreso por un mes mas, y advirtiendo en tenia inconveniente en que se examinase…</t>
  </si>
  <si>
    <t>…ue ticulares, que por cualquiera título se hubiesen tomado pa se tenga renta de bienes propios. ra las obras referidas, informando al mismo tiempo sobre A esto último respondió e! Sr. Martínez de la Rosa ser las razones que justificasen los créditos y medios de satisfa una cosa de hecho que se requiere esta calidad á lo menos cerlos ; y que atendiendo á la utilidad y conveniencia que en Yorck; y el Sr. conde de Toreno, que para ser pequeño resultar…</t>
  </si>
  <si>
    <t>…e.ta sea ó no verdadera, lo cual depende de Después de otra objeción sobre l^nguage, del Sr. Ramos la esencia de la misma religión, no deben tampoco cas Arispe, á que saiistizo el Sr. Martínez de la Rosa, quedó tigar sino al que intente quitar aquel título ó la religión aprobado el artículo. como trastomador de una ley fundamental , pues la inspec Se leyó el artículo 8.°, concebido en estos términos: ción de los ataques que se hagan á ¡a esencia de…</t>
  </si>
  <si>
    <t>…versivo de en tercer grado Continuó la discusión, oponiéndose algunos Sres. á la con dos, quedando ademas- privado el delincuente cíe su graduación, y añadiendo para su defensa el Sr. Martínez de empleo y honores, y'ocupándole también las'temporali la Rosa que si se hubiera dejado sin grados habría una sota dades si fuese eclesiástico." Un Sr. diputado fie de o pin A11 pena , que ó por demasiado pequeña apenas serviría de Cas que volviese á la comi…</t>
  </si>
  <si>
    <t>Ies las temporalidades, que á los seglares privándoles de los cap. 2.'’ del reglamento de Milicias, el que pasó á la co empleos; á lo que satisfizo el Sr. Martínez de la Rosa, di- misión respectiva. deudo que las temporalidades en los eclesiásticos era un ! Otro del Sr. ministro de Marina, en que remitía una exequivalente á los empleos, y que se oponía á que se.quisie posicion del oficial 4.0 de la secretaría del tribun…</t>
  </si>
  <si>
    <t>…o; y de las Cautas promovidas por estos, á pesar de ser muchos los clarándose que lo estaba, se procedió á la votación, y que extravíos de la libertad de imprenta. dó aprobado. El Sr. Martínez de la Rosa, como individuo de la co El art. 36 decia asi: «Las denuncias de los escritos se misión , respondió á estos Sres., conformándose con las dos presentarán ó remitirán á uno de los alcaldes constituciona adiciones de los primeros; pero en cuanto á la…</t>
  </si>
  <si>
    <t>…os ? que las instituciones todas debian cambiarse , puesto fesando que se podría añadir poco á las sólidas reflexiones que se habia cambiado la forma de Gobierno; que antes to del Sr. Martínez de la Rosa, se extendió sin embargo á do se hacia por los Consejos, por las audiencias, por los dar mayor fuerza á estas, añadiendo algunas; entre otras la regidores perpetuos &amp;c., porque todo dependía de un Ruy de que no debía citarse la rectitud de las junt…</t>
  </si>
  <si>
    <t>…las milicias nacionales. dictamen de la comisión de Hacienda por lo respectivo á Se leyó por tercera vez el dictamen de la comí; ion so la contribución genera!, tomó la palabra el Sr. Martínez de bre sociedades patrióticas, y el Sr. presidente señaló para la Rosa; y conviniendo con la comisión en que debia re su discusión el io del corriente. sultar un déficit-, que r¡o podía este cubrirse con la contri La comisión de Infracciones presentó su dicta…</t>
  </si>
  <si>
    <t>434 Madrid (Tde Octubre. El Sr. Martínez de la Rosa volvió á tomar la palabra S. M. ha despachado hoy con los Sres. secretarios del para contestar al Sr. Golfín , y dijo : no es posible suceda lo Despacho de Estado y de Hacienda. que S. S. recela, pues siendo mayor el número de los indi viduos de lo…</t>
  </si>
  <si>
    <t>…os empleados, de cualquiera clase y Bell y Lancaster. Allí aprenden ¡a religión y la Constitu condición que fuesen. ción , y á leer, escribir, contar y tejer, á cuyo fin hay ya El Sr. Martínez de la Rosa, como individuo de la co en el día hasta ocho telares, y se aumentan continuamente. misión, contesró á estos Sres. que su idea le parecia bien; Para estimularlos se Ies dan, cuando lo merecen, premios pero que no se había adoptado este medio, porqt…</t>
  </si>
  <si>
    <t>…los subversivos y sediciosos en guientes : segundo y tercero, sin embargo de tener también asignada Primera, del Sr. Ezpeleta: «No podrán ser nombrados pena, corporal. Contestó el Sr. Martínez de la Rosa que el jueces de hecho los padres, hijos y hermanos de los indivi espíritu de la comisión habia sido que se verificase la prisión duos de los ayuntamientos.” por los subversivos y sediciosos en los tres grados, y.por Segunda, del Sr.Florez Estrada:…</t>
  </si>
  <si>
    <t>…das en todas las provincias del reino eeta del Gobierno, sino también en las de todas las pro sobre abusos de libertad de imprenta, con arreglo al art. 66 vincia'. de esta ley. El Sr. Martínez de la Rosa, individuo de la comisión, . Art. 76. «Quedan derogados por esta ley todos los de dijo que no habría en ello inconveniente; pero que las ga cretos anteriores sobre la libertad política de la imprenta.” cetas de las provincias eran de particulares,…</t>
  </si>
  <si>
    <t>…i las proposiciones. Esto produjo algunas contestaciones y pre Cortes para el presente año.” guntas de varios señores, después de las cuales se decidió Con este motivo presentó él Sr. Martinez de la Ros* que debia ser sobre la totalidad ; y asimismo que fuese no otras tres indicaciones análogas á las precedentes, que deminal la votación. 'cían : Los artículos qu® proponía la comisión eran los si 1. a «Que se encargue al zelo del Gobierno que por to…</t>
  </si>
  <si>
    <t>…ad sen de cumplir los prestamistas, ni temía los demás inci misible. . dentes que se habían insinuado. Declarado el punto suficientemente discutido, advirtieron Tomó la palabra el Sr. Martínez de la Rosa, y dijo antes de votar, el Sr. conde de Toreno que se destruía lo que se hablan expuesto varias razones para apoyar la indi acordado ayer si se aprobaba la indicación, y el Sr. Istucación que él veia no solo como inútil,' sino como peligro - riz qu…</t>
  </si>
  <si>
    <t>…e la extinción de la compañía hasta el año de cida que.proponía la.combiorv pata.la provincia de Galicia, 1825 , en que concluirá el contrato, y acabaría natural—' y por último el Sr. Martínez de la Roía pidió que se volviese píente sin perjuicio de nadie. el dictamen a la combion, para que esta hiciese extensivo el El Sr. Oliver dijo que el verdadero punto de vista de la beneficio á ias demás provincias que se hallaban en igual ca cuestión era si…</t>
  </si>
  <si>
    <t>…Añadió que esta opinión no era formada en aquel El Sr.Vítorica la apoyó, diciendo que después de oído momento, pues acaso podia decir que era el asunto que mas lo expuesto por .el Sr. Martínez, de la Rosa, no le quedaba habia meditado, tanto por la.parte moral como por.la equi la menor duda sobre la necesidad de la amnistía , y que por tativa y política; añadiendo que podria presentar 500 plie consiguiente debia admitirse á discusión y aprobarse la…</t>
  </si>
  <si>
    <t>…idades y demas gracias que obtuvieron desde el año 14 Continuó de'pves la discusión pendiente sobre la indi hasta Marzo del año actual, tino todas las de esta clase que cación del Sr. Martínez déla Rosa, hechi en la sesión de anteriormente tenían , -quedando inhabilitados para poder anoche ( véase esta), la que volvió á leerse. jamas obtener empleo alguno.” El Sr. Martel, conociendo el doloroso conflicto en que Se leyeron igualmente otras dos del S…</t>
  </si>
  <si>
    <t>…s'defensores de los derechos, gloria y dignidad los de ios Sres, Buigbianch, Navarro (D. Felipe) y Gu de su patria! tiérrez Acuita, contrarios á ia aprobación de la indicación del Sr. Martínez de la Rosa ; los de los Sres. Gnreü , LiNOTICIAS DEL REINO. ñan, Couto, Castrillo. Cortés y Vitorica, contrarios á la aprobación de las indicaciones de los Sres. Sancho y Ar Cádiz 13 de Octubre. nedo, y los de los Sres. Navarro (D. Felipe), Gutiérrez Por la f…</t>
  </si>
  <si>
    <t>…el descuento que sufren por e-ta A las de Hacienda y Guerra reunidos-una exposición razón." de los accionistas del banco Nacional para el pago puntual A las momas se pasó otra del Sr. Martínez (D. Javier), de ios vitalicios. ...... que decía: «Que lo resucito en este dia no forme estado ni A la de Instrucción pública otra exposición de cinco es obste a lo que se deba resolver cuando se trate del arrest o colares naturales de Gcennca- para que se le…</t>
  </si>
  <si>
    <t>…rar esta cátedra á fin de perfeccionar el Manifestó el Sr. Tapia que no se podía adoptar la adi estudio de los fósiles. ción que proponía el Sr. Marín Tauste, porque de este mo El Sr. Martínez de la Rosa manifestó que la comisión do se dejaría al arbitrio de, los directores el señalamiento había convenido en separarla mineralogia de la química, per de cátedras, lo cual correspondía á las .Cortes, y estaba ya la extensión de esta ; pero que al mismo…</t>
  </si>
  <si>
    <t>…lguna sedición ó albo Igualmente se aprobó el dictamen de la comisión segun roto popular, sufrirán la pena de muerte.” da de Legislación para que se concediese carta de ciudada El Sr. Martínez de la Rosa dijo que en su concepto no no: al capitán de fragata D. Manuel Roco, de nación napo se guardaba la propoicion que debia seguirse en roda ley litano. pena!. Convino en la razón con que se habia graduado en Se aprobaron los dictámenes sig: ¡entes de…</t>
  </si>
  <si>
    <t>…modo. tras desempeñe la judicatura, excepto en la defensa de sus Contestó el Sr. presidente que padecía equivocación el propias causas. 2.3 Xqs mismos - jueces, tanto propietarios Sr. Martinez de la Rosa, pues el espíritu del artículo no era como interinos, pueden reclamar del Gobierno la dotación imponer las penas por solo algunas máximas en los casos de 119 rs. que. les señala el decreto de 9 de Octubre de 1812, que habia entendido, sino en los r…</t>
  </si>
  <si>
    <t>…blación diseminada decretos particulares de ias Corres, debiéndose entre tanto de la marina mercante española. que se acuerden y publiquen observar las Reales órdenes Ampliando el Sr. Martínez de la Rosa todas las reflexio que regían antes cíe la presente legislatura.” nes que se habían hecho contra la prohibición absoluta que Tomando la palabra el Sr. Freire , se fundó en las doc proponía la comisión, recordó que no debia compararse trinas económi…</t>
  </si>
  <si>
    <t>…o hay ó no resulta ¡n- na de aquella primera plaza de comercio del norte de la Pe «fracción , si así fuese.” nínsula y de toda la provincia, era demasiado crítica la Se levantó el Sr. Martínez de la Rosa para oponerse á terrible incerridumbre en que se hallaban los vizcaínos, que este artículo bajo el concepto de que su aprobación destrui después de renunciar á sus antiguas exenciones, se veian ría el sistema constitucional, pues estando este funda…</t>
  </si>
  <si>
    <t>…adase. acerca de la proposición que hizo el Sr. Isturiz para la Declarado el punto suficientemente discutido, manifes supresión de derechos de puertas y puestos públicos. La tó el Sr. Martínez de la Rosa que el dictamen de la comi comisión proponia que las Cortes acordasen que los pues sión se oponía al art. 32a de la Constituciónpor cuanto tos públicos solo se permitiesen á los pueblos que por vo aquella decía que debia celebrarte un acuerdo de ve…</t>
  </si>
  <si>
    <t>…. por algunos interesados, que todapor el fomento de los departamentos como puntos princi vía se presentan á implorar el indulto de una pena que nopales ; el Sr. Vitorica apoyó al Sr. Martinez de la Rosa ; y hay, que tal vez dará lugar á estas peticiones el que porpor último se aprobó el artículo según le habia reformado los resguardos, y aun por las justicias se pretenda procederel Sr. Díaz del Moral. Se aprobó asimismo el art. 4.0; y después de,…</t>
  </si>
  <si>
    <t>…strados; medio constitucional, y ridos primera y segunda vez por la junta apostólica , ó el mas obvio en su concepto. cuerpos colectores del subsidio, no cumpliesen con el-pagó El Sr. Martínez de la Rosa, bajo la inteligencia de que de sus respectivos cupos, pasarán nota circunstanciada de el dictamen rde la comisión estaba lleno dú dificultades , y sus contingentes á los intendentes de sus provincias, y es no menos los medios que se habian propues…</t>
  </si>
  <si>
    <t>…iente. ' ' Sr. secretario de la Gobernación de la Península, en que Se procedió luego á discutir la indicación hecha por el ponía en su noticia que SS. MM.y A A. seguian disfrutan Sr. Martínez de la Rosa en la sesión de ayer (fíase). do de completa salud , según lo participaba desde el Esco El Sr. La Santa dijo que tanto por las razones legales rial el Sr. secretario de Marina. "que se presentaban , como por las de conveniencia púhfica, La comisión…</t>
  </si>
  <si>
    <t>…zo dedujo que eran y debían ser mios , recitó su autor la segunda parte * y redactó la prime declarados interinos. ra, á que suscribió también el Sr. Vallejo en estos términos: El Sr. Martínez de la Rosa, haciendo antes la observa «Que las Cortes se sirvan conceder una amnistía y olvi ción de que no había sido sentenciado por ningún tribu do general de todos los delitos políticos cometidos hasta , el nal , ni acusado por ningún magistrado, en cuyo…</t>
  </si>
  <si>
    <t>…ato seca , Salvador, Silvas , Artieda , Sotomayor y Carrasco con rio, no le era permitido suplir esta omisión en el curso del trarios á la aprobación de la indicación hecha por el señor Martínez de la Rosa en la sesión anterior ; y el del Sr. Puig- proceso; pero que en este caso era práctica constante que el mismo juez hiciese la pregunta. Se mandó pues entrar a blanch , contrario á lo resucito acerca de las índicacioues de Majocci. Este testigo insi…</t>
  </si>
  <si>
    <t>…ula. ' liquidación, con lo cual se lograría saber á punto fijo la No se admitió á discusión la siguiente indicación del deuda de la Nación. Sr. Romero Alpuente en adición á la del Sr. Martínez de la El Sr. .Golfín, apoyando lo expuesto por el Sr. minis Rosa sobre magistrados: «El restablecimiento del sistema tro, manifestó que éra mas ventajoso e! que se expresase constitucional, de que se habla, se entenderá desde 9 de Ju enteramente la deuda, com…</t>
  </si>
  <si>
    <t>…jante, excepto si han estado em tivo la tercera parte del valor de las fincas que se vendiesen; pleados por el Gobierno, 6 usando igualmente de stt y encontró en la indicación del Sr. Martínez de la Rosa el derecho y facultades. solo defecto de ser muy diminuta , añadiendo que si no hu Se leyó en seguida el art. 10, y la lista en él citada, biere lugar á ella, no convendría por lo menos en retirar que decían asi: 1 e¡ arbitrio que proponía la comis…</t>
  </si>
  <si>
    <t>…encuadernación á.la romana, indó aprobada esta y la cuarta; igualmente lo fue la quinta giesa, francesa y española de la obra del Salustio en caste con la aclaración qtté pidió el Sr. Martínez de la Rosa,'y llano de la edición grande-, egecútada por el -artista D. Mi apoyó el Sr. conde de Toreno, de que los accionistas refl- guel pinesa-Claros, discípulodél célebre -español: Cursi. La drian libertad para tomar cre'ditos con interes ó sin él; y soci…</t>
  </si>
  <si>
    <t>…pecie de apoyo para los directores del Se lej'ó la - siguiente indicación de los Sres. Cepero y Crédito público. Sancho: «Que los”diputados, mientras lo sean, no puedan Convino el Sr. Martínez de la Rosa en que no tuviesen ser consultados por el consejo de Estado, ni aun bajo el as mas carácter que el de unos meros consultores; pero se pee to de traslación.” opuso abiertamente á que se les concediese voto, tanto mas Después de alguna discusion.se d…</t>
  </si>
  <si>
    <t>…igir la responsabilidad cuan no administrasen pronta justicia. do no cumplan con su obligación. ■ El Sr.'-López (D. Marcial ) pidió que en vísta de esto Habiendo hecho presente el Sr. Martínez de la R'ósa se despachase prontatnen.e un í proposición qué tenia hecha que el nuevo proyecto de libertad de imprenta estaba A lá” sobre el''particular, y se hallaba en la comisión segunda sanción Real, y por lo mismo aun no esraba puesta ’en de Legislación?”…</t>
  </si>
  <si>
    <t>…aranceles que el Sr. secretario del se verifique el rompimiento de la negociación entablada so Despacho acompañó para la aprobación de las Cortes.” bre esta materia. Observando el Sr. Martínez de la Rosa que se prohibía Según las bases del convenio que debe ajustarse, la nueva absolutamente la intioJuccion de algodón manufacturado, y distribución que se ha hecho de los obispados puede consi no en rama, conceptuó que se envolvía una especie de in de…</t>
  </si>
  <si>
    <t>Martínez, Angel</t>
  </si>
  <si>
    <t>Angel Martínez</t>
  </si>
  <si>
    <t>…te año hasta el total restablecimiento de la A la .de Fuerza armada un proyecto de Constitución Constitución política de la Monarquía. Leída por el secre del egéretto y armada por D. Angel Martínez, teniente de tario la dedicatoria, se mandó decir que las Cortes habían infantería de marina. oido y aceptaban esta memoria con el mayor agrado. Habiendo hecho presente el Sr. Ramonet la necesidad . También se dió cuenta de una memoria, de que se re de que se…</t>
  </si>
  <si>
    <t>Martínez, Ber</t>
  </si>
  <si>
    <t>Ber Martínez</t>
  </si>
  <si>
    <t>…ta, JosefBur- bo, ai pago de Sta. Brígida, sitio de! Pozuelo. cnmpú--sro gueño , Mauricio, López, Gregorio García Rufo y Santiago de 98- olivos, linde con la capellanía que poseyó D. Ber Martínez. nardo Peralta, en 3110 rs. Madrid 24 de Diciembre. Otro idem de la misma capellanía al misino sitió . com ;SS. MM. y ÁA. continúan sin novedad en su impor puesto de 12T olivos, linde con los de D. Pedro Sánchez tante salud. Canela y otros, en 31; c rs. , S.…</t>
  </si>
  <si>
    <t>Martínez, Carlota Robustiana</t>
  </si>
  <si>
    <t>Carlota Robustiana Martínez</t>
  </si>
  <si>
    <t>…ones á una de las huérfanas de los militares ó patriotas que hubiesen muerto en defensa de la justa causa de la nación, ha cabido en suerte del primer extracto de la de este dia á Doña Carlota Robustiana Martínez, hija de D. Rafael, teniente del sexto batallón de Marina, muerto en el campo del honor. Los Metamorfóseos ó trasformaCiones de Ovidio, traducidos por D. Francisco Crivell, y adornados con 140 estampas y 11 Viñetas. Esta obra, que se publicó por suscripción ,…</t>
  </si>
  <si>
    <t>Martínez, Elias Martin</t>
  </si>
  <si>
    <t>Elias Martin Martínez</t>
  </si>
  <si>
    <t>…® rs. de los mismos productos de Espolios y sobre deu- Una disertación sobre la elaboración de la pólvora, di as atrasadas por una vez, y á buena cuenta efe los atrasos rigida por D. Elias Martin Martínez de la Fuente- ¡ que se adeudan á dichos hospitales, por la consignación de Resolución de varios problemas , dirigida desde Cuenca 1500 rs. que les hizo S. M. en 21 de Febrero de iSif, sin mas firma que la de: £1 que quiere lo mejor para su siendo el socorro d…</t>
  </si>
  <si>
    <t>Martínez, Francisco</t>
  </si>
  <si>
    <t>Francisco Martínez</t>
  </si>
  <si>
    <t>…; á saber, D. Manuel Josef Quintana, presidente, y ios vocales D. Felipe Bau*á, D. Martin Navas, Di Eugenio de Tapia, D. Pablo de la Llave, D. Vi cente Sancho-, D. Juan Acevedo, y D. Francisco Martínez de la Rosa, se*eretario; y previniendo que si algunos hubieren fallecido, sean reemplazados por los suplentes que había en la misma época, y que cuide la misma junta suprema del pronto restablecimiento de las juntas provinciales en los mismoitérminos. El vire…</t>
  </si>
  <si>
    <t>Martínez, Joaquín</t>
  </si>
  <si>
    <t>Joaquín Martínez</t>
  </si>
  <si>
    <t>…te tos hábitos , y que hasta que se forme una generación nueva, en la misma comisión de Premios á la viuda del expresado hija legítima de la Constitución, el deseo de libertad pue D. Joaquín Martínez, se leyó la resolución de las Cortes de propender á medidas que se dirán constitucionales, pe anteriores, citada por el Sr. García Page, la que se mandó ro que en la práctica serán arbitrarías, é inducirán al tras llevar á efecto. torno del orden público. EIS…</t>
  </si>
  <si>
    <t>Martínez, Josef</t>
  </si>
  <si>
    <t>Josef Martínez</t>
  </si>
  <si>
    <t>…día 4 del pasado, tuvieron la honra de felicitar á SS. MM. por sí, y á nombré del M. N. y M. L. ayuntamiento de ia ciudad de Pamplona, Don Alejandro Dolarea, consejero de Ordenes; D. Josef Martínez , primer médico de Cámara de S M., honorario del supremo de Hacienda, y D. Blas Echalecu , canónigo dignidad de chantre de la santa iglesia metropolitana de Santia go , y sumiller de cortina de S. M.; y el primero.dijo: ,, Señor: Distinguidos por el ayuntamie…</t>
  </si>
  <si>
    <t>…Ríos, 80. D. Josef Playas, 160. D. Diego Baro, 80. D. J. B. Canepa, 80. La Sra. viuda de Hernán Deseando complacer al público en todos sus ofrecimientos dez, hijo y compañía, i0. D. Josef Martínez, x0. Don los profesores de caligrafía, aritmética, grartiática y ortogra Francisco Xavier Machado y D. Manuel Andrade Silva, 1600. fía castellana elemental, humanidades, matemáticas puras, é D. Antonio C.'Carvalho, 800. D. Santiago Galleano, 10. idiomas ingle…</t>
  </si>
  <si>
    <t>Martínez, Josef Antonio</t>
  </si>
  <si>
    <t>Josef Antonio Martínez</t>
  </si>
  <si>
    <t>…¡a especial encargada de proponer recompensas para Por un parte del comandante del primer escuadrón de los que han -ufrido por la patria una representación de Don lanceros del Rey D. Josef Antonio Martínez , desde Guar- Ignacio Varela, vecino de la Coru.'ia, manifestando sus datinajas de i.° de Junio, al brigadier D. Francisco Tomas méritos y servicios patrióticos á favor det general Porlier, Morales, se sabe que el 29 de Mayo había marchado aquel y pidiendo se…</t>
  </si>
  <si>
    <t>Martínez, Josef García</t>
  </si>
  <si>
    <t>Josef García Martínez</t>
  </si>
  <si>
    <t>…de la provincia de Toledo, cuyos expedientes Igualipente se aprobó el dictamen de la misma comisión reclamaban algunos Sres. diputados, como asimismo el da para que se dispense á D. Josef García Martínez, profesor aranceles. No habiendo recaído resolución formal sobre esta de jurisprudencia en Alcalá, un año de su carrera en vez petición, siguió el despacho. de los dos que solicita por el estudio de instituciones canó Las Cortes aprobaron el dictamen de la co…</t>
  </si>
  <si>
    <t>Martínez, Manuel</t>
  </si>
  <si>
    <t>Manuel Martínez</t>
  </si>
  <si>
    <t>D. Manuel Martínez, rolle! tando dispensa de dos año* de tó el Sr. presídeme la indicación 'iauienre: »Oue paVVta c iad para administrar sus bienes, remitiJa por el ministe- representación a ia mmifion releoAtica , para que en vina 1:0 de Gracia y Justicia. de ella y á ia mayor…</t>
  </si>
  <si>
    <t>Martínez, Pedro López</t>
  </si>
  <si>
    <t>Pedro López Martínez</t>
  </si>
  <si>
    <t>…ella M. N. y M. L&gt; corporación, que al efecto Je había suplicado admitiese esta honrosa comisión. Para la junta de acreedores de los bienes que pertenecían á las testamentarías de D. Pedro López Martínez y Doña Paula Feliciana de Arenzana, su muger, ha se ñalado ei Sr. D. Manuel Josef Rubio, del Consejo de S. M., teniente coi-regid -r de esta muy heroica villa, el dia 20 del corriente, á las nueve de su mañana en su po sada; lo que se hace saber á dichos acreedores para que concurr…</t>
  </si>
  <si>
    <t>Martínez, Ramón</t>
  </si>
  <si>
    <t>Ramón Martínez</t>
  </si>
  <si>
    <t>…eligiosas. A la.de Poderes se pasó el aviso que daba Dá Eugenio Las Cortes recibieron con agrado los egernpiares de una Martínez, noticiando la muerte de su padre D. Román obra de D. Ramón Martínez, contador del Crédito públi Mariano Martínez, diputado por Guadalaiara. co en Burgos , titulada Tratado de La circulación artifi Las Cortes oyeron con agrado las felicitaciones de la cial de la moneda por medio de un verdadero crédito diputación provincial y…</t>
  </si>
  <si>
    <t>Martínez, Román Mariano</t>
  </si>
  <si>
    <t>Román Mariano Martínez</t>
  </si>
  <si>
    <t>…Gobierno se pasó una exposición del presbítero Don que se llame al súpleme de Guadalajara, en atención .1 la Cayetano Sixto Garda,-en que exponía que por la persecu muerte del Sr- diputado D. Román Mariano Martínez. ción. que sufrió antes del año 8 se había tenido que refu Se leyó el dictamen de la comisión de Comercio sobre giar á. Francia , y¡ á su vuelta se ertfontró.con que se habia las exposiciones de la cara deGordon y Murphi, de Lon provisto su beneficio, el chai…</t>
  </si>
  <si>
    <t>Martínez, Rufina</t>
  </si>
  <si>
    <t>Rufina Martínez</t>
  </si>
  <si>
    <t>…n de medio real anual por cada Enero de 1809, señalado con el número 257,391, que habien mi! asegurados, que se exigirá para cubrir los gastos del es do sido renovado en cabeza de Doña Rufina Martínez, en su tablecimiento, y los demas objetos conducentes á su orga circulación fue endorsado á D. Francisco Arnaiz y Bringas, y nización y administración , debe animar á los dueños de fin por este á D. Francisco Urquiola, quien lo presentó para la cas de esta co…</t>
  </si>
  <si>
    <t>Martínez, Santiago Olloqui y</t>
  </si>
  <si>
    <t>Santiago Olloqui y Martínez</t>
  </si>
  <si>
    <t>…a D. Joaquín Pavía y W-erminghan, Don Ramón Ruiz de Labastida, D. Joaquín Cabañíes y Fuster, D. Jesualdo Pé rez de Lema , D. Mariano García y Saleta , D. Josef Guerrero y Sedaño 3 Don Santiago Olloqui y Martínez, D. Manuel La-Cerda y Paiafcx, D. Juan Ló pez Larrainzar , D Francisco Cascajares y Bardnxí, D. Josef Aivarez Reyero , D. Cárlos Casaprin y González, D. Rafael Rodríguez Solís, D. Josef Canals y Mayéis, D. Rafael Galinno y Guillelmi, D. Francisco Rívadeneira…</t>
  </si>
  <si>
    <t>Martínez, Sebastian</t>
  </si>
  <si>
    <t>Sebastian Martínez</t>
  </si>
  <si>
    <t>…y emplaza á D. Josef Luis da una de las que se secularicen disfrutará asimismo too de Silva , D. Juan Josef de Costa, D.,Simón Cohén, Don ducados de pensión anuales.” Juan Grima, D. Sebastian Martínez, D. Manuel Corvero, Aprobado este artículo se suspendió la discusión sobre I). Carlos Whiring, Macnal Myddleton y compañía , D. F. este proyecto , y se leyó una indicación del Sr. San Miguel Peverelly y compañía, y D. F. Sivori, todos vecinos y del para que p…</t>
  </si>
  <si>
    <t>MartinSantin</t>
  </si>
  <si>
    <t>….............. 24. fenderse de la culpxt que contra él resalta en la causa pen 6.a en 28 del mismo......'—-.; ................ 25- diente en mi juzgado, y escribanía del número de D. MartinSantin. y Vázquez, contra el referido Sordo y otros con 7.a en 18 de Junio.;................................... sortes/por Jas heridas-hechas á Bautista Lavernia y -Josef 8.a en 9 de Julio............ .......................... 2r. Sarre. la noche 3 de Setiembre pró…</t>
  </si>
  <si>
    <t>Marúnez</t>
  </si>
  <si>
    <t>…a porción de miles de reales al año. Concluyó to de que la comisión habia cumplido con la resolución del sus observaciones, pidiendo que la propuesta del Sr. minis Congreso ; y e! Sr. Marúnez de la Rosa en el supuesto de que tro quedase sobre la mesa hasta tanto que bajasen las de los en el estado actual, no se podían buscar los medios mejores, demas ministerios, y se nombrase tina comisión especial sino ios menos malos, y en el de ser preciso ten…</t>
  </si>
  <si>
    <t>Marúri, Eugenio Francisco de</t>
  </si>
  <si>
    <t>Eugenio Francisco de Marúri</t>
  </si>
  <si>
    <t>…; ’én Burgos en lá de 'Víllanuéva y Hervías; en Valladolid en la de Santander; en León en la de Gonzá lez Candanedo ; en Soria én la de Pcféz Rioja ; y eñ Bilbao en la escuela de Don Eugenio Francisco de Marúri. ' r ’ EN LA IMPRENTA REAL.</t>
  </si>
  <si>
    <t>Marzo, Domin de</t>
  </si>
  <si>
    <t>Domin de Marzo</t>
  </si>
  <si>
    <t>…vido resolver que mento de otros, todos sobre la mejor organización de un se renueve y ponga en observancia el citado decreto de 2j egército, por el teniente coronel de Ingenieros D. Domin de Marzo de [813 en los términos expresados. De Real or go de la Iglesia. den lo comunico á V. para su Inteligencia y gobierno. Un proyecto de organización del egército, deducido da Palacio 21 de Julio de 1820. los problemas publicados en 23 de Mayo, por D.Josef Ma rí…</t>
  </si>
  <si>
    <t>Marzo, Pedro Fuertes</t>
  </si>
  <si>
    <t>Pedro Fuertes Marzo</t>
  </si>
  <si>
    <t>…ayuntamiento constitucional de Valencia' hasta el completo restablecimiento de su salud. al Rey en 15 de Julio de 1820; la Real orden de ro de Se díó cuenta de unas reflexiones de D. Pedro Fuertes Marzo para que eí general Elío permaneciese en la ciudadela de aquella plaza hasta la reunión de Corres, y la otra de sobre el ramo de salitres. Con este motivo hizo el Sr. López (D. Marcial) las in 1; de Mayo para que se los detuviera en los conventos á los 69 ex-…</t>
  </si>
  <si>
    <t>Mascarua, Josef de Arrieta</t>
  </si>
  <si>
    <t>Josef de Arrieta Mascarua</t>
  </si>
  <si>
    <t>…obaron este dictamen, y sa le cluso la casa-palacio, se ha mandado dar traslado á los acreedo vantó la sesión. res ignorados á él de lo últimamente expuesto y alegado á nom bre de D. Josef de Arrieta Mascarua, poseedor actual del citado mayorazgo; y para que llegue á noticia de ellos se les cita, lla ARTICULO DE OFICIO. ma y emplaza para que dentro del término de 30 dias, contados desde esta publicación, comparezcan en el juzgado de dicho se Real orden comunicada…</t>
  </si>
  <si>
    <t>Masede, Juan Felipe</t>
  </si>
  <si>
    <t>Juan Felipe Masede</t>
  </si>
  <si>
    <t>…deToreno que aunque convenía en miento de Velez-Málaga; D. Segundo Ulibarri, D. Epifanio parte con su preopinante, se proponían sin embargo cosas Lozano, D. PedroPerez Bustamante, D. Juan Felipe Masede ia atribución exclusiva de las Cortes, como era la habili gosa, D. Antonio Lacerda , D. Saturnino Figueroa, D. Ma tación del curso, y pidió que se accediese á esto, y se hi riano García Cáceres , D. Antonio Hernández y D. Pas ciese una recomendación al Gobier…</t>
  </si>
  <si>
    <t>Masip, Josef</t>
  </si>
  <si>
    <t>Josef Masip</t>
  </si>
  <si>
    <t>…la deserción de las tropas del mando de Fuerte-Real, y empeñadas por lo's sordo-mudos D. Ezequiel Escovedo, vfó que no le quedaban en Sans-Souci mas que sus guar D. Juan Arroyos, D. Josef Masip, D. Pedro García Cer dias de corps, sin serle posible ya reunir otro egército ni vino, D. Antonio Melgares, D. Ramón. Calvo y D. Jo huir, se tiró un pistoletazo al corazón. ’ sef Martínez. • Asi acabó su vida el hombre mas cruel, y que no tiene Concluido éste…</t>
  </si>
  <si>
    <t>Masón</t>
  </si>
  <si>
    <t>…jeta á Cristóbal yá del arbitrario rigor con que muchas veces se egecutaban las ór Boyer. denes. Este rigor era acaso necesario; y cuando no , las cir Londres 8 de Diciembre. « El capitán Masón , coman cunstancias particulares del tiempo bastaban Adisculparle. De dante de la goleta Le Wrymoitth, que ha llegado en 22 jando á un lado las burlas y chanzonetas , la corte de Haití da dias de Puerto-Príncipe, ha traido la noticia de que el co margen á muc…</t>
  </si>
  <si>
    <t>Massachussets, La de</t>
  </si>
  <si>
    <t>La de Massachussets</t>
  </si>
  <si>
    <t>…s-Unidos, de 182c.” cuyas tareas se dirigen á este objeto, son las de Massachussets, de Nuev.i-Torch , de Rhode-lsland y del Ohio. Habiendo tenido á bien S. M. jubilar al tesorero general La de Massachussets se compone de cerca de 700 indivi D. V ictor Soret, dejándole la consideración de este des duos , entre los cuales hay 96 ministros del evangelio: son tino , y el sueldo de cesante en su clase , pero con sujeción asimismo individuos de esta sociedad uno de lo…</t>
  </si>
  <si>
    <t>Mata, Juan de</t>
  </si>
  <si>
    <t>Juan de Mata</t>
  </si>
  <si>
    <t>…tacjaa'es de 550 ducados, y casa capaz para admi Dictamen sobre varios problemas de los publicados en tir 10 6 ii pupilos. Se proveerá por oposición 'el diari'.° de la gaceta, por D. Juan de Mata,Romero Vázquez. Agosto próximo'; y se previene que sé preferirá en ; iguales’cir Parecer de la junta auxiliar de caballería sobre el modo cunstancias al que sé halle instruido én los métodos de B. 'M. y de atender á los gastos de remonta, herragé, vestuario,…</t>
  </si>
  <si>
    <t>Mateo</t>
  </si>
  <si>
    <t>…l valor heroico que ha el caballero Melchor De'lico;Tito Berni, abogado; el caba bía asombrado al mundo sucedieron una indiferencia y una llero Pedro Antonio Ruggieri, abogado; el caballero Mateo apatía, que desfiguraron enteramente la Nación. En el reina Galdi ; Cesar Ginessau , comerciante. Y para suplentes do de Felipe 11 tue la primera potencia del universo ; en el Fernando Visconti, coronel; Nazarlo Colanari, y Lorenzo de Carlos 11 la mas miserab…</t>
  </si>
  <si>
    <t>Matía</t>
  </si>
  <si>
    <t>…a mesa hasta la noche, mas perfecta salud, aunque con el sentimiento de ver en el dictamen de las comisiones de Hacienda y Comercio so ferma y con. fiebre á la Serma. Sra. Infanta Doña Matía bre las indicaciones hechas en la discusión de prohibiciones. Francisca, cuyo mal no está aun caracterizado. Todos los Se leyeron también por segunda vez varias proposicio demas Sres. Infantes continúan sin novedad.” nes de los Sres. Ramos Aríspe, Michelena,…</t>
  </si>
  <si>
    <t>Matías</t>
  </si>
  <si>
    <t>163</t>
  </si>
  <si>
    <t>…s ó patriotas que hubiesen muerto en defensa de la justa causa de la nación, ha cabido en suerte del primer extracto de ia de este dia á Doña Manuela Gregoria Rodríguez * hi ja de D. Matías, subteniente del escuadrón de Leones de la Mancha, muerto en el campo dei honor.</t>
  </si>
  <si>
    <t>Matias-Vihuesá</t>
  </si>
  <si>
    <t>…e Dolores., la «setena y; el rosario doloroso, y un resumen de las innumerables indulgencias qué hay .concedidas á los individuos de está con gregación. Un tomo en 8.°, por él Dr. D. Matias-Vihuesá, capellán de Honor y cura que fue de Tamajon: lleva una estampa de nuestra Señora de los Dolores. Se vende en las librerías de los Callejas, calle de las Carretas, y de Ranz, calle de la Cruz, á 10 rs. en pasta; y en las ciudades de Sevilla, Zaragoza, Granada…</t>
  </si>
  <si>
    <t>Matin, Torre</t>
  </si>
  <si>
    <t>Torre Matin</t>
  </si>
  <si>
    <t>…r lo que se juicio de conciliación, celebrado en 26 de Junio último an ■probó también. te elSr. alcalde primero constitucional D. Félix de Ovalle, Se leyó la siguiente adición del Sr. Torre Matin al'ar entre el susodicho y el Excmo. Sr. conde de Miranda , ma tículo 9.0, que no fue admitida; «pero que esta sea á jus yordomo' mayor de S. M., con los respectivos asociados, en ta tasación , y no por subasta." razón de las palabras injuriosas, que comprend…</t>
  </si>
  <si>
    <t>Mato, Josef</t>
  </si>
  <si>
    <t>Josef Mato</t>
  </si>
  <si>
    <t>…ió renovado en cabeza de Fr. Patricio de la Cruz: asimis mo á D. Pascual Calvo, D. Julián de A raso , D. Josef An Los profesores que han formado un establecimiento en tonio Rivas, D. Josef Mato y D. Miguel de Torres, te que se dan lecciones de caligrafía , aritmética, gramática, nedores que han sido de otro vale real de 600 pesos, de la ortografía española y lengua latina en el término de dos creación de tó de Mayo de 1808 , que salió renovado en fa años , y de taquigraf…</t>
  </si>
  <si>
    <t>Mattel</t>
  </si>
  <si>
    <t>…ndiese con todo el lleno de sueldos de los ciese mención honorífica en el Eliario, de un egemplar de catedráticos. la relación histórica de los sucesos de Gerona en los años de El Sr. Mattel hizo ver que la,comisión debió desenten 1808 y 1809, con un retrato de D. Mariano Alvarez y derse de esta parre reglamentaria, mucho mas ignorando sí un plano, presentado todo por el mariscal de campo Don se había hecho alguna alteración relativa á ella; y ll…</t>
  </si>
  <si>
    <t>…no satisfecho debiendo incluirse e te punto en los aranceles de aduanas, .enteramente el expresado marque--. debia suspender su dictamen , para que no se alterase acaso Ademas de! Sr. Mattel, nombrado ayer para la comi con una resolución aislada la armonía que debiera tener «4 sión de Beneficencia, se nombró hoy al Sr. Cieinencin. sistema general, y asi se aprobó. # Leyó el Sr. Caiatrava el dictamen deja .comisión Je Le be aprobó igualmente otro…</t>
  </si>
  <si>
    <t>…e perjudicial para las maniobras de enganchar sus filas, y aun sen duros por ducados. mas particularmente sus hileras; siendo igualmente la vo No fue admitida á discusión otra del Sr. Mattel para luntad de S. M. que en ningún ca^o, incluso el de la co que á los freires de las órdenes militares, aunque no esten lumna de parada ú honor, se marche con filas abiertas al ordenados in sacris, se les aógne cuando menos la canti paso compasado, pues la m…</t>
  </si>
  <si>
    <t>…cios cuyos capitales mueren con los po comprendan en la supresión de las contenidas en la segunda seedores, y los créditos pertenecientes a manos muertas, o declaración.” Otra del Sr. Mattel: «A la palabra santuarios añádase que no pueden hacer uso libre del capital."</t>
  </si>
  <si>
    <t>Maunion, J.</t>
  </si>
  <si>
    <t>J. Maunion</t>
  </si>
  <si>
    <t>…de aquél- distrito’,,y acordar lasjd aposiciones mas eficaces5 para reprimir los desórdenes que cometen las gentes kieV campo. El dia 11 del corriente fue ajusticiado en Gaiway eí capitán J. Maunion, caudillo de los insurgentes en aquel condado. Concurrid; innumerable gentío á tan triste espectáculo y y ei reo se mostró muy; conformer, confesó pública mente la justiciade la:sentencia que-.lía condenaba, y exhortó? al-pueblolá. que volviese á lá tranquili…</t>
  </si>
  <si>
    <t>Mauricio, Francisco</t>
  </si>
  <si>
    <t>Francisco Mauricio</t>
  </si>
  <si>
    <t>…ros re de que fueron pronunciadas ante un Monarca absoluto: cíprocos contra incendios, denominada de S. Fernando, á «La ley debe reinar sobre el pueblo, no el Soberano. Vos saber: D. Francisco Mauricio, D. joseí Zubia, D. Fran «solo sois su ministro, su primer depositario. La ley debe cisco Ximenez de Bedoya. D. Vicente Cafuer y C haves, «arreglar el uso de la autoridad, cuando emana de ella ; la Doña Ana Diaz, Doña Matilde Pertuza, D. Joset Benitez, «autor…</t>
  </si>
  <si>
    <t>May</t>
  </si>
  <si>
    <t>…se autorizará to en Galicia cuando entró el general Ney:"" léase: «Muerto á las diputaciones á auxiliarse de las personas que tengan en la defensa del puente de S. Payo contra e! mariscal May en por conveniente, las cuales se acompañarán con el apode persona.'" MADRID EN LA IMPRENTA NACIONAL.'</t>
  </si>
  <si>
    <t>Mayéis, Josef Canals y</t>
  </si>
  <si>
    <t>Josef Canals y Mayéis</t>
  </si>
  <si>
    <t>…ez, D. Manuel La-Cerda y Paiafcx, D. Juan Ló pez Larrainzar , D Francisco Cascajares y Bardnxí, D. Josef Aivarez Reyero , D. Cárlos Casaprin y González, D. Rafael Rodríguez Solís, D. Josef Canals y Mayéis, D. Rafael Galinno y Guillelmi, D. Francisco Rívadeneira y Acevedo, D. Mariano Navarro "y Avellañ, D. Juan Basco y Sarria; Den Ramón Nuñez de Haro, D. Josef Rulz del Burgo y Basabrú, D. Benito Osma y Osma, y el soldado distinguido de la misma arma D. Benito d…</t>
  </si>
  <si>
    <t>Mayol, Salvador</t>
  </si>
  <si>
    <t>Salvador Mayol</t>
  </si>
  <si>
    <t>…llaud, al lord Lansdown, sus antiguos tras glorias, ha acordado no solo admitir con el mayor y verdaderos amigos; cue vuelva á ellos, y desaparecerá la gusto el referido cuadro de D. Salvador Mayol, y disponer oposición contra su Gi-bierno; todo el mundo reconocerá que se coloque en la sala de sus juntas , sino también ha en S. M. e! mejor de los Soberanos. cer público por medio de los periódicos semejante rasgo de Este artículo estaba firmado por un an…</t>
  </si>
  <si>
    <t>Mazay, Cárlos de</t>
  </si>
  <si>
    <t>Cárlos de Mazay</t>
  </si>
  <si>
    <t>…mpleto espera ó moratoria. s.° Los expresados perdones ó morato de cuantos se han conocido hasta el dia. rias deberán solicitarlos los interesados , instruyendo los ex Hungría. El coronel Cárlos de Mazay ha inventado pedientes gubernativamente ante los ayuntamientos de los un mecanismo, que puede adaptarse á Todos los carruages, pueblos, que con su informe los remitirán á la Diputación y sirve para impedir un vuelco en el caso en que los caba de la provincia,…</t>
  </si>
  <si>
    <t>Mazziotti</t>
  </si>
  <si>
    <t>…aber ocupado el egército de Sici meses. Lord Liverpool impugnó la propuesta, porque creía lia las fortalezas de Palermo. que era de la mayor importancia para el honor de la Rei El Sr. Mazziotti hizo una indicación sobre si el presi na y de la nación el averiguar si los hechos expresados ert dente de la seguridad pública podía ser individuo del Par el preámbulo del bilí eran cierros ó no. El conde de Laulamento. ■derdále apoyó las razones del conde d…</t>
  </si>
  <si>
    <t>…ceptó la oferta. tancias que antes de mucho tiempo se verán en Italia gran En seguida se leyó el informe de la comi-ion encargada des acontecimientos. de examinar la propuesta del diputado Mazziotti. que ha ITALIA. bia pedido que se prefijase á ;o años la edad necesaria para ser consejeros de Estado. La comisión opinó por el contra Ndpoles 7/ de Octubre. rio que no se siguiese mas regla para la elección de conse En la sesión del 27 el diputado Recupero l…</t>
  </si>
  <si>
    <t>Mé-, Valentín González</t>
  </si>
  <si>
    <t>Valentín González Mé-</t>
  </si>
  <si>
    <t>…espués de alguna discusión; y habiendo Igualmente se aprobó el dictamen acerca de la solicitud manifestado los Sres Palarea y Sánchez Salvador, que no de Doña Rosa Solis, viuda de D. Valentín González Mé- trataba !a comisión de extinguir el cuerpo, sino de refor rida, para que se le atendiese en consideración á los servi marlo, se acordó votar el artículo por partes: quedaron cios de su marido , y á no haberla quedado viudedad después aprobadas en su totalidad…</t>
  </si>
  <si>
    <t>Mecternich</t>
  </si>
  <si>
    <t>…Bárbara Kranz, que esta espera recibir S. A. R. el Duque de Cambridge, y a mediados del ines uná .indemnización cuando vuelva á su tierra: que después se reunirán también allí el príncipe Mecternich y los minis de haber salido la Reina de Carlsruhe , el barón de Grimm, tros de las grandes potencias extrangeras. que vivía en la misma fonda, fue á visitar la habitación que Se han equivocado los peri dicos alemanes cuando han. aquella ocupaba; que iba acomp…</t>
  </si>
  <si>
    <t>Mediano, Antonio</t>
  </si>
  <si>
    <t>Antonio Mediano</t>
  </si>
  <si>
    <t>…uestra Señora de la Luz, donde se hallaban’ya en sus puestos los alamnosde la cátedra de latinidad, y se principió el acto £911 una oda latina, que pronunció Pablo Merchante. '' y D. Antonio Mediano, juez interinó de esta villa, hizo donación de tres medallas, y D. Manuel Paez , alcalde constitucional , entregó tres coÍeccipñe¿ de autores latinos para que las obtuvieran lós sugetos que alcanzasen el aciesit en sus respectivas clases: se dieron los premio…</t>
  </si>
  <si>
    <t>Medina, Josef</t>
  </si>
  <si>
    <t>Josef Medina</t>
  </si>
  <si>
    <t>…urallas hacían fuegoá los que se hallaban eh aque llas inmediaciones;/pero antes de recibir contestación salí de dudas por el parte que recibí de nii ayudante el teniente de navio D. Josef Medina, y qu£ original incluyo señalado con el número 4.0 . „ Serian las 10 de la mañana cuando me entraron aviso de que llegaba un parlamento de la Isla, cuyo objeto y mi contestación expresa la copia nú mero 5.0 del oficio que en el acto dirigí al citado general C…</t>
  </si>
  <si>
    <t>Medina, Josef Toscano y</t>
  </si>
  <si>
    <t>Josef Toscano y Medina</t>
  </si>
  <si>
    <t>…e, en Nueva-España, al capítan D. Narciso Arascót, ayudante de la segunda brigada dé milicias de aquel reino; y la auditoría de guerra del egércfto expedicionario dé Costa-firme á D. Josef Toscano y Medina, audi tor dé marina de la provincia de Algecíras. Una persona, cuyo carácter se ignora, escribe desde Cahors con fecha 20. del pasado (para que sé anuncie en este periódico, y llegue á noticia de jos’ interesados españoles militares y empleados civiles que es…</t>
  </si>
  <si>
    <t>Medinabeitia, Juan de</t>
  </si>
  <si>
    <t>Juan de Medinabeitia</t>
  </si>
  <si>
    <t>…e ciado extinguido Consejo solo se dió conocimiento de la Masdevall, D. Manuel de Fortuny , D. Miguel de Prats y mencionada Real resolución en 24 del mismo Enero último "Villalba, D. Juan de Medinabeitia, fiscal; D. Pedro Gó á ese ministerio, y al inspector general de infantería por lo mez de las Casas, alguacil mayor; D. Jaime Parera, fiscal relativo á la enunciada Parracia, y debiendo tener su entero en el dia de Valíadolid. efecto con todas las viudas y fa…</t>
  </si>
  <si>
    <t>Medinilla, Juan de</t>
  </si>
  <si>
    <t>Juan de Medinilla</t>
  </si>
  <si>
    <t>…lto el Rey llegas : se suplica á la persona en cuyo poder se halle se sirva que re e ■■•pidan despachos Reales, firmados de la Real m ino entregarla en la expresada villa de Oña á D. Juan de Medinilla, cura beneficiado de la misma ; y eu Madrid en el almacén Je pade S. M. , á los caballeros oficiales de la secretaría de Esta pel de Bueno, calle del Cintren , y se le alionarán los gastos.do de mi cargo, a! tesorero general, contadores generales El calendari…</t>
  </si>
  <si>
    <t>Medrano</t>
  </si>
  <si>
    <t>…de Gobierno interior de Cortes otra del Sr. Vito1 tropas de la Isla, y demas que se crean en caso semejante. rica , leida por primera vez en 10 del presente, para que seC Otra del Sr. Medrano para que las jubilaciones de los forme por una comisión el ceremonial q:e hayan de obser empleados civiles se conformen en un todo con los retiros var las diputaciones de las Cortes que vayan a palacio. militares; de manera que tomando por base los sueldos y…</t>
  </si>
  <si>
    <t>…con.ideracion, licias nacionales, para cuya dtscu ion se dec ar , re-ion per y lo aprobase -i le parecía conveniente. manente hasta la conclusión de dicho proyecto; y de- pues El Sr. Medrano, al ver q-e se nombraban oficiales de de algunas discusiones que susci.aron vario- de lo artículos, sección , ¡uzg &gt; que no seria necesario el nombramiento de fue aprobada la mayor parte, mandando volver á la co un mayor, pues cada uno de ellos lo es en s i r…</t>
  </si>
  <si>
    <t>…erza ar ciones de diputados á Cortes, y no para los de empleos mada se mandaron pasar unas ideas del coronel D. Joaquín municipales. Ortut de Zarate sobre las hojas de servido. El Sr. Medrano opinó-qne seria conveniente fijar el tiem A ia de Instrucción pública una exposición del obispo po de seis meses de residencia, ó el que pareciese oportuno, y universidad de Huesca, para que se tenga presente cuando para que adquiriesen los conocimientos nece…</t>
  </si>
  <si>
    <t>…toda la Nación española que se hallen siásticos , convencido particularmente de que los que sean : eu igual caso.” capaces de cometer delitos atroces son mas delincuentes Otra del Sr. Medrano: «Pido á las Cortes que la canti que cualquiera orro qué no esté revestido de su carácter dad de ioo ducados anuales señalados por el art. 19 á las y dignidad; mas que sin embargo apelaba desde_ luego á la ' religiosas que se secularicen sea de 200 ducados.”…</t>
  </si>
  <si>
    <t>…mo dia los anualmente á pluralidad se añadiese la de absoluta j cuya jueces del año anterior, los cuales podrán ser reelegidos.” indicación se aprobó, é igualmente el artículo. El Sr. Medrano manifestó que á su parecer seria mas Se leyó el art. 38 según le presentaba corregido la co conveniente que en lugar de nombrar los jueces de hecho los misión , y decia asi: «Se nombrarán 24 personas para que ayuntamientos constitucionales , lo hiciesen las d…</t>
  </si>
  <si>
    <t>…de la Mancha sobreba- de Guerra. gaues, y .i ¡a de Hacienda otra sobre alivio de contribucio Se aprobó, el dictamen de 11 c-inisi m primera de Lecisnes , presentadas ambas por el Sr. Medrano. Iacion para que te remitiesen al tribunal supremo deja riela Las Cortes oyeron con particular agrado la exposición todas las causas Contenciosas que exbtian en el de Ordenes. presentada por L). Josei Joaquin sle Mora, a nombre y por Kl dictamen de la c.•misi…</t>
  </si>
  <si>
    <t>Medrano, Josef Francisco</t>
  </si>
  <si>
    <t>Josef Francisco Medrano</t>
  </si>
  <si>
    <t>…smerado menos en ello la tropa, no solo por este medio, Lumbreras, y una obra sobre mérito y premio de la medi sino llenando en lo posible todas sus obligaciones, hacien cina , de D. Josef Francisco Medrano. do ver que no se contentan con ser soldados en el nom A Ja de Infracciones una exposición del conde de Albre. Todas las tardes hacen egercicio en línea los batallones modovar , contestando á una queja dada contra él, que se del primer egército nacional que s…</t>
  </si>
  <si>
    <t>Megía, Esteban</t>
  </si>
  <si>
    <t>Esteban Megía</t>
  </si>
  <si>
    <t>…a á D. Juan Perez Bueno, gefe de mesa de tesorería general, oficial de ¡Ja secretaría del Despacho de Hacienda, y contador principal del egército de Aragón: para la de Salamanca á D. Esteban Megía, separado dé ella por ad hesión á las nuevas instituciones: para la de Cádiz á D. Antonio Alonso, co misario de guerra de Marina, oficial de la secretaría del Despacho de Hacien da, y tesorero de egército de aquella plaza; y para la del egército de Valen da y…</t>
  </si>
  <si>
    <t>Megía, Manuel</t>
  </si>
  <si>
    <t>Manuel Megía</t>
  </si>
  <si>
    <t>…corte de Austria. , En virtud de providencia del Sr. D. Angel Fernandez de ios Ríos, del Consejo de S. M., teniente corregidor de esta muy heroica villa, refrendada del escribano^ D. Manuel Megía, se cita y flama á todos los interesados y acreedores de la com pañía de la Buena Fe, de artífices plateros de esta corte, reformada con nuevo regla mento en el año de 1801, para junta general que’ ha de celebrarse ante S.S. el lunes, 27 del corriente, á las…</t>
  </si>
  <si>
    <t>…- - - • ■ ■ .i 1 ■ ■ "Ml " ■*' En virtud de providencia del Sr. D. Joséf Martínez Moscoso, jtiéz letrado dé primera instancia en esta-muy heroica villa , refrendada del escribano D. Manuel Megía, se cita y llama á todos los interesados y acreedores de la cómpañíade Ja Suena Fe de artífices plateros de esta corte, restablecida conmuevo reglamento en el año de 1801, para junta general, que ha de celebrarse el domingo i6!de Abril’pró ximo á las nueve y…</t>
  </si>
  <si>
    <t>Megino</t>
  </si>
  <si>
    <t>…estimación de todos los pueblos del universo. guiente cláusula de su testamento. Las demas naciones se hicieron dignas de la libertad entre «Aunque todo es de la patria , dice el Sr. Megino en su los estragos; nosotros hemos preferido serlo en la escue testamento, dejo sin embargo expresamente á la patria y á la del silencio y del sufrimiento. Agere et pati fortia, he la renta nacional 1© duros, para cumplir con el verdadero</t>
  </si>
  <si>
    <t>Megino, Alberto de</t>
  </si>
  <si>
    <t>Alberto de Megino</t>
  </si>
  <si>
    <t>…tubre. Suecia y Noruega. Si se resuelve lo mismo en la tercera le El dia 3 del mes de Agosto falleció) en esta ciudad gislatura, tendrá fuerza de ley , sin necesidad de la sanción D. Alberto de Megino , natural de Zaragoza, capia! del Real, según se previene en la Constitución del reino de reino de Aragón, cónsul de S. M. C., y sugero trun' aorcNoruega. ciable por sus virtudes y conocimientos. Se"le hicieron los Uamburgo 8 de Octubre. funerales con las deb…</t>
  </si>
  <si>
    <t>Mejía, Manuel María</t>
  </si>
  <si>
    <t>Manuel María Mejía</t>
  </si>
  <si>
    <t>…lemania hasta el 17. El 18 se abrió la sesión choacan, cuya renta es de 3500 pesos fuertes;.y por re-» de la Cámara de los Comunes de Inglaterra, y volvió á nurvcia que ha . hecho D. Manuel María Mejía de una cacerrarse hasta el 17 de Octubre. Habiéndose instalado una nongía de la santa iglesia de Antcquera de.Oaxaca, .para que comisión piara examinar los registros de la Cámara de los estaba electo, ha quedado vacante esta prebenda, cuya renta Pares relativ…</t>
  </si>
  <si>
    <t>Mejta, Luis María</t>
  </si>
  <si>
    <t>Luis María Mejta</t>
  </si>
  <si>
    <t>…tado en el de las experiencias, observaciones y operaciones sobre las enfer momento de s»j instalación ; deseosa del acierto, acordó se medades que afligen este órgano: por el Dr. D. Luis María Mejta. dos tomos en 8.^, con una lámina y una tabla sinóptica d.q invitase á todos los profesores militares que siguen la hon las afecciones de la vista. Se hallará en la librería de Orea , ca rosa carrera del arte de curar, y á los demás ciudadanos lle de la Monte…</t>
  </si>
  <si>
    <t>Melchor</t>
  </si>
  <si>
    <t>…S. para su conocimiento y aprobación* Dios guarde á V. S. muchos años. Destacamento del Real de Xichú Agosto 21 de-1^19 es Tosef Cristóbal Villaseñor. = Sr. brigadier y comandante general D. Melchor 3 Alvarez.-’ - Tr,'‘ ;-i! • . Madrid 11 de Febrero. \ \ , ' / i A R T I C U. 1 O D E OFICIO. ’ En cumplimiento d¿ lo preven!Jó en Real orden de r2 de Jupió dé 1^8 lonsultó á S. M."el Consejó de Hacienda en sala segunda d^1'Í^usticX^;^j| o'de Agosto de 1819 Jo…</t>
  </si>
  <si>
    <t>…plimentar al Rey de Inglaterra por su advenimiento al trono. ESPAÑA. México 21 de Setiembre, Continuación de los partes de Nueva-España, r QUERETARO. Oficio del comandante general brigadier D. Melchor. Alvarez. ,,Excmo. Sr.: Para el debido superior conocimiento de V. E. le acom paño original el oficio que acabo de recibir del coronel D. Josef Cristóbal Villaseñor, comandante de la sección de S. Luis de la Paz, en que me par ticipa la correría que acaba de…</t>
  </si>
  <si>
    <t>Melchor, Gaspar</t>
  </si>
  <si>
    <t>Gaspar Melchor</t>
  </si>
  <si>
    <t>…icio nacional. Otra frente á los Viejos, en la misma colación de San Juan, núm. 19. ANUNCIOS. Otra en ¡a calle de Entadriiiadi, parroquia de S. Ro Memorias para la vida del Excmo. Sr. D. Gaspar Melchor mán . núm. 20. de Jovellanos, y noticias analíticas de sus obras, por D. Juan Otra en la calle Larga del barrio de Triana, núm. 21. Agustín Cean Bcrmudez. Madrid en la imprenta que 'ue de Otra casa, calle de Cadenas, del mismo barrio, núm. 22. Fuentenebro, añ…</t>
  </si>
  <si>
    <t>Melcy, Josef de Palafox y</t>
  </si>
  <si>
    <t>Josef de Palafox y Melcy</t>
  </si>
  <si>
    <t>…, García Herreros.” llamada de la Barbacana, 107 rs. y 12 mrs. anuales, y est» Circular del ministerio de Guerra. denota que corresponde al maestrazgo la citada dehesa. Al capitán general D. Josef de Palafox y Melcy., presi Téngase entendido también que en el reinado de! Sr. Don dente de la junta de la orden militar de S. Hermenegildo^ Felipe 11 se incorporaron al heredamiento del sitio de digo con esta fecha lo siguiente: Aranjuez, ó sea al Real patrimonio, varios terre…</t>
  </si>
  <si>
    <t>Mele, Francisco María</t>
  </si>
  <si>
    <t>Francisco María Mele</t>
  </si>
  <si>
    <t>…órica y práctica desde el sistema de numeración hasta los núme ros denominados; y los alumnos dé la clase de comercio D. Pedro Viterí, D. Ambrosio de Villar, D- Juan Josef Áldama, D. Francisco María Mele y D. Vicente Mudo se examinaron en el mismo dia de las principales aplica ciones de la aritmética á los cálculos mercantiles, deduciendo las reglas prác ticas que deben seguirse en las diversas cuestiones de descuento con tiempo, en las reducciones de monedas, pesos y medidas…</t>
  </si>
  <si>
    <t>Melero, Josef</t>
  </si>
  <si>
    <t>Josef Melero</t>
  </si>
  <si>
    <t>…Apenas igualaron Demóstenes y Bossuet la elocuencia y de Otnmendi, D. Manuel de Robrero, D. Josef de Tejada energía del pasage siguiente de Masillon. y Ruiz, D. Matías Olivencia , D. Josef Melero, D. Fran «Los príncipes y los grandes no son sino los -hombres cisco de Bior, el Sr. marques de S. Martin, D. Pablo Ca del pueblo; 3’ ti lejos de ser los protectores de su debilidad brero, el Sr. Marques Je Cusa-Pon.ejos, la Sra. Duquesa de los grandes y los…</t>
  </si>
  <si>
    <t>Melgares, Antonio</t>
  </si>
  <si>
    <t>Antonio Melgares</t>
  </si>
  <si>
    <t>…ovedo, vfó que no le quedaban en Sans-Souci mas que sus guar D. Juan Arroyos, D. Josef Masip, D. Pedro García Cer dias de corps, sin serle posible ya reunir otro egército ni vino, D. Antonio Melgares, D. Ramón. Calvo y D. Jo huir, se tiró un pistoletazo al corazón. ’ sef Martínez. • Asi acabó su vida el hombre mas cruel, y que no tiene Concluido éste período, siguió él de pronunciar palabras, igual entre todos los tiranos. Hacia mucho tiempo que las en-qu…</t>
  </si>
  <si>
    <t>Mellado, Bartolomé</t>
  </si>
  <si>
    <t>Bartolomé Mellado</t>
  </si>
  <si>
    <t>…cial los inteligentes, ari como la de todo buen cátolico español de Salud pública acerca de una memoria , presentada por el di-curo que pron :nci &gt; el R. P. Círdenas, del orden de D. Bartolomé Mellado, sobre el origen é introducción de R.R- PP. descalzos de S. Francisco, capellán del primer ba Ja fiebre amarilla en las provincias meridionales, la cual tallón. proponía la comirion se remitiera al Gobierno para que pu Concluida la función de iglesia, y con a…</t>
  </si>
  <si>
    <t>Men-, Vicente</t>
  </si>
  <si>
    <t>Vicente Men-</t>
  </si>
  <si>
    <t>…pesos, creación de t.° de Enero de 1808, señalados con los números 245,637, 246,375, ciones , que deberá regir en toda la comprensión del de 246,580, 273,860, 273,861 y 273,874. A D. Vicente Men- partamento , é imponiéndoles la mas estrecha responsabi dizabul, que lo fue de otro de igual cantidad y creación, nú lidad en el cumplimiento de todo lo prevenido, que no mero 311,404. Al Banco nacional de S. Carlos, por endoso de podrá demorarse bajo el mas…</t>
  </si>
  <si>
    <t>Mena, Manuel Josef de</t>
  </si>
  <si>
    <t>Manuel Josef de Mena</t>
  </si>
  <si>
    <t>…re limita El Sr. presidente levantó la sesión. ción de sus mayorazgos, y se contestó por otros señores que era de las atribuciones de cualquiera comisión del Con Por jubilación de D. Manuel Josef de Mena, ministró greso pedir todos los documentos necesarios para la ins tesorero de las cajas nacionales de la provincia de Santiago trucción de los negocios. de Cuba, en la isla de este nombre, se ha servido el Re Y Mientras se agitaba está cuestión regresó la dip…</t>
  </si>
  <si>
    <t>Méndez, Miguel</t>
  </si>
  <si>
    <t>Miguel Méndez</t>
  </si>
  <si>
    <t>…ra instancia én esta muy heroica villa, ante el escribano de Dos bancales de tierra en idem, Vega Viator. su número D. Juan Raya, en.el dia 9 del corriente á las 8 en Idem idem de D. Miguel Méndez y Doña Catalina. la posada del mismo señor, sita en la calle y casa del Sacra Bascas. mento. Cinco casas pequeñas frente al hospital. nota. En la gaceta de ayer , pág. 307, Iín. 59; donde dice Convento de monjas de la Concepción. «que obtuvieron del Gobierno intruso,” léase…</t>
  </si>
  <si>
    <t>Mendiburu, Joaquín de</t>
  </si>
  <si>
    <t>Joaquín de Mendiburu</t>
  </si>
  <si>
    <t>…stración de los hombres beneméri mayorazgo, y la exposición de D. Pedro AlctmtrrrrBruno, tos, que la pública estimación y la voluntad del Príncipe han vecino de Guayaquil , contra D. Joaquín de Mendiburu, colocado á mi lado, iluminará continuamente mi conducta. gobernador de aquella plaza. No ignoráis que muchos de estos ilustres varones han esta- Las Cortes quedaron enteradas de un oficio de[ secreta do al frente de la grande obra de vuestra regeneración, y.…</t>
  </si>
  <si>
    <t>Mendiburu, Juan Manuel de</t>
  </si>
  <si>
    <t>Juan Manuel de Mendiburu</t>
  </si>
  <si>
    <t>les gobernador de la plaza D. Juan Manuel de Mendiburu, ra del ojo. Sobre la armonía de los colores en los diferentes y al capitán del puerto D. Joaquín Villalva, por los efica climas. ces y abundantes auxilios que han prestado para la rehabi Tomo 3.0 De los animales luminosos. Continuación del litación del buque…</t>
  </si>
  <si>
    <t>Mendieta, Jaime Alvaaez</t>
  </si>
  <si>
    <t>Jaime Alvaaez Mendieta</t>
  </si>
  <si>
    <t>…a del Consejo de Estado de 14 de Mayo de 1812 , y son: D. Josef María Puig, D. Francisco López Lisperguer, D. Francisco Ibañez Leí va, Pon Manuel Antonio de la Bodega y Mollínedo, D. Jaime Alvaaez Mendieta, D. Andrés Oller , D. Diego. María Vadillos, y D. Ramón Lopej? Pelegrin , fis cal ; y no siendo, posible hasta la próxima reunión de l^jCortes prestar en ellas el juramento conforme á lo prevenido en dicho decreto de 17 de Abril del año de 1812, lo egecutaran…</t>
  </si>
  <si>
    <t>Mendizabal, Gabriel de</t>
  </si>
  <si>
    <t>Gabriel de Mendizabal</t>
  </si>
  <si>
    <t>…e Ka servido conferir íá capitán/^: genera? d¡el egército y provincia de Guipúzcoa j vacante por fallecimiento del teniente general D. Juan Carlos de Areizaga, al teniente generál D. Gabriel de Mendizabal. Habiendo tenido por convsmenté el Rey suprimir la' sr^delegacion y ad ministración' dé ¡a imprenta nacional -, Sé ha servido nombrar director de-di cho establecimiento á D« Eugenio Tapiay éü áténcioh á su- iiístinguido* mérito; Con Real facultad, su fecha 23…</t>
  </si>
  <si>
    <t>Mendoza, Andrés de</t>
  </si>
  <si>
    <t>Andrés de Mendoza</t>
  </si>
  <si>
    <t>…e; pecúvas casas antes que vinieran los jesuítas. los oficiales generales del egérci.o; y un plan de organiza i3. Se devolverán al Crédito público todos los demas ción de este por D. Andrés de Mendoza. bienes que antes administraba pertenecientes á temporalida A la de Instrucción pública, un curso de Constitución des , y continuará en su manejo con arreglo á lo mandado por D. Pedro Acevedo. anteriormente; tomando cuentas á ios PP. jesuítas, juma de AI Gobi…</t>
  </si>
  <si>
    <t>Mendoza, Brianda de</t>
  </si>
  <si>
    <t>Brianda de Mendoza</t>
  </si>
  <si>
    <t>…s ni emplazarles, y les parará el perjuicio que haya lugar. En virtud de acuerdo de los señores patronos de las memorias fundadas por el Sr. D. Roque de Herrera y Ribera, y las de Doña Brianda de Mendoza, eri el con vento de S. Felipe el Real de esta corte, de que son patronos el señor cura de la iglesia parroquial de S. Sebastian de esta muy heroica villa, el R. P. prior del insi nuado convento, y los señores marqueses de Auñon, en junta celebrada el día 18…</t>
  </si>
  <si>
    <t>Mendoza, Juan Antonio</t>
  </si>
  <si>
    <t>Juan Antonio Mendoza</t>
  </si>
  <si>
    <t>…rán las que sehicieren siendo arregladas. Quien quisiere hacer postura á una casa sita enel.lugar'de Getafe én la calle que llaman del Escaño y un solar contiguo á ella, propia de D. Juan Antonio Mendoza/ ¿preciada en '17,198 ^.,«que se vende para pago de acreedores, acuda al juzgado de primera instancia del Sr. D. Julián de Sojo por la escribanía de provincia de D. Pe-1 dró «Ji&amp;ísef dé Ibabé ; dentro del término dejgodias,contados defdé esta publica ción?, 3…</t>
  </si>
  <si>
    <t>Mendoza, Miguel Gayoso de</t>
  </si>
  <si>
    <t>Miguel Gayoso de Mendoza</t>
  </si>
  <si>
    <t>…o, de qué modo se sustituye ? anual y cuadrienal es de 10 y ti® reales, los cuales, ó la (Se continuará. ) cantidad en que se verifique fkc., como =n los anteriores. Por el Excmo. Sr. D. Miguel Gayoso de Mendoza, Le ntos y Valcarce, poseedor de la casa de Rubianes, Gentil hombre de Cámara de S. M. con egefcício , y Gefe político ANUNCIOS. superior de esta provincia 8rc. se hace saber al publico que por Real orden cíe 17 de Julio último, que le ha comunica Dictamen so…</t>
  </si>
  <si>
    <t>Menzikoit</t>
  </si>
  <si>
    <t>…res; y con este motivo ha hecho saber al y de Matusewitz, se hallan también el príncipe Vv'olkonsRey el príncipe de Ilardemberg que su presencia era abso ky, el conde Ouvvarof, el príncipe Menzikoit , el conde lutamente indispensable. Olkarowsl; v y el príncipe Czernichetl; pero estos últimos, Por lo demás parece fuera de toda duda que los asuntos incluso el principe Wolkonsky, no toman parte alguna en que se están ventilando en Troppau influirán extraor…</t>
  </si>
  <si>
    <t>Merino, Baltasar Zapata y</t>
  </si>
  <si>
    <t>Baltasar Zapata y Merino</t>
  </si>
  <si>
    <t>…cos, los cismas, las heregías, las instituciones de las órdenes monásticas &amp;c. Obra escrita en francés por Mr. Macquer, abogado del Parlamento de París, y traducida al español por D. Baltasar Zapata y Merino, doctor en sagrados cánones, opositor á la cátedra de disciplina eclesiástica de los Reales estudios de S. Isidro-de esta corte, y prior de la iglesia parroquial de la villa de Faldes, 4 tomos en 8.° mayor: el pri mer tomo contiene desde el ano 6.° antes de l…</t>
  </si>
  <si>
    <t>Mestre, Agustín Josef</t>
  </si>
  <si>
    <t>Agustín Josef Mestre</t>
  </si>
  <si>
    <t>…rtículo. lián de Sojo, se pasaron á la audiencia territorial de Castilla la El Sr. Priego pidió que se pusiera al artículo 3." una adi Nueva los autos formados á instancia del Dr. D. Agustín Josef Mestre, boticario mayor de S. M. y de los egércitos nacionales, ción , de que ya había hecho mérito cuando se discutid en contra D. Josef Oíiez, boticario en la calle de Postas de’esta la sesión del iS, para que no se entendieran por años de corte, sofire injurias e…</t>
  </si>
  <si>
    <t>Metía, Miguel María</t>
  </si>
  <si>
    <t>Miguel María Metía</t>
  </si>
  <si>
    <t>…educción anual de las Memorias de aquella corporación. nota. En la gaceta núm. 9, pág. 38 , col. i.% Iín. 1.1, don Se ha hecho sobremanera celebre por los hombres ilustres de dice D. Miguel María Metía, debe ser D. Miguel María de que ha contado entre sus socios, como son Cullcn, Mouro, Mata. MADRID EN LA IMPRENTA NACIONAL.</t>
  </si>
  <si>
    <t>Metternich</t>
  </si>
  <si>
    <t>…e esta precaución. .'■.El Emperador de Austria se ha dignado suscribir por la suma de 2© francos para la construcción del monumento de Malesherbes; con cuj'O moti vo ha escrito el príncipe Metternich al vizconde Pinon la carta siguiente: ,,Sr. vizconde: El honroso sentimiento que dio origen al proyecto de erigir un monumento en Francia para, .perpetuar la memoria de Mr. de Males herbes , no podia* dejar d$ ser . dignamente apreciado por mi augusto amo ei…</t>
  </si>
  <si>
    <t>…ministros sobre la libertad de comercio y la abolición de ias aduanas en el interior de Alemania son sumamente favorables á estos útiles proyectos, cuyo mas celoso protector es el príncipe Metternich. No será ex traño que duren todo el invierno las conferencias por los muchos-asuntos que habrá que tratar en ellas.</t>
  </si>
  <si>
    <t>…ma nifestado que el Príncipe estaba en peligro de una nueva recaída si no obser vaba escrupulosamente el régimen que le habían prescrito. ts Se asegura de un modo indudable que el príncipe Metternich será nom brado gran canciller de Estado de la monarquía austríaca, cuya dignidad no te ha conferido á ningún ministro de Austria desde la muerte ael príncipe de Kaunitz. AUSTRIA. ytena 2$ de Diciembre* Parece inverosímil que en el Congreso se haya de tratar d…</t>
  </si>
  <si>
    <t>…tas deudas cómo car.ga del Estado .y de sus individuos hasta que se verifiqué la total extinción (fe ellas.” AUSTRIA. Vierta 19 de Enera. AyeFse reunió en casa de su presidente el príncipe Metternich la comisión encargada de examinar las relaciones políticas de la Confederación germánica en cuanto á la guerra y la paz; y-habiendo terminado definitivamente sus ta reas se presentarán pasado mañana al Congreso en junta plena. Si ha.de darse crédito.á las not…</t>
  </si>
  <si>
    <t>…de húsarés, que antes era de la guardia del Príncipe Regente. ■ . , Idem 28. , -i..'cu-' ; El lunes última se.- celebró! la sesión 17A de. los ministros alemanes; que presidió el príncipe Metternich. Dícese que la importante cuestión que se ventiló-dias há sobre lo que debería practicarse en' el caso que se decidiese la Dieta por la mayoría de votos, se ha pasado á otra comisión para que infor me de nuevo sobre el particular. Todavía, es incierta la dura…</t>
  </si>
  <si>
    <t>394</t>
  </si>
  <si>
    <t>…s que le componer*, cuya circunstancia da lugar á conjeturaa^sobre sucesos desagradables. ■’WReináJa. mayor actividad en las oficinas de la cancillería que está á las ór denes del príncipe Metternich : el cdStéjo áulico está asimismo muy ocupada, y en medio dé todo este movimiento se nota que el gabinete de Viena afecta una calma que lia 'sido siempre la precursora de algún gran suceso. Asegurase que han hecho mucha impresión en el ánimo del Emperador y d…</t>
  </si>
  <si>
    <t>…habéis colmado de beneficios á un cerca de esta corte, [legó 8qui el día 23. Hasta ahora no ha ingrato. Mis débiles fuerzas se duplican en el día: entrego tenido audiencia ni del príncipe Metternich ni del Em al olvido toda halagüeña ¡dea de ínteres personal, y dedico perador. todos mis esfuerzos á conservaros tranquilos. ITALIA. «¿Qué obstáculos podrán oponerse al éxito del fin que me habéis propuesto? Yo no debo rodear el trono del Prin Ñápales t8 de J…</t>
  </si>
  <si>
    <t>Metterních</t>
  </si>
  <si>
    <t>…sotros diréis queremos, y se hará lo que hubieseis que rcperidos aplausos de todos los habitan res. El 19 llegó tam rido. Vuestra gloria es sublime, y vuestro rango es mas bién el príncipe Metterních. El embajador ruso y el conde ilustre que el de los principes, pues habéis sido elegidos de Bernsdorf, ministro de Estado y de Gabinete de Prusia, como los mejores entre los mas sobresalientes de uti pueblo se hallaban ya aquí. El 20 vimos también llegar á es…</t>
  </si>
  <si>
    <t>…ciudad la reunión de los dos Soberanos y de los mi que el ministro de Negocios extrangeros de Ñapóles parece nistros de las grandes potencias. haber dirigido el t.° de Octubre al príncipe Metternich, El Emperador de Rusia y el Rey de Prusia no ven pidiéndole explicaciones en nombre del Rey respecto de las drán á esta capital, como se ha creído hasta ahora. tropas austríacas que están en ¡a Alta Italia, y de los pee-, Ha llegado aqui inesperadamente el em…</t>
  </si>
  <si>
    <t>…á la Kuropa 50 años de guerra y cala Viena trae las noticias siguientes: el 21 , &gt;2, 23 y 24 hu midades ¿Queremos nosotros conservar nu.s&gt;ra libert ó? bo conferencias en casa del príncipe Metternich, en I rop- Guardemos nuestras fronteras sin ofender á nadie. Un ge-.ro pau , y asistieron todos los ministros de las grandes po benéfico enseñará sin duda á conservar la paz , aó como el tencias ; y el 2 ; se celebró la primera sesión en presencia genio del m…</t>
  </si>
  <si>
    <t>…Jas mudan •tud de las reclamaciones de Mr. Strogonotf, que hacían tezas políticas acaecidas en España, Ñápeles y Portugal. El ;mer las consecuencias del descontento de su corte. . príncipe Metternich tes comunicó las proposiciones de su Dicen las cartas de Odess3 que van en aumento los peGobierno en la primer conferencia de los plenipotenciarios. -didos de granos, -y que ?.e espera subirá ,su precio. La na Se asegura que ha sido enviado un distinguido gen…</t>
  </si>
  <si>
    <t>Mi</t>
  </si>
  <si>
    <t>…ier D.. Manuel Jáureguí de la de Grana da; á D. Josef Manuel Vadillo de la de Jaén; á D. Andrés Crespo CantoIIa de la de León; á D. Guillermo Montis de la de las islas Baleares; á D. Mi guel Escudero de la de Navarra; á D. Bernardo de. los Ríos de la de Palen— cía; á D. Francisco'Cantero de la de Salaipanca; á D. Josef Qúeipo de la de Segovia ; á D. Josef María Puente de la de Soria; á D. Antonio Leonardo de Letona de la de Vizcaya» y á D. J…</t>
  </si>
  <si>
    <t>…uinta giesa, francesa y española de la obra del Salustio en caste con la aclaración qtté pidió el Sr. Martínez de la Rosa,'y llano de la edición grande-, egecútada por el -artista D. Mi apoyó el Sr. conde de Toreno, de que los accionistas refl- guel pinesa-Claros, discípulodél célebre -español: Cursi. La drian libertad para tomar cre'ditos con interes ó sin él; y sociedad, que por la naturaleza de sil instituto .ejtá consa ser mandó pasar á…</t>
  </si>
  <si>
    <t>…de Granada. mida el Sr. secretario de la Gobernación de la Península. La comisión, en vista de los servicios patrióticos que este in No hubo lugar á votar sobre una exposición de D. Mi teresado hizo durante la dominación francesa, salvando con gue1 María de Altuna, alcalde constitucional de Alcoy, re firmeza, contra las intimaciones de los generales enemigos, mi dda por el mismo Sr. secretario, para que se le conceda las vidas y haciendas d…</t>
  </si>
  <si>
    <t>Mi, Evaristo de S.</t>
  </si>
  <si>
    <t>Evaristo de S. Mi</t>
  </si>
  <si>
    <t>…se como primera lectura ; pero se Se dió cuenta de que los ayudantes generales del egér- determinó que pasara á la comisión da Hacienda para qu« cito expedicionario de S. Fernando D. Evaristo de S. Mi la tuviera presente. guel y D. Fernando Miranda de Grao remitían á las Cor- Sé leyeron v aprobaron dos minutas de decreto, la pri</t>
  </si>
  <si>
    <t>Mi-</t>
  </si>
  <si>
    <t>…Las ordeñes cíe 20 de Diciem capitán de zapadores D. Tiburcíó /íártgogá. bre de 1811 y io de Marzo de 18.V»; sobre el mismo obje Exposición sobre varios principios militares, por D. Mi-</t>
  </si>
  <si>
    <t>…conocer de ellas; y que, pues en adelante habían de pocas observaciones. entender las diputaciones de provincia en esta dase de re Después de leído el tercer artículo, reclamó el Sr. Mi- cursos, lejos de ofrecerse inconveniente en que desde -luego ehelena la Constitución, pidiendo que se aclarase este ar se les remitan los que están pendientes, se facilitara su mas tículo, á cuyo efecto presentó después una indicación, que breve despacho por…</t>
  </si>
  <si>
    <t>Michclena</t>
  </si>
  <si>
    <t>…nozca hasta dónde llega la autoridad episcopal.” de su autor. Lista de los traidores. Entierro de la Atalaya y del Procurador general. Famosa medalla republicana. Constitución El Sr. Michclena notó que en América los breves de se secreta de la supuesta república. Examen de los papeles secues cularización costarían demasiado caros. trados. Desafuero de eclesiásticos no reclamado. Sermones san Fue aprobada la indicación del Sr. Zapata. guinarios. Van…</t>
  </si>
  <si>
    <t>Michelcna</t>
  </si>
  <si>
    <t>…e apresase la comisión misión era de dictamen que no debia accedería a esta expo de Ultramar á la que debía examinar la circular de 22 de sición. Setiembre , sepun habia pedido el Sr. Michelcna ; y se acor- Igual resolución se dio a! dictamen de la comi-ion de do hacerlo csi. Aerieuhura para que se pasase al Gobierno una memoria K1 Sr. presidente presentí una exposición de dos veci presentada por el P.Josef Pérez sle la Madre de Dios. esco nos de F.…</t>
  </si>
  <si>
    <t>Michelena</t>
  </si>
  <si>
    <t>…, contados desde esta publicación; y se avisará el dia cambios nacionales y extrangeros. ín que deban proveerse las referidas plazas para que los preten Se leyó una indicación del Sr. Michelena, para que Se dientes lo tengan entendido. nombrase una comisión especial que á la mayor brevedad Resumen histórico de la revolución de España, año da posible formase y presentase al Congreso el proyecto de ley 1808, por el P. maestro Saimón, del órden de S. A…</t>
  </si>
  <si>
    <t>…el parte remitido por el secretario de la Gobernación. trabajo. Se declaró no haber lugar á votar. Se dió cuenta de un olido del mismo ministro, en que Se leyó una indicación del Sr. Michelena, en que ha participaba que estaba ya resuelto y comunicadas órdenes ciendo presente la necesidad de arreglar la fuerza armada, para que se entregasen las armas á los individuos de la mi pedia se nombrase una comisión especial, para que reco licia nacional de…</t>
  </si>
  <si>
    <t>…utaciones provinciales respectivas los men tos, y fue reprobado por 73 contra 6o. cionados expedientes para la resolución que convenga, con Se aprobó en su lugar Ja indicación del Sr. Michelena pa arreglo á lo prevenido en la ya citada instrucción de 23 de ra que se ponga en estos términos: »Ios 300© ducados sean Junio de 1813. para los Sres. Infantes D. Cirios y D. Francisco de Paula. ,,Y de Real orden lo comunico á V. acompañando los Esta decisión…</t>
  </si>
  <si>
    <t>…e no haya empleos superfluos ó excedentes, que después de la palabra marineros se añada, arrieros y cuyo sistema de razón y justicia reclama por su exacta ob tragineros;” otra del Sr. Michelena «que se expresen las servancia el alivio que debe procurarse A las cargas del era clases comprendidas en las palabras funcionarlos públicos;” rio, se ha servido el Rey, en conformidad de lo propues otra del Sr. Priego «que se exprese que por funcionarios to p…</t>
  </si>
  <si>
    <t>…mandó volver' ’ A la de Premios una exposición de D. Pedro Miguel de á la comisión. Castillo, manifestando que por haber sido comprendido en Se leyó en seguida una indicación del Sr. Michelena, la causa de Porlier, fue sentenciado á pena capital, cuya pe que decía asi: «Que la comisión de Hacienda , reunid 1 á na no sufrió por haberse fugado á Francia, donde por la la de Marina, proponga los medios y providencias que de misma causa estuvo preso die…</t>
  </si>
  <si>
    <t>…nuel siguiente: Que ya teman noticia de haber jurado el Rey Velasco y D. Evaristo San Migue!. en y de Marzo la Constitución , asi como el acontecimiento Se leyó una indicación deí Sr. Michelena, dirigida á del 10 del mismo en esta plaza: que la fragata Prueba ha que la comisión que presentó el proyecto de les- sobre asilo bía hecho varar en la costa de abajo á la corbeta insur de extranjeros propusiera su dictamen acerca de si era ó no gente los And…</t>
  </si>
  <si>
    <t>…trataba el sueldo de 12S&gt; rs. anua establecer universidad en Chillan se establezca en la'Con les; el de 9600 á los segundos; 7200 á los terceros; i 400 cepción de Chile: otra:deI Sr. Michelena para que se esta á los cuartos, y 4200 á los quintos, dejando el aumento bleciese una universidad de provincia en Guanajuato; y otra de sueldos á las clases superiores para cuando se aprobase del Sr. Pierda para que se establezcan universidades en Gua- el pla…</t>
  </si>
  <si>
    <t>…en tible , le ha regalado una medalla de plata de dos onzas, igual caso.” : ■ : .. expidiéndole ademas una certificación para acreditar la de A la comisión se mandó pasar otra del Sr. Michelena, licadeza y esmero singulares con que ha desempeñado un dirigida á que no se egecutasé á los labradores y mineros trabajo tan a preciable, que sobre reunir, un gusfo exquisito de America para la devolución de los capitales que hu en la encuadernación, junta-l…</t>
  </si>
  <si>
    <t>…ancho, bajo el concepto de que las bases del Cré mar reunidas sobre las proposiciones hechas por el misino dito público debian ser dos, buena fe, v medios para cum Sr. Arispe y el Sr. Michelena para el es abiecimiemo de plir lo prometido , creyó que con el primer arbitrio del ar diputación provincia! en las ciudades de Va.Ldoiid de Me- tículo que se discutía se faltaba á lo primero, pues se obli choacan, y Arispe en Naeva-España, agregando la inten…</t>
  </si>
  <si>
    <t>…omisiones de Marina tirla ; pues la memoria de las glorias de la Nación , de cual y Comercio reu .idas con urgencia. quiera manera que se refiriesen , no podía dejar de merecer El Sr. Michelena pidió el pronto despacho de la indi la benevolencia del Congreso. Las Cortes lo recibieron con cación que tenia hecha sobre que se declarase si la circular agrado, y mandaron hacer mención honorífica en el diario expedida por el ministerio Je Ultramar en el m…</t>
  </si>
  <si>
    <t>Michelena, Joan María de</t>
  </si>
  <si>
    <t>Joan María de Michelena</t>
  </si>
  <si>
    <t>virtud de estar procesando á un soldado del cuerpo se con nor para ncfoí ros, dijo, que el .ser. juzgados por los jueces cediese permiso al Sr. D. Joan María de Michelena para que de hecho, haciéndonos por este medio iguales á los demas, infqrrcara en este apunto. Fue concedido. y por consiguiente conservando el título de ciudadanos? Yo Continuó la discusión del 'proyecto de libertad de Im doy muchas gracias, añadid, á la comi…</t>
  </si>
  <si>
    <t>Michelena, Josef Mariano</t>
  </si>
  <si>
    <t>Josef Mariano Michelena</t>
  </si>
  <si>
    <t>…os indistintamente, brindaron en loor de to tante objeto. dos los objetos que merecen hoy nuestro amor y reconoci Habiéndose anunciado que esperaba para jurar el dipu miento. tado D. Josef Mariano Michelena, entró, lo egecutó, y to Madrid 10 de Julio. mó asiento. Hoy a tas 4 de la madrugada salieron SS. MM. de esta. Concluido el juramento, se empezó la discusión delcapital para Sacedon á tomar ios baños, como han acostum-' dictamen de la comisión de Instrucción…</t>
  </si>
  <si>
    <t>Middleton, Carlos S.</t>
  </si>
  <si>
    <t>Carlos S. Middleton</t>
  </si>
  <si>
    <t>…rry y compañía, 320. D. Isaac Hadwen, 320. D. Juan Duffield y compañía, 320. D. Jacinto Narice, 80. D. Guiller mo Gray y compañía, 640. D. Juan Haffenden y compa ANUNCIOSñía, 320. D. Carlos S. Middleton, 8o. D. Joaquín Bobadilla, 160. D. Diego Terry, 80. DI Jacinto Isnardy, 320. El heroísmo del amor filial. Isabel, ó los desterrados de SíD. Carlos Williams, 80. D. Juan Shau, 32c. D. Pedro beria. Historia verdadera del presente siglo: por Madama Cottin, Enagu…</t>
  </si>
  <si>
    <t>Migue</t>
  </si>
  <si>
    <t>…ó este que no lo egecutaba por las razones que habia hecho SECRETARIA DEL CONSEJO DE ESTADO. presentes á la comisión, y habia tenido esta por justas, y Nicaragua. Por promoción de D. Migue! Guerrero y porque el reglamento prohibía expresamente que votara nin Arcos á la dignidad ae maestrescuela de la sanra iglesia de guno en causa propia ; pero insistiendo los Sres. Toreno y León de Nicaragua, se halla vacante la canongía que obte lancho, se ac…</t>
  </si>
  <si>
    <t>Migue, Evaristo San</t>
  </si>
  <si>
    <t>Evaristo San Migue</t>
  </si>
  <si>
    <t>…procedente de Guayaquil en ico dias de viuge , se sabe lo haber lugar á votar sobre la representación de D. Manuel siguiente: Que ya teman noticia de haber jurado el Rey Velasco y D. Evaristo San Migue!. en y de Marzo la Constitución , asi como el acontecimiento Se leyó una indicación deí Sr. Michelena, dirigida á del 10 del mismo en esta plaza: que la fragata Prueba ha que la comisión que presentó el proyecto de les- sobre asilo bía hecho varar en la costa…</t>
  </si>
  <si>
    <t>Miguel</t>
  </si>
  <si>
    <t>…onsideración al distinguido mérito y particulares servicios que acaban de hacer á íá. nación D. Antonio Quiroga, t&gt;* Felipe. Arico Agiierp, D. Rafael Riego , D,. Demetrio OrDali y D. Miguel j-opez Baños, s¿ ha ser vido, conferirles los empiepSfde mariscales de campo de los egéjrcjtos; nacionales, ■ ' : ’ ' ■ ' i ‘ -v ’ : V, I • &gt; Gon el objeto de dar al comercio la protección que es debida ; ha dispuesto el Rey qué sobré dos cabos de S. Vicente…</t>
  </si>
  <si>
    <t>…luña, D. Salvador che del 8 al 9 de! corriente; y que «1 cumplimiento de lo Reguart. dispuesto por S. M. por punto general respecto de la re Un cuaderno de proyectos tácticos, por D. Miguel novación de los decretos de Corees, debe el ministerio de Porcel. Guerra mandar que se renueve y ponga en observancia el de Otro cuaderno sobre diferentes principios de organiza 2; de Mayo de 1817 en los términos expresados, en cuyo ción, táctica y constituci…</t>
  </si>
  <si>
    <t>…n el mismo objeto. por el Sr. conde de Toreno en la sesión del dia r.° de «En esta jornada se han distinguido Josef María y Si -este mes. • • món Gómez , hermano é hijo del citado D. Miguel, y am - JEn seguida se leyeron redactadas dos minutas de decre bos capitanes de dos guerrillas de 5 o hombres; los tenien to; una del reglamento para las ventas de fincas dél Crédito tes Juan Josef de Costa y Miguel Amaya , y los alféreces público, y- otra de…</t>
  </si>
  <si>
    <t>…ur ma , en el Perú , instituyó por sus únicos y universales herederos que se incluían con destino á limosnas, dejando el presu a falta de ascendientes y descendientes á su sobrino D. Miguel puesto reducido á cerca de 61 millones. Abad , avecindado en el mismo pueblo de Huancayo , y á los El Sr. Ochoa, manifestando que no se presentaban en hijos de sus hermanos D. Francisco , D. Antonio , D. Josef y el dictamen rodos los pormenores de los gastos…</t>
  </si>
  <si>
    <t>…en de algunos años de Galicia ; y en clase de suplentes a D. Fernando Navarro, á esta parte, con buen suceso, muchos diarios de Londres, diputado por la provincia de Cataluña, y á D. Miguel del sin que ningún impresor francés haya tenido la idea de Pino, que lo es suplente por el vireínato de Buenos-Aires. aprovecharse de esta invención extrangera. La prensa de va De acuerdo de las Cortes lo comunicamos á V. E., á fin por es muy costosa, y para…</t>
  </si>
  <si>
    <t>…Parlamento en la fe pacho de la Guerra. licidad de esta augusta Familia le liará oir con placer que está próximo á concluirse el matrimonio entre el Infante ARTICULO DE OFICIO. — D. Miguel, hijo segundo de S. M. Fidelísima, y la Infanta Doña Cristina, hija de nuestro Príncipe teniente-general El Rey ha expedido el decreto siguiente: del reino. Correspondiendo al Parlamento por los artículos Don Fernando vn por la gracia de Dios y por !a 208 y a…</t>
  </si>
  <si>
    <t>…s ordinarios. También ha encontrado un ■ El Rey se ha servido nombrar gobernador de la plaza gado y un macho cabrio igualmente de bronce , y dos me de Tortosa a! mariscal de campo D. Miguel de limo: Je la dallas de cobre de módulo pequeño, una que representa á de Mahon al brigadier D. Ramón l'o.o; y uc la de San la Emperatriz Severitia, inuger de Aureliano, y la otra la tander al coronel retirado del cuerpo de artillería D. Joa cabe/a del Empera…</t>
  </si>
  <si>
    <t>Miguel'García</t>
  </si>
  <si>
    <t>…ión de tener un pasante, l'l-que qiiierá hacer opésicion A dicha escueta se dirigirá ai ayuntamiento .constitucional" d¿ ia citada ARTI C, U X. O DE OFICIO. Villa, por medio de su secretario Miguel'García; teniendo, en tendido que el agraciado sufrirá exámenes públicos; qite:se ad-a El Rey ha expedido el decreto siguiente: miten solicitudes hasta el 20 de Octubre, y que la provisión Don Fernando Vii por I3 gracia de Dios, y por la será el día último de dicho m…</t>
  </si>
  <si>
    <t>Miguel, Evaristo S.</t>
  </si>
  <si>
    <t>Evaristo S. Miguel</t>
  </si>
  <si>
    <t>…as gacetas patrióticas del egército nacio ticas, y dando á dicho Orduña una copia autorizada dé la nal publicadas desde 28 de Enero hasta 26 de Mayo de este aña por sus redactores D. Evaristo S. Miguel y D. Antonio Alcalá resolución de las Cortes. Se aprobó este dictamen , excepto Galiano : son 37 pliegos y medio , y se venden á 20 rs. cada cola parte relativa á paar nota al consejo de Estado. lección en la librería de Órea. Se leyó la minuta de decreto de libertad de imprenta…</t>
  </si>
  <si>
    <t>Miguel, Evaristo San</t>
  </si>
  <si>
    <t>Evaristo San Miguel</t>
  </si>
  <si>
    <t>…misma comí ion presentó su dictamen acerca de la El Sr. Gutiérrez Acuña presentó una exposición de Don queja dada por Valen.in Ibañez contra el ayuntamiento y Manuel de Velasco-y D. Evaristo San Miguel, pidiendo á juez d. primera instancia de Carrion, por .haberle multado, las Cortes que hiciesen que el Gobierno publicase la causa de sin preceder juicio de conciliación. La comisión exponía haberles separado de sus destinos; sobre la que no hubo lu que el al…</t>
  </si>
  <si>
    <t>Miguel, Josef</t>
  </si>
  <si>
    <t>Josef Miguel</t>
  </si>
  <si>
    <t>…cias y datos que presentaba. calde y juez de primera instancia de Villanueva de la Se Las Corres oyeron con agrado la felicitación del regi rena por la queja dada contra ellos por D. Josef Miguel de miento de caballería de España por su instalación, presen Romero. tada por el Sr. Golfín. La misma comí ion presentó su dictamen acerca de la El Sr. Gutiérrez Acuña presentó una exposición de Don queja dada por Valen.in Ibañez contra el ayuntamiento y Manu…</t>
  </si>
  <si>
    <t>Miguel, Pedro</t>
  </si>
  <si>
    <t>Pedro Miguel</t>
  </si>
  <si>
    <t>…Pamhley, se declaró no haber relación con rentas generales, y estuviesen en aquella. lugar A votar por 69 votos contra 43 , y se mandó volver' ’ A la de Premios una exposición de D. Pedro Miguel de á la comisión. Castillo, manifestando que por haber sido comprendido en Se leyó en seguida una indicación del Sr. Michelena, la causa de Porlier, fue sentenciado á pena capital, cuya pe que decía asi: «Que la comisión de Hacienda , reunid 1 á na no sufrió…</t>
  </si>
  <si>
    <t>Miguel, S.</t>
  </si>
  <si>
    <t>S. Miguel</t>
  </si>
  <si>
    <t>…ibertad á todo gana bre el modo de proceder contra los eclesiásticos en los deli dero'de hacer de su propiedad el uso que mejor le parezca. tos atroces. Concluida esta lectura, el Sr. S. Miguel leyó al Después que los Sres. Moreno Guerra y Fraile apoyaron gunos artículos que presentaba reformados, separando su la necesidad de tomar esta última determinación , se aprobó voto del de la mayoría de la comisión , y se reservó el dar el dictamen. las razo…</t>
  </si>
  <si>
    <t>…o de mar. de León, presentada por el Sr. Sierra Pambley. A la misma se mandaron pasar varias indicaciones y A la de Legislación una representación de D. Antonio adiciones. Una del Sr. S. Miguel al art. i.°, en que pedia se Cardóniga , residente en lá villa de Bañeza, sobre arreglo declarase que en todo el curso de los rios hasta su desagüe de subalternos de los tribunales; y un proyecto de Don en el mar pueden pescar también libremente los terrestre…</t>
  </si>
  <si>
    <t>…os atroces. pero , Zorraquin y Gallego. Se aprobó el dictamen de las comisiones de Marina y Se leyó por tercera vez el proyecto de ley sobre liber Comercio sobre la indicación del Sr. S. Miguel para que en tad de imprenta, para cuya discusión señaló el Sr. vice el proyecto de matrículas de mar, en vez de señalar por presidente la sesión extraordinaria del martes 26. límites para la pesca marítima y terrestre el primer puente Se continuó la discusión…</t>
  </si>
  <si>
    <t>Miguel, San</t>
  </si>
  <si>
    <t>San Miguel</t>
  </si>
  <si>
    <t>…rcibimiento de lo que haya lugar, si pasado dicho vial y repetida que esta comparación en los libros de los término no hubieren comparecido. teólogo'. Defendiendo su indicación el Sr. San Miguel probó que ANUNCIOS. aun cuando no se hubiese dicho expresamente en la repre Fn la escuela central del método di la enseñanza mutua sentación que la religión de capuchinos habia sido fundada establecida *u la antigua iglesia parroquial de esta corte, lla por J…</t>
  </si>
  <si>
    <t>…rdinarios ecle i isricos podrín, de acuerdo con tas penas, aunque no esté en uso actualmente.” el Gobierno (habilitar interinamente, y hasta lá nueva divi Leído este artículo , el Sr. San Miguel recordó el voto sión de parroquias, las ig esias que resulten vacantes , y sé particular que habia dalo sobre alguno de los artículos juzguen precisas para la cura de almas.” de que consta este proyecto; y el Sr. Calatrava manifestó Este último articu’ó se ap…</t>
  </si>
  <si>
    <t>…dado la sentencia, según la distancia de rar hasta qne las Cortes-en la legislatura de 182! resuelvan los lugares.” otra cosa. Art. 4.0 No se extiende esta medida á los granos Ei Sr. San Miguel observó que aquí debia tener lugar la que haya fondeados en Jos puertos de la Península y sus adición que proponía, para que asi como se practica con adyacencias-al recibirse, él presenre decreto. Art. 5.0 Se ex respecto á los empleados público:, s. contara a…</t>
  </si>
  <si>
    <t>…mucho la opinión general, aumentándose ia opo Estrada, individuos de la comisión , pidió el Sr. Palarea, sición y la desconfianza con la falta de cumplimiento, des-, apoyándole el Sr. San Miguel, que atendida la importancia pues de haber salido el Sr. Garay del ministerio, á todas, del asumo, quedara el expediente sobre la mesa, y se seña las promesas que se.hablan hecho en tiempo de este; aña lara después día para la discusión; lo que se acordó. die…</t>
  </si>
  <si>
    <t>…io ni menoscabo en su buen nombre y repu Estado clasificado de los juicios de conciliación celebra tación.” dos ante el Sr. D. Josef Pió de Molina, alcalde constitu A petición del Sr. San Miguel, y conformándose su au cional de esta M. H. villa en el mes de Setiembre próximo tor, se mandó pasar á la comisión Ja indicación siguiente pasado. del Sr. Díaz del Moral: «Los jueces de hecho solo serán Conciliaciones verificadas á satisfacción recí responsab…</t>
  </si>
  <si>
    <t>…n para misión en millón y medio de reales, se aprobó su dicta que esta diese su dictamen; y asi se mandó. men , reducido A que se aplicase íntegro A la tesorería. Se leyó otra del Sr. San Miguel para que se anulasen Proponia en tercer lugar la comisión los productos de los encabezamientos de los pueblos respectivos á penas de la bula de la santa Cruzada, graduándolos en 16 millones cámara, y que reputándose como renta del Estado, y de de reales, y ju…</t>
  </si>
  <si>
    <t>…sión, el expediente de división de partidos de la provincia de cue los bienes de un monasterio llamado de Jesús Nazare Murcia. no de aq isla adjudiquen A los gastos de expurgo El Sr. San Miguel, individuo de la comisión primera de de los pueblos epidemiados. La comisión, en atención a no Legislación , leyó el dictamen de esta acerca de la extinción estar todavía suprimidos aquellos monges, y á que habia de los derechos territoriales, con un proyecto…</t>
  </si>
  <si>
    <t>…814, redactada con este medio el pago de las costas, pues ademas de estar pre arreglo á lo acordado por el Congreso. venido lo que debe egecutarse en estos casos , aquella solo El Sr. San Miguel, individuo de la comisión Eclesiásti puede tener lugar cuando deba recaer pena personal, y para ca , leyó el dictamen de esta acerca del arreglo de parro esta clase de delitos no existe ya. quias y dotación de párrocos, con un proyecto de decreto De Real orde…</t>
  </si>
  <si>
    <t>…la Guerra la cantidad necesaria para alimento de ios in lacion acerca de magistrados. ( Véase la sesión de ayer.) válidos é inutilizados, ó délo contrario se les hiciesen efec El Sr. San Miguel, individuo de la comisión, pidió que tivos los arbitrios que se les señalaron en 14 de Marzo se leyera una parte que citó del dictamen de la misma; y de 1814. leido que fue, manifestó con mas ampliación todos los La comisión observaba que efectivamente no se…</t>
  </si>
  <si>
    <t>Mikau</t>
  </si>
  <si>
    <t>…o yariOs sabios por el Brasil bajo !a protec ción de los portuguesqsi^y á.expensas&gt;de JciS^ab.iernQS de Austria,, de.Bavie.ra y da Tosca na. Por el de Austria son comisionados .el profesor Mikau en todo lo respectivo á la historia natural en general y la botánica en, particular; el doctor Pohl para el ramo de mineralogía, y Mf* Matterer por lo pertenecien te á la zoología.Xos acompaña Mr. Sphott enfCa1jdad.de jardinero,; Mr. Eu.der, pintor de paisage…</t>
  </si>
  <si>
    <t>Millan, Pío</t>
  </si>
  <si>
    <t>Pío Millan</t>
  </si>
  <si>
    <t>…ia de Santiago trucción de los negocios. de Cuba, en la isla de este nombre, se ha servido el Re Y Mientras se agitaba está cuestión regresó la diputación conceder aquel destino á D. Pío Millan , provisto adminis que habia ido á palacio: en su nombre dijo el Sr. Toreno trador de la renta del tabaco del casco de México. que habían desempeñado su encargo, y que S. M. habia reci bido con agrado la manifestación de los sentimientos del tribunales. Congr…</t>
  </si>
  <si>
    <t>Millares</t>
  </si>
  <si>
    <t>…se prestaron con la mayor celeridad A la especial respectiva un oficio del Gefe político de fueron inútiles hasta las 11 de la noche, en que se pudo Murcia, manifestando que el ex-diputado Millares, canóni empezar á contener el fuego, á pesar de que estaban em go de Orihuela, y uno de los 69 que firmaron la representa pleadas en apagarlo mas de 20 bombas: dos de ellas, situa ción del año de 1814, había pedido á S. M. se le permi das sobre las ruinas del…</t>
  </si>
  <si>
    <t>Miller-Zakomelski</t>
  </si>
  <si>
    <t>…capital celebró anteayer, por medio de una espléndida comida , la admisión del general conde Wlttgensteiin en clase desocio honorario. , Ha sido nombrado ministro de la Guerra el barón Miller-Zakomelski, ge neral de artillería; y presidente del tribunal de Justicia de fa Livonia y de Esthonia él consejero de Estado Mr. Friccíno. Por decreto de 8 de Noviem bre último ha mandado el Emperador .establecer en Teodosla un tribunal de comercio bajo las mismas ¡regl…</t>
  </si>
  <si>
    <t>Milne, Carlos</t>
  </si>
  <si>
    <t>Carlos Milne</t>
  </si>
  <si>
    <t>…z Los pueblos están persuadidos que lo que dice un sacerdo Gayo, D. Joaquín Lazada, D. Manuel de los Ríos y Sa te es lo que debe decir, y lo que ellos deben practicar. Un ladar, y D. Carlos Milne. solo sacerdote convirtió al pueblo de Neocesarea del Ponto, como fue S. Gregorio el Milagroso, y otro perdió una na ción entera como el cardenal Volseo. Si amais al Rey y á Continúa la relación de fincas que se están subastando toda la Nación ,debéis obedece…</t>
  </si>
  <si>
    <t>Miloradowitsch</t>
  </si>
  <si>
    <t>…no Pepe á la carra que le dirigió el principe gos; y este fue el motivo de la insurrección. La serenidad de Víllafranca. Aquel se trasladó áNápoles con el principe y prudencia del general Miloradowitsch, gobernador de de Paterno. Habiéndole condecorado el Rey con el gran Petersburgo, evitó que este acontecimiento tuviese mayores cordon de S. Fernando, ha pedido á S. M. el permiso de consecuencias. Se hábian mandado marchar dos regimientos no llevar esta deco…</t>
  </si>
  <si>
    <t>Milton</t>
  </si>
  <si>
    <t>…rtad del comercio haría florecientes uno y otro reino. Después de una discusión bastante larga se adoptó la propuesta del mar ques de LansdoWn. En la Cámara de los Comunes propuso lord Milton que se suprimiese el impuesto que pagan las lanas extrangeras, haciendo ver que no siendo libre su introducción, no podían competir nuestros paños con los de otros países, sobre todo de la Francia; pero fue desechada la propuesta por 202 votos con tra 128. En…</t>
  </si>
  <si>
    <t>Milza, Francisco</t>
  </si>
  <si>
    <t>Francisco Milza</t>
  </si>
  <si>
    <t>…capitanes generales de provincia. Por el presente se cita, llama y emplaza á los hijos ó here El Sr. secretario de Estado c interino del Despacho de deros ausentes é ignorados de D. Francisco Milza, comerciante la Guerra en Real orden de 23 de Setiembre último me di que fue de pedrería fina en esta corte, y que parece murió en la ce io que copio: Conformándose el Rev con el parecer de de Portugal , para que en el término de 60 dias, contados desde ese s…</t>
  </si>
  <si>
    <t>Mina</t>
  </si>
  <si>
    <t>…os muchos oficiales y paisanos armados del comercio de Bilbao y Vitoria , y de los que anteriormente habían servido en la división de Navarra , y ahora se hablan idop reuniendo al general Mina. Se ha tomado la providencia de despedir estos úl timos para que se vayan á sus casas, y lo mismo van haciendo de propia vo luntad los de Bilbao y Vitoria. * „Sigue todo aquí en la mayor tranquilidad, habiéndose prestado y-con—</t>
  </si>
  <si>
    <t>Mina, Francisco Espoz y</t>
  </si>
  <si>
    <t>Francisco Espoz y Mina</t>
  </si>
  <si>
    <t>…ha dirigido al ministerio del Despacho de Estado el oficio siguiente r i ,,Excmo. Sr.: A consecuencia de la variación de las circunstancias políti cas han entrado en esta plaza el general D. Francisco Espoz y Mina, el co ronel Peón, el teniente coronel D. Salvador Manzanares, con. otros muchos oficiales y paisanos armados del comercio de Bilbao y Vitoria , y de los que anteriormente habían servido en la división de Navarra , y ahora se hablan idop reuniendo al general…</t>
  </si>
  <si>
    <t>…causa mandad ida formar á los autores de los desórdenes de Cádiz. S. M ha confirmado en sus empleos y distinciones al teniente general Don Pedro Villacampa y al mariscal de campo D. Francisco Espoz y Mina, nom brando al primero capitán general de Cataluña,-y al segundo capitán gene ral de Navarra. Asimismo ha nombrado S. M. capitán general de Granada al teniente ge neral marques de Campoverde , y de Valenciaal teniente general conde de Almodovar. 3 í &gt; í i í-…</t>
  </si>
  <si>
    <t>…arle el mando. •» ' _ . El Sr. conde de Ezpelefa, con fecha de 24 del actuaT7 da parte de haber entregado el mandó del egército y capitanía general de Navarra al mariscal de campo D. Francisco Espoz y Mina, nombrado por S. M. para aquel destino, quien en el mismo día avisa haberse encargado de él. Conformándose el Rey con la propuesta de la Junta provisional, se ha servido mandar que se observe en todos los tribunales del reino el decreto de Jas Cortés generale…</t>
  </si>
  <si>
    <t>…para depósitos de segunda ciase. La comi Las Cortes recibieron con aprecio los ejemplares de un sión opinaba se accediese á estas indicaciones, y las Cortes ' escrito que remitía D. Francisco Espoz y Mina, capitán ge aprobaron este dictamen. neral de Navarra, en contestación al del ayuntamiento de Igualmente se aprobó el dictamen de las comisiones de ■Pamplona sobre lo ocurrido en aquella provincia con mo- Agricultura y Comercio acerca de-que se permita á la í…</t>
  </si>
  <si>
    <t>Al Gobierno se devolvió una solicitud de un cursante Se mandó pasar á la comisión de Premios una represen de leves sobre dispensa de años escolásticos. tación de D. Francisco Espoz y Mina, manifestando q»* Las Cortes quedaron enteradas de un oficio del Sr. se en la lista que tenia presentada de los beneméritos ciudadajcretario de Marina, manifestando haberse tomado las pro nos que le habian ayudado al restablecimiento de la 'Cons videncias nec…</t>
  </si>
  <si>
    <t>…amen de la comisión segunda de Legis sión hasta que se despachasen los expedientes de premios de lación , acerca de que se acceda á la solicitud de tres cursan las exposiciones de D. Francisco Espoz y Mina , y de los tes de leyes para que se les habilite como año de su carrera individuos que acompañaron al conde del Abbb.il, sobre los el que han empleado en estudiar el derecho natural y de servicios hechos por ambos egércitos en Navarra y la Man gentes privadam…</t>
  </si>
  <si>
    <t>Minad, Gmllélmo</t>
  </si>
  <si>
    <t>Gmllélmo Minad</t>
  </si>
  <si>
    <t>…iz. de Porras; en el^le la cindadela de la misma plaza al coronel D. Fermín Escaléra; en el deLéastillo díé Monjuich al coronel D. Josef Ortega , y enél- de la plaza de Gerona al -brigadier D. Gmllélmo Minad; -•&gt; t ■ Asimísmo ha confirmado S. M. -interinamente en el gobierno de la plaza de Alicante al brigadier D. Pablo Miranda, y en el de la ciudadela de Va lencia al teniente coronel D. Pedro Perez Bustamante. ; í En'oficio de 14 del corriente da parte él conde…</t>
  </si>
  <si>
    <t>Minguez, Ramón</t>
  </si>
  <si>
    <t>Ramón Minguez</t>
  </si>
  <si>
    <t>…acordadas el Gobierno , yo debo llamar la aten Solución al problema 7 3 de los publicados por el Go ción de V. S. á la actividad en el zelo de sus dependientes, bierno, y dada por D. Ramón Minguez. y al abuso que nuestras felices ocurrencias han introducido Solución de los mismos problemas, por D. Fermín de en la venta de cigarrillos por todas partes. Desde el mismo Mendialdua desde Orduña. dia que publicó la dirección general de la Hacienda nacio Solu…</t>
  </si>
  <si>
    <t>Ministro</t>
  </si>
  <si>
    <t>…, facilitándoles su pasage en los buques de Segovia sobre derogación de la ley que da preferen ae la armada nacional que puedan conducirlos.” cia en ios pastos á los ganaderos. El Sr. Ministro de la Gobernación de Ultramar pidió se A la de División del territorio español una exposición aclarase qué clase de auxilios debía prestar el Gobierno; del Gefe político de Galicia sobre erección de una nueva pues aunque este deseaba darles mucho mas de lo qu…</t>
  </si>
  <si>
    <t>Mirailes, Josef</t>
  </si>
  <si>
    <t>Josef Mirailes</t>
  </si>
  <si>
    <t>…s inminente es el peligro, cuanto go de lo que tenia informado acerca de la conducta pruden mas horrible fue el objeto que se propuso el crimen, mas te y circunspecta del cánonigo D. Josef Mirailes , uno de terrible debe ser el castigo de vuestros implacables enemigos: los 69 de la representación del aro de 1814, había variado cualquiera que sea su número, su rango, su poder, su dig aquella desde lo ocurrido con el obispo D. Simón López.nidad , debe alc…</t>
  </si>
  <si>
    <t>Miramon, Pedro</t>
  </si>
  <si>
    <t>Pedro Miramon</t>
  </si>
  <si>
    <t>…mismo considerarse como tal en su sentido propio , pues las dos partes no comparecen aquí en calidad Bilbao 4 de Julio. de particulares, sino solamente en calidad de públicas. La D. Pedro Miramon, del comercio de esta villa, acaba medida que se os propone se halla fundada én motivos de de abrir un almacén, completamente surtido 'de máquinas ínteres público; y asi se ha procurado evitar toda propuesta para emborrar, cardar, hilar y devanar lana de cual…</t>
  </si>
  <si>
    <t>Miranda, Francisco González</t>
  </si>
  <si>
    <t>Francisco González Miranda</t>
  </si>
  <si>
    <t>…el da en tas elecciones, son los que están en mora, y que recon Plasencia á D. Santiago Amatriain para el de Navalmoral venidos para pagar las deudas, no han pagado al tiempo de i D. Francisco González Miranda: para el de Trujillo á hacerse las elecciones. D.'Ventura Carballar: para el de Valencia de Alcántara i 4. a Si tiene voz activa y pasiva un menor de 2 , años D. Francisco Delgado y Ayala: para el de Villaniieva de. y mayor ¿e 21, que es subteniente de milici…</t>
  </si>
  <si>
    <t>Miranda, Juan Gonzakz</t>
  </si>
  <si>
    <t>Juan Gonzakz Miranda</t>
  </si>
  <si>
    <t>…ala: para el de Villaniieva de. y mayor ¿e 21, que es subteniente de milicias, con casa la Serena á D. Roque Naranjo : para el de Jerez de I s Ca-_. abierta y hacienda. balleros á D. Juan Gonzakz Miranda ;Zy’para el de Zafra á' Resolución. Que todo español, sea ó no militar, que D. Antonio Romero Prieto. te halle en el caso que expresa esta duda, y no tenga per Igualmente se ha servido nomb.rar en !a provincia dé la didos ó suspensos los derechos de ciudadano…</t>
  </si>
  <si>
    <t>Miranda, Pablo</t>
  </si>
  <si>
    <t>Pablo Miranda</t>
  </si>
  <si>
    <t>…onel D. Josef Ortega , y enél- de la plaza de Gerona al -brigadier D. Gmllélmo Minad; -•&gt; t ■ Asimísmo ha confirmado S. M. -interinamente en el gobierno de la plaza de Alicante al brigadier D. Pablo Miranda, y en el de la ciudadela de Va lencia al teniente coronel D. Pedro Perez Bustamante. ; í En'oficio de 14 del corriente da parte él conde de S. Román de qué todas lás • 'tropas que tenia| á 'sus ordenes habían jurado con Iá mayor alegría la Consti-. tildón de…</t>
  </si>
  <si>
    <t>Miranda, Sebastian de</t>
  </si>
  <si>
    <t>Sebastian de Miranda</t>
  </si>
  <si>
    <t>…dministrativo dd zados en defensa de la patria y sus familias, y si se ha egército: á la comisión especial de la liberad de imprenta cumplido y cumple con esta ley. un discurso de D. Sebastian de Miranda sobre la misma li Se leyeron tres proposiciones de otro señor diputado: bertad : á la de Guerra un plan de organización dd eg ;rcito, 1.* para que se recomiende al Rey la necesidad de que nin por D. Fernando Alcocer, sargento mayor de la columna gún empleo se…</t>
  </si>
  <si>
    <t>Mirza-AboulHassánrKhan</t>
  </si>
  <si>
    <t>…estaba empleado por el Gobierno británico en calidad de anti cuario para las excavaciones que se practican éO Egipto; ' . - v I^Rey ha recibido en audiencia particular al Excroo. Sr. Mirza-AboulHassánrKhan, embajador extraordinario de Peisia, La censura de los periódicos se hace*cn ios. departamentos con mucha mas severidad todavía que en está capital. - Idem *s&gt;, . Anuncian las últimas cartas de A lepo que habiéndose manifestado repen tinamente una. revolución…</t>
  </si>
  <si>
    <t>Mítrtinez</t>
  </si>
  <si>
    <t>…el Sr. Victorica para que en CORTES. el mismo día que con asilencia de los secretarios del Des pacho se abriese la discusión sobre ladrones , pedida por el Sesión del 12 de Julio. Sr. Mítrtinez de la Rosa; se tratase también de asegurar á Ja isla de Mallorca los arbitrios para sostener el cordou'qtic Se dio principio con la lectura y aprobación del acta ha de precaver á los pnehlos libres del contagio, á cuyo fin de la sesión anterior. se recomendas…</t>
  </si>
  <si>
    <t>Mncch’arc.i</t>
  </si>
  <si>
    <t>…micmos, yen parte para aten •'También se ha hendido parte de la fundición de los der á las necesidad-.- cíe’ H-rad*». Src. SoMage y llopfgarten ; pero nadie ha perecido por for El diputado Mncch’arc.i :o-n í la palabra, y se quejó de tuna. Dicen que el Gobierno ha manifestado el sumo dis la lenidad con que se aplicaban lo* principios constitucio gusto que le causa el modo de construir de los albañiles en nales, diciendo era Je temer quecou la* razones de p…</t>
  </si>
  <si>
    <t>Mnqcoso, Josef Martínez</t>
  </si>
  <si>
    <t>Josef Martínez Mnqcoso</t>
  </si>
  <si>
    <t>Por providencia del Sr. D. Josef Martínez Mnqcoso, juez letrado de primera ins tancia de. esta muy heroica villa, refrendada de su escribano del numero D. Jacinto? Graona y Loechés„se han mandado sacar á pública subasta por término de 30 dias¿: contados desde 13 del corriente., las tierras y fincas siguiente…</t>
  </si>
  <si>
    <t>Mns'one</t>
  </si>
  <si>
    <t>…al pa'o que se vayan pre curando. gimen adoptado. Se trató de'pnes de tma contribución re pterida por el Si extendemos la vista fuera de la Alemania , hallaremos comisionado civil Sr. Mns'one, decreta Ja por la junta pro casi por toda*- partes, ó preparándose, ú ocupándose los Go visional de Palermn, y cuya recaudación se había encalva biernos en la introducción ó consolidación de! sistema re do á dicho comisionado civil, con la faeulrad de hacer…</t>
  </si>
  <si>
    <t>Mo</t>
  </si>
  <si>
    <t>…tes procura só á la comisión de ¡Legislación. Habiéndose resentido los ron imitarlos. Al punto se pensó en una fiesta repentina, y Sres. Vargas Ponce, Ezpeleta y Palarea de que el Sr. Mo con efecto se ha verificado esta noche. reno Guerra hubiese dado el nombrq de partido á los aman Vitoria 11 de Julio. tes de la Constitución, ei Sr. presidente aclaró el modo con. Llegó al fin la noticia por que tanto anhelábamos; y es, que debían entenderse…</t>
  </si>
  <si>
    <t>…l Sr. Moreno Guerra , en que Se procedió á la discusión del dictamen de la comisión pidió se mudasen los troqueles de las monedas ; y de un de Legislación sobre la propo.icion del Sr. Mo en o Guerra, oficio del mini'tro de Hacienda obre lo mismo. F.l Sr. vi- para que se permitiese volver á España á los que emigraren ce-presidente reserv. 1 al Sr. presidente el señalamiento de dia con el gobierno intruso de Josef Mapoleen . sobre los cuales pa…</t>
  </si>
  <si>
    <t>…idas por una pacte de la necesidad que proponia el de los pobres infelices. secretario del Despacho, y por otra del estado del erario, El Sr. Sánchez Salvador apoyó el parecer del Sr. Mo sometía á la aprobación de las Cortes los artículos si reno Guerra , fundado en los muchos abusos de que habia guientes: ■ -•- :ri sido testigo, cometidos por los ayuntamientos en el ramo i.° «Las Cortes, conformándose con Iá propuesta del de puestos públicos…</t>
  </si>
  <si>
    <t>Mo, Díaz del</t>
  </si>
  <si>
    <t>Díaz del Mo</t>
  </si>
  <si>
    <t>…iculares, por lo que la Fueron aprobados todos estos artículos, y en seguida se comisión había declarado solamente que se hiciese en la leyeron las indicaciones siguientes; la del Sr. Díaz del Mo gaceta del Gobierno, por ser papel oficial. ral , reducida á que el número de jurados fuese 24 ; no se• Se preguntó si estaba suficientemente discutido ; y de admitió á discusión: otra del Sr. Díaz Morales, á saber: clarado que lo estaba, se pasó á la votació…</t>
  </si>
  <si>
    <t>Mo, Diaz del</t>
  </si>
  <si>
    <t>Diaz del Mo</t>
  </si>
  <si>
    <t>…os perjuicios Sr. Diaz del Moral, reducida á que el número de jurados fuese ue podrían’ cansar ah giro, y especialmente la imposibili- *4, no se admitid á discusión: léase una del Sr. Diaz del Mo ad de aceptar las letras extrañaras en papel separado, en ral , que decia: » Cuando la calificación de los jueces de hecho lo que convino el Sr. conde de Toreno, se mandaron vol haya sido contra el escrito, y en concepto del juez letrado es ver á la comisión…</t>
  </si>
  <si>
    <t>Mo, IX Ignacio de</t>
  </si>
  <si>
    <t>IX Ignacio de Mo</t>
  </si>
  <si>
    <t>…rte que le toca. Madrid í 6 de Junio de 1820.” ' 'k , , Por .Real resolución , á consulta de la extinguida Cámara de Castilla de 27 de Febrero de 1819, se dignó el Rey conceder al coronel IX Ignacio de Mo lina título de Castilla,, con la denominación de marques de Ballestar, para él» sus hijosty sucesores, en atención á la antigua notoria- nobleza dé su familia* y á sus distinguidos méritos y servicios:. . &lt; : , Por fallecimiento ds IX Juan Taían y Rgtz ha que…</t>
  </si>
  <si>
    <t>Mo, Joaquín Carrion y</t>
  </si>
  <si>
    <t>Joaquín Carrion y Mo</t>
  </si>
  <si>
    <t>…é igualmente las niñas; teniendo vido nombrar para magistrados de la audiencia de Madrid obligación de enseñar de balde á los pobres de solemnidad: se á D. Juan Arguelles Valdés, D. Joaquín Carrion y Mo proveerá dicha plaza el 24 del corrientereno, D. Manuel Estrada, D. Manuel Villafañe, D. Lo- Impugnación y observaciones al manifiesto que firmaron los •renzo Vilianueva, D. Juan Andrés Segó vía, D. Manuel 69 diputados de las Cortes ordinarias con fecha de 12…</t>
  </si>
  <si>
    <t>Mo, Josef Joaquín de</t>
  </si>
  <si>
    <t>Josef Joaquín de Mo</t>
  </si>
  <si>
    <t>…. Lasfarria para manifestar que cite á los ignorados, y que se hallen fuera de esta corte. ■ era mayor el número de comerciantes ricos que el de la Minerva nacional, publicada por D. Josef Joaquín de Mo bradores y artesanos, y asi no debemos privarnos del ma- ra : cuaderno tercero, que contiene los artículos siguientes. i.° ; nantia! de riquezas que nos ofrece la negociación. Al mismo De la legitimidad de las dinastías. 2.0 Mónita secreta de los ' tiempo rec…</t>
  </si>
  <si>
    <t>Mo, Juan María</t>
  </si>
  <si>
    <t>Juan María Mo</t>
  </si>
  <si>
    <t>A la Eclesiástica tina exposición de D. Juan María Mo pero que sin embargo re proponía por ahora la averiguaraleja, cura de S. Juan de Brihuega, sobre reforma del esta cion de quien fue el autor de la Consritucton secreta ¡•ul lído eclesiástico. cada en la época de las Cortes anteriores en los números A la de Ag…</t>
  </si>
  <si>
    <t>Mo, Roía</t>
  </si>
  <si>
    <t>Roía Mo</t>
  </si>
  <si>
    <t>…sionistas de la villa de prohíban las expediciones desde aquella ciudad a América. Ernani, con asistencia de las autoridades y de varios parti- A la de Infracciones t.n recurso de Doña Roía Mo, ri cuJare . ño sobre que se ponga en libertad á su marido D. N. ñameTodos los alumnos dieron en el examen pruebas nada va , preso en la ciuuadela de Valencia, y que se exija la equívocas de su aplicación y adelantamiento; pero lo que responsabilidad á quien…</t>
  </si>
  <si>
    <t>Mo, Segismundo</t>
  </si>
  <si>
    <t>Segismundo Mo</t>
  </si>
  <si>
    <t>…a no contestados............... 6&gt; mandado citar, llamar y emplazar, como por el presente se Id. de matrimonios no conformes é injurias I1 cita, llama y emplaza á D. Josef Crozat, D. Segismundo Mo 23J rro, IX Juan Bautista Codevilla, D. Miguel Alvarez y Don Carlos Dcflbntanes , tenedores que han sido de un vale real de Total. 266 300 pesos, creación de Setiembre de 1809, número 30,024, que salió renovado en cabeza de Fr. Patricio de la Cruz: asimis mo…</t>
  </si>
  <si>
    <t>Moicoso</t>
  </si>
  <si>
    <t>…comisión de Hacienda opina que el punto bricación y otros particulares; habiendo hablado en favor es puramente constitucional, y que no puede hacer alre-á de la representación el Sr. Moicoso , A petición suya se racion por esta parte, tanto menos cuanto A que quedará mandó pasar con urgencia á las comisiones de Industria y atendido en el artículo siguiente. especial de Hacienda. 2.0 ,, Por los tratados matrimoniales de S. M. y de A la de Instrucc…</t>
  </si>
  <si>
    <t>Moldlos</t>
  </si>
  <si>
    <t>…í imp'rimir estos documentos, que no es respetuosos obsequios. Palacio dé! Gobierno 18 de -Setiem otro que vplver.por la- opinión del Rey, de las Cortes, y de Ja bre-de [820. = El barón Moldlos, secretario del Gobierno.” Nación misma, en cuya mengua redundaron aquellas oscuras Igual oficio dirigió también á" los encargados de nego maquinaciones. Dánse á luz con el título siguiente: Represen cios de branda,.Inglaterra, Rusia, Austria, Prusia, .Paí ta…</t>
  </si>
  <si>
    <t>Moli, Juan</t>
  </si>
  <si>
    <t>Juan Moli</t>
  </si>
  <si>
    <t>…inendentes en las de jos de Di'Bernabé Garcítf de Lara, en i t, s6 rs. Géfes políticos J estando.en sus provincias ; más si se halla- &lt; TJn pedazo de olivar de ta cape1 la r ía de D. Juan Moli red en la corte . fajas del secretario del Despacho de Ha- na; ah pago de casUlas Je Velasco, compuesto de 733 oli cienda :jos contadores y tesoreros de provincia eti maños vos; algunas higueras y caserón- de teja, linde con otros de de jos intendentes.« hall…</t>
  </si>
  <si>
    <t>Moli, Sancho de Llamas y</t>
  </si>
  <si>
    <t>Sancho de Llamas y Moli</t>
  </si>
  <si>
    <t>…etado lo siguiente.: «Las Cor del Rey D. Alonso, el Sabio que publicó la academia de la tes , usando de la facultad que se les concede por la Cons Historia en el año de 1807 : por D. Sancho de Llamas y Moli titución , ,han venido en nombrar para la tercera plaza de na , colegial del Mayor de S. Ildefonso, universidad de Alcalá, y doctor en ambos derechos de la misma &amp;c. Obra erudita y muyindividuo de, la junta nacional del Crédito público, que se hajla, vgeante…</t>
  </si>
  <si>
    <t>Molina, Joséf Pió de</t>
  </si>
  <si>
    <t>Joséf Pió de Molina</t>
  </si>
  <si>
    <t>…ho de Estado y de Hacienda. Al marques de las Amarillas.” ¡Estado clasificado de los inicios de conciliación celebra El Sr. Secretario del Despacho de Hacienda ha comu dos ante el Sr. D. Joséf Pió de Molina, alcalde cons nicado á los Sres. directores de la Hacienda pública la Real titucional de esta muy heroica villa , en el mes de Ju orden siguiente: nio próximo pasado. _ ,,Habiendo dado lugar á equivocaciones de tnt'cendencía la orden que én 8 ele Febrero próx…</t>
  </si>
  <si>
    <t>Molina, Josef Pió de</t>
  </si>
  <si>
    <t>Josef Pió de Molina</t>
  </si>
  <si>
    <t>…empleos ni á grandes empleados, y asi que apoya Estado clasificado de los juicios de conciliación celebra ba el dictamen de la mayoría de las comisiones: que pres dos ante el Sr, D. Josef Pió de Molina , alcalde constitucio cindía de si la ordenanza está en contradicción con la.Cons- nal de esta M. H. villa en el mes de Julio próximo pasado. titucion, y si prohíbe hablar, y aun si se quiere, escribir á Conciliaciones verificadas á satisfacción recíproca los…</t>
  </si>
  <si>
    <t>Molina, Josef Pío de</t>
  </si>
  <si>
    <t>Josef Pío de Molina</t>
  </si>
  <si>
    <t>…icado de los juicios de conciliación celebra tria y comercio. Se Hace ver que de tiempo antiguo han recla mado los procuradores de las Corles de la Nación estos perjui"dos ante el Sr. D. Josef Pío de Molina, alcalde constitu cios ; y que los Reyes mismos, convencidos de ellos. han que-cional de esta M. H. villa en el mes de Agosto próximo ri do en diferentes ocasiones contenerlos con providencias quepasado. hasta ahora se han eludido, y con excitaciones al Conse…</t>
  </si>
  <si>
    <t>…aución ó fianza; sin que este procedimiento le cause perjuicio ni menoscabo en su buen nombre y repu Estado clasificado de los juicios de conciliación celebra tación.” dos ante el Sr. D. Josef Pió de Molina, alcalde constitu A petición del Sr. San Miguel, y conformándose su au cional de esta M. H. villa en el mes de Setiembre próximo tor, se mandó pasar á la comisión Ja indicación siguiente pasado. del Sr. Díaz del Moral: «Los jueces de hecho solo serán Concilia…</t>
  </si>
  <si>
    <t>…encionadas obligaciones1, y año y medio mas, es decir, medio año antes de concluirse los dos años de Estado clasificado de los juicios de conciliación celebra vacante. dos ante el Sr. D. Josef Pió de Molina , alcalde comrhu4.'’ «Que en los títulos se exprese el día en que fenecen, ciona! de esta M. H. villa en el mes de Octubre próximo imponiendo al provisto ia obligación de tomar en el mis pasado. mo la posesión , continuando en el disfrute de las rentas de Con…</t>
  </si>
  <si>
    <t>…varones, y son en número suficiente para la instrucción de las clases inferiores y superiores de la Estado clasificado de los juicios de conciliación celebra sociedad. dos ante el Sr. D. Josef Pió de Molina , alcalde constitu El Rey expidió en 7.9 de Noviembre de 1817 un decre cional de esta M. Id. villa en el mes de Noviembre próximo to, que contiene disposiciones muy prudentes sobre la pro pasado. porción de las e cuelas públicas con la población y los Concili…</t>
  </si>
  <si>
    <t>Molina, Juan</t>
  </si>
  <si>
    <t>Juan Molina</t>
  </si>
  <si>
    <t>…acko. cusión ; y otra de que igualmente la comhion segunda de Otro idem al pago de las Alamedas, término idem. legislación conclnya hoy su dictamen para tratar en el Idem idem por D. Juan Molina. Congreso de que sean juzgados prontamente todos los que Otro idem de 124 pies del Cerro del Porrillo, término tuvieron una parre muy directa en aconsejar al Rey la di idem. solución del pacto social. Estas dos indicaciones no se ad Idem idem por D- Antonio C…</t>
  </si>
  <si>
    <t>Molosa, Juan de</t>
  </si>
  <si>
    <t>Juan de Molosa</t>
  </si>
  <si>
    <t>…5 pies al pago de Peñasrubias, término hacían peligrosas. Que no habia podido desentenderse de de Montoro. «segurarse de un periodista, que probablemente sin ninguna Idem idem por D. Juan de Molosa. autoridad había anunciado que el dia 7 Itabria un eclip e de - Otro olivar de 750 pies al pago de Casillas de Velasto, diferentes clases. Que también habian aparecido algunos pas término de dicha villa. quines de naturaleza alarmante; masque el Gobierno no d…</t>
  </si>
  <si>
    <t>Monden, Luis de</t>
  </si>
  <si>
    <t>Luis de Monden</t>
  </si>
  <si>
    <t>…iso para insertar el articuló que 'acómpáñó‘ eii el Diario y * eh el mismo Constitucional para dejar á cubiertó sii'éxpolsicion: Habténdo !comparecido D. Juan Saícédp, asociado de D. Luis de Monden igiial con cepto de hómbré buena, manifestó rectificarse én lo expuesto fen dicho artículo Comunicado, puesto que no habiendo sido 'testigo ni declarante en ninguna dedas causas seguidas á los diputados, V.'pbf !o rhismo siendo él el ofendido, ■t- .V , . . t…</t>
  </si>
  <si>
    <t>Moneó, Francisco</t>
  </si>
  <si>
    <t>Francisco Moneó</t>
  </si>
  <si>
    <t>…presente se cita, llama y emplaza á todas y cualesquie ra personas que puedan tener derecho á los bienes que ha deja dulces procedentes del extranjero; exceptuándose por ahora do D. Francisco Moneó, vecino que fue de Badajoz, y residente de esta prohibición e! bacalar* y el vino . que pagar, n .1 su i su fallecimiento en esta corte, natural de Arbas, obispado de entrada riel esr’rangero e! derecho molino de ;o por too." Oviedo, é igualmente á cualquiera…</t>
  </si>
  <si>
    <t>Monge, Manuel Rodríguez</t>
  </si>
  <si>
    <t>Manuel Rodríguez Monge</t>
  </si>
  <si>
    <t>…ongregación de naturales y hacendados de la provincia de la Mancha el dia 18 de Setiembre de 1819, en la iglesia de $. Felipe el Real de esta corte., predicó su congregante el Dr. D. Manuel Rodríguez Monge, capellán de honor de S. M- en la Real capilla dé Sres. Reyes Nuevos de Toledo, examinador sinodal de este ¡arzobispado, teólogo de cámari, consultor del Emo. Sr. Cardenal arzobispo de dicha ciudad; dedicado por la misma real congregación al Rey nuestro Señor…</t>
  </si>
  <si>
    <t>Monguia, Tomas de</t>
  </si>
  <si>
    <t>Tomas de Monguia</t>
  </si>
  <si>
    <t>…masó menos LITERATURA. de instrucción, llamada Doña Manuela de Ventades, hija única de D. Pedro de Vcntades, abogado, natural de la villa Estado de las islas Filipinas en 1810 por D. Tomas de Monguia, en esta provincia; contestó de palabra y por Comin. escrito á multitud de preguntas que se la hicieron por el maestro y varios concurrentes sobre los artículos de fe, otros ' Esta obra , trabajada con el mayor esmero, ofrece á los varios puntos del catecismo…</t>
  </si>
  <si>
    <t>Monroy, Josef</t>
  </si>
  <si>
    <t>Josef Monroy</t>
  </si>
  <si>
    <t>…os, ó extractos de los sugetos que no hayan pretendido Zino, 320. El capitán del puerto D. Guillermo Swetland, la ración, por término de 15 dias. lóo. D. Juan María Bucbetti, 320. D. Josef Monroy , 80. D. Eduardo Escarnichia, 320. D. Amonio Ferrari, 160. El bergantín goleta Encantadora, correo de la armada D. Pablo Larios, 3 20. D. Juan y D. Guillermo Douguid, 80. nacional, que salió de Cádiz el i.° de Marzo último para D. Pedro Trouguet, 40. D. Sever…</t>
  </si>
  <si>
    <t>Monroy, Luis Lujan y</t>
  </si>
  <si>
    <t>Luis Lujan y Monroy</t>
  </si>
  <si>
    <t>…Gefe políun tributo de gratitud y admiración hácia vosotros. Mi úl-. tico^dc Toledodando parte de que el diputado que fue timo su~piro será para Dios; el penúltimo para vosotros, D. Luis Lujan y Monroy se habia ausentado del convento para el Rey , para la patria. = El presidente del consejo de. en que estaba detenido á tomar los baños , y que habia da Seguridad pública 3= Pascual Borrelli.” do las oportunas providencias para que no se verificase esto segund…</t>
  </si>
  <si>
    <t>Monroya</t>
  </si>
  <si>
    <t>…uímica y la mineralogía por ser ambas interesantes en din botánico,-y un terreno destinado para la agricultura España, y tener muchas relaciones una con otra. práctica.” • - ., El Sr. Monroya opinó que no debía reunirse la enseñan El art. 2&lt;¡ decía: . za de la mineralogía con la de ninguno de los otros dos ra 25. «Estos varios establecimientos se ceñirán á objetos mos de historia natural, fundándose en la preferencia que de utilidad común , atendi…</t>
  </si>
  <si>
    <t>Montaig</t>
  </si>
  <si>
    <t>…nores empleados en la navegación interior. Ademas se han hecho pedidos de mucha consideración á nuestras fábricas. Idem jo. , Escriben de Portsmouth que había salido de Londres el capitán Montaig ne, que, manda el buque de S. M. el Faetonte, y se dice que va al Mediter ráneo eif busca de la Reina para-conducirla á Inglaterra. , Idem 14. . , Esta mañana hemos recibido gacetas de Madras de fecha de 8 de ,Octubre último, y por ellas la triste noticia del…</t>
  </si>
  <si>
    <t>Montano, Antonio Machado y</t>
  </si>
  <si>
    <t>Antonio Machado y Montano</t>
  </si>
  <si>
    <t>…mo también todo lo correspondiente á las remas de á D. Carlos Jacinto ‘ de Cea y Aballé : para el de Herrera la Hacienda nacional y Crédito público; y que los deudo de la Serena á D. Antonio Machado y Montano: para el res, que han de estar suspensos ae los derechos de ciudada de Lleréna á D. Carlos Angulo ‘y Urdaivas: para el de nos , y que no pueden ni deben tener voz activa ni pasiva Monianches A D. Anselmo León y Barradas: para el da en tas elecciones, son los…</t>
  </si>
  <si>
    <t>Monte, N. del</t>
  </si>
  <si>
    <t>N. del Monte</t>
  </si>
  <si>
    <t>…ue de VV^Hington en-un coche tirado por Se mandó pasar al Gobierno con recomendación una cuatro caballos. Estaynqñána ha corrido la voz de que S. E. representación de la viudal de D. N. del Monte, diputado se dirige h.ícia el continente. ¿Cuál sérá/el objeto de su de las Cortes extraordinarias, que pedia se premiaran los vlage í El tiempo lo dirá. méritos de este en su hija. Se pasó á la comisión ordinaria de Hacienda un oficio FKAftCIA. del ministro…</t>
  </si>
  <si>
    <t>Monteiro, Luis</t>
  </si>
  <si>
    <t>Luis Monteiro</t>
  </si>
  <si>
    <t>…z el i.° de Marzo último para D. Pedro Trouguet, 40. D. Severino Saracho, 40. D. Juan Ultramar, ha entrado de regreso en el citado puerto el dia Giró, 8o. D. Agustín Lagrave, 160. D. Luis Monteiro, 80. 6 de este mes, conduciendo Correspondencias de oficio y D. Antonio Breciano,8o. D. Bartolomé Scotto, 2®. Don pública de Filipinas, Nueva-España, Ha vana y Puerto-Rico. Josef Comitre, 1®. D. Manuel Caballero, 2200. D. Ma nuel de los Ríos, 80. D. Josef Pla…</t>
  </si>
  <si>
    <t>Montenegro, Feliciano</t>
  </si>
  <si>
    <t>Feliciano Montenegro</t>
  </si>
  <si>
    <t>…o: de línea en la sesión de 25 de Agosto, remitia un proyecto «El gobernador interino de la plaza de Maracaíbo tenien de decreto sobre alojamientos y bagages, anunciando al mis te coronel D. Feliciano Montenegro me dice con fecha i.9 mo tiempo que tenia otros trabajos adelantados bajo un plan del actual lo siguiente: uniforme para presentarlos prontamente á las Cortes. «Excmo. Sr.: En virtud de las prevenciones'que tenia A la primera de Legislación una exposición de'…</t>
  </si>
  <si>
    <t>Montengon, Pedro</t>
  </si>
  <si>
    <t>Pedro Montengon</t>
  </si>
  <si>
    <t>…Real diña ría. La voz de los fervorosos votos en favor de Ensebio y la pérdida de España reparada por el Rey nuestra independencia jamas hizo callar la del obsequio pa Pe layo, de D. Pedro Montengon: se vende ya también ra con el augusto Soberano, sino que ambas unidas forma aquí la Constitución española en italiano, y varias observa ban la expre ion del voto general. Asi pues los elogios que ciones á la Constitución española, con otros muchos im V. A. s…</t>
  </si>
  <si>
    <t>Montero, Bartolomé Romero y</t>
  </si>
  <si>
    <t>Bartolomé Romero y Montero</t>
  </si>
  <si>
    <t>…tar con este motivo su constante desveló villa de Ubrique libre y ésparciendo ideas conrrarias al ac- ■ por la felicidad de sus compatriotas , y la predilección con tuai - sistema D. Bartolomé Romero y Montero, uno de los que mira á la clase pobre y honrada. Acordó, pues vestir á 69 llamados persas. .■ 12 ancianos, 12 jóvenes solteras Ó viudas desde 16 á 40 El Sr. Romero Alpuente pidió que pasara á la comisión años, y 12 niños ó niñas desde 8 á 16. La suerte fijó l…</t>
  </si>
  <si>
    <t>Móntésí, IX Félipe</t>
  </si>
  <si>
    <t>IX Félipe Móntésí</t>
  </si>
  <si>
    <t>…dera de Marina hicieron después un cuadro,,en que se hallaban ló$ generales, gefes y oficiales destinados en esta plaza;,j se leyó la Constitución por el gefe de la plana mayor el brigadier IX Félipe Móntésí En seguida vol vieron los cuerpos á su línea de batalla, dejando las banderas con sus corres pondientes escoltas en el mismo punto en que se hallaba el cúadro, y á pre sencia de estas insignias recibió el referido capitán ^géftérál él juramento que previene la.m…</t>
  </si>
  <si>
    <t>Montesinos, Hipólito Nufiez</t>
  </si>
  <si>
    <t>Hipólito Nufiez Montesinos</t>
  </si>
  <si>
    <t>…euda consolidada, se aplicará por medio de un La comisión de Infracciones pre'entó su dictamen so sorteo ó lotería á la extinción del número de inscripciones bre la queja dada por D. Hipólito Nufiez Montesinos , al y vales consolidados que quepan en la cantidad sobrante, calde de Hellin, contra D. Tomas O-Donojú, gefe políti entrando todos en suene. 2.° Los edificios y fincas nacio co de Murcia, D. Francisco Sánchez Ferrer, juez interino nales que no ofrezcan cómod…</t>
  </si>
  <si>
    <t>Montesoro, Joaquín</t>
  </si>
  <si>
    <t>Joaquín Montesoro</t>
  </si>
  <si>
    <t>…gón; á D. Josef Somoza de la de Avila; al brigadier D. Josef del Castellar de la de Cataluña; á D. Pedro Lainez de la de Córdoba; al brigadier D. Ra món Losada de la de Galicia; á D. Joaquín Montesoro de la de Guadalajara; al brigadier D. Francisco de Paula Osorio de la de la Mancha; al mar ques del Villar de la de Murcia; al teniente general D. Juan O-Donojú de la de Sevilla; á D. Luis Castillo Barrantes de la de Toledo; al brigadier conde de Almodovar de…</t>
  </si>
  <si>
    <t>Montí, Manuel</t>
  </si>
  <si>
    <t>Manuel Montí</t>
  </si>
  <si>
    <t>…la con fecha de 17 del corriente me dice ió formadas por lo respectivo á la primera; á las de Legislación que sigue: y Agricultura, reunidas las proposiciones del diputado Pele- ,,D. Manuel Montí, coronel graduado de inflorería, y grin , relativas di fomento de ganadería trashumante; y á corregidor político nombrado para la ciudad de C írdoba, las de Legislación y Hacienda Otro expediente sobre que acudió ai Reí manifestando haber-quedado exring ido e…</t>
  </si>
  <si>
    <t>Montice-</t>
  </si>
  <si>
    <t>…ó á lo menos prematuras. Na residió en 1818 con el mismo carácter. S. E. ha enviado, es .menos cierto, sin embargo, que las últimas han tenido en su nombre y en el de su amigo el caballero Montice- una benéfica influencia sobre los fondos públicos, lo que 111 al Principe Oscar, como canciller de la universidad de prueba el grado de confianza que se debe tener de ver con Upsal, una colección de minerales cógidós en el Vesubio, solidarse la paz en un mome…</t>
  </si>
  <si>
    <t>Montiglio</t>
  </si>
  <si>
    <t>…las DofSicilias. La gaceta del, Piamonte ha publicado un decreto de S. M. el Rey de Cerdena, mandando formar una junta consultiva de legislación, compuesta del abogado Gloria, del caballero Montiglio y del conde Ceresa,ia cual debe tra tar sin interrupción de presentar JaS mejoras que puedan hacerse en la legisla ción de aquel país. En el decreto delBLéylseda por motivo de esta resolución las grandes mudanzas que han ocurrido en el orden político de 50 añ…</t>
  </si>
  <si>
    <t>Montilla, Josef Garrido y</t>
  </si>
  <si>
    <t>Josef Garrido y Montilla</t>
  </si>
  <si>
    <t>…andó pasar labra Mr. Brougham, habló en estos términos: al Gobierno: con recomendación una exposición dd canóni «Si yo puedo probar, dijo, que varios agentes í"Wter- go de Córdoba D. Josef Garrido y Montilla, pidiendo que nos han ofrecido premios á los testigos que viniesen á decla se le diese una media anualidad dé los fondos destinados al rar contra la Reina, con tal que.dijesen esta ó la otra cosa; colegio,de la Victoria de la misma ciudad, para atender á si p…</t>
  </si>
  <si>
    <t>Montis, Guillermo</t>
  </si>
  <si>
    <t>Guillermo Montis</t>
  </si>
  <si>
    <t>…conde de ViJlafuertes de la de Guipúzcoa; al brigadier D.. Manuel Jáureguí de la de Grana da; á D. Josef Manuel Vadillo de la de Jaén; á D. Andrés Crespo CantoIIa de la de León; á D. Guillermo Montis de la de las islas Baleares; á D. Mi guel Escudero de la de Navarra; á D. Bernardo de. los Ríos de la de Palen— cía; á D. Francisco'Cantero de la de Salaipanca; á D. Josef Qúeipo de la de Segovia ; á D. Josef María Puente de la de Soria; á D. Antonio Leonardo…</t>
  </si>
  <si>
    <t>Montoro, Antonio</t>
  </si>
  <si>
    <t>Antonio Montoro</t>
  </si>
  <si>
    <t>…iña de la mejor calidad. Felipe Scudieri, por el capitán Patti, del regimiento Re de Resulta pues que la población de Taris, que viene á ser artillería, por el comisario de guerra D. Antonio Montoro, la cuadragésima parte de la del reino, consume anualmente por el teniente D. Salvador Marra, secretario de la plaza los - productos de una décimaquinta parte del territorio de Metí na: agradecimiento y loor á la vigilancia y zelo de francés; de forma que tre…</t>
  </si>
  <si>
    <t>Montoy</t>
  </si>
  <si>
    <t>…diendo asi su fuero, y yesen los tres grados, y en los 21 y 22 las penas corres pidió que volviese á la comisión á fin de reformarlo; pero pondientes; tampoco se admitió: otra del Sr. Montoy» el Sr. Ce puro se opuso, diciendo todo lo contrario que el para que se estableciesen juntas subalternas de protección Sr. Zapata, y juzgando que ningún artículo estaba puesto en todas las capitales de provincias de Ultramar; y la del con mas tino y prudencia…</t>
  </si>
  <si>
    <t>Montoya</t>
  </si>
  <si>
    <t>…z de la Rosa, tados en Cádiz con 300 ducados, y con 200 en los partidos, Arrieta y Pcñafiel. que es lo que propone la diputación para los que denomina Se leyó otra proposición del Sr. Montoya para que se ordinarios, sustituyendo los que hubiese hasta su reducción; nombre una comisión especial que informe al Gongreso. entendiéndose el número de alcaides de las cárceles igual al acerca de los puntos que abraza la memoria del ministro de de estas, co…</t>
  </si>
  <si>
    <t>…criado de sir Williams Gell; que jamas le ha guiente adición á la proposición del Sr. Martínez de la Ro- bía dicho que Ompteda se hubiese querido apoderar de las w , puesta por el Sr. Montoya •• «Que no obste la calidad llaves de la Princesa para hacer otras falsas , ni que le hubie de diputados para obtener el despacho de propietario en las ra muerto como á un perro si se lo hubiera mandado la Princesa; por último, que nunca habia hablado de Ompt…</t>
  </si>
  <si>
    <t>…ue la adición parecía mas servicio ordinario enagena- bien dirigirse á un artículo de la Constitución que á la adi dos....................................... 224.507,286. ción del Sr. Montoya; por lo que opinaba no debia apro 5.023,036. Recompensas de oficios ena- barse. genados............................... 250.000,00c. El Sr. Ramos Arispe expuso que el autor no debia li 937,500. Dote del Infante D. Pedro... 30.000,000. mitarse á los diputados d…</t>
  </si>
  <si>
    <t>…recordó que el Congreso habia decidi cía asi: do ya este punto en la resolución que habia recaído sobre 22.. »Se aplican igualmente al pago de intereses de la la indicación que el Sr. Montoya presentó en la sesión del deuda consolidada los productos de las dispensas matrimo 30 del pasado Octubre, lo que se confirmaba rnas con ha niales, y otras que se otorgan en Roma desde el momento ber retirado el Sr. Silves la que hizo en la misma sesión. que s…</t>
  </si>
  <si>
    <t>Montoya, Francisco</t>
  </si>
  <si>
    <t>Francisco Montoya</t>
  </si>
  <si>
    <t>…ero metálico, y para el remate de todas estas fincas está señalado el lunes 28 del cor riente, á las r 2 de su mañana, en la escribanía de provincia que despacha por habi litación D. Francisco Montoya. Se halla vacante la cátedra de latinidad de la villa de Roa, en el obispado de Osma , tiene de dotación 2 50 ducados anuales sobre los propios de dicha villa asig nados por el supremo Consej ; 2 5 fanegas y media de trigo que percibe de las cillas del arcipr…</t>
  </si>
  <si>
    <t>Montoya, Juan Josef</t>
  </si>
  <si>
    <t>Juan Josef Montoya</t>
  </si>
  <si>
    <t>…servido, conceder á esté interesado tos referidos nono^ res para la conservación ,de su buena opinión y fama. &gt; v El Rey nuéstro Señor se ha servido conceder sii ReaiÍ( permiso á D. Juan Josef Montoya, capitán retirado ; y jurado de la ciúdaa de Alcaraz, para que pueda usar de la condecoración de la flor de Lis con que de ha agraciado &amp;AL^ristiahísimá; , ■ - &gt;Asim?smé se hadi^nadó $/M. conceder igual permiso á D- "Pedro Tiburcio Gutiérrez para usar de igua…</t>
  </si>
  <si>
    <t>Montoyaque</t>
  </si>
  <si>
    <t>…;e difiriese"ía discusión por Se aprobó, después de haberla apoyado el Sr. conde de algunos diaspara evitar algún desacierto en la resolución. Toreno, la siguien e indicación del Sr. Montoyaque se im EISr. Moreno Guerra fue de parecer de que se discutie prima el dictamen de la comisión con el adjunto extracto ra inmediatamente, y luego se imprimiera. en un apéndice al Diario de Corte ." El Sr. Toreno manifestó que el Congreso no tenia que Se leyó de…</t>
  </si>
  <si>
    <t>Montufar, Joaquín</t>
  </si>
  <si>
    <t>Joaquín Montufar</t>
  </si>
  <si>
    <t>…a de Cuba. ciendo por último presente que á pesar del tiempo tras A la especial de Hacienda un expediente promovido por currido desde la instalación de las Cortes, no se habia aun D. Joaquín Montufar, teniente de Reales Guardias de in verificado la propuesta. fantería , para que :e le continúe una pensión que disfrutaba. Hizo presente el Sr. Vitorica que en las circun-tancias A la comisión especial de Ultramar, que se acordó nom extraordinarias en que se…</t>
  </si>
  <si>
    <t>Moore</t>
  </si>
  <si>
    <t>…ducida al castellano por el Congreso ide.Viepá. Continuaba en el- puerto de Nápoles it. P. Mrro. Fr. N. Alvarado, la cual parece corre impre- la escuadra inglesa á las órdenes del almirante Moore; y sa; y habiendo tomado conocimiento en este asunto el se habían llegado al mismo puerto dbs fragatas francesas. Se ha ñor vicario eclesiástico de esta heroica villa, ha acordado, bían propagado -minores de que él Austria pensaba en Facer conforme á la instr…</t>
  </si>
  <si>
    <t>Moore, Sir E.</t>
  </si>
  <si>
    <t>Sir E. Moore</t>
  </si>
  <si>
    <t>…uien podrá modificar Jas le tro plenipotenciario de S. M. Británica, ha presentado hoy yes, si el bien público lo exigiere, hasta la época en que se á S. M. al lord Colchester, al almirante Sir E. Moore, co convoque el Parlamento. mandante de la escuadra inglesa del Mediterráneo, y á va 8.° ,,Se restablecerán las armas y las efigies del Rey. rios oficiales ingleses de marina. 9.0 ,, Se echará un velo sobre lo pasado, aun con res pecto á los ayuntamientos y á…</t>
  </si>
  <si>
    <t>Mora, Diaz del</t>
  </si>
  <si>
    <t>Diaz del Mora</t>
  </si>
  <si>
    <t>…l ayunta que la ilustración se difunda mas. y que se extienda igual miento. mente ia moralidad entre los ciudaaados. A ¡a comisión de Agricultura una exposición de la di Apoyeí el Sr. Diaz del Mora: la necesidad de admitir á putación provincial de Toledo sobre extinción del derecho discusión esta propuesta, recordando la' ventajas que hati de dozavo, y demás que pagan los habitantes; y que se encontrado en ello las demas naciones libres, y los bienes no…</t>
  </si>
  <si>
    <t>Mora, Josef Joaquín de</t>
  </si>
  <si>
    <t>Josef Joaquín de Mora</t>
  </si>
  <si>
    <t>…rimestre, según se. anunció en «1 prospecto circu lado en n del pásadb&lt; se advierte .que este periódico no tiene ía menor relación cañ e! que cón igüal título parece va á publicar D. Josef Joaquín de Mora. Los editores de la Ley han dispuesto qué las suscripciones ,á este periódico, que e^ban .abiertas en e&amp;ta corte en casa da Collado, se, reciban de ahora eñ adelante en 1^, librería ,de, Minutria, calle de, T,oledo, al mismo precio de 20 rs por trimestre; anu…</t>
  </si>
  <si>
    <t>…lla plaza. no son como los de los particulares, pues la propiedad de A la comisión de Infracciones una representación de los de estos precede á la ley, mientras que la ley precede D. Josef Joaquín de Mora, editor del periódico titulado el á la de los primeros, ó lo que es lo mismo', no tienen las Constitucional, quejándose del juez de primera instancia comunidades mas propiedad que la que les da la ley; ‘éigual Moscoso. mente que siendo el monge un hombre que…</t>
  </si>
  <si>
    <t>Morague</t>
  </si>
  <si>
    <t>…s terceras partes del tercio ( de la contribu Se nombró para la comisión de Legidacion, en lugar ción general), que se vencerá en fin del actual, se Ies exi del Sr. presidente, al Sr. Morague;; para la de Poderes, en ma ¿el pago de la otra tercera parte ; y lo mismo se en lugar del mismo, al Sr. Huerta; para la de Hacienda, en tenderá con los que tengan pagadas en 10 de Enero las dos lugar del Sr. Codes, al Sr. Azaola, y para la Diplomática, terce…</t>
  </si>
  <si>
    <t>Moragues</t>
  </si>
  <si>
    <t>…fección de los las Cortes con justicia, debian abolirlos, y en que no se de pueblos de Mallorca. bía tomar una medida parcial ; pues seria muy extraño per En vista de esto hizo el Sr. Moragues la siguiente indi der la ocasión oportuna de curar radicalmente los males. cación, que se mandó pasar á ¡a comisión Eclesiástica: «Que ü¡ Sr. Lasanta, después de elogiar ei artículo como es!el Gobierno, siendo ciertos los datos expuestos, dé las ór .taba prop…</t>
  </si>
  <si>
    <t>…l consejo de Estado no eran puestos por las circunstancias extraordinarias, las mismas propietarios, tino interinos. que obligaban en las disposiciones y providencias á separar El Sr. Moragues opinó que debía adoptarse la opinión se algún tanto del texto de la ley. Conceptuó hallarse opues qjie presentaba la mayoría de la comisión. to al artículo 239 de la Constitución el medio conciliatorio Él Sr. Zapata consideró el asunso dividido en tres cues i…</t>
  </si>
  <si>
    <t>Moraguts</t>
  </si>
  <si>
    <t>…orales se mandó dejar so sii'tica acerca uc una representación de la dipu.ación pro bre la mesa, señalando la sesión de mañana para su discu vincial de Mallorca, presentada por et Sr. Moraguts, para sión, el expediente de división de partidos de la provincia de cue los bienes de un monasterio llamado de Jesús Nazare Murcia. no de aq isla adjudiquen A los gastos de expurgo El Sr. San Miguel, individuo de la comisión primera de de los pueblos epidemi…</t>
  </si>
  <si>
    <t>Moral</t>
  </si>
  <si>
    <t>…articular agrado el oficio del El Sr. Gutiérrez Acuña manifestó que la comisión de Sr. secretario de la Gobernación de la Península , en que, Premios opinaba lo mismo que pedia el Sr. Moral, por lo con referencia al del de Marina de 30 del corriente en el Es ue se acordó pasase la solicitud al Gobierno con recomen- corial , noticiaba que SS. MM. y AA. seguian disfrutando acíon eficaz. completa salud. A la comisión de Instrucción pública se pasar…</t>
  </si>
  <si>
    <t>…aqos de servicio, con la mitad á los 20 , con dos Premios no tenia inconveniente en que se hiciese lo pro tercios á los 25, y con el-total á los, 30, opinaba que de puesto por el Sr. Moral. bia adoptarse desde luego. &lt;- ■ El Sr. Silves expuso , que siendo el capital necesario muy ; La comisión de Milicias .-.nacionales , á consecuencia de considerable, no se oponía á lo propuesto por ei Sr. Moral-, un oficio Tcmitido por el ministro de la Gober…</t>
  </si>
  <si>
    <t>Moral, Antonio Diaz del</t>
  </si>
  <si>
    <t>Antonio Diaz del Moral</t>
  </si>
  <si>
    <t>…ef Ma se exceptúen los maestros de latinidad que enseñan en es nuel Vadillo , que lo es por ¡a de Cádiz, y para secretario cuelas públicas aprobadasla indicación del Sr. Moreno el Sr. D. Antonio Diaz del Moral, diputado por la provin Guerra «que á los exceptuados que quieran ofrecerse volun cia de Granada , quien pone A continuación su firma para tariamente se los admita al honroso servicio de la milicia que sea reconocida.” nacionaly esta otra adición del Sr. Cepe…</t>
  </si>
  <si>
    <t>Moral, Diaz del</t>
  </si>
  <si>
    <t>Diaz del Moral</t>
  </si>
  <si>
    <t>…ey y de cada uno de gido por 86 el Sr. Gíraldo. Resultaron electos en primer es nosotros, sí se observa religiosamente." crutinio el Sr. Vadillo para více-presidente por 97 , y el Sr. Diaz del Moral por 103 para secretario; saliendo de es G razalema 31 de Julio. te cargo el Sr. Clemencin, Deseando el ayuntamiento constitucional de esta villa Se oyó con particular satisfacción que SS. MM. conti que el divino Espíritu se dignase iluminar al augusto Con nua…</t>
  </si>
  <si>
    <t>…on los que tengan pagadas en 10 de Enero las dos lugar del Sr. Codes, al Sr. Azaola, y para la Diplomática, terceras partes del tercio qte vencerá en fin de Diciembre en lugar del Sr. Diaz del Moral, al Sr. Clemencia. de este año.” Se mandaron archivar los egemplares remitidos por el El Sr. Ochoa graduó de injusto y poco decoroso al Go ministro de la Gobernación de los decretos expedidos por la bierno , tamo el dictamen de la comisión , como la propo sec…</t>
  </si>
  <si>
    <t>Moral, Díaz del</t>
  </si>
  <si>
    <t>Díaz del Moral</t>
  </si>
  <si>
    <t>…ximo mes pasado Josef Hernández, de de los demas periódicos, para tomar las notas competentes; egercicio pastor, su edad 21 años, estatura 4 pies y medio á lo cual contestó el Sr. secretario Díaz del Moral que es muy tasados, estando ocupado á eso de las seis de la tarde taba pronta aquella. e:i arrancar algunos romeros para disponer la cena á sus Se mandaron agregar al acta varios votos particulares, compañeros, observó que la mastina (en aquella sazón sola co…</t>
  </si>
  <si>
    <t>…se parara á la comisión de Olto se leyó de la comí-ion de Agricultura, encargada Instrucción pública. de examinar la memoria de D Mariano Romea. Esta colec Se concedió permiso al Sr. Díaz del Moral para acer ción de m iximas poinico-econ únicas dijo la comisión era carse al Gobierno á pedir un testimonio de la causa que le muy apreciable , y opinaba que las Cortes debian aceptar ha sido formada. los buenos deseos de su autor. Después de una brevísima Se…</t>
  </si>
  <si>
    <t>…rvarse en la presentación para piezas eclesiás habían puesto en la calle ¡os jeiuitas á todos sus discípulos, ticas anejas á los mayorazgos que quedan abolidos después contesto el Sr. Díaz del Moral que estaría despachado á las de la muerte de los actuales poseedores.” dos de la tarde. Quedaron las Cortes enteradas de los egemplares remi Asimismo se concedió permiso, como proponía la co tidos por los ministerios de la Gobernación de la Península misión s…</t>
  </si>
  <si>
    <t>…o da por el ministerio de Marina de los directores de gremios á la comisión después de haberse leído una indicación del de mar de Tarragona , ios que habiendo tenido noticia - del Sr. Diaz del Moral, que decía: se pondrán en fortalezas ó artículo de matrículas, hacían algunas observaciones. cuarteles; la cual pasó igualmente á la comisión. A -la de División del territorio español un oficio del Art. 21. «El amor de un escrito que incite directamen Sr. min…</t>
  </si>
  <si>
    <t>…oj jueces de hecho, de que se trata en los do la facultad de calificar los escritos, le podía parecer que artículos siguientes.” no era subversivo, alguno que tal vez lo fuese. El Sr. Díaz del Moral dijo: «dos veces he tenido el ho Se aprobaron las dos adiciones de los Sres. Janer y Ca nor de manifestar al Congreso mis ¡deas acerca de los jue latrava, y quedó el artículo en los términos siguientes: «Et» ces de hecho; la primera no fueron desatendidas mis…</t>
  </si>
  <si>
    <t>…de hecho mas á satisfacción de to Se leyó por segunda vez el proyecto de enseñanza pú dos que del modo propuesto. blica; y el Sr. presidente, señaló dia para su discusión, con El Sr. Diaz del Moral apoyó el dictamen de la comi cluido que fuese el de libertad de imprenra. sión en su totalidad, y dijo que también podia tornarse el Se leyó también una indicación de los Sres. Sancho, medio de que parte de los jurados fuesen elegidos por el Couto , Navas , M…</t>
  </si>
  <si>
    <t>…tubre. sición de D. Manuel Cavero, acerca de que c! año de id 1 3 Después de leída y aprobada el acta de! dia anterior , se hallaba con los empleos de tasador y repartidor de plei Sr. Díaz del Moral dió cuenta de la solicitud de un cate tos de la audiencia de Castilla la Nueva, de cuvos dos des drático de la universidad de Granada, en que hacia presen tinos había sido depuesto en 1S14; pero que habiendo vuel te su avanzada edad, su adhesión al sistema co…</t>
  </si>
  <si>
    <t>…ntos que en el CORTES. día tienen en espectativa á la Europa. Sesión extraordinaria del G de Octubre. íortugai.. Leidüf y aprobada el actade la noche anterior, se leyó el voto del Sr. Díaz del Moral , contrario á lo resuelto ayer Lisboa 2/ de Setiembre. por el Congreso en cuanto‘al número de j’urados; el del ET Gobierno ha mandado publicar en la gaceta la si Sr. Janer, contrario á que los ayuntamientos nombrasen los guiente carta, declarando al mismo tie…</t>
  </si>
  <si>
    <t>…petición del Sr. San Miguel, y conformándose su au cional de esta M. H. villa en el mes de Setiembre próximo tor, se mandó pasar á la comisión Ja indicación siguiente pasado. del Sr. Díaz del Moral: «Los jueces de hecho solo serán Conciliaciones verificadas á satisfacción recí responsables en el caso claro y probado con dos testigos proca de los interesados.;................ 48 J conformes y sin la menor tacna que depongan de propio Id. de menor cuantía…</t>
  </si>
  <si>
    <t>…tuviesen algu seedores actuales de casas gravadas con ella ganarían el ca na duda la consultasen á la secretaría. ■ pital correspondiente que se- les habia rebajado del precio El Sr. Díaz del Moral manifestó que el artículo de la cuando las adquirieron por título oneroso , y seria preciso caceta estaba lo mismo que se habia dicho ayef en el des devolver el valor de las redenciones á los que hubiesen re pacho; que se admiraba de que estuviese la sesión t…</t>
  </si>
  <si>
    <t>…iptores á la colección de obras de Misstres Bennet, berá dársele en lo sucesivo. 6 sea historia de la heredera del pais de Giles, y Rosa q la ñi Se leyó también una indicación del Sr. Diaz del Moral, fla mendiga, acudirán á recoger el tomo ti, y pagar el impor Florez Estrada, López (D. Marcial) y Zapata, en que pe te del 13, ó los demas que gusten hasta el 14, á las librerías dé dían se mandasen omitir en los testamentos las mandas for Escantilla y de Am…</t>
  </si>
  <si>
    <t>…e les pudiese dar otro destino; Se leyó la minuta de decreto sobre el reglamento de la é igualmente Los productos de portazgos de Castilla para la milicia nacional de Ultramar. El Sr. Diaz del Moral hizo reedificación de los puentes destruidos por los ejércitos presente una duda de la secretaría, sobre que no se expre-' enemigos y aliados, prefiriendo los que esten situados en' saba en el citado reglamento si las diputaciones provincia las carreteras púb…</t>
  </si>
  <si>
    <t>…hecho el Sr. Isturiz algunas observaciones acerca de vota. En la gaceta de anteayer, col. 4.*, lfn. 64, dice: La del los tres restantes 5.% 6.° y y.?, manifestando’los perjuicios Sr. Diaz del Moral, reducida á que el número de jurados fuese ue podrían’ cansar ah giro, y especialmente la imposibili- *4, no se admitid á discusión: léase una del Sr. Diaz del Mo ad de aceptar las letras extrañaras en papel separado, en ral , que decia: » Cuando la calificac…</t>
  </si>
  <si>
    <t>…e pasasen á la comisión de Premios. Después de alguna ministerio del mismo ramo. ¡scusion se acordó asi. Las Cortes quedaron enteradas de dos oficios del señor Se leyó el voto del Sr. Díaz del Moral, contrario á lo secretario de la Gobernación de Ultramar ,■ en qne partici resuelto ayer sobre declararse suficientemente discutido el paba haberse jurado la Constitución en Puerto-Príncipe, y proyecto de sociedades patrióticas. quedar instalada la junta elec…</t>
  </si>
  <si>
    <t>…á fin de que disponga sé haga publícala inocen EL Sr. conde de Toreno hizo la indicación siguiente, apo cia.de dichos oficiales en la orden del egército déla provin-* yada por el Sr. Díaz del Moral: «Que en1 atención á losl cía de su mando, con arreglo al arr. 23, título 6.', tra servicios patrióticos de los individuos de que hace mención tado 8.? de las Reales ordenanzas. Madrid 30 de Setiembre el dictamen de la comisión, se Ies manifieste de parte,de…</t>
  </si>
  <si>
    <t>…ictamen y artículos propues ser conveniente dejar sin castigo el enorme atentado de los 69, tos ames de-su dúcusion. pues seria en cierto modo falcar al juramento que todos los El Sr. Díaz del Moral llamó Ta atención del Congreso. diputados prestaban al tomar ademo en aquel augusto re sobre la junta de Censura religiosa diocesana, que se cinto; y por último que no podían declarar los Sres. dipu anunciaba en el diario del mismo día, calificando la come ta…</t>
  </si>
  <si>
    <t>Chihuahua y Arispe; en la de Goatemala en Goatemala, El Sr. Diaz del Moral hizo presente que en la secreta León de Nicaragua y Chiapa; en la de Filipinas en Manila; ria ocurría la duda de si lo resuelto por las Cortes acerca en la de Cuba ó isla en la Havana, Cuba, Santo Domingo de los 69 diputados que firmaron el manifiesto de 12 d…</t>
  </si>
  <si>
    <t>…s cuales, según Se aprobaron los seis artículos como proponía la co los proponia la comisión, no perjudicaban en nada á los misión. tragineros como había dicho el Sr. Calderón. El Sr. Díaz del Moral hizo una indicación para que El Sr. Ezpcleta apoyó también el dictamen de la comi ademas de los vales reales se Ies admitiesen á los pueblos en sión , diciendo que tenia reclamaciones de varios pueblos pago de atrasos los réditos de los mismos vales ; pero la…</t>
  </si>
  <si>
    <t>…y hay, que tal vez dará lugar á estas peticiones el que porpor último se aprobó el artículo según le habia reformado los resguardos, y aun por las justicias se pretenda procederel Sr. Díaz del Moral. Se aprobó asimismo el art. 4.0; y después de, haber he- á la prisión por solo el fraude, me manda que prevenga á pho presente el Sr. conde de Toreno que era inútil el 5.°, V. para que lo haga saber, tanto al resguardo como á atendida la obligación que la Con…</t>
  </si>
  <si>
    <t>…confirme en el destino de intendente que le dió aquel condecorado en 2 de Enero de 1808 con el hábito de !a general. orden de Calatrava, no podia usar de esta gracia por haber El Sr. Díaz del Moral manifestó que este benemérito erdido en la última guerra los documentos necesarios para ciudadano, no contento con lo que hizo en la Península, fue acer las competentes pruebas por falta de medios pecunia el consuelo de los patriotas emigrados en Londres, ado…</t>
  </si>
  <si>
    <t>…línea, manifestando los sen causas de fe y censura de obras; cuyo informe se remitía á timientos patrióticos que animan á todos sus individuos, y consecuencia de la indicación del Sr. Diaz del Moral, apro su decisión en derramar la última gota de su sangre en de bada en la sesión extraordinaria de 18 de Octubre último. fensa de la Constitución, y de! Rey constitucional. Las No hubo lugar á votar sobre una representación que ha Cortes ia oyeron con partic…</t>
  </si>
  <si>
    <t>…aron este ción de los señores que han de componer ¡a diputación per dictamen. Con este motivo se aprobó una indicación del manente de Cortes por la de un diputado peninsular , que Sr. Díaz del Moral para que las Cortes resolviesen quién dando elegido el Sr. Muñoz Torrero por 8o votos de 96. habia de expedir las cartas de ciudadano ; la que fue aprobada La segunda elección de diputado ultramarino recayó en Se aprobó el dictamen de la comisión segunda de L…</t>
  </si>
  <si>
    <t>…l,-sin,0 en las cua lo resuelto fuese sin perjuicio de la primera resolucion.de las tro ayudas que tiene esta ers su población urbana y rural, Cortes, y se aprobó la siguiente del Sr. Diaz del Moral.: para facilitar la concurrencia de t&lt;-dos ios vecinos , opinaba »Que la pensión concedida.;! D. Pablo López sea extensi que en conformidad de lo.dispuesto :obre el particular pol va ¿ su inuger é hijos por fallecimiento de aquel.” las Cortes extraordinarias…</t>
  </si>
  <si>
    <t>…establecidos, o por los que Se m.andói agregar al acta un voto del Sr. Lobato, con concierten en adelante, y las que esten en ¡as costas en la trario á la indicación aprobada del Sr. Diaz del Moral, so libertad de vender al extrangero , pagando los derechos es bre que se hiciese extensiva A la muger é hijos de D. Pablo tablecidos.” ~ López la pensión concedida á este. be opusieron A este artículo los Sres. Lorertzaña y Va— A propuesta de la comisión seg…</t>
  </si>
  <si>
    <t>…e las medidas con Murcia, contra el alcalde constitucional de los Hinojosos venientes. Quedó aprobado este dictamen. del Marquesado, y el juez de primera instancia de Belmente. El Sr. Díaz del Moral pidió que no se levantase la se Se aprobó el dictamen de la comisión segunda de Legis sión hasta que se despachasen los expedientes de premios de lación , acerca de que se acceda á la solicitud de tres cursan las exposiciones de D. Francisco Espoz y Mina , y…</t>
  </si>
  <si>
    <t>Moral, Guillermo</t>
  </si>
  <si>
    <t>Guillermo Moral</t>
  </si>
  <si>
    <t>…ria. podido extender algo tnas en algunos ramos. A la de Poderes los de los Sres. D. Ramón Despuich, El Sr. conde de Toreno recordó A las Cortes que esro lo conde de Montenegro, y D. Guillermo Moral, diputados A habían ya desaprobado anteriormente, porque cierta clase Cortes por las islas Baleares. de gastos es indispensable pagarlos , sea como fuese , aun Se leyó el dictamen de las comisiones reunidas de Exa- que sea A costa de la mirad de las fortunas…</t>
  </si>
  <si>
    <t>Moral-</t>
  </si>
  <si>
    <t>…luego. &lt;- ■ El Sr. Silves expuso , que siendo el capital necesario muy ; La comisión de Milicias .-.nacionales , á consecuencia de considerable, no se oponía á lo propuesto por ei Sr. Moral-, un oficio Tcmitido por el ministro de la Gobernación de la con tal que se realizase cuando hubiese los fondos suficientes -Península acerca de las dudas de vatios Gvfes políticos so en la tesorería, la cual se sabia tenia muy atrasadas sus'más bre si los ind…</t>
  </si>
  <si>
    <t>Moraleda, Valdoméro</t>
  </si>
  <si>
    <t>Valdoméro Moraleda</t>
  </si>
  <si>
    <t>…ncia de 4 de Diciembre del año último, dada por el Señor D. Manuel Fernandez Gamrboa, del Consejo dé S. M., alcalde dé su Real Casa y Corte , refrendada del escribano de provincia D. Valdoméro Moraleda, ¿instancia del hermano Plácido Luzurtaga, procurador de 3a causa de beatificación de la vene rable madre Sor María de Jesús de Agreda, se citó y emplazó por el término de 30 días á D. Lorenzo de Basabru, último tenedor del vale Real de 300 pesos de la crea c…</t>
  </si>
  <si>
    <t>Morales</t>
  </si>
  <si>
    <t>…como legales tos jus la co ta de barlovento de la Guaira y sus pueblos, teniendo tificaciones hechas hasta aquí con arreglo al articulo 16 de la vanguardia en Curipe.-----Nuestto brigadier Morales es- l» Real orden de 17 de Jimio de i$i8,y las que se ha</t>
  </si>
  <si>
    <t>Morales, Diaz</t>
  </si>
  <si>
    <t>Diaz Morales</t>
  </si>
  <si>
    <t>…formar creto , aunque por las razones expuestas no puedo en con en el expediente de bagages. ciencia cumplimentarle;” pretexto con que, dijo el Sr. Mo Se leyó otra proposición del Sr. Diaz Morales para que reno Guerra, sembró en otra época un obispo el germen fe •e preguntase al secretario de la Gobernación qué medidas cundo que destruyó el sistema. El Sr. Navas, notó que en se habían tomado para llevar á efecto la resolución de las una copia impresa q…</t>
  </si>
  <si>
    <t>Morales, Díaz</t>
  </si>
  <si>
    <t>Díaz Morales</t>
  </si>
  <si>
    <t>…e se publi das las rentas que entonces estaban estancadas , cst 1 'ti'penso que el decreto. mientras las Cortes actuales no le rectifiquen. ó dispongan Se levó una proposición del Sr. Díaz Morales para que otra cosa en el sistema general de Hacienda , de que re oc - leyéndose lo propuesto por el secretario de Hacienda en su pan: 2.0 están en su fuerza y vigor todas las providencias memoria, respecto i tabacos, no siendo incompatible con</t>
  </si>
  <si>
    <t>…a y en que se tropezaría con muchos inconvenientes; y res han cau ado con privilegios y transacitmes." Fue aprobada. pecto de las indemnizaciones de los privilegiados que había El Sr. Díaz Morales amplió la citada indicación del jeínsintado el Sr. Cañedo, debían estos en su concepto se ñor Florez Estrada, diciendo: «donde pide que se proceda guir la suerte de los demas acreedores del Estado, ó dar á solamente contra los que informaron sobre las transac…</t>
  </si>
  <si>
    <t>…enorme peso de las contribu Se leyó el acta de la del dia anrerior, á la que te man ciones , único medio de hacerle conocer las ventajas de las dó agregar el vo o particular riel Sr. Diaz Morales, contra nuevas instituciones, proponia lo siguiente: «A los pueblos rio .• la resolución ae no haber 1 gar á votar sobre la indi que en el dia 10 del próximo mes cié Setiembre hayan sa cación del Sr. Cepero. tisfecho las dos terceras partes del tercio ( de la…</t>
  </si>
  <si>
    <t>…Sr. Cortés que algunos existen en la sociedad, que sin poder actualidadno fueron admitidas a dheusion. ser calificados por vagos ni hombres de mala conducta, vi Se aprobó otra del Sr. Díaz Morales , concebida en estos ven sirviendo de carga á sus familias , y quedarían exclui términos: «que la medida de rebaja propuesta por la comí- dos, sin embargo de que ninguno es mas apto que estos lion á favor de los pueblos colectivamente se extienda á que nada t…</t>
  </si>
  <si>
    <t>…otnpetenre , y que se hallaba en esta corte desde el amanecer de este día ; á que se mandó responder que las Cortes quedaban enteradas. ANUNCIOS. Las Cortes concedieron permiso al Sr. Diaz Morales para acercarse al Gobierno á tratar de negocios propios; y Manifiesto de la Junta provisional á las Cortes. Véndese en se levantó la sesión. la librería de Ranz. nota. En la gaceta níim. 36 del jueves 3 del presente , co ARTlCítO JD E OFICIO. lumna 6.a, Jín.…</t>
  </si>
  <si>
    <t>…a secunda parte del primer ar nota. En la gaceta del jueves 17, col. 6.1, lín. £t , dice: tículo, ias pmas ;t los contrabandistas de tabaco serán igua Sr. Díaz, tisi Moral, léase: Sr. Díaz Morales. MADRID EN LA IMPRENTA NACIONAL.</t>
  </si>
  <si>
    <t>…e una bula de S. S. &gt; ha Se admiten memoriales por término de xj dias. Palacio bilitando á los obispos para conceder las dispamas matrimo 17 de Agosto de 1820. niales ; y otra del Sr. Díaz Morales, pidiendo el a.invento de Por tallecimieoto de D. Felipe Vázquez Canea, mamssueldo de las clases inferiores del benemérito egército es trado electo de la audiencia territorial de Madrid, se halla pañol. •vacante esta plaza, patá-la que se admiten memoriales p…</t>
  </si>
  <si>
    <t>…a del ayuntamiento de la villa de Iznatovafe sobre se deliia deliberar sobre ello, sino pacarlo al Gobierno pasa perjuicios en la agregación de parrido. los fines conveniente'. El Sr. Díaz Morales advirtió que ya El Sr. Quiroga leyó el proyecto de reglamento de mi hablan recurrido al Gobierno , y' cteia por esto que debian licias nacionales, reformado en varios artículos, con arre pasar á la comisión de Infracciones de Constitución para glo á lo manife…</t>
  </si>
  <si>
    <t>…al, según Rf.y señalar para la benemérita clase de militares de la Pe loque previene el artículo 4.0 del referido decreto. nínsula un determinado número de empleos para que los El Sr. Díaz Morales dijo que se habia aprobado una in ocupasen por propuestas formales en terna, á saber: las te dicación suya sobre este mismo asunto; y los Sres. Salvador sorerías de provincia, dando las correspondientes fianzas; y Golfín hablaron de la necesidad que hay de ha…</t>
  </si>
  <si>
    <t>…ón del Sr. Golfín «el coronel Vidal y sus por los regidores, del mismo modo qus se prescribe para compañeros.” las elecciones parroquiales. En el segundo se manda que los Otra del Sr. Díaz Morales , para que se conceda al ge individuos que entraren al servicio por haber cumplido la neral Lacy el mismo honor pedido para Porlier por el señor edad prevenida, presten el juramento el dia i.° del año. Zapata. Del cap. vi, que trata de la subordinación y pena…</t>
  </si>
  <si>
    <t>Morales, Diáz</t>
  </si>
  <si>
    <t>Diáz Morales</t>
  </si>
  <si>
    <t>…cio-, proyecto'de ordenanza de Marina, que. se compone de comisiones reunidas de Hacienda y Guerra , tres proporcio 47 artículos, y otro de la combinri de. Comercio- sobre nes del Sr. Diáz Morales, en que pedia se aumentasen los consulado?. Es:e, decia el Sr. Florez Esrrada.que podría dis haberes de las clases inferiores del egército , asignando al cutiré sin eperar rii la tercera lectura ;; pero el.- Sr._ Benitez soldado de infantería Íío rs, vn, líqu…</t>
  </si>
  <si>
    <t>…de Los Sres. directores generales de 13 Hacienda pública, Enero de 1813 sobre repartimiento de baldíos: habiendo re con fecha 28 del que espira, me dicen lo que sigue: clamado el Sr. Díaz Morales una indicación que tenia hecha «La dirección tiene noticias de las ocurrencias’desagra relativa al citado repartimiento, y en virtud de la cual creía dables que ha habido en varias provincias , con motivo de que se debían pedir informes al Gobierno, se acordó…</t>
  </si>
  <si>
    <t>…e los individuos militares. Despacho de la Gobernación de la Península y de Ultramar. Habiéndose después votado por partes el artículo, que dó aprobado en su totalidad. CORTES. El Sr. Diaz Morales dijo que hizo la proposición que habia dado origen al dictamen en la inteligencia de que gra Sesión extraordinaria del io de Setiembre por la noche. vitaría sobre la nación el aumento, por lo que habla limita do sus deseos; pero que habiendo encontrado las co…</t>
  </si>
  <si>
    <t>…Florez en cuanto se acabe la recolección, la que se mandó-pasar aiEstrada, fue aprobado con dos adiciones; la primera del Gobierno; y otra , que se remitió á la comisión ordinaria Sr. Diaz Morales «que por ahora,” y la segunda del Sr. San de Hacienda, quejándose de la enorme carga de contribu Miguel «que mientras subsistan los oficios de los escribanos.’* ciones que pesan sobre dicha provincia. El artículo 45 se aprobó; y después de una larga discu A l…</t>
  </si>
  <si>
    <t>…también la palabra 2 heridos, se retire) de alli por las ningunas ventajas que -«foros.” ■ 'presentaba el crecido número de hombres á que ascendía la No se admitió una adición del Sr. Díaz Morales al ar ■fuerza enemiga; se vino á Carupano, y el 20 se levó con tículo 5 " sobre que las Cortés declarasen «que ios que per dirección á Margarita; arribó á Punta Mosquito , en donde ciban alimentos puedan pedir de los bienes del mayorazgo desembarcó, quemó 3 c…</t>
  </si>
  <si>
    <t>…ara habilitar los Se leyó y aprobó el acta de la anterior; y en seguida el, caminos de Bilbao á Pancorvo y otros, era de dictamen que el Congreso accediese á ello; y asi se mandó. Sr. Díaz Morales hizo presente haber recibido de su provin cia, por medio de la diputación de ella , una exposición feli La comisión ordinaria de Hacienda expuso, que estan do entendiendo én el plan del monte pió del ministerio, pe citando á las Cortes con motivo de los suces…</t>
  </si>
  <si>
    <t>…l Gobierno, por ser papel oficial. ral , reducida á que el número de jurados fuese 24 ; no se• Se preguntó si estaba suficientemente discutido ; y de admitió á discusión: otra del Sr. Díaz Morales, á saber: clarado que lo estaba, se pasó á la votación, y quedo apro «mediante á que el art. 17 puede extenderse hasta la per bado, como también el siguiente. sona del Sultán, pido que solo comprenda á los de Euro Arr. 67.- «Cualquiera persona que reimprima u…</t>
  </si>
  <si>
    <t>…ban incluidos en aquellas, las retiró su au cular del Sr. Dolarea, contrario á la resolución de que se tor i y se levantó la sesión. votara el dictamen en su totalidad, y otro del Sr. Diaz Morales, suscrito después por otros señores, contrario á la declaración de estar suficientemente discutido el mismo dic Los periódicos extrangeros recibidos hoy contienen no tamen. ticias de Lóndres hasta el 29 de Setiembre; de Viena hastá No se admitieron á discusió…</t>
  </si>
  <si>
    <t>…os de armas en una proclama que pre— Igualmente se pasó A la misma comisión otra indicación .-tentaba. de los Sres. Ezpeleta, Arnedo y Dolarea sobre que se haga ; . A petición del Sr. Díaz Morales se suspendió la reso extensiva á la'provincia de Navarra la medida que la comi lución sobre esta petición, ha.-.a que este señor diputado sión tomase con respecto a la representación de la provincia -presentan una copia documentada de la misma proclama. de Ar…</t>
  </si>
  <si>
    <t>…ezcan universidades en Gua- el plan general. mnnga, la Paz , Sta. Cruz de la Sierra y Puno, en el Perú. Después de alguna discusión, en que se opuso al dicraNo se admitió otra del Sr. Diaz Morales para que en Fili men el Sr. Sánchez Salvador, y le apoyaron los Sres. Re pinas se establezcan tres universidades en vez de una sola. vira, Quiroga y Giraldo, fundados no solo en la antigüe Se leyó el art. 20, que decia: dad de la asignación de los sueldos act…</t>
  </si>
  <si>
    <t>Morales, Díaz de</t>
  </si>
  <si>
    <t>Díaz de Morales</t>
  </si>
  <si>
    <t>…ue hu Se aprobó igualmente una adición del Sr. Giraldo, que decía: «Continuando en el egercicio de sus curatos los que biese de redentores de cautivos.” Otra semejante presentó el Sr. Díaz de Morales, y se creyó que podrían dejarse para los tienen en el dia en el territorio de las órdenes, en virtud de la presentación que se hizo en ellos por S. M., y lo mis discutirlas mas adelante; pero sin embargo fueron admitidas mo se entienda con cualquiera otro cur…</t>
  </si>
  <si>
    <t>…íos teriormente sobre un objeto análogo. atrasos de las pensiones que sobre sus rentas episcopales te Se declaró no haber lugar á votar sobre una indicación nían consignadas. del Sr. Díaz de Morales, que decía asi: «Declaren las Cor La comisión de Hacienda presentó su dictamen en cuan tes que ninguna autoridad podrá impedir las reuniones sin to á la representación del presidente de la contaduría ma expresar el motivo en que se funda, y quedar responsable…</t>
  </si>
  <si>
    <t>…ta El Sr. Yandíola las apoyó; se admitieron á discusión, que Eladio Díaz acredite sus quejas. y se aprobaron. Se aprobó ig al mente el dictamen de la comisión Ecle- A petición del Sr. Díaz de Morales se mandó dejar so sii'tica acerca uc una representación de la dipu.ación pro bre la mesa, señalando la sesión de mañana para su discu vincial de Mallorca, presentada por et Sr. Moraguts, para sión, el expediente de división de partidos de la provincia de cue…</t>
  </si>
  <si>
    <t>Morales, Diaz de</t>
  </si>
  <si>
    <t>Diaz de Morales</t>
  </si>
  <si>
    <t>…judicial, ó á que se radiquen en otras corpora n de Morales;” suprímase, y después de todo el párrafo anida ciones ó individuos , será perseguida como traidora y con se: «y el del Sr. Diaz de Morales contrario á las resoluciones denada á muerte.” «de haber relevado de la formación de causa á los 69 ex-diSe aprobó este artículo, é Igualmente el segundo, des ” putados, y de no haber habido lugar á votar sobre la reprepués de haberse acordado abrir nuevament…</t>
  </si>
  <si>
    <t>…solución definitiva de las Cortes sobre el par «Atendiendo á lo sobrecargado que se halla de negocios ticular. D. Juan Jabat, encargado inrerinamente de la secretaría del Otra del Sr. Díaz de Morales: «Que se lleve á efecto Despacho de la Guerra, he tenidoábien mandar que mien la resolución del Congreso en esta ñocha de que no se le tras llega D. Cayetano Valdés, secretario de Estado y del vante la sesión hasta dar cuenta de los expedientes del gene despa…</t>
  </si>
  <si>
    <t>Morales, Gregorio</t>
  </si>
  <si>
    <t>Gregorio Morales</t>
  </si>
  <si>
    <t>…Romero, Rafael Atañe, Juan Silgas, Josef Navarro. el despacho de la imprenta- Nacional. Se suscribe en dicho des pacho , y en las provincias en todas las -administraciones princi D. Gregorio Morales y un capitán. pales y agregada, de correos. Caballos 11. En virtud de providencia del Sr. D. Julián de Sojo, minis LITERATURA. tro togado honorario de Ja audiencia de Castilla la Nueva, y juez de primera instancia de esta muy heroica villa, refrendada Ensayo…</t>
  </si>
  <si>
    <t>Morales, Guillermo</t>
  </si>
  <si>
    <t>Guillermo Morales</t>
  </si>
  <si>
    <t>…podria entenderle en los tribunales sin perjuicio sado ministerio, en que se participaba que los Sres. conde de las costas , causándosele asi á. los interesados.. de Montenegro y D. Guillermo Morales , diputados por El Sr. Yandiola , como individuo de la comisión, convi las islas Baleares, deseosos de llegar cuanto antes al Con no en las dos adicione^ de los Sres. Romero Alpuente y greso á cumplir con su cargo, habían pasado al lazareto, Vadillo. donde pe…</t>
  </si>
  <si>
    <t>Morales, Joaquín</t>
  </si>
  <si>
    <t>Joaquín Morales</t>
  </si>
  <si>
    <t>…M. D. Josef Saldivia. Contestación á varios problemas, por D. Joséf Olare Romero , sargento mayor retirado. Memoria sobre la organización del egército, por el ciu ANUNCIOS. dadano D. Joaquín Morales, escrita en 1817. • Reflexiones acerca de algunas mejoras esenciales á la ca ballería , extendidas por el capitán D. Francisco de la Igle Por providencia del- señor juez primero de primera instancia sia y Darrac. de Murcia, refrendada por el escribano de núme…</t>
  </si>
  <si>
    <t>Morales, Juan</t>
  </si>
  <si>
    <t>Juan Morales</t>
  </si>
  <si>
    <t>…ecen dar lecciones de di D. Joaquín de los Santos Lomba, 400. D. Manuel Gonzá chas ciencias é idiomas, y enseñar el latín en dos años, y la lez Estrada, foó. D. Pablo Bertuzi, 80. D. Juan Morales, taquigrafía en tres meses, en su casa ó en la de los alumnos; 500. El cónsul de los Estados-Unidos D. Henrique M. bajo cuyo supuesto, y para la mayor comodidad del público, Cali, 3 20. El cónsul de Portugal D. J. H. Parral, 5 00. han establecido la enseñanza…</t>
  </si>
  <si>
    <t>Moranr, Rafael</t>
  </si>
  <si>
    <t>Rafael Moranr</t>
  </si>
  <si>
    <t>…despacho de la calcografía de Ja imprenta Naciopañero de este, jo. El cónsul de España D. Juan Gonzá nal á 10 rs. vn. lez de Rivas, 390. Discurso sobre contribuciones, escrito por D. Rafael Moranr, AMICUO DB OFICIO. oficial de la secretaría.-de Estado y del Despacho universal de Hacienda de Ultramar. Se hallará en la librería de Castillo. Circular del ministerio de Hacienda. nota. En la gaceta de ayer, col. y.*, lín. 41 , donde dice Con esta fecha comu…</t>
  </si>
  <si>
    <t>Morate, Juan Francisco</t>
  </si>
  <si>
    <t>Juan Francisco Morate</t>
  </si>
  <si>
    <t>…co ,{ su presidente, los Sre*. D. Vicente Jaudenes, intendente, D. Antonio Marte!, D. Francisco Crespo de Tejada , D. Joaquín' Manrique .y Manrique;, T?. Martin 4e rGoicoecheay el secretario D. Juan Francisco Morate; y los señdres D. Jóséf López Alonso, D. Francisco FernándezGascó y É&gt;. Simón González: Yuste, que por hallarse ausentes no concurrieron aquel dia, prestaron igual juramento el día 12 del mismo mes. ('Se continuara.) ' ' - ' . En virtud de providencia del Sr.…</t>
  </si>
  <si>
    <t>More</t>
  </si>
  <si>
    <t>….'titucionales, y que se trate de re como efectivamente 16 hizo asi su autor. mover todos los obstáculos que pudieran oponérsele4; y en Se leyó por primera vez una proposición del Sr. More comprobación de la necesidad de esta medida refrió un no Guerra , en la que á motivo de ser los reglairten.os el hecho particular, del que habia sido testigo ocular. obstáculo principal para la propagación de los animales , pe El Sr. Calatrava aprobó el dicta…</t>
  </si>
  <si>
    <t>Moré, Josef Joaquín de</t>
  </si>
  <si>
    <t>Josef Joaquín de Moré</t>
  </si>
  <si>
    <t>…jo de los pueblos Inmediatos.. Seremitirán los memoriales:al ayuntamiento constitucional de dicha villa en el término, de 30 di^s desde-, esta publicación. r ¡Minerva nacional/por D. Josef Joaquín de Moré: cuaderno segundo del torno i* Contiene: i.® Estado presente de la opinión publica 2.0 Discursos sobre una Consti tución religiosa ,! considerada como parlé cíe la cívil nacipnat, por un americano. 3.® Sóbrelascaiísas del estado actuíí de'•Inglaterra'* 4'.óRe…</t>
  </si>
  <si>
    <t>Moreda, Manuel de</t>
  </si>
  <si>
    <t>Manuel de Moreda</t>
  </si>
  <si>
    <t>los aritos de testamentaría y juicio universá! de acreedores dél comisario ordenador honorario D. Manuel de Moreda , del comercio que fue de esta corte , se ha man dado citar y convocar á todos los acreedores del difunto, y demas interesados que.se contemplen con derecho, á junta general, para la que se ha señalado el domingo 18 de Junio próximo á las diez de la mañana en…</t>
  </si>
  <si>
    <t>Morena</t>
  </si>
  <si>
    <t>…no hubieran obrado asi , dijo, no estaríamos en el tienda este á los que informaron en favor de ellas , la cual caso en que nos hallamos. amplió después, y fue admitida. Apoyó el Sr. Morena El Sr. Romero Alpuonte, después de hablar acerca de Guerra esta indicación, por cuanto los que han hecho asentir al parecer del Sr. Florez Estrada , aunque esta fuese tales tránsaciones se hallan en la Havana, y que asi el in la voluntad general por la cadena de ma…</t>
  </si>
  <si>
    <t>Moreno</t>
  </si>
  <si>
    <t>…os ador:, Mr. Wilberforce hizo su propuesta en la Cámara da nos ¿ inscripciones. los Comunes, relativa á invitar á la Reina á conformarse En seguida se leyeron otras dos, una del. Sr. Moreno con. los deseos dd Parlamento , renunciando á que se inser Guerra , para que atendiendo al ínfimo valor de los granos tase su nombre en la liturgia , y despees de largos debates en Andalucía, y la dificultad de dar salida á las cosechas se aprobó su propuesta…</t>
  </si>
  <si>
    <t>…omisiones de las observaciones que había hecho en el día 27, oponiéndose Guerra y Hacienda, la siguiente indicación del Sr. Arnedo: al precio señalado de 80 reales. Refutándole el Sr. Moreno »*Que la comisión ó comisiones á quienes pase la citada me Guerra defendió el dictamen de la comisión , á hizo pre moria (primer proyecto de decreto del ministro de ¡a sente que con la pérdida de tiempo se daba lugar á que se Guerra, leído en la sesión de aye…</t>
  </si>
  <si>
    <t>…el Sr. D. Josef Ma se exceptúen los maestros de latinidad que enseñan en es nuel Vadillo , que lo es por ¡a de Cádiz, y para secretario cuelas públicas aprobadasla indicación del Sr. Moreno el Sr. D. Antonio Diaz del Moral, diputado por la provin Guerra «que á los exceptuados que quieran ofrecerse volun cia de Granada , quien pone A continuación su firma para tariamente se los admita al honroso servicio de la milicia que sea reconocida.” naciona…</t>
  </si>
  <si>
    <t>…Calderón, que decia: «Los dias para la mejora empe de í&gt; -ueros nacionales." zar ¡n A correr desde el en que con're haberse fijado e! edic .Se leyó por egunda vez !a siguiente del Sr. Moreno to en la capital del partido.” Otra del Sr. Moscoso al ar Guerra: «Pido que la cria de ínulas, hijas de yeguas, se tículo 14: «La liquidación se hará desn es de la subasta, ♦ •-deuda a todas las provincias de la Monarquía para el au con respecto al valor prin…</t>
  </si>
  <si>
    <t>…á este fiscal un las pasiones; en una palabra, porque la Nación no está pre egemplar de rodas las obras ó papeles que se impriman en parada. Yo repetiré la contestación que dió el Sr. Moreno las respectivas provincias, bajo la pena de cinco ducados por Guerra cuando hizo la proposición el Sr. López, sobre que cada contravención.” se introdujese en nuestra legislación el juicio de jurados: «esa El Sr. Priego manifestó la casi absoluta imposibilida…</t>
  </si>
  <si>
    <t>…blica, cesarán momento en que el Gobierno y las sociedades, fuesen de desde luego, con arreglo á las leyes que prohíben estas cor- opinión contraría. Contestó á las objeciones del Sr. Moreno pora cione?. Guerra, diciendo que las sociedades habian dejado de ser 3.0 «Los individuos que en adelante quieran reunirse pe convenientes, porque el Congreso estaba ya reunido, y no riódicamente en algún sitio público para discutir asuntos debia haber mas cu…</t>
  </si>
  <si>
    <t>…que todo parece anun la' universidad de Lunden habia recibido ya de este minis ciar lo contrarío. tro napolitano un regalo de hermosísimas colecciones de ITALIA. esta especie. El Sr. Moreno, ministro plenipotenciario de España Nápoles 11 de Noviembre. y de S. A. R. la Duquesa de Lúea? tuvo el ¿8 de este Sesión del Parlamento nacional del dia 2. raes, una audiencia particular del Rey Carlos Juan, en. la El Sr. Borrelli salió elegido presidente en…</t>
  </si>
  <si>
    <t>Moreno, Alejo</t>
  </si>
  <si>
    <t>Alejo Moreno</t>
  </si>
  <si>
    <t>órdenes del teniente coronel D. Alejo Moreno; y con el resto de la columna me puse en movimiento persiguiendo á los rebeldes, que hicieron su retirada por el camino de Cumaná. La tropa sin mochilas forzaba la marcha cuanto era posible; peTo los facciosos habian principiado su movimiento retrógrado desde…</t>
  </si>
  <si>
    <t>Moreno, Diego</t>
  </si>
  <si>
    <t>Diego Moreno</t>
  </si>
  <si>
    <t>…y emplaza á Mr. ThiAlba, mím. 23 , manz. 143 , donde antes estuvieron situa baud, D. Francisco Xavier Duran, D. Felipe Fernandez JBobadas la' oficinas del establecimiento. dfila, D. Diego Moreno, D. Migual Francisco Aspiroz, Don Otra idem en la calle de Jacometrezo, núm. 2, manza Miguel Antonio de la Torre, D. Luis González y D llenrina 3; ; ; cuyas fincas son las únicas de que hasta el día ha que Abeglie, últimos tenedores, el primero de tres vales…</t>
  </si>
  <si>
    <t>Moreno, Fernando</t>
  </si>
  <si>
    <t>Fernando Moreno</t>
  </si>
  <si>
    <t>…de Casillas de Velasto, diferentes clases. Que también habian aparecido algunos pas término de dicha villa. quines de naturaleza alarmante; masque el Gobierno no da Idem idem por D. Fernando Moreno en Pedro Abad, ba-grande importancia á esta clase de papeles, porque en un Un lagar llamado el viejo, con olivos,;higueras y viña, páis en que hay libertad de imprenta parecían sumamente al pago de Casillas, término de dicha villa. ridículos. Idem idem por D.…</t>
  </si>
  <si>
    <t>Moreno, Joaquín Carrion y</t>
  </si>
  <si>
    <t>Joaquín Carrion y Moreno</t>
  </si>
  <si>
    <t>…de Cádiz forme uña capitanía gene -esta nuesrra sentencia definidva de "vista asi lo pronunciamos, ral independiente de la de Andalucía, á que ha estado ane mandamos y firmamos. = D. Joaquín Carrion y Moreno.= ja , nombrando capitán general de la expresada provincia de D. Manuel de Villafañe. = D. Juan Andrés de Segovia. = C ;diz a! gobernador de la misma plaza el teniente general D. Manuel de Santurio García Sala. = D. Anacleto-deFaD. C ayetano Valdás ; y 'debie…</t>
  </si>
  <si>
    <t>Moreno, Manuel Díaz</t>
  </si>
  <si>
    <t>Manuel Díaz Moreno</t>
  </si>
  <si>
    <t>…e recibir; y que de! mismo modo el mejor blico los Sres. D. Bernardo de Borjas y Tarrius, D. Juan político es el que mas bien conoce el estado de los pueblos. Bautista Antequera y D. Manuel Díaz Moreno. El Sr. Ramos Arispe, que habia pedido la palabra cuan Se mandó pasar ¿ [a comisión ordinaria de Hacienda un</t>
  </si>
  <si>
    <t>Moreno, O. Pedro</t>
  </si>
  <si>
    <t>O. Pedro Moreno</t>
  </si>
  <si>
    <t>…ión consiste en 4$ rs anuales pagados &lt;Je sus propios, dos suertes de labor y dos cerdos en montanera: los pretendientes dirír girán sus memoriales al ayuntamiento, por mano de su alcalde O. Pedro Moreno ’ Nieto, hasta el día 1.® de Abril próximo en que ha de proveerse. , j En la villa de Madridejos, provincia de la Mancha, se halla vacanfe; la cátedra . ¿le gramática latina con la dotación de j¡oo ducados anuales pagados de ios fondos .dé.pfpplos, enséñaiidb…</t>
  </si>
  <si>
    <t>Moreno, Pedro</t>
  </si>
  <si>
    <t>Pedro Moreno</t>
  </si>
  <si>
    <t>…Estarán fijados los edictos para ella 40 días, que cumplirán el dia 6 de Marzo de este año. Los pretendientes remitirán sus memoriales al secreterio del cabildo de dicha colegial D. Pedro Moreno, canónigo en ella. Medicina operatoria, ó nuevo tratado de las operaciones de cirugía, con seis lá*&gt; ‘minas de los instrumentos de último uso, por Mr. Lassus, profesor de la escuela de 'medicina de París, cirujano consultor de S. M., miembro de la academia de…</t>
  </si>
  <si>
    <t>Moreno, Tomas</t>
  </si>
  <si>
    <t>Tomas Moreno</t>
  </si>
  <si>
    <t>…de Andalucía al teniente general D. Juan O-Donoju, que desempeñaba interinamente dicho destino: igualmente ha nombrado para la capitanía general de Castilla la Vieja ál te niente general D. Tomas Moreno; y para la de las Islas Baleares al de la propia clase D. Nicolás MahL Por decretó de 22 ffé Abril próximo pasado ha conferido S. M. la inten dencia de la provincia de Santiago de Cuba á D. íelix Bourman, ministro de las1 cajas nacionales de Valladolid de Mec…</t>
  </si>
  <si>
    <t>Moretti</t>
  </si>
  <si>
    <t>…erado bajo otro punto Mérito dé las Dos Sicillas. =Tres grandes dúos concertantes de vista, es una cosa aparte , una monstruosidad éntrelas di para guitarra y violin, ópera rx del caballero Moretti , graba dos por. el profesor D. Bartolomé Wirn’.bs. Se hallarán á 46 rs. versas especies de despotismo que se conocen. Su apoyo es en el despacho de música de la calla del Turco , y en el almacén'la fuerza, y las formas de su administración son entecamen de l…</t>
  </si>
  <si>
    <t>Morey, Bartolomé</t>
  </si>
  <si>
    <t>Bartolomé Morey</t>
  </si>
  <si>
    <t>…ó egipcios j en España y Langüedoc con el de gitanos , en Exposición hecha por D. Agustín González, D. Eusebio Inglaterra con el de gypsies ; en Italia con el de zingareMartínez y D. Bartolomé Morey, oficiales de la brigada lli, y en Alemania con el de Zigeugner. de artillería de Mallorca , manifestando que para que se ve En el tomo 8.°: extractos de Fehzeb-ul-Mantec, ó rifique en lo suce ivo el que todos los españoles sean iguales esencia de la lógica.…</t>
  </si>
  <si>
    <t>Morfi, Juan</t>
  </si>
  <si>
    <t>Juan Morfi</t>
  </si>
  <si>
    <t>…bre verdadero es el de lenm lenape, que significa cipal del Crédito público, délos números 1489, 1507, 26,038, pueblo del nacimiento del sol, ú oriental. 46, 247, 51,174 y 52,178: D. Juan Morfi del número 1500: Según sus propias relaciones, los indios delawares 6 D. Manuel de Corees Díaz dél 4422: D. Clemente Ibañez de lenni lenape salieron hace muchos siglos de una región Ocerin del 6137 : Doña Josefa de Villar del 16,677 , 37,413 situada hácia el…</t>
  </si>
  <si>
    <t>Morillo</t>
  </si>
  <si>
    <t>…lados á la bandera española, de cuyos perjuicios y oposi 30 de Mayo anteriorque se hablaba poco de los egírcitos: ción á la Constitución de la Monarquía se quejaba el co-' que el general Morillo tenia su cuartel general en Calabozo; mercio. El dictamen de las comisiones se reducía á que las y habia llegado á Caracas el ftó de Junio para publicar la Cortes dispensasen el reglamento de 1778, permitiendo por Constitución alli con toda solemnidad. punto…</t>
  </si>
  <si>
    <t>…erto-Cabello en 43 dias, y con capitán del batallón 2.0 de Voluntarios de Aragón. duce cacao, añil y algodón. Dice su capitán que á su sali da se propagaba el rumor de hallarse el general Morillo en VARIEDADES. Caracas, tratando de prepararse para nueva campaña. Madrid 2.3 de Noviembre. Descubrimientos durante el viage que se hizo en el SS. MM. y A A. continúan sin novedad en su impor año último d la bahía de Baffin. tante salud. El teniente de navio…</t>
  </si>
  <si>
    <t>…Gobierno se dirigió con fecha del 170 taba con su división en Calabozo, y reunía fuerzas en San los Excmos. Sres. Manuel Fernandez Tomas , Fr. Francisco Sebastian de los Reyes: el general Morillo se hallaba en el de S. Luis, Josef Joaquín Ferreira de Moura y al herma interior; y en este estado se habían recibido pliegos de Bo no Josef Braaincamp del Sobral el oficio siguiente : lívar, convidando, según decían, con proposiciones de con «Excmo. Sr.: La…</t>
  </si>
  <si>
    <t>…la, Rey de las E pañi'. A Bogotá contra Bolívar por no haber admitido las propo todos les que las presentes vieren y entendieren, sabed: Que siciones de conciliación hechas por el general Morillo, se habiendo Nos propuesto á las Cortes las &lt;um,is q e para !o aprovechó este de tan buena coyuntura para atacar á los que resta del presente año económico podrian destinarle á la insurgentes por mar y por tierra , y lo hizo con éxito tan conservación y repar…</t>
  </si>
  <si>
    <t>Morillo, Pablo</t>
  </si>
  <si>
    <t>Pablo Morillo</t>
  </si>
  <si>
    <t>…recogiesen todo el ganado que había tomado del monte. Dios guarde á V. E. muchos años. El Juncal io de Agosto de 1819. = Excmo. Sr.= Josef Pereira. dExctno, Sr. general en ge fe. D. Pablo Morillo. z=Es copia. = Morillo.” 2.0 ,,Excmo. Sr.: El 11 , á las seis de la mañana , emprendí el movimiento para esta ciudad en disposición de batir á los enemigos, que la ocupaban, dos columnas de operaciones con su caballería á los flancos, y una de reserva en el o…</t>
  </si>
  <si>
    <t>….................. 28 13. a en 20 de Noviembre.................................. 28 14. a en 18 de Diciembre................................... 28 ARTICULO D E OFICIO. E! teniente general D. Pablo Morillo dice al Excmo. Sr. Secretario interi no del Despacho de la Guerra lo que sigue: ,, Excmo. Sr.: Por las adjuntas copias de los partes que me ha dirigido el coronel D. Josef Pereira, comandante del segundo batallón del regimiento in fantería de Valencey , se en…</t>
  </si>
  <si>
    <t>…á la vista antes de dar su dictamen. bierno español ; y que el Sr. de Arana habia pasado está El Sr. Torre Marín advirtió dos equivocaciones en el ac propuesta al general en gefe D. Pablo Morillo. ta; una que al Sr. obispo de Mechoacan se le daban los .ape llidos Queipo de Llano , debiendo ser Abad y Queipo ; ..y NOTICIAS DEL REINO. la otra que se habia antepuesto á la memoria de los minls^ tros la proposición que hizo sobre agricultura, en lugar de M…</t>
  </si>
  <si>
    <t>…, en medio de las aclamaciones de un pue de francmasones sin permiso de la policía, á las que habían blo numeroso y de una salva de 21 cañonazos. sido convidados muchos militares. D. Pablo Morillo, teniente general de ios reales ejérci «AI mismo tiempo se esparcía con mucho artificio el tos, caballero gran cruz de la Real y militar orden de San rumor de la muerte ae Bonaparte, con el objeto de favore Fernando, de la de Isabel la Católica, caballero de…</t>
  </si>
  <si>
    <t>…flechera se com riscal de campo D. francisco ferraz. ponía de 82 hombres, y estaba armada de canaletes con dos cañones en coliza de A 6 y 4. La fuerza del místico era El teniente general D. Pablo Morillo, conde de Carta • 30 hombres, y la del esquité 14 muchachos. La pírdida gena , y general en gefe del cgército expedicionario de Cosia- del enemigo consistió en dos terceras parres de muertos, y ftrme, por mano del Sr. secretarlo del Despacho de la Guer una de…</t>
  </si>
  <si>
    <t>Morner</t>
  </si>
  <si>
    <t>…ceder .1 su solicitud so próxima Dieta, y ya se designan algunos suge.os de los bre la lista de los tes igós que han de eliminarse en prueba que la han de componer, entre ellos al conde Morner. del bilí de degradación y disolución de su matrimonio, de Se ha pagado ya á la Dinamarca el primei plazo de la jándola , como también á sus abogados \ en una absolura ig deuda de Noruega. norancia acerca del tiempo ó de los lugares á que puedan hacer referen…</t>
  </si>
  <si>
    <t>Mornitip-Chronicle, Li</t>
  </si>
  <si>
    <t>Li Mornitip-Chronicle</t>
  </si>
  <si>
    <t>…existencia.” to de que no se hubiese respondido antes á la carta de -----Lord Beresford ha remitido una carta a los editores del - la Reina. No se puede negar que la estancia del lord Li Mornitip-Chronicle pidiéndoles nieguen ser suya la corres verpool en el campo en este momento ha sido mas bien pondencia que insertó este diario, atribuyéndola al mismo -para agravar que para disimular el insulto. Muchos se han lord. Debe tenerte presente que dicha corresponden…</t>
  </si>
  <si>
    <t>Moron, Bartolomé Ruiz</t>
  </si>
  <si>
    <t>Bartolomé Ruiz Moron</t>
  </si>
  <si>
    <t>…uñoz. en su periódico sin otro examen que el de rumores y noti Una casa , núm. 4 , calle de las Cruces. cias-, que después han aparecido inoficiales y exageradas, aca Idem idem de D. Bartolomé Ruiz Moron. so por la exaltación de algunos, ó por la malignidad de La mitad del cortijo y casa del Barranco. otros. Idem idem de Doña Ana Núñez. Calificado de injurioso por la ¡unta de Censura, provo Otra casa, núm. 5, calle de Azacaya. (Se continuar d.) có A los edito…</t>
  </si>
  <si>
    <t>Morsuo, Rodrigo</t>
  </si>
  <si>
    <t>Rodrigo Morsuo</t>
  </si>
  <si>
    <t>…s virtudes,como por su ilustración gueras, viña interpolada y casa hundida . y en ella 4 tínay decidido deseo cíe fomentar el adelantamiento de la juven ;;s, linde con olivares de D. Rodrigo Morsuo, v.cino de tud. Se dio fin con un discurso latino, en que el proíesor Pedio Abad, en 29,440 rs. propuso como el germen de la felicidad posible en lo Una posesión de olivar ídem de fa capellanía de D. An humano . la .reunión de la virtud con el estudio de las…</t>
  </si>
  <si>
    <t>Mos</t>
  </si>
  <si>
    <t>…que se crean comprendidos en el decreto, «cíoñal aeí Sr. D. Fernando vii.” hagan sus reclamaciones por los ministerios á que corres-1Se leyeron igualmente cuatro proposiciones del Sr. Mos pondan, y que declarándose por los mismos respectivamen coso indicadas al principio de la sednn ; la primera , para te con presencia de los antecedentes que obren en ellos, 6 que á los gefes, oficíales, y demas individuos del egérciro de los que sean necesari…</t>
  </si>
  <si>
    <t>Mos-</t>
  </si>
  <si>
    <t>28; los Sres. secretarios del Despacho contestasen á las pregón- sociedades se habían reunido con un objeto laudable, y ha tas que naturalmente se hadan en la indicación del Sr. Mos- bian prestado servicios importantes ; pero que los medios de coso, se leyó esta; y su auior añadió, que le habia movi-r adquirir la líber ad eran muy diferentes de ios que debían do á extenderla el suceso ocurrido ayer con el Gefe polí.ico emplearse para cons…</t>
  </si>
  <si>
    <t>…s cánones tículo á la segunda junta que se instaló en Navarra, como y breve pontificios, las leyes recopiladas y el Real decreto lo hizo el Sr. Janer para la de Barcelona; pero el Sr. Mos- de 9 de Marzo último, que ha renovado el de las Cortes coso hizo presente que la comisión se había, limitado á las extraordinarias de 22 de Febrero de 1-113 , no puede en que reunió el pueblo er» los primeros momentos de su liber concepto de S. M. atribuirte…</t>
  </si>
  <si>
    <t>Mosco'o</t>
  </si>
  <si>
    <t>…a cxtinunir Jos ladrones y mendigos. presentado por Se leyeron también por segunda vez las si-ementes propo D. Tose!" Paez y Salas, asesor de la milicia dcC adoba, so siciones del Sr. Mosco'o: i.a Que las Cortes decreten que los bre'cuyo punto dijo el Sr. ministro de la Gobernación se gefes. oficiales é individuos del egírciro que en la ciudad de tomaban medidas no solo por la secretaria de la Gueira, S. Fernando, en la provincia de Galicia y en o…</t>
  </si>
  <si>
    <t>…la orden , y al pueblo.por el conducto rito egército permanente en unión con la Nación en víncu del Gefe político. lo indisoluble. Se vi s el zelo de la milicia nacional, y se El Sr. Mosco'o. recordando que” Iq importancia de esta vio la prudencia de todos los vecinos. sesión la liaría memorable en la historia, y cjue era del ma ¿ Pero hay en la Constitución ningún artículo que haya yor ínteres que toda la Nación tuviese conocimiento de.ella, ‘ d…</t>
  </si>
  <si>
    <t>Moscode, Josef Martínez</t>
  </si>
  <si>
    <t>Josef Martínez Moscode</t>
  </si>
  <si>
    <t>…20. mentar la industria nacional, se leyó y quedó aprobado el art. t.°, que decía asi: ANUNCIOS. i.° «La prohibición de entrada de algunos comestibles En virtud de providencia del Sr. D. Josef Martínez Moscode procedencia extrangera, que se halla establecida por los so, ministro togado, y juez de primera instancia de esta villa, antiguos aranceles y por decretos ,de las Corres actuales , se refrendada de O. Donato Nunez, escribano del número de la conservará en el…</t>
  </si>
  <si>
    <t>Moscos, Joseí Martínez</t>
  </si>
  <si>
    <t>Joseí Martínez Moscos</t>
  </si>
  <si>
    <t>…n este epígrafe: Moderazione e costanza. Véndele en ANUNCIOS. aquella capital en la librería de Bechet mayor. Esta relación de la revolución de Ñapóles, la mas Por providencia del Sr. D. Joseí Martínez Moscos o, mi exacta de cuantas hay hasta ahora, desmiente indirecta nistro togado honorario de la audiencia territorial, y juez le mente algunas otras relaciones dictadas por la injusta par trado de primera instancia de esta M. li. villa, de 4 del corrien te, dada p…</t>
  </si>
  <si>
    <t>Moscosd</t>
  </si>
  <si>
    <t>…una y media, para quedar en secreta, de su batallón, y este se hallase de servicio.” Se aprobó de este modo. ARTICULO DE OFICIO* Se leyó el art. 32 reformado con la indicación del señor Moscosd, como se ve en el 26 de la gaceta del 13 del actual. Habiendo resuelto el Rey que el Consejo de Estado Despees de su lectura quedó aprobado el arr. 34, por el proceda á la propuesta para las plazas de jueces de primera que se previene: que en las formaciones…</t>
  </si>
  <si>
    <t>Moscoso</t>
  </si>
  <si>
    <t>…las que diabia de estamparse en el libro.. potencias. El Sr. Cpr.tés nizp la observación de que la indicación Siguió el de la Gobernación , dando cuqnta muy por me apoyada por el Sr. Moscoso cuando se leyó el proyecto de nor en otra memoria del estado de los diversos ramos del contestación al Rey, no habia sido dirigida á negar á los ministerio de su cargo, detallando los esfuerzos y trabajos ministros .el derecho de proponer, en unión con S. M.,…</t>
  </si>
  <si>
    <t>…en tan críticas circunstancias El Sr. presidente levantó la sesión, citando para la ex se suscribieron. traordinaria , que debía celebrarse á las 8 y media de esta A petición del Sr. Moscoso se leyeron las bases estable noche. cidas por el Gobierno para el empréstito. ARTICULO CE OFICIO. El Sr. Berdú, omitiendo examinar si se.estaba precisa mente en caso de necesidad, y si convendría mejor apre El Rey ha expedido el decreto síguíenre: miar á los…</t>
  </si>
  <si>
    <t>…es á excluir de la sucesión A la corona", por decre’o de 18 Se dió principio leyendo el acta de la sesión anterior. de Marzo de 1812, A los Sres. Infantes D. Franci co de Paula El Sr. Moscoso advirtió que al hacer mérito en ella de no y Doña Alaría Luisa, se revocara aquella disposición, y se haberse admitido á discusión las dos primeras proposicio hicieran las declaraciones convenientes. Esta medida parecía A nes suyas, solo se decía tenian por o…</t>
  </si>
  <si>
    <t>…en puesto bajo su nombre aquellas expresiones, y deseando (D. Marcial), para que se establezcan jueces de hecho. Otra que no apareciesen con tacha en la opinión publica, pidió del Sr. Moscoso , dividida, en ochó .artículos, relativa á la que al efecto se hiciese mención en las acta . formación de un nuevo censo: un proyecto de ley propues El Sr. Tapia expresó que el artículo de Cortes no era to por Sarrallac, para evitar la impunidad de los delito…</t>
  </si>
  <si>
    <t>…el , debía no á un francés natural de Bayona, á quien se la habían entenderse 120 reales el primero y 80 la segunda. negado las Cortes anteriores por no estar casado con españo El Sr. Moscoso , suponiendo que no se debia adoptar la, lo que acreditaba ya en el día. por base para fijar el precio de importación la mayor ó A la comi.íon especial respectiva se mandó pasar un ofi menor abundancia de trigo sino la de numerario , concep cio del Gefe polít…</t>
  </si>
  <si>
    <t>…n por base la libertad absoluta de comercio , hacen tina no pudiendo despachar el trigo ni aun á iS rs. ; y contes excepción respecto de aquellos ramos en que no debe una tando al Sr. Moscoso, advirti &gt; que no era gravosa ia medi nación depender de otra, y de los que son absolutamente da, adoptada para las provincias septentrionales, pues ellas, necesarios para su subsistencia: puso por egemplo la pólvo especialmente Guipúzcoa, Navarra y Santander…</t>
  </si>
  <si>
    <t>…s se dirigirán, francos de porte, al Sr. alcalde consti una vez hecha la indicación por el Sr. presidente, se lea la tucional de dicha villa. de cualquiera otro diputado, y que el Sr. Moscoso habia Discurso canónico-legal sobre la autoridad episcopal en Jas hecho la siguiente: «Que pasea las comisiones de Hacien causas que correspondían al extinguido tribunal de la Inquisi da y de Legislación reunidas." Se aprobó). ción , y sobre el modo de conoce…</t>
  </si>
  <si>
    <t>…regulador, no exceda dicha sesión de no haber lugar á votar sobre la indicación de 80 rs., y el quintal de harina de 12c.” ‘ " del Sr. Villanueva. Siguió una discusión , en que el Sr. Moscoso reprodujo Se leyó también, y se mandó pasar á las comisiones de las observaciones que había hecho en el día 27, oponiéndose Guerra y Hacienda, la siguiente indicación del Sr. Arnedo: al precio señalado de 80 reales. Refutándole el Sr. Moreno »*Que la comisión…</t>
  </si>
  <si>
    <t>…ra introducir azúcar y cacao en la Pepuras del júbilo y entusiasmo que en todos despertó noti nín sula. cia tan satisfactoria: asi lo hicimos, si no á medida de Habiendo pedido el Sr. Moscoso, como adición, que á nuestros deseos, á lo menos como nos era posible, según ia comisión especial acordada ayer para examinar la exposi la situación en que nos hallábamos. Nuestro prelado el limo. ción y actas de la Junta provisional de Madrid se pasaran Sr.…</t>
  </si>
  <si>
    <t>…o exposición que se mand ; pasar á la comisión de Bellas Artes. ai , y siempre era una reforma el acortar este plazo. La comisión de Hacienda presentó á la con.tderacíoti Apoyó el Sr. Moscoso esta indicación, como la única de las Cortes, pareciendole el mas á propósito el dia en que que podia admitirse, pidiendo á su autor que tuviese á bien principiaba el segundo mes de sus trabajos , su dictamen sobre usar de la voz de permisos en vez de la de p…</t>
  </si>
  <si>
    <t>…e, 2 sargentos segundos, 3 cabos primeros, 3 civil creyera precisa la asistencia de los dos á las funciones segundos y un tambor:” se aprobó como estaba. públicas; lo que apoyó el Sr. Moscoso. Lo mismo se hizo con el artículo 7.0: «De 60 á 100 El Sr. Palarca leyó el art. 356 de la Constitución, en hombres será la fuerza de una compañía compuesta de ca que re prescribe al egército permanente la obligación de con pitán , 2 'ementes, 2 subtenientes,…</t>
  </si>
  <si>
    <t>…a á la consideración de la patria ” A la comisión de Diputaciones provinciales una exposi Se mandó pasar á ía comisión una indicación del señor ción de la de Galicia, leída por el Sr. Moscoso, pidiendo Bahamonde para que se habilite á la milicia- de estandartes se suspenda la división de partidos de aquella provincia has en lugar de banderas; expresándolo la comisión en-artículo ta q :e proponga sus ideas la diputación. separado, sin omitir el lug…</t>
  </si>
  <si>
    <t>…os de tropas de linca y los milicianos , unidos con la mayor ar provincia que no sean vecinos de la capital. monía en el profundo sentimiento de la independencia de Otras tres del Sr. Moscoso, dirigidas á que en vez d« la patria, presentaban el espectáculo de un egército anima percibir derechos los jueces de primera instancia, se les se do de un mismo modo de sentir, y pronto siempre á la ñale el sueldo competente, proporcionado al producto de def…</t>
  </si>
  <si>
    <t>…de í&gt; -ueros nacionales." zar ¡n A correr desde el en que con're haberse fijado e! edic .Se leyó por egunda vez !a siguiente del Sr. Moreno to en la capital del partido.” Otra del Sr. Moscoso al ar Guerra: «Pido que la cria de ínulas, hijas de yeguas, se tículo 14: «La liquidación se hará desn es de la subasta, ♦ •-deuda a todas las provincias de la Monarquía para el au con respecto al valor principal que se haya regulado i la mento de muía-, tan…</t>
  </si>
  <si>
    <t>…ución á sus discípulos y al público en su aula de fi crecidos ingresos á la Hacienda pública. Habiendo reclama losofía, y que los eclesiásticos seculares y regulares de esta do el Sr. Moscoso que se reunieran dos exposiciones de las villa dan continuas pruebas de su adhesión á las nuevas ins compañías de fomentadores de pesquería de Galicia, se acor tituciones. dó pasarlo todo á las comisiones de Industria y Comercio, Cdceres 24 de Agosto. á Jas q…</t>
  </si>
  <si>
    <t>…s, podrian ser perniciosas, uiera otra clase á que crea tener derecho cualquier dudasi por desgracia llegasen á degenerar. ano español ó extrangero sobre los vales cuya cancela El Sr. Moscoso pidió que se deshiciera una equivoca ción está anunciada hasta esta fecha; en el concepto que no ción que podía serle injuriosa ; á lo que contestó el Sr. pre se admitirán pasado este termino, y se procederá á su que sidente que popía esrar satisfecho de la b…</t>
  </si>
  <si>
    <t>…das necesarias . ciedades ¿'impresa y firmada por su presidente y-dos secre para proceder en el asunto con conocimiento. tarios. En cuanto al hecho en cuestión no tenemos duda; El Sr. Moscoso manifestó que ayer habia sido insultado mas para analizar su verdadera naturaleza, políticamente el Gefe político, y qué en su concepto tales sucesos ' podías hablando, debo ' recordar otro hecho ; á saber: qtle nos ha traer las mas funestas consecuencias; po…</t>
  </si>
  <si>
    <t>…e en cada pueblo, como po cepto la primera indicación señalaba.el. camino q ¡e debia dría suceder, partiendo de las mismas caucas, ¿quien po seguirse en el asunto; pero que la del Sr. Moscoso envolvía dría dirigirla-.' a un principio de uniformidad ? Cada una ten hechos : complicados de: naturaleza diferente de la indica dría su objeto particular, de lo que resultarían males sin ción anterior, pues aunque pudiera tener alguna relación fin, siendo…</t>
  </si>
  <si>
    <t>…a de Un lagar al pago del Charco del Novillo, término de palacio, ni en ninguna otra plaza ó calle. Montoro, con 422 olivos, viña é higueras. Se aprobó la siguiente indicación del Sr. Moscoso: «que Idem idem por I). Antonio Torr.dvo en Montoro. la sesión de Cortes del dia de hoy se imprima con prefe Un olivar de 9; pies al pago de Santa Brígida, al sitio rencia á cualquiera otro de los trabajos que deba despachar del Pozuelo, término de Montoro. l…</t>
  </si>
  <si>
    <t>…pectativa, sea ha dado en la sesión antetior, derogar estos derechos , queda en línea recta ó en línea transversa!. ban reducidos á una simple expectación, y es indudable que , El Sr. Moscoso dijo que esto sería lo mismo que dejar esta siempre es mayor en los sucesores en línea recta que en nulo en sus efectos el articulo aprobado ayer, no pudiendo los que están en la línea transversal. Asi que, le parecía ó. ver sus buenos efectos hasta que pasas…</t>
  </si>
  <si>
    <t>…e con arreglo al de aprobó el artículo. recho de gentes, y á los principios reconocidos por todos Asimismo se aprobaron los restantes del proyecto, que los pueblos. decían asi: El Sr. Moscoso opinaba que esto seria propio para el ar Art. 3.0 «No se exigirán á los ganados trashumantes, tículo 2*0, y el Sr. Martínez de la Rota insistir) en que cor estantes y riberiegos los impuestos, que con varios títulos respondía al primero ; pero el Sr. presiden…</t>
  </si>
  <si>
    <t>…er y yor el valor de ellas, conforme se ha hecho en las casas de Lac)t, no se aprobó por 52 votos contra 37 la indicación moneda desde el año de 1772 ; pues á no convenirse se del Sr. Moscoso: Que el nombre del general D. Félix oí va descontara por menor según pr etica. A la moneda que se rea Acevedo, comandante^en gefe del egárcito de Galicia y piesemare como falta con el nombre de factura, se ejecuta vocal de su junta de gobierno, se ponga en el…</t>
  </si>
  <si>
    <t>…sin que nadie haya tratado de impedirlo, den Riva, contrario á la resolución de no admitir á discusión tro de los muros mismos de una de las principales ciudades la indicación del Sr. Moscoso. de la Francia, en donde, como en todas partes , hay auto Quedaron ¡as Cortes enteradas, y se mandaron repartir ridades civiles y militares! Este es un horrible escándalo, los egeinplares remitidos por el ministerio de la Guerra del una pública calamidad, que…</t>
  </si>
  <si>
    <t>…a, ha conocido qne hay algunos en que puede hacerse una Vitorica á que se admitiera en los términos en que estaba; reforma, sin saber todavía hasta qué punto podrá llegar esta. el Sr. Moscoso, á nombre de la comisión, convino en ella; Tampoco pudo menos de poner á la vista que es necesario y previa la refutación del Sr. Calatrava al Sr. Vítorica, se siempre cierto aparato en las cortes extrangeras que no ha aprobó, mandando pasarla á la comisión.…</t>
  </si>
  <si>
    <t>…sido propuesto D. Juan Francisco Sánchez; la comisión En este momento regresó la dipumeion que habia opinaba, en vista de Lo que resultaba, que convendria dis ido á palacio; y el Sr. Moscoso, presidente de ella, dijo pensasen las Cortes los artículos correspondientes de la or que habia esta cumplido con su encargo, y que S. M. (a denanza general para el régimen de los colegios de cirugía, habia, recibido con el inas alto aprecio, tamo mas cuánto…</t>
  </si>
  <si>
    <t>…lugar á votar, acor parecer que sin accederse á la segunda parte de la solicitud, dando se devolviese á la comisión. debía pi'ar la primera á la comisión de Comercio, para que El Sr. Moscoso pidió determinasen las Cortes para qué la tuviera presente al tiempo de formar ios nuevos arance efecto se devolvía, con cuyo motivo repitió el Sr. Ochoa les. Asi se aprobó. que no se habia dicho todo lo que se debía; y después de La misma comisión , en vista…</t>
  </si>
  <si>
    <t>…perfeccionar la in men de Hacienda; y antes de entrar en el presupuesto del tención de otro; pero, no á usar de la invención, principal, ministerio de la Guerra, hizo presente el Sr. Moscoso, in asi como tampoco el inventor á usar de las perfecciones y dividuo de la comisión , que ofrecía esta á la deliberación de mejoras hechas por otro.” las Cortes cuatro cuestiones preliminares ¡tara poder ocu-</t>
  </si>
  <si>
    <t>…a constitucional, porque la Cons nada del presupuesto, atendiendo á la suma importancia titución previene que en las monedas se ponga el busto y del objeto sobre que versaba; y el Sr. Moscoso, individuo el nombre del Rey, y este es Fernando vii , por la de la comisión de Hacienda , dijo que aunque esta se ha gracia de Dios y por la Constitución de la Monarquía^ llaba convencida de la referida importancia , no habia poRey de las Espadas, sin nada d…</t>
  </si>
  <si>
    <t>Moscóso</t>
  </si>
  <si>
    <t>…acienda una exposición de la villa que hubiera sesión ex; raordinaria todos los días empezan de Ca«a'de Reina, eu la que hacia presente el mal estado do hoy-; y habiendo pedido el Sr. Moscóso que «010 pu de la co«tcha, y la enorme contribución que gravitaba so- dieran excusarse los diputados de asistir á estas sesiones por .tte e lia de 48,5 ^6 rs., siendo solo su población de rio ve enfermedad, se le contestó que asi testaba mandado por re cinos,…</t>
  </si>
  <si>
    <t>…para atender á ro la recaudación de rentas nacionales, presentada por D. N. dos los gastos, y evitar el mas leve perjuicio en el servi Gutiérrez. cio público. Haciendo presente el Sr. Moscoso lo recargada que esta Después de haber de-hecho algunas equivocaciones los ba la comisión ordinaria de Hacienda', se mandó pasar á la Sres. Ramírez Cid y el mini tro de la Gobernación . á que extraordinaria con los demas expedientes que no tuviesen contestó e…</t>
  </si>
  <si>
    <t>…e examinó, calculando el.gravamen Congreso hasta el dia; y en su consecuencia pedia que sé que debia ocasionar á la Nación; pero opinó á su favor, leyese. Después de manifestar el Sr. Moscoso alguna oposi con alguna modificación en los art. 1.’ y 2. y alguna re ción , se acordó por las Cortes su lectura. forma en el 5.0, pidiendo al efecto que se pasara á la comi Concluida esta, dijo el Sr. Castrillo que se oponía á sión de Hacienda un cálculo que…</t>
  </si>
  <si>
    <t>…s librerías de Castillo y de Ranz. atendida su perentoriedad, se discutiera con preferencia á todo Ensayo sobre la investigación y causas de las riquezas de las na otro asunto; el Sr. Moscoso reclamó también la urgencia ciones relativamente áEspaña, ó sea la economía universal teórica del dictamen de la comisión de Hacienda sobre Crédito pú aplicada á la nación española. Esta obra constará de nueve tomos, blico, que se presentaria de un dia á otro…</t>
  </si>
  <si>
    <t>…s, conviniéndose en.que la secretaría redactase solicitud igual dé los capellanes de Sto. Domingo dé la Cal- . el artículo con la aclaración' de que por los egemplares do zada. El Sr. Moscoso manifestó que la comisión ordinaria bles ó triples que citaba el artículo no se habia de llevar de'Hacienda habia presentado ya en la secretaría su dicta mas que el precio señalado en el mismo.' men sobre este puntó, por lo que se mandaron tener pre Ei 61° se…</t>
  </si>
  <si>
    <t>…io de la Gobernación de la Península, en que como ultramarino, 81 de 112; y habiéndose procedido al ponía en noticia de las Cortes que SS. MM. y AA. prose sorteo tocó la suerte al Sr. Moscoso. guían en el Escorial con la mas perfecta salud. Para suplentes quedaron elegidos los Sres. Navarro (Don La comisión de Infracciones de Constitución presentó Fernando), como peninsular, por 69 votos de 107 ; y Pino, su dictamen acerca de la queja presentada p…</t>
  </si>
  <si>
    <t>…o que pidió se tomase una providencia general -----Con motivo de la ceiebridad del cumple años de S. A. R. en este asunto. el Príncipe Real D. Pedro se empavesaron el dia 12 to El Sr. Moscoso manifestó que la comisión de Hacienda das las embarcaciones; los castillos tremolaron la bandera habia despachado ya el asumo del Monte pió; por lo cual nacional, y hubo salvas de artillería. se acordó suspender la resolución sobre esta exposición has ta la d…</t>
  </si>
  <si>
    <t>…importancia de este asunto se mandó estar ya atendida en el presupuesto de gastos de caminos y dejar sobre la mesa. canales. Las Cortes aprobaron el dictamen de la comisión de El Sr. Moscoso, individuo de la comisión de Hacien Hacienda acerca de la solicitud de la viuda de D. Felipe da , manifestó que habiéndosele mandado oír al coronel Canga Arguelles, opinando que se la declarase comprendi Jiiíin dei Cñstüíoy Rodríguez, sutor de los dos pnpe— d…</t>
  </si>
  <si>
    <t>Moscoso, Josef María</t>
  </si>
  <si>
    <t>Josef María Moscoso</t>
  </si>
  <si>
    <t>…encia por la poca ventaja que prometían sus resultados. D. Josef María Couto, suplente por el vireínato de Méxi- Los ingleses han aplicado á la prensa la acción de su máqui co , y D. Josef María Moscoso, diputado por ía provincia na de vapor, y por este medio se imprimen de algunos años de Galicia ; y en clase de suplentes a D. Fernando Navarro, á esta parte, con buen suceso, muchos diarios de Londres, diputado por la provincia de Cataluña, y á D. Miguel del…</t>
  </si>
  <si>
    <t>Moscoso, Joséf Martincz</t>
  </si>
  <si>
    <t>Joséf Martincz Moscoso</t>
  </si>
  <si>
    <t>…rear él ^gua á sus alojamientos, cuya distancia al manantial es de 1200 varas. A instancia dé la Sra. marquesa viuda de 'Negron , y envirtud de providencia de ip del pasado dél Sr D. Joséf Martincz Moscoso, magistrado honorario de la au diencia de Castilla la Nueva, juez •letrádq-‘de primera -instancia., refrendada del esciü* baño de provincia D. Manuel López de-fRjvas, ve ha acordado convocar á junta ge neral de todos los acreedores é interesados á la Tesramef…</t>
  </si>
  <si>
    <t>Moscoso, Josef Martínez</t>
  </si>
  <si>
    <t>Josef Martínez Moscoso</t>
  </si>
  <si>
    <t>…a provisional, nombro in- = terina y provisionalmente para jueces de primera.instancia- de esta^H. villa á los que lo fueron anteriormente de ella D. Manuel Fernandez de Gamboa, , D. Josef Martínez Moscoso y D. Julián Sojo, quienes prestando antes, el correspondiente juramento prevenido en laConstitujcion;;y decreto de las Cor tes generales y extraordinarias de 9 de Octubre de 1812, principien desde híégb á fe^írcer sus respectivas, judicaturas, administrando justicia con arreg…</t>
  </si>
  <si>
    <t>Moscóso, Josef Martínez</t>
  </si>
  <si>
    <t>Josef Martínez Moscóso</t>
  </si>
  <si>
    <t>…del Gobierno.” ,,Dios guarde á V. E. muchos años. Palacio 19 de Marzo de 1820.=; M. Jose£ María de Alós.” ¡t r • ____________ _____ ;____ . ...... ,. - . •' Por providencia del Sñ D. Josef Martínez Moscóso, juez letrado d&lt;5 primera ins tancia en esta muy heroica villa, refrendada del escribano de su número D. Martin Santin y Vázquez, se ha mandado hacer saber por este periódico que la junta de acreedores á la testamentaría del Sr. D. Pedro Alcántara de Chaves,…</t>
  </si>
  <si>
    <t>Moscoso, Joséf Martínez</t>
  </si>
  <si>
    <t>Joséf Martínez Moscoso</t>
  </si>
  <si>
    <t>…hallará á 8 cuar .tos en él referido despacho. / ~■------------■------------1--------- - - - - —- - -- ' ^ - * - -J - - - - - • ■ ■ .i 1 ■ ■ "Ml " ■*' En virtud de providencia del Sr. D. Joséf Martínez Moscoso, jtiéz letrado dé primera instancia en esta-muy heroica villa , refrendada del escribano D. Manuel Megía, se cita y llama á todos los interesados y acreedores de la cómpañíade Ja Suena Fe de artífices plateros de esta corte, restablecida conmuevo reglamento e…</t>
  </si>
  <si>
    <t>…para una junta general de acreedores á los bienes quedados por fallecimiento de D. Vicente Avecía* A instancia de la Sra. marquesa viuda de Ncgron, y en virtud de providencia del Sr. D. Josef Martínez Moscoso, juez letrado de primera instancia en esta muy he roica villa, se cita y llama á todos los acreedores é interesados en la testamentaría del Sr. D. Luis Melenfiez Bruna, marques que fue dé dicho título, radicada en la escribanía de provincia propia de D. Manue…</t>
  </si>
  <si>
    <t>…La audiencia de ValJadolid el día 2 del coró nente. Y la asamblea suprema de la orden americana de Isabel la Católica juró el dia 22. (Se continuará.) Én vi tud de providencia del Sr. D. Josef Martínez Moscoso, juez letrado de piimera instancia en esta muy heroica villa, refrendada del escribano del número D. Juan Antonio de Urraza, se saca á pública subasta por término de 30 dias, con tados desde 26 del corriente, una casa sita en la calle del Cristo de esta corte…</t>
  </si>
  <si>
    <t>…señala por último término para la feria loe dias 27, 28, 29, 30 y 3r; para que durante ellos , y no mas, .puedan verificar sus "'tratos. , •• *. / • V ■ ’ .' . Por providencia del Sr. D. Josef Martínez Moscoso, juez letrado én primera íns‘taritíÉMé esta muy heroica villa, refrendada de su escribano de número D. Jacinto Oaona- y Loe ches, se .ha señalado para el remate en venta ó en rentade unas casas en la'Vjlla de Pinto, sitas eñ su cálle que llaman de los Albañal…</t>
  </si>
  <si>
    <t>…admiten memoriales de preten tes 11 del corriente para la vista de la causa formada por el dientes por término de 30 dias. Palacio 7 de Julio de 1820. juez de primera instancia el Sr. D. Josef Martínez Moscoso contra Josef Rodrigo (ciego ), por la muerte violenta dada Con el plausible motivo de haber prestado ayer el ReY* á su mugev Lorenza Xareño en el cuarto de su habitación el juramento de la Constitución política de la Monarquía es el dia 13 de Mayo;de este año…</t>
  </si>
  <si>
    <t>…mida una exposición de la diputación provincial de Segovia en solicitud de la abolición de los diezmos, la cual ANUNCIOS. se mandó pasar á las comisiones reunidas de Hacienda y El Sr. D. Josef Martínez Moscoso, ministro honorario de Legislación. la audiencia territorial' de Madrid, y juez de primera instancia A la comisión de Poderes se mandaron pasar los del se de esta muy heroica villa, que conoce de los autos'del concurso ñor Rubin de Celis, primer suplente nomb…</t>
  </si>
  <si>
    <t>Moscoso, Josef Martinez</t>
  </si>
  <si>
    <t>Josef Martinez Moscoso</t>
  </si>
  <si>
    <t>…ado la sentencia 'siguiente; En la causa cri tidad de 11 ó 12Q reales, suponiendo que tenían alguna minal formada de oficio por -el juez de primera instancia prebenda ó dignidad-. D. Josef Martinez Moscoso, que por apelación ante nos va El Sr. Lasanta dijo que debia pasar á la comisión para que y pende contra Josef Rodrigo (ciego), natural de la villa dijera al Congreso lo conveniente, que fue lo que se aprobó. de Navalcarnero , de 32 años, por la muerte violen…</t>
  </si>
  <si>
    <t>…n poder bastante , concurran á ella apercibidos que de lo contrario les parará el perjuicio que haya lugar. En carta de 21 de Setiembre último, fecha en Mahon, Por providencia del Sr. D. Josef Martínez Moscoso , juez de Se dice que la aparición de un navio y fragata de guerra es primera instancia en esta muy heroica villa , refrendada de Don pañoles sobre Argel, en ocasión de que poco tiempo antes Cristóbal de Vicuña, escribano del número de ella, se cita, se habia…</t>
  </si>
  <si>
    <t>…l Crédito público para la extinción de la deuda nacional, según decreto de las Cortes de de Agosto ANUNCIOS. último, sitas en el término de las provincias que d Por el juzgado del Sr. D. Josef Martínez Moscoso , minis continuación se expresan, y pertenecientes al ramo tro togado honorario de la audiencia territorial, y juez letrado de mostrencos. de primera instancia de esta villa , y escribanía del número que á virtud de habilitación de S. M. despacha D. Juan de M…</t>
  </si>
  <si>
    <t>…que versa el expresado decreto, ANUNCIOS. es todavía su voluntad haga yo á V. E. las mas estrechas prevenciones sobre el particular, autorizándole , como se le Por providencia del Sr. D. Josef Martínez Moscoso, mi autoriza , para que según el espíritu y literal contesto de nistro.togado, y juez de primera instancia de esta M. II. villa, dicho decreto, resuelva y determine todas las dudas que dictada ante D. Feliciano del Corral, escribano de su juzgado, puedan ocur…</t>
  </si>
  <si>
    <t>…4 rs en el detpacho de la imprenta Nacional. Se suscribe en dicho des VARIEDADES. pacho , y en las provincias en todas ¡as administraciones princi pales y agregadas de correos. El Sr. D. Josef Martínez Moscoso, ministro honorario ds Concluyen las ideas sobre el Gobierno de Turquía» la audiencia territorial de Castilla la Nueva , y juez de primera Es un hecho sabido de todo el mundo que la Puerta instancia de esta capital, conforme á lo acordado en juma ge otomana v…</t>
  </si>
  <si>
    <t>Moscoso, Juan Marta</t>
  </si>
  <si>
    <t>Juan Marta Moscoso</t>
  </si>
  <si>
    <t>…ado por 6 'En las letras de Cambio que vengan del extrangero ó la provincia de Extremadura; para vice-presidente el señor de los dominios españoles ultramarinos, mientras en ellos D. Juan Marta Moscoso, que lo es p&gt;or la de Galicia, y no se halle establecido el uso del papel sellado para este ar para secretario el Sr. D. Miguel Cortés, diputado por la ticuló,’deberá ponerle la aceptación ó visto bueno en el provincia de Aragón, quien pone á continuación su…</t>
  </si>
  <si>
    <t>Moscoso, Si</t>
  </si>
  <si>
    <t>Si Moscoso</t>
  </si>
  <si>
    <t>…espués de haberla Conformándose las Corres con el dictamen dado por la ilustrado su autor, manifestaron los Sres. Toreno, Sancho y comisión de Poderes en vista de la solicitud del Sr. D. Si Moscoso los perjuicios que causaría su aprobación , ya por món de Codes, diputado por Ioledo, para que con arreglo la diferencia ae precios, ya por el mayor número de ma</t>
  </si>
  <si>
    <t>Móscosp, Jóséf Marunez</t>
  </si>
  <si>
    <t>Jóséf Marunez Móscosp</t>
  </si>
  <si>
    <t>…una-,y¡pa,en¡las.aguasjde Vaflecas;, de {nueve aranzadas, con 2380 cepas yivaá y 1 2oa.niarras ,eti 59Ó0. rs., y se.ha señalado* el dia; 25 del cor riente mes en la audiencia def Sr. D. Jóséf Marunez Móscosp^ juezlegado en pri mera instancia de esta muy heroica Villa, y hora de las 1 2 y media. " " 'l‘' WT’ EN LA IMPRENTA NACIONAL.</t>
  </si>
  <si>
    <t>Moscqso, Josef Martínez</t>
  </si>
  <si>
    <t>Josef Martínez Moscqso</t>
  </si>
  <si>
    <t>…ua mas que rodo la anti güedad de la población que allí habia, pues para que un ANUNCIOS. pais cultivado venga á parar en bosque es necesario el tras curso de mucho tiempo. Por el Sr. D. Josef Martínez Moscqso, ministro togado, Los franceses tenian antiguamente grandes establecimien juez de primera instancia de esta M. libró Ha, y escribanía de tos en el territorio de las seis naciones; y Dupuy asegura D Cristóbal de Vicuña , se ha señalado el 2Ódel corriente, á la…</t>
  </si>
  <si>
    <t>Mossión, Josef Martínez</t>
  </si>
  <si>
    <t>Josef Martínez Mossión</t>
  </si>
  <si>
    <t>…ctamen de la comisión de Uhramar dado costas camadas y que se causen hasta que tenga cumplido sobre la proposición que pre entó el Sr. Magariño en la se efecto todo lo mandado. El Sr. D. Josef Martínez Mossión del ió de Julio pa-ado (veuse) para que se concediese coso, ministro togado de la audiencia territorial de Castilla una amnistía general para toda La España ultramarina. La la Nueva, y juez de primera instancia en Madrid, lo mandó opinión de la comisión era ,…</t>
  </si>
  <si>
    <t>Mota, Francisco</t>
  </si>
  <si>
    <t>Francisco Mota</t>
  </si>
  <si>
    <t>…. Habiendo manifestado el Sr. Golfín que iba á hacer una Según la lista de las cantidades recaudadas por el comi proposición para que se aprobasen las ofertas hechas por los sario D. Francisco Mota y D. Buenaventura Martoreli para geies del egárcito de S. Fernando á sus soldados, se leyó erernizar la memoria del teniente general y héroe de la pa otra del Sr. Toreno que estaba ya puesta al despacho, pi tria D. Luis Lacy, asciende el importe de los donativos diendo que se aprobasen…</t>
  </si>
  <si>
    <t>Motezuma, Conde de</t>
  </si>
  <si>
    <t>Conde de Motezuma</t>
  </si>
  <si>
    <t>…uso de la autoridad, cuando emana de ella ; la Doña Ana Diaz, Doña Matilde Pertuza, D. Joset Benitez, «autoridad no es 3’a un yugo para tos súbditos , sino D. Gerónimo Colinas, el Sr. Conde de Motezuma, D. San «una regla que los dirige. Los hombres se reputan libres tiago Martin, D. Tadeo Sánchez de Escanden, D. Juan de «cuando solo los gobierna la ley. La sumisión los hace feliDios Trillo, D. Pedro López, D. Castor del Amo, el se «ces , porque en ella cifr…</t>
  </si>
  <si>
    <t>Motus</t>
  </si>
  <si>
    <t>…Los ha grabado Mr. E. Co lín, y se venden á seis francos en esta corte^ ESPAÑA. Algeciras 2g de Marzo. Ayer fondeó en esta bahía la fragata de guerra otomana nombrada el Asta, su capitán Motus, de porte de 44 cañones, y de 115 plazas, procedente de Alej andría y Gibraltar, con destino á Londres con regalos para el Rey de la Gran Bretaña; cuyo buque, habiendo permanecido incomunicado, ha dado hoy la vela para Gibraltar. Madrid j de AbrtL ARTICULO I&gt;…</t>
  </si>
  <si>
    <t>Mouliaá, Pablo</t>
  </si>
  <si>
    <t>Pablo Mouliaá</t>
  </si>
  <si>
    <t>…sionero, montado y armado de lanza, del que no pude, adquirir mas noticia qué la de que las familias se habían fugado con un día de anticipación huyendo de la sección del teniente coronel D. Pablo Mouliaá, que había .pasado por aquél punto. -V &gt; ,, La tropa llevaba dos dias sin comer mas que un poco'de maíz tostado, y encontrándome al amanecer del 28 hasta sureste pequeña recurso , calculan do que la infantería no estaba en estado dé continuar’ la. marcha; la…</t>
  </si>
  <si>
    <t>Mouliaa, Pablo María</t>
  </si>
  <si>
    <t>Pablo María Mouliaa</t>
  </si>
  <si>
    <t>…y todas las cañadas de estos cerros, debiendo caer á la hacienda de Jalpa, y de allí por el Varal al punto del * Potrero. Con el teniente coronel Villaseñor fue el de igual clase D. Pablo María Mouliaa y el de realistas Don Epitacio Sánchez y el indultado D. Marcelo González ; con la del capitán Ja bera no fue nadie por ser e&lt;te práctico dei Terreno; con la del capitán Nogue^rol fue el indultado D. Patricio GonzaLez y el prisionero hecho en Santa</t>
  </si>
  <si>
    <t>…ediación de dicha villa, y al oscure cer me puse en marcha para este punto, y á las dos de la mañana dividí mi fuerza poniendo 50 ínfimtes y 90 caballos á las órdenes del teniente coronel D. Pablo María Mouliaa, con la de que al romper el día se hallase sobre la altura del Potrero, para impedir la fuga de los rebeldes acantonados en la ca ñada de aquel nombre, en cuya entrada debía yo estar con el resto de la fuer za al frente de la posición á la misma hora. Así se…</t>
  </si>
  <si>
    <t>Mouliaá, Pablo María</t>
  </si>
  <si>
    <t>Pablo María Mouliaá</t>
  </si>
  <si>
    <t>…Cristóbal Viílaseñor. ,, Consecuente á cuanto manifesté á V. S. en mi oficio ¡de 25 del presente mes marcharon las tres secciones disponibles, mandadas la primera por el te niente coronel D. Pablo María Mouliaá, y las otras dos restantes por iní, con el objeto de dividirlas donde encontrase una noticia mas veraz que las que tenia hasta entonces del paradero o dirección del Dr. Magos (1). ,, Mouliaá tomó la dirección del puerto de las Palmas, y yo marché por el camin…</t>
  </si>
  <si>
    <t>…é dsba es.te aviso v se dirigían sobreestá jurisdicción. La cas na !i d ad q u iso q u e eil aquel día hubiese llegado aquí la sección que atengo-puesta á las órdenes dei teniente coronel D. Pablo María Mouliaá, y-un corto-destacamento á las de mi ayu dante el teniente D. Manuel de Lara, que estaba situado en S. Josef Zamar-ripa, 'con cuyas fuerzas, ün piquete de dragones'de-España, y la caballería del teniente coronel D. Epitacio Sánchez,-marché en aquella misma no…</t>
  </si>
  <si>
    <t>Moya</t>
  </si>
  <si>
    <t>…ser igual á la que se acababa de leer. servicio nacional de Marina? Luego se leyeron dos, que no se admitieron; la primera 27. ¿A qué sueldos ó gratificaciones deben optar, y de! Sr. Moya, y la segunda de los Síes. Gareli y Liñan, cuáles serán los derechos que percibí rán en los casos que es que dijo el Sr. Ledestua ser la misma del Sr. Villanueva. tán concedidos á los demás eclesiásticos? (Se continuará.) El Sr. Quintana presentó otra Indicac…</t>
  </si>
  <si>
    <t>…r. O-Da/y, relativa á la extinción segunda, y 6009 A la tercera, cuyas cantidades unidas com de ladrones y malhechores. ponen 1.790© rs. La comisión es de parecer que, sobre no Id Sr. Moya pidió que la resolución tomada sobre el ser excesiva esta cantidad, importa al decoro de las Reales estanco del tabaco y modo de formar las causas del contra Personas, A quien está consignada, que las Cortes la ratifi bando de este fuese extensiva á las provi…</t>
  </si>
  <si>
    <t>…vo. la izquierda. El pueblo miraba con particular satisfacción á ' Se leyó y mandó volver á su autor una indicación del S. A. R. el Príncipe Fernando, que iba de uniforme militar, Sr. Moya, reclamando las proposiciones que en la sesión y en cuyo semblante se veía pintada la ingenuidad y el can anterior se desaprobaron, relativas á aumentar el número de dor. ¡Ojalá llegue algún dia á ser el heredero de las virtudes diputados suplentes de América…</t>
  </si>
  <si>
    <t>…terio de que este es el verdadero sentido de la Constitución. Gracia y Justicia. El Sr. Calatrava contestó á esto que la comisión se ha Se leyó por primera vez una proposición del Sr. Moya, arreglado á lo que la Constitución previene, que no es la sobre amnisría para las tres clases de españoles, conocidos indagación, sino la información sumaria, y que la prisión con los nombres de afrancesados, persas, y disidentes de debe quedar pera después…</t>
  </si>
  <si>
    <t>…nisterio del mismo ramo, tución la concesión de la cruz de comendador en la orden reformado según las observaciones que algunos Sres. diputa americana de Isabel la Católica al Sr. diputado Moya. dos hicieron en su primera discusión. Se mandaron pasar á las comisiones correspondientes Según este dictamen, el presupuesto de Hacienda era de dos oficios remitidos por el Sr. ministro de Hacienda: uno i73-19i&gt;28i rs. vn. sobre la continuación del privileg…</t>
  </si>
  <si>
    <t>…de la sesión anterior, se man bert, Domínguez, Martell, Yuste, Castañedo, Freí re y dó pasar á las comisiones de Comercio y Hacienda reuni Lagrava. das la indicación siguiente del Sr. Moya: «Que sean com Para la de Legislación los Sres. Valle , Gareii, Manesprendidos entre los puertos habilitados del Perú ios llama cau , López ( D. Marcial) , Sandino , Echeverría , Navarro dos Guaimas, Paita y Pascamayo, conocido también con ( D. Andrés) y Huer…</t>
  </si>
  <si>
    <t>Moya, Agapito</t>
  </si>
  <si>
    <t>Agapito Moya</t>
  </si>
  <si>
    <t>…ito público, y por esta á las Cortes, opinaban que se A la comisión de Infracciones de Constitución se pasó pasase este expediente al Gobierno para que oyendo á la di una queja de D. Agapito Moya, vecino de la provincia de putación provincial de la Moncha, tomase las medidas con Murcia, contra el alcalde constitucional de los Hinojosos venientes. Quedó aprobado este dictamen. del Marquesado, y el juez de primera instancia de Belmente. El Sr. Díaz del…</t>
  </si>
  <si>
    <t>Moya, Cárlos Rodríguez de</t>
  </si>
  <si>
    <t>Cárlos Rodríguez de Moya</t>
  </si>
  <si>
    <t>…esde la publicación de este anuncio, se presente en el juzgado del Sr. D. Jo sef María Puente, del Consejo de S. M., alcalde en su Real Casa y Corte, y escri banía de provincia de D. Cárlos Rodríguez de Moya, para hacerle saber cierta pro videncia; con apercibimiento que sí no lo hiciere le parará el perjuicio que haya lugar. Se halla vacante el partido de médico de la villa de. Lumbreras de Cameros, pro vincia de Soria , con sus tres aldeas , que lji que tnas di…</t>
  </si>
  <si>
    <t>Moya, Juan Manuel de</t>
  </si>
  <si>
    <t>Juan Manuel de Moya</t>
  </si>
  <si>
    <t>…pos en que nó habla en España libertad , sino de Setiembre de i8ro; por providencia del Sr. juez de tina Continua lucha para establecerla), con la época del día, primera instancia D. Juan Manuel de Moya, del dia 29 de en que se hada ya establecida. Setiembre, se ha mandado, entre otras cosas, recoger cuantos Las mismas hermandades que se citaban, y la alternativa egemplares se hallan esparcidos de dicho papel, y que los con que algunas veces recibían de ella…</t>
  </si>
  <si>
    <t>…is Carreras, y remitido pa SECRETARIA DEL CONSEJO DE ESTADO. ra su calificación por el juez de primera instancia de dicha Cuenca1 del Perú. Por fallecimiento de D. Juan Ma capital D. Juan Manuel de Moya , á petición de D. Jacin nuel Díaz de Avecillas ha quedado vacante la dignidad to Cuarrero, denunciador del artículo inserto en dicho nú de deán de aquella santa iglesia catedral que obtenia en ella; mero, bajo el epígrafe Reflexiones de un mudo. Enterada cuy…</t>
  </si>
  <si>
    <t>Moyano, Esteban</t>
  </si>
  <si>
    <t>Esteban Moyano</t>
  </si>
  <si>
    <t>…rio el Señor I). Francisco de Ulloa, oidor decano de la Real chancillería de Vallado!id., que murió el 9 de Abril del año próximo pasado; dejando por uno de sus testamen tarios al Sr. D. Esteban Moyano, alcalde del crimen de la nysrna, k quien debe rán ocurrir en dicha ciudad, ó en esta corte á D. Justo Agudo*del Rio, agente de negocios de los'Real es.Consejos, y apoderado de los Sres. testamentarios del citado difunto Sr. Ulloa, que vive caile.de la Cruz,…</t>
  </si>
  <si>
    <t>Mqscoso</t>
  </si>
  <si>
    <t>…e lps secretarios del Cortes pertenecientes á Ultramar. l,as Cortes quedaron en Despacho» , teradas. Con este motivo indicó el Sr. Giraldo se insinuase Se leyó una proposición del Sr. Mqscoso , para que la al Gobierno que dispusiese la venta de .los tomos de decre del Sr. Golfín, sobre aprobar las promesas del gefe del ejér tos de Cortes que están impresos ', pues es muy necesario cito de S. Fernando á Sus tropas, fuese extensiva á las heque se co…</t>
  </si>
  <si>
    <t>Mr</t>
  </si>
  <si>
    <t>…sio nado por S. M., partió para la Grecia hace algún tiempo. El principal objeto de sus investigaciones parece que es la ciudad de Atenas, y allí encontrará á nuestro erudito vice-cónsul Mr. Fauvel, que seguramente le auxiliará en sus observaciones con el mismo zelo y oficiosidad que anteriormente le han debi do los señores Chateaubriand y Forbin. Como Mr. de Dreux es ya un artisia conocido por varias obras importantes en Italia, y ha de ver por…</t>
  </si>
  <si>
    <t>Núm. 2 [ f cuartos. J *97 GACETA DE MADRID DEL SABADO 26 DE LEBRERO DE 1820. ASIA. Batavia. i.° de Octubre. El teniente coronel Mr. de Lafontaine, comandante de las tropas de S. M. en Macazar, ha remitido ál Gobierno una relación de las operaciones mili tares que se dispusieron contra el perturbador Aboe-Bakar; en Iá cual se dice lo que sigue: ,,Hace muchos años que Aboe-Bakár era el ter…</t>
  </si>
  <si>
    <t>…es en sus derechos y deberes políticos. GRAN BRETAÑA. Lóndres 4 de Marzo. Después de una deliberación de cerca dé dos horas resolvió el Consejo privado de S. M., y anunció el vice-secretario Mr. Hobhoüse, que ocho de los conspiradores, á saber Thistlewood, Brunt, Davidson, Ings, Wilson, Tidd, Haríison y Monument fuesen conducidos á la Torre como reos de.alta' traición, cuya orden se realizó inmediatamente; yen seguida seis de los otros, que son Brad…</t>
  </si>
  <si>
    <t>…se en la sesión de la Cámara dé los Diputados de .este dia deh proyecto de ley presentado por los ministros relativo á la libertad de im prenta , pronunció un enérgico discurso el diputado Mr. Benjamín Constant, oponiéndose, al citado proyecto; y entre otras cosas dijo: ,,Hay tiranía en donde no hay libertad individual. Hay tiranía donde no hay libertad de im prenta. Esta tiranía produce siempre por resultado la depravación, el ter ror y ía degrad…</t>
  </si>
  <si>
    <t>…inaba rápidamente al pre no quedaba á los impugnadores otro recurso que el de mo cipicio, cuando por fortuna el Gobierno, de acuerdo con un dificarle en lo posible. Con efecto, el diputado Mr. Camilo Congreso nacional justo é ilustrado, adoptó medidas pru Jordán propuso: ,, que todo departamento se dividiera en dentes y conciliatorias, con lo cual se fue mejorando el es «tantos partidos electorales como diputados tiene en la Cátado de las cosas. «…</t>
  </si>
  <si>
    <t>…en los_ términos én que de bían hacer lá felicitación, acordaron también que se diesen - ■ '■■■' Stockolmo 2 de Junio.' - gracias á Mr. Wood par la generosa conducta que había El general Mr. de Suchtelen, ministro de Rusia cerda observado con la Reina. de'-nuestra JCdrté, se ha "decidido repentlnamertré á- hacer up En Brignron se al eró algún tanto la tranquilidad públi viagc á Sa¿f~ÍVtersburgo. Piénsa salir pasadó'mañana , y ca el día del anive…</t>
  </si>
  <si>
    <t>…mismo sentido. perior desechando su solicitud. Sin embargo otros dos del círculo delTreisam han obtenido el corre-pondiente permiso Idem 6 de Julio. para lo mismo, como también el catedrático Mr. Rortech, de Fribourg. . El Gobierno ha dado por fin públicamente el paso que Al abrirse la sesión Mr. de Gleichenstein suscitó la disr tanto había procurado evitar; y ha presentado al Parlamen puta de si podía el Gobierno aceptar las dimisiones de los to el…</t>
  </si>
  <si>
    <t>…re qué puntos se proponen hablar, porque seria entera ta como regular con el puerto de Cronstadt. mente contrario á los derechos de la Cámara que unos in r Acaba de llegar aqui el general Mr. de Suchtelen, nues dividuos de fuera viniesen á hablar en ella sobre un bilí su tro embajador cerca de la corte de Suecia. jeto á su deliberación. La Cámara resolvió que fuesen llamados los abogados PAISES — BAJOS—UNIDOS. de la Reina para que manifestasen lo…</t>
  </si>
  <si>
    <t>…a diputación provincial de Galicia, manifestando la aritmética, álgebra y geometría en la escuela. .Real de los enormes perjuicios qué se seguian de no admitir los in París con el profesor Mr. Chartrand, con la eondicion de tendentes la moneda de cobre en pago de las contribuciones. que se sujetase á un riguroso examen hecho por-tres.ptofe? A la misma se pasó la exposición de un ayuntamiento sores de matemáticas. de la provincia de Granada, manife…</t>
  </si>
  <si>
    <t>Mr, Ana González</t>
  </si>
  <si>
    <t>Ana González Mr</t>
  </si>
  <si>
    <t>…a noble Cádiz, y escribanía de D. Elias Izquierdo y Payan , se manda emprem. citar y emplazar á cualquiera que se considere con derecho para oponerse a la cancelación que pretende Doña Ana González Mr. Iskenterí, negociante establecido en Constantino Guirado de una escritura hipotecaria, que como apoderada depla , ha hecho y publicado una elegante traducción en su difunto consorte D. Josef Serafín Rodríguez, otorgó en 18griego moderno de la novela de Volta…</t>
  </si>
  <si>
    <t>Mr, Fergnsson</t>
  </si>
  <si>
    <t>Fergnsson Mr</t>
  </si>
  <si>
    <t>…los motivos de zar á los ministros para tomar las medidas oportunas con disgusto que existen al presente.” respecto á los intereses del Estado. En la Cámara de los Comunes hizo el general Fergnsson Mr, Benner, confesando que eran imprudentes y poco la proposición que habia anunciado, relativa i la comisión delicadas muchas de las expresiones proferidas por el indi de Milán - y reducida á que se suplicase á S. M. diese or cado vocal, observó que el noble lo…</t>
  </si>
  <si>
    <t>Mr, Fíeinming y</t>
  </si>
  <si>
    <t>Fíeinming y Mr</t>
  </si>
  <si>
    <t>…ocios extrangeros INGLATERRA. conde Engestroem, y de los consejeros de Estado conde Lagerbrink y Mr. Skoeldebrand. Los suplentes son los con» Lóndres 18 dejuíioi lejeros de Estado conde Fíeinming y Mr. Mocrner. Habiendo hecho lord Russel en la Cáriiárá dé ios Cóttiunes la propuesta de que se presentase al Rey una peti Alemania. ción para que se dignara acortar el arresto impueno á sir Manasses Lopes, por haber procurado cohechar á los elec Manheim 7 deJuli…</t>
  </si>
  <si>
    <t>Mr, Harrowby y</t>
  </si>
  <si>
    <t>Harrowby y Mr</t>
  </si>
  <si>
    <t>…la, con ánimo resuelto de privarnos en las tareas del Gobierno: convencido ademas de que si se de su existencia. Varios acontecimientos ocurridos en el mes retiran lord Liverpool, lord Harrowby y Mr. Canning ^co anterior nos patentizan esta verdad; mas las impotentes ma mo parece cierto”), no queda en las Cámaras partido suficien quinaciones de eslos seres viles todas han sido descubier te de amigos para sostener á los restantes ministros, no lia tas y d…</t>
  </si>
  <si>
    <t>Mr, Jaime Ardebot</t>
  </si>
  <si>
    <t>Jaime Ardebot Mr</t>
  </si>
  <si>
    <t>…eguridad de que las Ideas de la próxima legislatura Madrid 1 ó de Diciembre de 1820. presentarán él reverso de las de la última , presidida por Certificado de invención á favor de D. Jaime Ardebot Mr. Ravez , á quien con todos los de su partido Ies tocará el por la máquina hidráulica que ha presentado con el turno de formar la minoría, mediante la unión de liberales, título de hidropotai ministeriales y doctrinarios en un solo partido. Pronto debemos sali…</t>
  </si>
  <si>
    <t>Mr, Lagerbrink y</t>
  </si>
  <si>
    <t>Lagerbrink y Mr</t>
  </si>
  <si>
    <t>…S. M. se compone del ministro de Justicia ia escuadra turca; conde de Gillenberg, del ministro de Negocios extrangeros INGLATERRA. conde Engestroem, y de los consejeros de Estado conde Lagerbrink y Mr. Skoeldebrand. Los suplentes son los con» Lóndres 18 dejuíioi lejeros de Estado conde Fíeinming y Mr. Mocrner. Habiendo hecho lord Russel en la Cáriiárá dé ios Cóttiunes la propuesta de que se presentase al Rey una peti Alemania. ción para que se dignara acor…</t>
  </si>
  <si>
    <t>Mr, Lushington y</t>
  </si>
  <si>
    <t>Lushington y Mr</t>
  </si>
  <si>
    <t>…ona, remitida por el Sr. secre-una discusión acalorada. El procurador general se opuso á .tario de la Gobernación de la Península, para que se la exique respondiese el testigo. El doctor Lushington y Mr. Denma del derecho de 2J por too que debia pagar en la.com—inan defendieron que renian derecho para hacerla; añadienpra de una casa, con el fin de emanchar los dormitorios~do el primero que parecía que la causa de la Reina se.di de la casa de Beneficencia de…</t>
  </si>
  <si>
    <t>Mr, Navarro</t>
  </si>
  <si>
    <t>Navarro Mr</t>
  </si>
  <si>
    <t>…a aquí,” mas reserva y precaución de lo que requieren los asuntos se convino en que se expresase asi en el acta; á la que tam comunes. bién se mandó agregar el voto particular del Sr. Navarro Mr. Ber.net dijo : no ha sido mi intención atacar la peno- . ( D. Felipe), contrario á la resolución expresada. na del Rey ; pero he querido decir que todo el poder Real A las comisiones reunidas de Legislación y Guerra se se ha puesto en una de las balanzas, y…</t>
  </si>
  <si>
    <t>Mr, Trompton y</t>
  </si>
  <si>
    <t>Trompton y Mr</t>
  </si>
  <si>
    <t>…de las elecciones de Liverpool para el próximo Parla menta. tuvo á su favor Mr. Ganning .el día 13 una. gran mayoría de votos; seguíale el general Gascoigñe, y sus competidores el doctor Trompton y Mr. Ley latid les eran tan inferiores, que no hay probabilidad de que puedan ha«erles mal tercio. Con fecha de 13 del corriente escriben de'Manchester que en la tarde del mismo dia había llegado Hunt á aquella ciudad, y que acompañado de una turba numerosa'se di…</t>
  </si>
  <si>
    <t>Mtche'enn</t>
  </si>
  <si>
    <t>…mah'daíoripasará la comisión todos los ciudadanos ante la ley, no se dé lugar con la im las siguientes.' •» ¡ . punidad de los delitos á que se están cometiendo diariamen Lina del Sr. Mtche'enn: «Que el art. 19 vuelva á la co te ; y aun se extendieron á demostrar que si el carácter de misión , para que tomando en con ideracion los dotes que biera influir en algo, seria para que fuese mayor el casrigo ' entregan las monjas á su ingreso en los'convent…</t>
  </si>
  <si>
    <t>Mu</t>
  </si>
  <si>
    <t>…la Hacienda nacional, las C ines ¿ ma- como algunos Sres. diputados pedían que bajo la pena de pérdidas de empleo á los contadores, caje esta decisión se hiciera en el momento, el Sr. Mu oz Tor ros y demás. rero quiso que se leyeran los artículos de la Con'tiuicion Otra del Sr. Alvarez Guerra, dirigida á que no diesen que tratan de la formación de las leyes , para hacer ver que cuenta los secretarios de ninguna solicitud, memorial ni ex no po…</t>
  </si>
  <si>
    <t>…a tación es cíe 140 ¡anegas de trigo, con la precisa condición de España , c-.i lo que no convino el Sr. Ezpeleta. tener mancebo, y que el profesor no ha de ser soltero. Se di— El Sr. Mu parí ño probó la necesidad de establecer la mi rigirjti los memoriales al alcalde constitucional, y se proveerá licia nacional en Ultramar; y el Sr. Freire dijo que ya dicha plaza el 31 del corriente. cuaba aprobada por el Congreso, y debía regir igualmente L…</t>
  </si>
  <si>
    <t>…ietiiberacion de las noche. Cortes, pues no esraba bien exprajebi» c-rrr¡el artículo, opinó ‘Sesión del a a de Setiembre. el Sr. Calatrava que era precisa ladíadilbetrxíifrn, y el Sr. Mu ñoz Torrero pidió se pasara el cfcioid ¡Elfo ccomisfon de Le Se ley ó el acta de la ordinaria de ayer, á la que se man gislación para que propu-iera el lCícato pie debiari dar las dó agregar el voto particular del Sr. Puigblanch, contrario Cortes para el efec…</t>
  </si>
  <si>
    <t>Müans</t>
  </si>
  <si>
    <t>…presen bubón ; pero tanto allí como en Marruecos no hacia gran ten copia de la correspondencia del Gobierno con los comi estrado. sario1 regios que están en las islas Je nicas. Él general Müans llegó á Gibraltar procedente de Bue El conde Bathurst defendió con energía la conducta del nos-Aire*, y ha llegado aquí pocos días ná. general H. Maitland, gobernador de aquellas islas; y por Pamplona 26 deJulio. último fue aprobada la proposición del lord La…</t>
  </si>
  <si>
    <t>Mucelas, N.</t>
  </si>
  <si>
    <t>N. Mucelas</t>
  </si>
  <si>
    <t>…cartas , aplicados por Real dó pasar una queja del ayuntamiento de la villa del Espi orden á la conservación y continuación de las obras del ca-' nar, provincia de Burgos, contra D. N. Mucelas y otros, nal de Castilla , con toaos sus productos y arbitrios desti sugetos. nados á este objeto , sin que se les pudiese dar otro destino; Se leyó la minuta de decreto sobre el reglamento de la é igualmente Los productos de portazgos de Castilla para la mil…</t>
  </si>
  <si>
    <t>Mudge</t>
  </si>
  <si>
    <t>…húngaros, habituados á morar en la corte contribuirán á ello, y que el pueblo está poco ilustrado para apreciar su pérdida. , GRAN BRETAÑA. Londres é$ de Abril. Ha muerto el mayor general Mudge, uno de los mejores ingenieros que ha tenido la Inglaterra, y famoso por sus trabajos trigonométricos, en los cía les le prestaron algún auxilio varios sabios franceses. 1 El periódico de esta capital intitulado el Times asegura qué nada hay ya que temer de l…</t>
  </si>
  <si>
    <t>Mugartegui, EraÁébco</t>
  </si>
  <si>
    <t>EraÁébco Mugartegui</t>
  </si>
  <si>
    <t>…roblemas .fijando.el número de comisarios.dé guerra y ordenadores, el- publicados en la gaceta. , ¡ de los auditores de guerra,&amp;c. La orden de- 23 de Abril de Indicación hecha pot D. EraÁébco Mugartegui én la *0..1^14.4 relativa al establecimiento del depósito de beneficen cíedad patriótica del . Ferrol JÓ'jSavri- qüe por los gefes de cuer cia ruintar, ofreciendo' un premio á cada .Uno de loa dos po se aéuñ' estado mensual''dé récaúdacion ó inversión de gefe…</t>
  </si>
  <si>
    <t>Muller, Francisco Moreno</t>
  </si>
  <si>
    <t>Francisco Moreno Muller</t>
  </si>
  <si>
    <t>…el mismo del ege'rcito permanente o de la milicia nacional local, por proyecto. el capitán retirado D. Cayetano León. Memoria que tiene porobjero la solución del problema, Idem de D. Francisco Moreno Muller sobre el modo en que se propone si será conveniente la libre elaboración de asegurar la seguridad de los caminos. de la pólvora, ó bajo la dirección del cuerpo de artillería Indicaciones sobre compañías de obreros, por D. Juan y por cuenta de la Hacienda naci…</t>
  </si>
  <si>
    <t>Muñana, Pío Ximenez de</t>
  </si>
  <si>
    <t>Pío Ximenez de Muñana</t>
  </si>
  <si>
    <t>…de la referida ciudad de Tudela , en iQ rs. idein ; D. Antonio Rodríguez*^ teniente de idem ; D. Agus Otra heredad de árboles frutales, en Mosquera y sitio tín Santero, idem idem; D. Pío Ximenez de Muñana, del común , de 3 robos y 4 almudes, en la propia juris ídem idem; D. I-Ienrique Lefleer, comandante de aquel dicción, en 1950 rs. . resguardo; D. Fernando Puerta , D. Francisco García Cor Una casa en la Magdalena y Callizo del río de media radas, D. Francisc…</t>
  </si>
  <si>
    <t>Munarriz, Josef Luis</t>
  </si>
  <si>
    <t>Josef Luis Munarriz</t>
  </si>
  <si>
    <t>…dose la diferencia de 970® reales á Lecciones sobre la retórica y bellas letras por Hugo Blair: favor del erario, por hallarse los Gefes políticos reducidos las tradujo del ingles D. Josef Luis Munarriz. Tercera edición: al máximum j pero debiendo añadirse 35;®, producidos cuatro tomos en ÍJ.'5 prolongado Esta obra, señalada por texto por la nueva planta de la secretaría del Despacho, 10® para parala enseñanza en el plan de estudios de 1807, restablecido gas…</t>
  </si>
  <si>
    <t>Muñoz</t>
  </si>
  <si>
    <t>…osa en ambas cha en Santorcaz, haciendo presente que no podia venir al Españas. Congreso, como ya había expuesto al ministerio, por tener Se leyó asimismo por primera vez otra del Sr. Muñoz que pasar á Almonacid de Zorita para recobrar su salud. Torrero , reducida á que habiendo felizmente cesado las ra El Sr. Ramos Arispe hizo la indicación de que pasaran zone; políticas que motivaron el decreto de las Cortes de 18 á la comisión de Poderes los…</t>
  </si>
  <si>
    <t>…cudió á la Constitución, y citando el artículo 133 al leer que las Cor Por providencia dada en autos, y refrendada por el escriba tes deliberarán si se admite ó no á discusión, el Sr. Muñoz no único de número de la villa de F.squivias, se cita, llama y Torrero dijo que los proyectos remitidos por el Gobierno emplaza á Josef Portero, sus hijos y herederos, y á toda perso pasan á la comisión inmediatamente, y el presidente seña na que se considere…</t>
  </si>
  <si>
    <t>…iezmos. sar á la comisión ordinaria de Hacienda. A las que entienden en el asunto de bagages un proyec Concluida esta lectura , se volvió á entrar en la discu to presentado por el Sr. Muñoz (D. Pedro) para el mejor sión que habia quedado pendiente, y tomando la palabra el servicio militar en este ramo con el menor gravamen de los Sr. Navarro para deshacer una equivocación que habia pa decido el Sr. Larriva, dijo que entre los antecedentes que pu…</t>
  </si>
  <si>
    <t>Muñoz, Ana Ximenez</t>
  </si>
  <si>
    <t>Ana Ximenez Muñoz</t>
  </si>
  <si>
    <t>…n, reconocen de buena fe la doble imprudencia que co metieron, ya en admitir el comunicado sin tomar ames co granada. nocimiento y garantía de su autor, y ya en publicarle Idem de Doña Ana Ximenez Muñoz. en su periódico sin otro examen que el de rumores y noti Una casa , núm. 4 , calle de las Cruces. cias-, que después han aparecido inoficiales y exageradas, aca Idem idem de D. Bartolomé Ruiz Moron. so por la exaltación de algunos, ó por la malignidad de La…</t>
  </si>
  <si>
    <t>Muñoz, Diego</t>
  </si>
  <si>
    <t>Diego Muñoz</t>
  </si>
  <si>
    <t>…be considerarse como objeto de narquía, han nombrado para individuos de la Diputación utilidad todo lo que puede contribuir á perfeccionar ¡a pren permanente de Cortes á los Sres. D. Diego Muñoz 'I orrero, sa. Como este ingenioso mecanismo fue concebido y egediputado por la provincia de Extremadura; D. Josef de cutado desde el principio con tanto acierto, no ha sido Zayos, que !o es suplente por !a isla de Cuba ; D. Ramón preciso , ó álo menos nadie…</t>
  </si>
  <si>
    <t>Muñoz, Santiago Key y</t>
  </si>
  <si>
    <t>Santiago Key y Muñoz</t>
  </si>
  <si>
    <t>…z, como el conducto mas fiel para distribuir los socorros en aquella ciudad y pueblos inmediatos; y el cabifdo catedral de Sevilla propuso p3ra el mismo objeto en aquella ciudad á D. Santiago Key y Muñoz, que ademas extendió sus cuidados á Ayamonte por medio de una junta de caridad que se formó en esta última población.,, En manos de estos dos respetables eclesiásticos se han depositado, con • aprobación de V. M., las cantidades que ofrece el estado que ácomp…</t>
  </si>
  <si>
    <t>Munster</t>
  </si>
  <si>
    <t>…do el mayor talento en las varias é impor tantes comisiones de que ha éstadó eñtíargádó j siendo sus servicios sumamen te útiles á la Prusia. También merece particular menbiori él conde Munster, diputado de Hannover, que goza de gran reputación, y.celebridad por la multitud de negocia ciones en que ha intervenido; y asi por esto como por la estimación que ha merecido á :Já borté dé Inglaterra , "tiene mucho influjd y cónsideráciott ea : '»Alemania.…</t>
  </si>
  <si>
    <t>Mur, María</t>
  </si>
  <si>
    <t>María Mur</t>
  </si>
  <si>
    <t>…nes á una de las huérfanas de los militares ó patriotas que hubiesen muerto en defensa de la justa causa de la nación , ha cabido en suerte del primer extracto de la de este dia á Doña María Mur, hija del patriota D. Andrés, muerto en el cam po del honor. ARTICULO O B OFICIO. Circular del ministerio de Hacienda. ,,Ha llegado á noticia del Rey que algunos pueblos por equivoca-</t>
  </si>
  <si>
    <t>Murenco, Juan Luis</t>
  </si>
  <si>
    <t>Juan Luis Murenco</t>
  </si>
  <si>
    <t>…el oeste para emigrar hácia el oriente: al lle y 61,894: D. Juan Perez C ineda del 17,036 : D. Jaime Vagar á las orillas del Missisipí Se encontraron con los ira íenti del 17,039: D. Juan Luis Murenco del 19,359= D. Pas &lt; 4°»99^ y quese?, que tes disputaron el para, y emprendieron con ellos cual Moreno de.Mora del 19,431 , 39,433, I9»47i una porfiada y sangrienta guerra; y para continuaría con 41,020: D. Josef Antonio de Sta. María del 23,994', 23,999 y 24…</t>
  </si>
  <si>
    <t>Muría, Josef</t>
  </si>
  <si>
    <t>Josef Muría</t>
  </si>
  <si>
    <t>….teniente Jacinto Amaya, quien asi en la pérdida; como ,en Ja&gt;recupeTacion,;:de esta plaza ha dado pruebas de su intrepidez,, valor y a mor] al servicio; al subteniente sus penso D. Josef Muría do'jAroiasC,» que sédba portado enluna y éft chira acción con. la mayor ^bjzarría; al Lcabopiíimeroüde aftiíléna Clementevlguarán],- que en una y. otra acción * á; pesar de. í hadarse , en ferino , * ha manifestado ¡tanto valor, que en 4a pérdkia;de,la plaza…</t>
  </si>
  <si>
    <t>MUrtinei</t>
  </si>
  <si>
    <t>…donde se conviniesen todos loy Los- artículos i.° y 2.0 quedaron aprobados- siri discu vecinos por un acuerdo celebrado con solo este objeto, de sión ; pero leido el 3.% creyó'el-Sr. MUrtinei -de la Rosa jando asi á los pueblos en libertad de elegir este 4 otro que no podia aprobarse, eñ el supuesto dé quéa( cuerpo le medio para cubrir únicamente sus cargas municipales, pues gislativo solo correspondía acordar el náróero de buques, y tampoco se pe…</t>
  </si>
  <si>
    <t>Musquetier</t>
  </si>
  <si>
    <t>…erff. rio de la proclamación de! reino de Polonia del modo mas y al bergantín Caballo marino, bajo las órdenes del con solemne. Las numerosas tropas acantonadas en las inmedia tra-almirante Musquetier, encargado de reemplazar al con ciones de es-a capital se reunieron en un llano, donde se ce tra-almirante Wolterbock. lebraron los oficios divinos á campo raso. Corren voces de que para el mes de Agosto próximo se INGLATERRA* reunirá aquí una Dieta general.…</t>
  </si>
  <si>
    <t>N, J. M. G.</t>
  </si>
  <si>
    <t>J. M. G. N</t>
  </si>
  <si>
    <t>…iberales, que asienta con alguna ligereza en su cuarta carta. Se hallarán en la li brería de Razóla, calle de Preciados. El.experimentado cazador y perfecto tirador, compuesto por D. J. M. G. N.: obra útilísima á todo' aficionado a4 arte de cazar, por los varios secretos que en ella se manifiestan; método que sé debe observar para tirar corriendo y al vuelo á todo género de caza; para conocer en los montes, según las estaciones del año, dónde están e…</t>
  </si>
  <si>
    <t>N, Josef Francisco de</t>
  </si>
  <si>
    <t>Josef Francisco de N</t>
  </si>
  <si>
    <t>…e debíamos recorrer las épocas de nuestra his por el ministerio de Gracia y Justicia acerca de la facultad toria desde el establecimiento de la monarquía, descubrien que solicitan D. Josef Francisco de N. 3' Meñaca y el conde do en cada una de ellas el cpíri.u sucesivo de nuestra legis de Baños y del Montijo para permutar varias fincas vin lación política.y civil, y presentando en, bosquejo los bie culadas.</t>
  </si>
  <si>
    <t>Na</t>
  </si>
  <si>
    <t>j'O E! Sr. conde Je Toreno se opuso á la Opinión del Sr. Na cuando era mucho menor la deuda de la Nación, se ven vas , haciendo ver que no solo convenía tomar sus bienes dieron varias lincas de esta clase; y declarándose el punto por el estado de necesidad á que la Nailon se halla reduci suficientemente discutido, se…</t>
  </si>
  <si>
    <t>Nación, Ro</t>
  </si>
  <si>
    <t>Ro Nación</t>
  </si>
  <si>
    <t>…os en lugar de un sueldo fijo , siendo ella el lunes el Sr. presidente. de su cüenta los subalternos si los necesitan , con lo cual la No se admitió á discusión una indicación del Sr. Ro Nación ahorraría un gran número de empleados. Fue apro mero Alpuente, dirigida á modificar la fórmula del decre bado este dictamen á pesar de la observación del Sr. Za to de extinción de jesuítas, leído ayer. pata , de que eran mucho mayores las vejaciones en las ép…</t>
  </si>
  <si>
    <t>Naharro, María Francisca y Vicente</t>
  </si>
  <si>
    <t>María Francisca y Vicente Naharro</t>
  </si>
  <si>
    <t>…ulo siguiente. especial de Hacienda. 2.0 ,, Por los tratados matrimoniales de S. M. y de A la de Instrucción pública un arre de escribir de Don •SS. AA. las Sermas. Sras. Infantas Doña María Francisca y Vicente Naharro. Doña Luisa Carlota se han señalado para gastos de cámara, A la especial que entiende en el asunto se mandó pa- vestidos y alfileres 6409 rs. vn. A la primera, ííc9 á la íer una proposición del Sr. O-Da/y, relativa á la extinción segunda, y 6009 A la tercera,…</t>
  </si>
  <si>
    <t>Naharro, Vicente</t>
  </si>
  <si>
    <t>Vicente Naharro</t>
  </si>
  <si>
    <t>…i: «PenetraJos de las ventajas del nuevo Arte natural de escribir cursivo y liberal , dedicado á las método, y deseando introducirlo en nuestra patria para em Cortes generales por D. Vicente Naharro. Esta obra es tan plearlo en beneficio de los indigentes, la sociedad encarga sencilla y económica, que los mismos padres pueden enseñar ¡í da de establecer escuelas de enseñanza mutua, formada SUS biios en la mitad de tiernrso oye almrs a-ica l,.,n„_z con el…</t>
  </si>
  <si>
    <t>Nanni, Josef</t>
  </si>
  <si>
    <t>Josef Nanni</t>
  </si>
  <si>
    <t>…edumbre aprenda á eludir la sujeción de la ley, y cretario general; consejeros D. Donato Colleta, D. Luis para que arrebatada por un movimiento inconsiderado , de Siniscalchí , el barón D. Josef Nanni, y el abate D. Do genere en el desorden. Se sugerirán prisiones arbitrarias con mingo Minichini. , , tra individuos mal puestos en la opinión pública , para que Él presidente de dicho tribunal de Segundad publica ha el Gobierno, dejándose llevar del egemplo d…</t>
  </si>
  <si>
    <t>Naranjo, Roque</t>
  </si>
  <si>
    <t>Roque Naranjo</t>
  </si>
  <si>
    <t>…4. a Si tiene voz activa y pasiva un menor de 2 , años D. Francisco Delgado y Ayala: para el de Villaniieva de. y mayor ¿e 21, que es subteniente de milicias, con casa la Serena á D. Roque Naranjo : para el de Jerez de I s Ca-_. abierta y hacienda. balleros á D. Juan Gonzakz Miranda ;Zy’para el de Zafra á' Resolución. Que todo español, sea ó no militar, que D. Antonio Romero Prieto. te halle en el caso que expresa esta duda, y no tenga per Igualmente s…</t>
  </si>
  <si>
    <t>Narciso</t>
  </si>
  <si>
    <t>….las minutas, asi Estado sobre que se le exima del pago de media anata por como lambien las ac'as de las sesiones.” El Sr. presidente los honores de secretario del Rf.y; y otra de D. Narciso nombró para esta comisión á los Sres. Puiblancn,-Villade Arce, del comercio de Cádiz, sobre pago de ciertas nueva, C.lemencin , Tapia , Vargas Ponce, Martínez déla maderas que empleó el easreito de la Isla, cuya instancia Rosa y Priego. remitía el ministerio…</t>
  </si>
  <si>
    <t>Narganes, Manuel Josef</t>
  </si>
  <si>
    <t>Manuel Josef Narganes</t>
  </si>
  <si>
    <t>…rería de Collado, calle dé la Montera, á 4 rs- en rústica y á 6 en pasta. ^ Cartas sobre los vicios de la instrucción pública en España, y proyecto de un plan para su reforma, por D. Manuel Josef Narganes, un tomo en 8. , á 4 rs. en rústica.—-Discur&amp;ps morales, políticos é históricos de D. Antonio de Herrera, cro nista del Rey Felipe 11. Ademas, de la importante doctrina y noticias exquisitas que contiene esta obra es e! modelo mas puro de lenguage castellano:…</t>
  </si>
  <si>
    <t>Narice, Jacinto</t>
  </si>
  <si>
    <t>Jacinto Narice</t>
  </si>
  <si>
    <t>…y com calle de las Carretas, librería de Ortega. pañía, 320. D. N. P. Bassadone, 80. Los Sres. Muir Torry y compañía, 320. D. Isaac Hadwen, 320. D. Juan Duffield y compañía, 320. D. Jacinto Narice, 80. D. Guiller mo Gray y compañía, 640. D. Juan Haffenden y compa ANUNCIOSñía, 320. D. Carlos S. Middleton, 8o. D. Joaquín Bobadilla, 160. D. Diego Terry, 80. DI Jacinto Isnardy, 320. El heroísmo del amor filial. Isabel, ó los desterrados de SíD. Carlos Will…</t>
  </si>
  <si>
    <t>Naselli</t>
  </si>
  <si>
    <t>…os mayores aplausos de viv.t l.i Consii- esperando fuese mas fácil asi restablecerla tranquilidad publi luci'iv: viv.t l.i independencia.. Concluida' las ceremonias ca. El Excino. Sr. Naselli asegura que las tropas dieron prue religiosas, partió S. E., dejando en la casa del senado al te bas de amor y fidelidad ú la patria y al Rev, de valor y de niente general Church , al brigadier Cogli.ore y otros. El humanidad, virtude que adornan a! militar,…</t>
  </si>
  <si>
    <t>…r mar, la Reina, que del tribunal supremo de justicia y del alto tribunal militar, había presenciado las diligencias por e-pació de hora y me para investigar la conducta del lugar-teniente Naselli y la dia, se retiró acompañada de Lady Ana Hamilton. del general Cliurch. El testigo, aunque convino en que estaba encargado de En Catana, igualmente que en casi todas las ciudades preparar los baños, dijo que no se acordaba si habia en de Sicilia, fue recibi…</t>
  </si>
  <si>
    <t>…as de la reforma poli- Pa ris 11 de Diciembre. tica, y de una carta, en la cual enviaba una copia de la que E11 virtud de las reflexiones hechas por el periódico in le escribió el general Naselli, acompañada de ocho docu titulado Le Constittitionnel acerca del estado de las rentas mentos justificativos. de España, se desata de nuevo contra él otro periódico de Después de muchas propuestas, y de haberse leído va París, que está pronto A aprobar cuanto…</t>
  </si>
  <si>
    <t>Natale</t>
  </si>
  <si>
    <t>…gullo como del bajo duos que están presos con él; y el Sr. Dragonetti apoyó la temor. ( Aplauso gen. r.d.) proposición. El minisrro de lo Interior leyó una larga exposición, en El Sr. Natale propuso la abolición de las aduanas inte que present í un cuadro general de su departamento, v el riores ; y que componiendo la Sicilia una sola nación con Sr. presidente le manifestó que el Parlamento qir.- uba -.1las provincias del continente, las manufactu…</t>
  </si>
  <si>
    <t>…gran ducado del Bajo-Rin. el egércíto en actitud de resistir cualquier agresión enemiga Los regimientos 29 y.30 de infantería prusiana salieron el que pudiese sobrevenir: q.a del Sr. Natale ‘obre la aboli 17 del pasado de Coblentza con dirección á Sarre-Luis y ción de las aduanas internas, y la de toda especie de dere Tréveris para pasar desde allí á Luxemburgo, donde com chos de baronía en Sicilia: del Sr. Dragonetti para que. pondrán parte de…</t>
  </si>
  <si>
    <t>Natali</t>
  </si>
  <si>
    <t>…ejeros de Estado nunca pudiesen ser Troppau i.° de Noviembre: promovidos a ningún otro empleo. El día 26 de Octubre dio el Emperador una audiencia En la sesión del 30 dio parte el diputado Natali de una á todas las autoridades civiles y militares , que duró desde carta del mayordomo mayor del Rey , en la que avhaba al las 9 de la mañana hasta las 11 ; . y.después un espléndido Parlamento que en aquel mismo día recibiría S. M á la di banquete, al que a…</t>
  </si>
  <si>
    <t>Natile</t>
  </si>
  <si>
    <t>…ducción ó consolidación de! sistema re do á dicho comisionado civil, con la faeulrad de hacer veo pte-en tatú o. Pormoal, España, Ñapóles, los Estados-Uni de la fuerza militar. El Sr. Natile habló con la nvivor dos, Francia, Holanda, Inglaterra, Suecia, son buena energía contra la indicada contribución y -u ilegitimidad ; prueba de esta aserción; de manera que son ya pocos los manifestó lo mucho que halran sufrido los sicilianos, su Gobiernos que…</t>
  </si>
  <si>
    <t>Navar</t>
  </si>
  <si>
    <t>…os con solo este objeto. asunto el mismo que el de los 69; que no habia parecido A la comisión ordinaria de Hacienda se mandó pasar la orden ó resolución de S. M. que insinuaba el Sr. Navar una exposición de la diputación provincial de Segovia, so ro, y sí solo una parecida, pero dada respecto del gene licitando se perdonen varios delitos á vecinos del pueblo. ral Elío, que no era ninguno de los 40 presos en la ciudaA la Eclesiástica dos represe…</t>
  </si>
  <si>
    <t>Navarro</t>
  </si>
  <si>
    <t>…an inmediatamente declarados be y 2.i patria os bendecirá si cumplís vuestro juramento; neméritos de la patria-en grado heroico.” si no , sereis responsables d las leyes. Oria del Sr. Navarro (D. Felipe) «que se concedan tam Se aprobaron los artículos 40 y 41. Por el primero se bién á la memoria del coronel D. Joaquín Vidal, sacrifica previene que cuando haya dos ó mas batallones presten el do en Valencia, los honores que las Cortes declaren á los…</t>
  </si>
  <si>
    <t>…en que se celebrará la última junta preparatoria. Asi queda de la comisión encargada del exterminio de malhechores; rá formado y constituido el Parlamento , que dará principio del Sr. Navarro (D. Feipe) contra los cuatro artículos, y á sus sesiones el dia t.° de Octubre, conforme á los artícu del Sr. Freire, contrario al tercero. los 114, n 5, 117, 118,119, 120, 121, 122 y 123 de Se mandaron archivar los ejemplares correspondientes la Constitución…</t>
  </si>
  <si>
    <t>…con este y los que hubiera de su clase á una comisión especial para que Sesión del C de Setiembre. informara sobre todos. Se leyó el acta de la anterior, á la que se mandó agre El Sr. Navarro se opuso también, apoyado en la misma gar el voto particular de los Sres. Puigblanch, Florez Estra duda por parte de las autoridades, y porque el Rey, cuya da y Romero Alpuente, contrarios á no haber admitido decisión debía servir de norma antes de la reunión…</t>
  </si>
  <si>
    <t>…s, condecoraciones, gracias, puesto'ó mercedes que al general Acevedo;” la cual fue aprobada. obtenían al tiempo de decidirte á tomar empleo del gobier Se leyó o-ra indicación de) Sr. Navarro ( D. Felipe), en no intruso de Jo'ef Bonaparte; pues aquello' para que se estos términos: »Oue se inscriban en el «alón de Cortes, les habilita y declara en propiedad los derechos de ciudada de un modo que no cause deformidad á su arquitectura, nos españole'…</t>
  </si>
  <si>
    <t>…o empleo del Gobierno, unión del consejo hecha por S. M., sin aprobar el dictamen cualquiera de los que componían dicho cuerpo en el año de la comisión ni el voto particular; y el Sr. Navarro en la de tq. t y que recibieron algún empleo ó destino del Gobier destrucción que sufrió el sistema en el año de 1814, des no, se entienda que renunció en el mismo hecho.” Admiti pees de la cual conceptuaba habían perdido su derecho da á discusión, la suspend…</t>
  </si>
  <si>
    <t>…Mar mas perseguidas por los 69 ex-diputados, no podría cul tínez de la Rosa en'que no se verja el fin del procero. - pársele de parcialidad; que en los primeros dias de las se El Sr. Navarro (D. Fernando) se opuso á ella, diciendo siones habia hecho una proposición de amnistía general para que en su concepto seria dejar impune aquel gravísimo aten los americanos disidentes, emigrados á Francia , y ex- tado, al que por ningún motivo de justicia ,…</t>
  </si>
  <si>
    <t>Navarro, Fernando</t>
  </si>
  <si>
    <t>Fernando Navarro</t>
  </si>
  <si>
    <t>…nsa la acción de su máqui co , y D. Josef María Moscoso, diputado por ía provincia na de vapor, y por este medio se imprimen de algunos años de Galicia ; y en clase de suplentes a D. Fernando Navarro, á esta parte, con buen suceso, muchos diarios de Londres, diputado por la provincia de Cataluña, y á D. Miguel del sin que ningún impresor francés haya tenido la idea de Pino, que lo es suplente por el vireínato de Buenos-Aires. aprovecharse de esta invenció…</t>
  </si>
  <si>
    <t>Navarro, Francisco</t>
  </si>
  <si>
    <t>Francisco Navarro</t>
  </si>
  <si>
    <t>…y Romero; en Barcelona á casa de D. Narciso Oli va, calle de la Platería; en Zaragoza á la de D. Pedro Marín del comercio, junta al arco de Sto. Dominguito, y en Valencia á la de D. Francisco Navarro , calle de Caballeros. Igualmente se avisa á los suscriptores que se hallan sin algunos de los últimos tomos que han salido á luz, que si en el término de dos meses de este anun cio no pasan á recogerlos, no podrán reclamar el derecho de suscriptores, y solo…</t>
  </si>
  <si>
    <t>…a; en Cádiz S la de Zaragoza; en Santiago á la de Rey y Romero: en Barce lona á casa de D. Narciso Oliva : eh Zaragoza á la de D. Pedro Marín , del comercio, y en Valencia á la de D. Francisco Navarro. . ^ Auto de fe celebrado en Logroño en los días 7 y 8 de Noviembre de xtfio, é ilustrado con notas por el bachiller Gines de Posad!lia, natural de Yébenes. En este precioso documento se puede ver, corno dice el prólogo, lo quedos siglos hace creía el vulgo,…</t>
  </si>
  <si>
    <t>Navarro, Juan</t>
  </si>
  <si>
    <t>Juan Navarro</t>
  </si>
  <si>
    <t>…ez, de 19 años, y 4 de escue ayuntamiento constitucional de ella. la; D. Mariano Gutiérrez, de 13 años, y 4 de escuela, y Elementos de la moral universal, ó catecismo de la natura D. Juan Navarro, de 26 años, y 2 y 9 meses de escuela. leza. Dos objetos se propone el autor en esta obra. 1Manifes Asimismo comulgó en el propio día una niña de Mála tar qué obligaciones tienen entre sí los Soberanos y las nacio ga llamada Doña Gertrudis Gómez, sordomuda de…</t>
  </si>
  <si>
    <t>…cula pados los independientes; pero estos-, con ei objeto de evi ridad en el úir-imó ramo de ios referidos el sordo-muáo tar toda efusión de sangre, enarbolaron bandera blanca , á D. Juan Navarro. Sucedieron á esto lis demostraciones de cuya señal rindieron sus armas los realistas, y se juntaron cómo aprenden á leer y pronunciar al mismo tiempo ; co á los insurgentes. El gefe de aquellos el duque Fuerte- piaron en el encerado caracteres de todas ciase…</t>
  </si>
  <si>
    <t>Navarro, Justo María Ibar</t>
  </si>
  <si>
    <t>Justo María Ibar Navarro</t>
  </si>
  <si>
    <t>…1 x oficiales que actualmente existen, pro i A ía comisión primera de Legislación , una exposición del ducen él aumento de 299©; pero que si se doraran los mis consejero de Estado D. Justo María Ibar Navarro para mos 21 oficiales por el me'todo antiguo sin dividirlos en sec que se dec’are no serle incompatible la depositaría que ha ciones, costarían 26© rs. mas anualmente: por último al to estado sirviendo de la testamentaría del Infante D. Gabriel. tal de sueldo…</t>
  </si>
  <si>
    <t>Navarro, Mariano</t>
  </si>
  <si>
    <t>Mariano Navarro</t>
  </si>
  <si>
    <t>…í, D. Josef Aivarez Reyero , D. Cárlos Casaprin y González, D. Rafael Rodríguez Solís, D. Josef Canals y Mayéis, D. Rafael Galinno y Guillelmi, D. Francisco Rívadeneira y Acevedo, D. Mariano Navarro "y Avellañ, D. Juan Basco y Sarria; Den Ramón Nuñez de Haro, D. Josef Rulz del Burgo y Basabrú, D. Benito Osma y Osma, y el soldado distinguido de la misma arma D. Benito de XJrrutia y Franco, que han concluido el curso general de estudios, ha tenido á bien p…</t>
  </si>
  <si>
    <t>…los mas útiles para montar algunos dragones de mi com pañía. , ,, Todos los oficiales y tropa qué me acon r iñaban son dignos de la ma yor recomendación, y entre ellos él alférez D. Mariano Navarro, queá pesar dé no ir empleado me ayudó en cuanto fue posible, y el paisano D. Tomas González, que sufrió la penosa expedición del Tajamanil, y el prisionero ula de dicho cerro, pues por su buena dirección conseguimos la total ruin» fe aquellos: todo lo que po…</t>
  </si>
  <si>
    <t>Navas</t>
  </si>
  <si>
    <t>…abitantes de este pueblo han sido sorprendidos con introducir á dichos diputados en el Congreso, con cuyo el acontecimiento siguiente: á corta distancia del pueblo motivo pidió el Sr. Navas que se quitase la barra; y habien habían colocado algunos cazadores bajo de tierra una tram do contestado el Sr. Cepero que no había en el reglamentó pa para coger lobos: al ir á reconocerla se encontraron den ningún artículo acerca desemejante distinción , p…</t>
  </si>
  <si>
    <t>…sa, por ser en una de las primeras oficinas, y, tes de la población de aquellas provincias, que esta debia atribuirse no al ministro, sino al oficial ó - Se leyeron otras tres del Sr. Navas: primera para que escribiente que hubiese extendido el oficio, insistió en que los, diputados no pudierati a'dmitir empleos de provisión del se respondiera modificando las expresiones; y por último Rey desde el día en que conste su nombramiento en la se se ap…</t>
  </si>
  <si>
    <t>…cimiento , y ofreció que reunidos [os datos se ocuparía , con inmediatamente en veta de su urgencia, recomendada por la comisión, en el examen del Crédito público; pues sin él, el Sr. Navas; y á petición del Sr. Calatrava se pasó á la co añadió , nada podemo' hacer, y mucho menos en el estado misión de Legislación para que dijera su dic amen acerca en que se halla en el dia. de los demas puntos, sin perjuicio de señalar dia para nom Se 3probó la…</t>
  </si>
  <si>
    <t>…ón de Se dió cuenta del dícramen de la comisión de Legisla Legislación. : ción, sobre haber representado el Sr. Abad y Queipo para Se leyeron por segunda vez las proposiciones del Sr. Navas, que se le exonerase del cargo de diputado por su falta de dirigidas A que no se pudieran admitir empleos de provisión oído; v resultando cierto lo que exponia dicho Sr., opinaba Real por los diputados desde el dia en que constó su elección que defcia acceder…</t>
  </si>
  <si>
    <t>…del Sr. Diaz Morales para que reno Guerra, sembró en otra época un obispo el germen fe •e preguntase al secretario de la Gobernación qué medidas cundo que destruyó el sistema. El Sr. Navas, notó que en se habían tomado para llevar á efecto la resolución de las una copia impresa que acompañaba de la contestación, se Cortes de 4 de Enero de 1813, sobre reducir los terrenos habia faltado al reglamento de la libertad de imprenta; baldíos y comunes…</t>
  </si>
  <si>
    <t>…timo, que no habia en su concepto peligro alguno, aun hasta que aquel se presentase; después de una discusión, en que se debía mirar con atención aquel proyecto. Las Cortes que ej Sr. Navas, rectificando una equivocación del Sr. Gi oyeron con agrado la exposición del Gefe político, y la raido, hizo ver que solo estaban privados de ser miembros oferta de la séptima compañía de la milicia del Ferrol. de las juntas de. Censura los empleados con jur…</t>
  </si>
  <si>
    <t>…o qüe se oyera á los sabios plan referido. El Sí. Clemencin- manifestó que este fue pre y corporaciones literarias. sentado á las Cortes anteriores de*puesde formarse el proyec El Sr. Navas manifestó que las alteraciones hechas por to cuya ditcusion estaba señalada para hoy, por lo q_e lá la comisión no debían entenderse como adiciones, sino co comisión de aquella época no pudo tener e presente; pero mo observaciones de diputados particulares co…</t>
  </si>
  <si>
    <t>…as indicaciones. vales era el de su renovación . y de los demas créditos de La comisión Eclesiástica present í su dictamen sobre la bia proponerle la junta del Crédito público. El Sr. Navas solicitud de las monjas deSta. María de Gracia de la ciudad pidió se dijera qué reglamento citaba la comisión , y el se de Bauza, que pedian su secularización: la comisión opi ñen- Sierra Pambley respondió que el de 13 de Setiembre naba que el decreto de S. M…</t>
  </si>
  <si>
    <t>…a la propuesta de los El Sr. Toreno redujo la discusión á e-tos tres puntóse que hubiesen de completar la de Cataluña. i.° A la aprobación de lo que se ha hecho en estos cuatro El Sr. Navas manifestó que habiéndose dado parte á meses: 2° á que sean habilitados interinamente hasta que se la Junta suprema de los nombramientos hechos para la de nombre la junta de Censura; y 3.0 á que sé haga realmente Cataluña, habia contestado aquella que no tenia…</t>
  </si>
  <si>
    <t>…lante el reclamar algunas otras pose ridad de las mismas, y se encargase la pronta formación del siones.” código militar. El Sr. Zapata hizo presente que bien conocieron los se El Sr. Navas manifestó que desde el arto de 181 o, en ñores diputados que formaron este artículo de la Constitu que se estableció la libertad de imprenta, es vocal de la jun ción el alto grado de las personas con quienes trataban, y ta suprema de Censura, y en tanto tiemp…</t>
  </si>
  <si>
    <t>…libertad el restituirse al seno de sus familias. Ñapóles 2$ gión con las armas en la mano; lo que después apoyó y de Julio de 1820. = Firmado. = El duque de Campochia amplificó el Sr. Navas, diciendo que seria dar una idea de ro. = Sr. Príncipe de Scilla. = Madrid ” que volvíamos al siglo ix ó x, porque la religión no se defien Lo que se hace saber á todos los interesados que pue de con las armas, sino las personas que la profesan ; y que tan da…</t>
  </si>
  <si>
    <t>…untos coronel el de ocho días de prisión al que abandonase la centinela; Gorri y el general D. Josef Aguirrc." á lo que contestaron los Sres. "Quiroga y Florez Estrada. Y otra del Sr. Navas para que se tenga cambien pre- Se aprobó también el 5 2 , que trata Jel castigo de! cen-</t>
  </si>
  <si>
    <t>…ntendido, y dispondréis se imprima, publique y les , y excitando á lo mismo á los ayuntamientos; y habien circule.=Rubricado de la Real mano =En Sacedon á 1 2 de do manifestado el Sr. Navas que todos sus artículos habian Agosto de 1820.” A D. Josef Canga Argiielleí.^De Real sido aprobados en la época citada, se acordó que buscara orden lo comunico á V V. SS. para su inteligencia y exac la secretaría el decreto de que hacia mérito; y se levantó t…</t>
  </si>
  <si>
    <t>…primir los días Festivos. El Sr. Martínez de la Rosa dijo que á la tercera lectura Se leyó por primera vez la siguiente proposición del se probablemente se hallarla impreso ya; el Sr. Navas, qce ñor Vargas Poncc: «Pido que unidas las dos comisiones podría no e-tar aun: el Sr. Cortés, que por punto general de Legislación y.Guerra, propongan medios para que obe debía imprimirse por separado, y repartirse £ los ¿i puado» decida la Constisucion , no…</t>
  </si>
  <si>
    <t>…de la acade discusión , propusiera lo que estimase conveniente , y á la mia de Logroño, en que ofrecía á las Cortes la traducción misma se mandó pasar la siguiente indicación del Sr. Navas; que está haciendo de la obra de la misma ciencia, que sirve «Lo que se pague por derechos, con arreglo á los aranceles, de texto en la escuela politécnica de Francia, se acordó se entrara en la tesorería general.” esperara á que presente la obra para tomar r…</t>
  </si>
  <si>
    <t>…o por el Sr. Calatrava : «El escuadrón creado por glo al tíe vecinos, se salvaría el inconveniente que hacia pre el general Riego será uno de los que forman alguno de los sente'el Sr. Navas, aumentando los electores en proporción actuales regimientos de caballería, el cual tomará desde en á los mili tares que hubiera para elegir. tonces el nombre de regimiento de la Constitución ,” el que Continuaron la discusión los Sres. Dolarea, Palarea, se a…</t>
  </si>
  <si>
    <t>…res en línea transversal un ínteres tan directo , era preciso se haya hecho la elección.” compensarlo con este impedimento que ponían. Con estas No se admitió A discusión otra del Sr. Navas: «Si el ac reflexiones, y la lectura de un trozo del. informe que habia tual poseedor falleciere sin haber dispuesto de la mi ad de presentado la comisión, concluyó diciendo q te no le pare los bienes antes vinculados, pasará también esta mitad al cía que los…</t>
  </si>
  <si>
    <t>…spués de haber oido á la Jun rido los individuos vocales de las juntas en el decempeño de ta provisional y al consejo de Estado, que se prevenga á sus funcione1;" y á petición del Sr. Navas re puso la pala todos los prelados de las Españas q :e se arreglen al contes bra dichas juntos en v¡.z de las juntas \ pero no hubo lu to literal del art. 2. del citado decreto de 22 de Febrero de gar á votar &gt;obre esta otra parte del mismo artículo, »á fin 1…</t>
  </si>
  <si>
    <t>…n agrado, una estadística de la provincia de Gra poteca , ó como estipulen las partes.” nada , remitida por el ministerio, y trabajada por D. Fran Se leyó por primera vez esta del Sr. Navas : «Que se cisco Dalinau. El Sr. mini-tro de la Gobernación de Ultra declare nula la ley 22 del título i.°, libro 10 de la Novísi mar la recomendó como un modelo. ma Recopilación , por la cual se exige el juramento de! deu A la segunda de Legislación una repre…</t>
  </si>
  <si>
    <t>…Pambley, en que demarcaba los pastos que debían exceptuar tan sabiamente habian demostr¡jo&lt;r)Qtr,'«s q ’te 1 tí precedieron. se del aprovechamiento de los ganados trashumantes. El Sr. Navas fijó su atencicj&amp;,(( Isaipa! abra, todos del ar Se leyó la siguiente indicación del Sr. Carrasco: «Que ticulo, porque ademas que nocs^sel áirinoo de la comisión los bueyes de carretería no deben disfrutar de otros pastos el comprender en esra suprema ¡U;* mon…</t>
  </si>
  <si>
    <t>…ales derechos; por lo que terminó apoyando el artículo Morales, Arnedo, Torrens, Ugárte (D. Agüstin), Rodrí en su totalidad. guez de Ledesma, Temes, Govantes, Clemente , FondeviEl Sr. Navas aclaró algunos de sus principios que habia Ja , Navarro (D. Fernando), Michelena, Rey, Navarro atacado el Sr. presidente; y preguntando después si estaba £ D. Felipe), Solana, Moreno Guerra, Medrano, Ochoa, el pauto suficientemente discutido, se declaró no es…</t>
  </si>
  <si>
    <t>…r bierno decidir lo que proponia el Sr. Cantero en otra indi 68 votos contra í q. cación : «Que se declare no estar comprendidos en el artí Se leyeron también dos indicaciones del Sr. Navas; una culo i.° los comendadores del hospital del Rey, extramu para que al arr. r."* se añadiese; «y de los canónigos regla ros de la ciudad de Biírgos, ios cuales no son regulares.” res de S. Agustín , ” y otra que "decía: «Los monges que No fueron admitidas á…</t>
  </si>
  <si>
    <t>…s hasta que esten completamente tamiento. pagadas las asignaciones que expresan los cuatro artículos Dictamen y proyecto de ley sobre libertad de imprenta, anteriores:” y otra del Sr. Navas, «que se haga alguna asig presentados á las Cortes por la comisión de este nombre, y mandados imprimir de orden de las mismas. Véndese á 3 rs. ennación á los novicios de las órdenes militares, ó se les com el despacho d-e la imprenta nacional.pense por una ve…</t>
  </si>
  <si>
    <t>…ministro, no podía menos de advertir que no contrario á las resoluciones que recayeron acerca de la pri es el mejor médico el que mas sabe de medicina, sino el mera indicación del Sr. Navas y á la del Sr. Fagoaga. que mejor conoce el estado del enfermo; y asi es que mu Se mandó quedar sobre la mesa el oficio del Sr. minis chas veces no se atreve á aplicarle los remedios que están tro de Hacienda, en que daba parte de haber sido propues mas indic…</t>
  </si>
  <si>
    <t>…unidades no los tenían en propiedad, sino en mera construcción de varios caminos. administración, ó como un depósito para distribuir sus Se leyó por segunda vez la proposición del Sr. Navas, fondos. leída por primera en 20 del corriente, y se mandó pasar á Continuaron la discusión los Sres. Rey y García Page, la comisión á que se encargó la indicación del Sr. Priego de manifestando este que no tenían gran fuerza las razones ale dicho dia. gadas…</t>
  </si>
  <si>
    <t>…Sr. secretario de Hacienda que se debe hacer votar sobre esta indicación; y tampoco se admitió á discu una distinción entre lo que son los sueldos que. perciben los sión otra del Sr. Navas, después que explicó los motivos embajadores, y lo que esria agencia general de Roma, y por los que se resolvió á proponer: «Que el testimonio'legal observó que si esta sola ha podido dejar un gran número de que según costumbre remi e el Gobierno que'reclama…</t>
  </si>
  <si>
    <t>…á causa de que estaban bastante in cial á la libertad de imprenta. Después de lo cual, y de otras completos por la dificultad que siempre hay de hacer una iguales reflexiones del Sr. Navas, se aprobó el artículo, y cosa exacta cuando aun no se ha experimentado hasta qué también sin discusión el tercero , que decia así: Art. 3.0 «No punto se puede abusar de esta libertad ; y que en cuanto á drá negar el ordinario esta licencia sin previa censura…</t>
  </si>
  <si>
    <t>…la el número de jurados sea triple del de regidores.” Nación.” La apoyaron los Sres. Ezpeleta y Moreno Guerra; pero El Sr. Golfín, apoyando al Sr. Medrano, fue de pare se opuso el Sr. Navas, considerando que en este caso el es cer que las diputaciones provinciales, y no los ayuntamien-'- critor de una capital de poco vecindario , y por consiguien tos, nombrasen los jurados; pues siendo mayor número el te de pocos regidores, no tendria tanta segu…</t>
  </si>
  <si>
    <t>…e por los jueces de hecho y de derecho con arreglo áesta ley.” se impusiera un mes de prisión; no fue admitida : otra del El Sr. Zapata fe opuso á que los eclesiásticos fuesen juz Sr. Navas, pidiendo que en los artículos 14 y 15 se exclu gados por ¡os ¡ucees de hecho, perdiendo asi su fuero, y yesen los tres grados, y en los 21 y 22 las penas corres pidió que volviese á la comisión á fin de reformarlo; pero pondientes; tampoco se admitió: otra d…</t>
  </si>
  <si>
    <t>…sobre el indulto cua tes de las administraciones, y superiores A ellas, lo mismo dragesimal. que ¡as de provincia, y que intervengan en el despacho ma« Se leyó una indicación del Sr. Navas, que decía: «Que terial de las mercaderías. el Gobierno fije los puntos en que se han de establecer las 5.0 «Que la renta de lanas no sea ya un artículo aparte aduanas y contrareaistros, y los remita para la aprobación en la nomenclatura de las rentas, y qued…</t>
  </si>
  <si>
    <t>…n aumento, como se Cortes el que pasasen A la comí ion, dijo que se oponía comprobaba con cinco expedientes que remitía al mismo absolutamente á que parase al Gobierno. tiempo. Eí Sr. Navas apoyo la indicación, diciendo que nunca Él Sr. Ramos Arispe dijo que cuando se dio cuenta de habían sido los regulares dueños de las pose'iones que dis la exposición que se citaba en el oficio se creyó el asumo frutaban. y que por lo tanto no podían venderlas…</t>
  </si>
  <si>
    <t>…a representación de Fr. Miguel de Solsona y otros re Se leyeron por primera vez las proposiciones siguientes: gulares, pidiendo que se les repusiese en los curatos que ga Tres del Sr. Navas sobre que los abusos de la libertad naron por oposición en Zaragoza en los años 1809 y 10, de hablar quedaran sujetos á las mismas calificaciones y pe por haber sido abierto el concurso por el limo. Sr. obispo nas que la' libertad de imprenta. de aquella ciud…</t>
  </si>
  <si>
    <t>…iones nombramiento de solos 30, por las razones que exponía la ue mas convengan á sus necesidades, y mucho mas cuancomisión. o esto puede contribuir al fomento y mejoras de pro El Sr. Navas opinó que no debían considerarse como vincias mientras se preparan y toman medidas mas eficaces propietarios los que habían enagenado su derecho, admitien á este fin , y para realizar las intenciones de las Cortes ; ha do otros destinos del Gobierno absoluto…</t>
  </si>
  <si>
    <t>…propuesto y las Cortes admitido una indicación para que la la indicación ; y el Sr. Romero Alpuente, recordando las nombrase el Sr. presidente, asi como las demas. reflexiones del Sr. Navas en la sesión ordinaria de hoy, aña Pidió el expresado Sr. conde de Toreno se señalase dia dió algunas otras á favor del mismo dictamen de su preopi para nombrar'la comisión que debia presentar las'listas para nante. • . el consejo de Estado; y habiendo dicho…</t>
  </si>
  <si>
    <t>…idad de la mineralogía en un pais tan montuo ra la segunda enseñanza en Montevideo y Córdoba , como so como la España. pertenecientes al víreinato de Buenos-Aires; y que en esm El Sr. Navas, apoyando &lt;ét/dictamen de la comisión, capital ie.’ponga igualmente la universidad qife.comprendo dijo que esta había previsto todas las dificultades, pees un los estudios para la tercera enseñanza.” día se querían utarf; la:mineralogía y. la química", y&gt;al d…</t>
  </si>
  <si>
    <t>…ar el sistema, y evitar los males que los de El Sr. Marte! pidió se leyera por segunda vez la propo mas pueden producir. sición que tenia hecha sobre amnistía, con cuyo motive» ti Sr. Navas, creyendo que se presentaban dos cuestio reclamó el Sr. Cepero la que presentó acerca del mismo nes, una si los magistrados eran interinos, y otra si aunque asunto en la sesión de de Julio. Leída la del primero, en no lo fuesen podrían las Cortes declararlos…</t>
  </si>
  <si>
    <t>…ación podria suceder que un obispo cualquiera ñor Yandíola, y la de los fabricantes de seda de Requena, quisiese obtener el arzobispado de Toledo; y que accedien presentada por el Sr. Navas, sobre que se prohíba la intro do á lo propuesto por el consejo de Estado, sedaria un gol ducción de manufacturas exrrangeras de sus respectivas artes. pe fatal á la libertad de los diputados, pues siempre ten Oyeron las Cortes con particular satisfacción el…</t>
  </si>
  <si>
    <t>…ndido en el expediente de cio ordinario que debía hacer con arreglo á las órdenes vi abolición del impuesto para el canal de Aragón se manda gentes. ron pasar dos indicaciones del Sr. Navas, que decían asi: Se aprobó el dictamen de la comisión de Premios, la cual, 1. a «Que lo acordado en favor de Aragón se extienda en visra de la solicitud y méritos de D. Pedro García de á las provincias que se hallen en el mismo caso. Gradocondo, cura párroco…</t>
  </si>
  <si>
    <t>Navas, Martin</t>
  </si>
  <si>
    <t>Martin Navas</t>
  </si>
  <si>
    <t>…nmediatamente para formar la junta suprema los mismos individuos que la componían cuando se disolvió; á saber, D. Manuel Josef Quintana, presidente, y ios vocales D. Felipe Bau*á, D. Martin Navas, Di Eugenio de Tapia, D. Pablo de la Llave, D. Vi cente Sancho-, D. Juan Acevedo, y D. Francisco Martínez de la Rosa, se*eretario; y previniendo que si algunos hubieren fallecido, sean reemplazados por los suplentes que había en la misma época, y que cuide la…</t>
  </si>
  <si>
    <t>Ndpoles</t>
  </si>
  <si>
    <t>…e los sicilianos paguen una contribución impuesta i la ida ITALIA. por la ¡anta provió. nal , cuyos actos están dechimdr-- por nulos, inclino el último que fue la capitulación del teniente Ndpoles í7 de Noviembre. general Pepé con el príncipe Ja Paterno ofendente de aquel ia. Se quej ■ muy ¡furia.nente contra el peder egecutiv® &lt;. bservado con' relación á los PAs LAMENTO NACIONAL.---ScSlJIl del íT. y el misterioso silencio que lia El ministro de Gracia…</t>
  </si>
  <si>
    <t>Nebot, Francisco</t>
  </si>
  <si>
    <t>Francisco Nebot</t>
  </si>
  <si>
    <t>…en unión con los ofi sumario está regulado en 17,600 rs. anuales; y su fianza ciales del mismo cuerpo. es de 2Óo0 reales. Disertación sobre los mismos problemas, por el ciuda dano D. Francisco Nebot desde Valencia. No habiéndose presentado á hacer la prueba dé sil habi Observaciones sobre el problema 1 ;. , relativo á la cla lidad y aptitud algunos de los pretendientes á las plazas de sificación de las notas en las hojas de servicio, por el capi taquígra…</t>
  </si>
  <si>
    <t>Nebot, Rosa</t>
  </si>
  <si>
    <t>Rosa Nebot</t>
  </si>
  <si>
    <t>…uta de derechos para las cuanto concierne á los delitos de deserción. Quedan aboli -barrillas. dos los Consejos provinciales y de partido , y sus funciones A la de Premios otra de Doña Rosa Nebot, manifes á cargo de las diputaciones ■ provinciales* Se organizará de tando sus servicios , y la que ha sufrido por la causa de la nuevo la guardia ae seguridad interior de la capital , conser patria. A la de División del territorio «pañol una obra del ad van…</t>
  </si>
  <si>
    <t>Negrete, Francisco Xavier de</t>
  </si>
  <si>
    <t>Francisco Xavier de Negrete</t>
  </si>
  <si>
    <t>…yir de su ruina’á aquella ciudad. Lá comisión'proponía se decla Las Cortes quedaron enteradas -de una exposición de rase haber sido gratos los servicios de este general, asi como D. Francisco Xavier de Negrete, dando gracias por el de los del vizconde de Huerta, que algunos días antes publicó creto sobre amnistía de los emigrados á Francia. la Constitución en la misma ciudad, acompañado de varios Quedó aprobado el dictamen de la comisión de Guerra patriotas de Alge…</t>
  </si>
  <si>
    <t>Negrillo, Juan Blasco</t>
  </si>
  <si>
    <t>Juan Blasco Negrillo</t>
  </si>
  <si>
    <t>…nsejo ,de S. M. en el supremo de Castilla’, y encargado provisionalmente del gobierno de , las encomiendas que poseyó el Sermo. Sr. Infante D. Antonio (q.é.'p. d.), 'y dél Coronel D. Juan Blasco Negrillo, contador general de las mismas; en inteligen&gt; ia de que hasta el referido día se admitirán las mejoras que quieran; hacerse con arreglo- J&amp; las condiciones, bajo las cuales se ha de practicar él expresado remate en la secreta ría dirección de las mencionadas…</t>
  </si>
  <si>
    <t>Neira, Josef Fernandez y</t>
  </si>
  <si>
    <t>Josef Fernandez y Neira</t>
  </si>
  <si>
    <t>…nde á 15 rs. á ia rústica en la librería de Matute, calle de las Carretas. / Proezas de Galicia, explicadas bajo la conversación rústica de los dos compadres Chinto y'Mingóte, por D. Josef Fernandez y Neira; un cuaderno en 8.°, á 4 rs.— Impugnación al autor del pobrecito holgazán por ciertas cosidas poco decorosas á ios liberales, que asienta con alguna ligereza en su cuarta carta. Se hallarán en la li brería de Razóla, calle de Preciados. El.experimentado cazad…</t>
  </si>
  <si>
    <t>Nepomu-, Juan</t>
  </si>
  <si>
    <t>Juan Nepomu-</t>
  </si>
  <si>
    <t>…hensión de uno que había muerto violentamente á su pa y que ahora quedaban sin poder concurrir con los que lo drastro. li abi a n e ice ti ad o. A la de Poderes otra exposición de D. Juan Nepomu- El Sr. Moreno Guerra advirtió que no se expresaba en ceno de Fuero , diputado electo por América para las Cor e! dictamen si las ventas habian de verificarse como an tes de 1S14, sobre que se le admita en el Congreso. Pidió tes con alguna p.irte de dinero, y pidió…</t>
  </si>
  <si>
    <t>…l, y que á juicio del Go También fue aprobado el dictamen de la comisión de Pre bierno necesite la conservación de algún convento que hu- : mios en vista de la instancia hecha por D. Juan Nepomu- biere en el campo, hasta que se erija la correspondiente parceno González, del colegio de abogados de Málaga, uno roquia.” de los seis sugetos nombrados el día 6 de Marzo por el El Sr. Marte! pidió que la comisión tuviese presente pueblo de Madrid,para repres…</t>
  </si>
  <si>
    <t>Netti</t>
  </si>
  <si>
    <t>…habitantes de que nos hallamos en estado de defendernos simultáneo, y protestaron que aquellos eran cabalmente los de toda agresión hostil. sentimientos del Parlamento entero. El Sr. Netti pidió que el Gobierno manifestase el esta El Sr. presidente les dio las gracias. y añadtri que 01 do de la causa del abogado Palladino y de los otros indivi corazón estaba tan lejos del insóleme orgullo como del bajo duos que están presos con él; y el Sr. Dra…</t>
  </si>
  <si>
    <t>…6.a del Sr. Borbién orden de pasar á nuevos destino'. relli, relativa á la egecucion del art. 1S1 de la Constitución: El general austríaco conde de Nugenr, que en los días 7.a del Sr. Netti sobre el arresto del Sr. Palladino y sus de la última revolución mandaba el egércíto napolitano, se compañeros: 8.a del Sr. Faltacone para que se invite á los vio precisado, como se dijo entonces, á alejarse de Ñapó ciudadanos de todas clases á presentar expo…</t>
  </si>
  <si>
    <t>Ney</t>
  </si>
  <si>
    <t>…ahamonde presentó una exposición de las cua Península que SS. MM. y AA. seguían en la mas perfecta tro huérfanas de D. Laureano Palacios , muerto en Galicia salud. cuando entró el general Ney, para que se les pague la pensión A la comisión de Hacienda se pasó un oficio del Sr. se ue en 1813 se les asignó sobre el economato del obispacretario de la Gobernación de la Península sobre que se se o de Tuy, ó se les señale otra equivalente cón que poder…</t>
  </si>
  <si>
    <t>…vas secretarías de la Gobernación. nota. En la gaceta de ayer, col. 4.*, lín. 66, dice: » Muer ó.° «Para e! examen de estos expedientes se autorizará to en Galicia cuando entró el general Ney:"" léase: «Muerto á las diputaciones á auxiliarse de las personas que tengan en la defensa del puente de S. Payo contra e! mariscal May en por conveniente, las cuales se acompañarán con el apode persona.'" MADRID EN LA IMPRENTA NACIONAL.'</t>
  </si>
  <si>
    <t>Ni</t>
  </si>
  <si>
    <t>…ta. jueces de primera instancia para el gobierno y dirección de su monte pió. El Gafe político de la provincia de Avi'a con fecha de A la que tiene los antecedentes un proyecto de D. Ni 19 de Agosto pone en noticia del Rey la reciente praeha colás García para exriitguir el censo de pobiaeion que paga que acaba de dar el alcaide constitucional de Peñaranda de la provincia de Granada. su acreditado parriotis no y adhesión 1 las n eva- instituc…</t>
  </si>
  <si>
    <t>…imiendo*! pro-i lo odíirrido ¿el Rey-mismo escribió á S. M. eí Emperador, yectó dé nuestra riueva y deseada Constitución en los mis su'augusto sobririo y yerno. Fue1 comisionado d duque Ni mos términos en que fue aprobado por nuestro Soberano,;y colás de Serracapriola para presen tai4 la carta Real á &amp; W. I. lo propio la comisión encargada de formarlo. Ya pncden^Jos y R!. Apostólica, y artünciar al ministró austríaco el nom partidarios del sist…</t>
  </si>
  <si>
    <t>Nicholls</t>
  </si>
  <si>
    <t>269</t>
  </si>
  <si>
    <t>…8 de Bicienvr bre se sabe que el usurpador Napoleón tiene notable alivio en su salud desde que ha llegado á aquella isla su médico Antonarchi, y que se niega á recibir visitas del capitán Nicholls, que está encargado de verle diariamente para cer tificar de su existencia. Dice la misma carta que Mr. de Moutholou iba á salir de la isla por el mal estado de su salud, y que dentro de algunos meses le seguirían Mr. Bertrand y su muger. FRANCIA. París 16 de…</t>
  </si>
  <si>
    <t>Nico</t>
  </si>
  <si>
    <t>…r el mi da, á la discusión de los artículos sobre tabaco." nisterio de Hacienda. Se mandó agregar al acta el voto particular de los seño A la segunda de Hacienda una exposición de D. Nico res Ramírez Cid y Dolarea, contrario á la resolución de lás Ageo, del comercio de Santander, remitida por el mi que queden desestancados el tabaco y sal desde i.° de Marzo. nisterio de Grada y Justicia, télativa á un expediente que Se pasó en seguida á la dis…</t>
  </si>
  <si>
    <t>Nicólai</t>
  </si>
  <si>
    <t>…-á Milán, se había valido de Rastelli, en la inteligencia de cas 200 ducadps, los que se destinaron al tesoro nacional. -que volvería pronto; y por último, que luego que el abo El Sr. Nicólai propuso dirigir al Rey una representa gado general lo había sabido, le había despachado un cor ción , dándole gracias por los sentimientos que ha manifes reo, dándole orden de que volviese- inmediatamente. tado con respecto al Parlamento. Siguieron no,obstant…</t>
  </si>
  <si>
    <t>Nicolai</t>
  </si>
  <si>
    <t>…Catana , en que le hacían saber una re vicios que hubiesen hecho á su patria; y se aovobó este solución tomada por el senado de aquella ciudad. En ella se dictamen. Por último el diputado Nicolai leyó e! proyecto dice que el senado, los diputados de ¡a provincia y los prin de un manifiesto del Parlamento á la nación; y habiendo cipales habitantes determinaron unánimemente, y á presen parecido digno de un Congreso de hombres Ubres, se de cia de las aut…</t>
  </si>
  <si>
    <t>…cesita seguramente discutir, pero también se necesita re trabajos, y una diputación ha presentado ya al Gran Du solver. que el proyecto de Constitución , quien después de discu El Sr. Nicolai citó los artículos de la Constitución, en tirlo en su consejo privado, con asistencia de ios Príncipes que se prescribe que cuando los planes del poder egecutide su familia, lo ha aprobado en todas sus partes. Ahora se vo son aprobados por el Parlamento no se…</t>
  </si>
  <si>
    <t>Nicolás</t>
  </si>
  <si>
    <t>…e Di Anto nio Villa y Fernandez , por parte de Doña Isabel Verdejo y otros hermanos y sobri-nos de Doña Micaela Verdejo, de estado soltera, natural de esta corte, hija legítima de D. Nicolás y de Doña María Teresa Cronzalez, que falleció en esta corte en 30 de Abril de 1819 , solicitando se les decláre heredero^ abinttstato de lá misma , se Ka mandado emplazar á los otros sus parientes que se crean con derecho á ser tale* herederos abíntestato pa…</t>
  </si>
  <si>
    <t>…de.{¿abrerizo, y en.Salamanca en laude Reyes. ' Manifiesto déí‘ coronel primer ayudante general del; estado mayor del primer égercito nácic^ial., y soldado de voluntarios de Cádiz D. Nicolás de, Santiago y Rótálde, á su general D. Antonio Quíroga de tqdolo ocurrido desde los primeros paáós que precedieron á' lá'corimocion intentada por dicho conorel el dia 24 de Enero dé; 18 20 en Cádiz hasta 'sü: presentación ¡en el cuartel general de la Isla de…</t>
  </si>
  <si>
    <t>…man la atención. Ppr D. Juan Martin Cortés, soldado nacional. Se vendé á.3 rs. en las librerías de Paz y Dávila, calle Mayor. Dos estampas que representan parte de la historia del coronel D. Nicolás dé Santiago y Rotalde. Se hallarán, al precio de real y medio cada una en negro y tres ilu minadas, en el almacén de papel de Esparza, calle de la Concepción Gerónima, y én las librerías de Minutria, calle de Toledo; de Escribano, calle de las Carretas, y de…</t>
  </si>
  <si>
    <t>….ua Exposición del secretario de Estado . ministro le l-s Ne del Rey á J ropjsau , adonde ha sido también llamado el gocios extranjero-! , leída en el l’.irLinieut o nacional gran duque Nicolás: todo lo cual llama mucho la atención el día 4 de Octubre de 1S20. de los políticos. «Señores diputados: Cumpliéronse los deseos de todos ---- Hay ya pocas esperanzas de que venga á esta capital los buenos. Al tln nuc’stra patria se gobierna por un régimen el…</t>
  </si>
  <si>
    <t>Nieoiay</t>
  </si>
  <si>
    <t>…ó el 17 de Febrero á Stockolmo en calidad de cor reo extraordinario ¿ y al día siguiente salió en toda diligencia para; Copenha gue .con pliegos de mucha importancia, que lleva al barón Nieoiay, ministro de Rusia en aquella corte. ' ; : y ai ses-b áj o s-uní d o k ■■ f ; J&amp;rusélas 2 $yde Febrero* ? ¡o f - La gaceta de Amsterdam ha publicado el extractó le una carta de Batayfa de fecha de 26 de Junio de ,1819, en la cual se refutan las especies que,…</t>
  </si>
  <si>
    <t>Nieto, Eugenio</t>
  </si>
  <si>
    <t>Eugenio Nieto</t>
  </si>
  <si>
    <t>…ijo , el libro de los santos evangelios, de varios discursos, se distribuyeron 166 premios entre niños y la bandera del segundo batallón de Navarra sostenida y niñas, y al maestro D. Eugenio Nieto por haber enseñado en por su oficial, y los oficiales y soldados indispensables al estos meses á 1 í niños el catecismo constitucional, de que die acto* S. E., el Sr. capitán general interino, el Sr. goberna ron razón perfectamente, una banda verde y encarnad…</t>
  </si>
  <si>
    <t>Nieto, Juan Miguel</t>
  </si>
  <si>
    <t>Juan Miguel Nieto</t>
  </si>
  <si>
    <t>…el tériniuo de 15 días. Palacio presupuesto de gastos de la secretaría de Ultramar. 17 de Agosto de 1820. Se aprobaron los poderes del Sr- Rubín de Ceils, su Quito. Por ascenso de D. Juan Miguel Nieto á una caplente de la provincia de Burgos, contarme a lo propues nongia desaquella santa iglesia ha quedado vacante la ración to por la comisión. que obtenía en ella, cuyo valor está regulado en 1458 pe Se leyeron por primera vez dos proposiciones, una del sos…</t>
  </si>
  <si>
    <t>No</t>
  </si>
  <si>
    <t>…s sea tri parcialidad y acierto que los ayuntamientos constituciona ple del de los individuos que componen el ayuntamiento.” les , pues de este modo , como había dicho muy bien el señor No se admitieron á discusión las indicaciones siguientes: Martínez de la Rosa, se evitaba la influencia del Gobierno, Una de los Sres. Diaz Morales, Gareli, López (D. Mar ademas de que los individuos de los ayuntamientos eran cial) y Diaz del Moral: «que el núme…</t>
  </si>
  <si>
    <t>…títujo tenga igualmente derecho- á re-: Se pasó á la de vice-presidente: no resultando elección murciarle cuando le acomode.” á la primera, y pasándose á la segunda, recayó en el señor No se admitió á discusión la primera, y retiró su au Moscoso con 82 votos. tor la segunda para volver á presentarla mas adelante; des Finalmente se hizo la elección de secretario. y- á la ter pués de lo cual se levantó la sesión. t cera recayó en el Sr. Cortés,…</t>
  </si>
  <si>
    <t>No, Juan</t>
  </si>
  <si>
    <t>Juan No</t>
  </si>
  <si>
    <t>…Gutiérrez de Acuña se mandó reunir la ordinaria de Memoria sobre la renta del tabaco, presentalla á las Corte* Hacienda. ordinarias por el teniente coronel de caballería retirado D. Juan No se admitió la segunda parte de la indicación del se de Laviano. Se vende en la librería de Paz. ñor Horez Estrada, y se mandaron pa'ar á la comisión las nota. En la gaceta del dia 25 de Agosto, col. 4.“, lín. 50, dos siguientes: una ael Sr. Golfín para que co…</t>
  </si>
  <si>
    <t>Nogue</t>
  </si>
  <si>
    <t>…blo María Mouliaa y el de realistas Don Epitacio Sánchez y el indultado D. Marcelo González ; con la del capitán Ja bera no fue nadie por ser e&lt;te práctico dei Terreno; con la del capitán Nogue^rol fue el indultado D. Patricio GonzaLez y el prisionero hecho en Santa</t>
  </si>
  <si>
    <t>Noguera</t>
  </si>
  <si>
    <t>…ntravengan á lo que esta ley ordena serán castigados con una multa igual á la mitad de su renta anual. No ha salido aun de París el conde de Fernan-Nuñez, el cual, como también el Sr. Noguera, su secretario de embajada, comieron anteayer en casa dj?l duque de Richelieu. lil Sr. Noguera ha sido presentado á S. M. y AA. RR. en calidad de en cargado de Negocios de España por Mr. DeUÍíve^ introductor de embaja dores. Según las cartas de Maguncia, el S…</t>
  </si>
  <si>
    <t>Noguera'</t>
  </si>
  <si>
    <t>…;.--. .. - -■= ■ Idem 18. . .Hoy ha tenido su audiencia de despedida .del Rey el conde: de FernanNuñez:¿ embajador.de España, y ha presentado á S. M, al secretario de la em bajada-caballero Noguera'^: Como encargado de Negocios hasta que; llegue el nuevo embajador marques de Santa Cruz. El mismo Sr.'Noguéra haparticí-&lt;páda al Gobierno el títü lo qué ha tomado el Rey de España con arreglo á la Constitución. &gt; ■ . ESPAÑA. : * ij de Abril, \ El ,Barcelonali…</t>
  </si>
  <si>
    <t>Noguerol</t>
  </si>
  <si>
    <t>…eniente, cogió como fo cabezas de ganado mayor, y un chinchorro de menor, que tanto este como otros que se habían cogido de esta especie cedió para los ranchos de la tropa; la dei capitán Noguerol solo vió á lo lejos la pequeña gavilla de Alvino Vázquez, á la que no se le pudo dar alcance por lo intrincado de las cañadas; pero este cabecilla ha solicitado por conducto del indultado González su indulto, y le he ofrecido á González que como se presente s…</t>
  </si>
  <si>
    <t>Noguerol, Juan Martínez</t>
  </si>
  <si>
    <t>Juan Martínez Noguerol</t>
  </si>
  <si>
    <t>…Pi cacho, parte del de la Rosa, y bajase á los ranchos de Maldonado, é inme diaciones de Chamacuero; otra al mando de mi ayudante capitán del regi miento de infantería de la Reina D. Juan Martínez Noguerol, que con 70 caballos y 30 infantes recorriese por Cerroprieto , Tetillas, la Rochera, Can tón Viejo y todas las cañadas de estos cerros, debiendo caer á la hacienda de Jalpa, y de allí por el Varal al punto del * Potrero. Con el teniente coronel Villaseñor fu…</t>
  </si>
  <si>
    <t>Nogués, Francisco</t>
  </si>
  <si>
    <t>Francisco Nogués</t>
  </si>
  <si>
    <t>…ional. El Rey se ha servido nombrar para presidente del tribunal supremo de Justicia ai consejero de Estado honorario D. Antonio Cano Manuel; y para ministros del mismo tribunal á D. Francisco Nogués, D. Benito Hermosilla, D. Francisco Xavier Caro, D. Francisco Alfonso de Tuero, D, Josef Calatrava, D. Pedro Silves, D. Antonio V ilíaurrutia, D. Ramón Giraldo y Don</t>
  </si>
  <si>
    <t>Nollendorf, Kleist de</t>
  </si>
  <si>
    <t>Kleist de Nollendorf</t>
  </si>
  <si>
    <t>…general de Borstell para; el primer cuerpode egéfcito^elPjríncipe’Reai para él segun do; el general de infantería: conde de Tauenzieh rpani'el. tfercero;; el general He infantería conde Kleist de Nollendorf para él cuarto ;’el teniente general de R ceder para el quinto; el teniente, general conde de Zietheni para) el; sexto, y eltenientegeneral barón de Thiélman para* el? ocjavoi. : ; Dé'pocos diás- á esta parte se habla de algunos*cambios1 parciales que trata d…</t>
  </si>
  <si>
    <t>Ñoñez, Manuel López</t>
  </si>
  <si>
    <t>Manuel López Ñoñez</t>
  </si>
  <si>
    <t>…ma en todos los actos 467,391. Otro de 300 pesos de Setiembre de 808, mím. 38,451, públicos. Se ha dicho que esta expresión era reí.: ti va á Ja á favor de D. Josef Guzman. Otro á D. Manuel López Ñoñez, de puerta del serrallo, y el doctor Dallaway confirma esta 300 pesos de Setiembre de 808 , núm. 36,386, y el último de Opinión, diciendo que esta puerta se parece á un baluarte. 600 pesos de Setiembre de 809, núin. n,6oo, áO. Joaquin de Pero aunque en todo e…</t>
  </si>
  <si>
    <t>Norberto</t>
  </si>
  <si>
    <t>…a.=Excmo¿ Sr. virey conde del Venadiro.’*' ■ • Lista dé indultados que cita el oficio anterior. i D. Josef Miguel González, alias el Chino; D. Juan Josef Silva, D. Pon«iano Campa, D. Norberto y D. Josef María González, Francisco Hérnondez, Eugenio Trejo , Mariano Alaniz , Guadalupe Hernández , Guadalupe Gachuzo, Quirico Osornio , Vicente Navarrete, Manüef Villano , Pablo Alaniz,' Juan Estrella, Josef María Chavero, Trinidad Polq^TfinidadAguirre, Jo sef María Aguado, Secund…</t>
  </si>
  <si>
    <t>Norcolt</t>
  </si>
  <si>
    <t>…ncipiase la segunda jornada volvió á hacerse á la mar; de ma nera que durante esta expedición no.ha visto siquiera disparar un fusil. Ocho oficiales, entre los cuales se cuenta el coronel Norcolt, que hasta entonces ha bía mandado las tropas con la mayor bizarría, abandonaron á su indigno geíe en Rio de la Hacha, y en seguida publicaron la relación de todo este suceso en forma de protesta contra la conducta de Mack-Gregor para denunciar al mundo su ca…</t>
  </si>
  <si>
    <t>Noruega, Félix Blanco</t>
  </si>
  <si>
    <t>Félix Blanco Noruega</t>
  </si>
  <si>
    <t>…tocar el disco de la ción de 12 jóvenes de ambos sexos, y de los mas pobres tierra pasará por entre las islas de Shetland y ¡as costas de ’ del pueblo, bajo/la dirección deleitado D. Félix Blanco Noruega: siguiendo el mar del Norte, llegara al continente ~y Doña-Isabd González,■ maestra aprobada por la sociedad de Europa entre el Etns y el Weser; atravesará casi en linea de la ciudad de Sevilla. recta la Alemania y ti Ti rol; entrara en el golfo Adriático Car…</t>
  </si>
  <si>
    <t>Notarbarrolo, Leopoldo</t>
  </si>
  <si>
    <t>Leopoldo Notarbarrolo</t>
  </si>
  <si>
    <t>…ardo Targioni, oficial de la se Dresde 4 de Setiembre. cretaria de Estado; y para agregado á la misma al marques Hace ya algún tiempo que se trabaja en las mudanzas de S. Giovanni D. Leopoldo Notarbarrolo , de la casa de los que deberá sufrir la organización de nuestro estado militar, príncipes de Liara ; también ha nombrado secretarios para de las que se enterará luego al público. Parece que las re las legaciones de Rusia, Prusia, Viena, Bañera y Suiza. ducci…</t>
  </si>
  <si>
    <t>Noticia, Francisco Alca-</t>
  </si>
  <si>
    <t>Francisco Alca- Noticia</t>
  </si>
  <si>
    <t>…0 is. VARIEDADES. En el juzgado del Sr. D. Angel Fernandez de los Ríos, mi nistro togado , juez de primera instancia en esta M. H. villa, por la escribanía del número del cargo de D. Francisco Alca- Noticia de los indios de la V ensilvania. zar, ha promovido instancia 1). Francisco Javier de Azpiroz, La Pensilvania estuvo habitada en otro tiempo por mu residente al presente eta esta corte , reclamando 49 vales reales chas naciones indias, de las cuales era la pr…</t>
  </si>
  <si>
    <t>Novoa</t>
  </si>
  <si>
    <t>…carlas en esta ciudad de Lisboa para el dia i s de A la de Comercio una solicitud del ayuntamiento de Noviembre del presente año de 182c. Os encargamos que Vigo, presentada pov el Sr. Novoa, para q :e se establezca luego que veáis esta elijáis dos diputados que reúnan las en aquel puerto un tribunal de consulado independiente del cualidades y circunstancias que se requieren para tan im de la Coruña. portantes funciones, otorgando a su favor los…</t>
  </si>
  <si>
    <t>Novoa, Josef María</t>
  </si>
  <si>
    <t>Josef María Novoa</t>
  </si>
  <si>
    <t>…la debía retirarse -para el puerto de Plata, marché por, la hacienda de Virey es-, y subiendo por el camino de la Aldavalda hacia el potrero viejo de la Virgen, previne al co*onel'D. Josef María Novoa, «apitan del cuerpo dé Frontera, que adelan tandosé. con toda la Caballería reconociera las cañadas inmediatas de dicho porre ro , dándole por punto de reunión el rancho de las Adjuntas. Dicho coronel lo verificó haciendo tres partidas de toda la caballería,…</t>
  </si>
  <si>
    <t>Novoa, Manuel</t>
  </si>
  <si>
    <t>Manuel Novoa</t>
  </si>
  <si>
    <t>…ro: para el púb líeos, y si están privados de la voz activa y pasiva. de Almendrado á D. Diego Rodríguez': pira ei de Badajoz Resolución. Que, como caudales públicos, deben re á ■ D. Manuel Novoa: para el de Coria'á D. Félix Erizo: putarse todos los que pertenezcan á los fondos de propios para el de Cáceres á D. Josef de Vírt : para el de Castuerx y arbitrios, pósitos y otros cualesquiera ramos de los pue á D. Benito Fernandez Daza : para el de Fuente…</t>
  </si>
  <si>
    <t>Nrvarro, Antonio</t>
  </si>
  <si>
    <t>Antonio Nrvarro</t>
  </si>
  <si>
    <t>…a A'los referidos alcalde y juez, opinando que Se aprobó el dictamen de la comisión de. Marina acerca Manuel Arroyo, su hijo y su criado se hicieron culpables de la exposición que D. Antonio Nrvarro , vecino de Barce por s i falta de obediencia y respeto á las autoridades. Las lona , h’zo en 2 5 de Agosto para que se surtiese la armada Cortes aprobaron este dictamen nacional de maderas de los Pirineos españoles. La comisión Igualmente se aprobó el dictam…</t>
  </si>
  <si>
    <t>Nugent</t>
  </si>
  <si>
    <t>…Italia diferentes enfermedades, y entre ellas unas calenturas inflamatorias, de que han sido1 ataeadas varias personas de elevada gerarquíá asi en Roma como en Nápoles. El capitán general Nugent, del reino de Nápoles, general que fue al servicio' de Austria, del cual se retiró con el consentimiento de su Soberano, estuvo de mucho peligro; pero ya vq^onvaleciendo. En Nápoles sé han observado otras calenturas, que por lo común solo se manifiestan en lo…</t>
  </si>
  <si>
    <t>…ciori, á consecuencia de -Avelioo, llevando á su frente dos oficiales y un canónigo, ,los deseos manifestados al principio de la discusión por el ■y. que -pedían la deposición del general Nugent y de los mi . Sr. Vargas Ponce, dijo que en el corto espacio que Había nistros. mediado habia recibido noticias oficiales de Sácedón , fela- El Gobierno envió al general Carrascosa con una divi• tivas á los acontecimientos de Ñápeles, de las que por no .sion…</t>
  </si>
  <si>
    <t>Nuñez, Alonso</t>
  </si>
  <si>
    <t>Alonso Nuñez</t>
  </si>
  <si>
    <t>…rte, y dentro del término asignado, al procurador síndico ge neral D. Tomas de Lara. Sermones escogidos morales y panegíricos, pláticas espirituales y cartas pastorales del Excmo. Sr. D. Alonso Nuñez de flaro yJPeralta, vírey interino, gobernador f capitán general que fue de Nueva-España, caballero prelado gran cruz de la Real orden española de Carlos 111, del Consejo de S. M., arzobispo de México &amp;c.: con el retrato deí autor y un resumen de su vida. El…</t>
  </si>
  <si>
    <t>Núñez, Ana</t>
  </si>
  <si>
    <t>Ana Núñez</t>
  </si>
  <si>
    <t>…iales y exageradas, aca Idem idem de D. Bartolomé Ruiz Moron. so por la exaltación de algunos, ó por la malignidad de La mitad del cortijo y casa del Barranco. otros. Idem idem de Doña Ana Núñez. Calificado de injurioso por la ¡unta de Censura, provo Otra casa, núm. 5, calle de Azacaya. (Se continuar d.) có A los editores el Sr. conde A probar los hechos estampa-* dos en el comunicado; pero distantes aquellos de hacer suya una producción agena, y que…</t>
  </si>
  <si>
    <t>Nuñez, Donato</t>
  </si>
  <si>
    <t>Donato Nuñez</t>
  </si>
  <si>
    <t>…rficiales, retasada últimamente con todos sus enseres en la cantidad de 307,49(5 rs. vn. Quien quisiere hacer postura á ella acuda ante dicho señor juez y escribanía del número de D. Donato Nuñez, donde sé admi tirán las que se hicieren siendo arregladas. En la villa de Baena, provincia de Córdoba, se hallan vacantes tres plazas'dé maestros de sus Reales escuelas Pías: el primero con el nombre de director y 606 du cados anuales; ei segundo con 400, y…</t>
  </si>
  <si>
    <t>…á dinero metálico. En virtud de providencia del Sr.' D. Angel Fernández de los Ríos 4 dél Conseja de S. M , teniente primero de corregidor de esta muy heroica villa, refrendada de D. Donato Nuñez, su escribano del número, ha señalado-para la celebración de un^ junta de acreedores de D. Vicente Avcciáeldia 15 del corriente, á las nueve de su mañana, en su posada. Lo que se hace saber para su concurrencia á los que se tengan como tales, para que lo haga…</t>
  </si>
  <si>
    <t>Nunez, Donato</t>
  </si>
  <si>
    <t>Donato Nunez</t>
  </si>
  <si>
    <t>…'dé Madrid, donde ; existen de venta. En virtud de providencia del Sr. D. Manuel Josef Rubio, del Consejo de S. M., teniente de corregidor de ésta muy heroica villa, refrendada dé D. Donato Nunez, escribano del n,ííme(ro deda misma, se ha señalado.paradla celebración de una juntageneral de acreedores.de D. Esteban Catarineu, vecino y del coilVércid'én ésta corte, el día 5 de Marzo próximo., á las,nueve en punto de su. mañana, ehlá pósáda de di cho señ…</t>
  </si>
  <si>
    <t>…de S. M., teniente primero de Corregidor de esta muy heroica villa , juez que cono ce de la testamentaría del linio. Sr. marques de la Hinojosa, y por la escribanía del número de D. Donato Nuñez, se ha mandado sacar á pública subasta una hacienda que corresponde í la misma,; consistente en la villa de Cenicero, provincia de la Rioja, y se compone de viñas■ tierras, casa1 y bodega con sus pertrechos, tasada to da ella en ía cantidad de 27,867 rs. y 16…</t>
  </si>
  <si>
    <t>…egún .el.tenor de las leyes. En virtud de providencia cid ¿&gt;r D. Julián de óojo, juez letrado en primera ins tancia de esta muy heroica villa,, refrendada del escribano del húmero D. Donato Nuñez, se ha señalado para junta*de acreedores á la, testamentaría de Doña María Antonia Fernandez el dia 14 del corriente a iás nueve erTpuhto de su mañana en la posada de dicho señor juez. Lo que se hace saber al público para que lós que se con templen como talet…</t>
  </si>
  <si>
    <t>…ia de embajada de Ñapóles, y por él se sabia que Palermo conti esta heroica villa, su Fecha 16 del corriente, refrendada por nuaba en su independencia; pero se tenía por segura la D. Donato Nuñez, escribano del número de la misma, se pronta sumisión de aquella isla al sistema del Gobierno; y manda recoger el papel impreso titulado: «Representación que ya estaba tranquilo aquel país, exceptuando algunos qúe hacen al pueblo de Madrid los soldados de la…</t>
  </si>
  <si>
    <t>Nuñez, Lorenzo Sánchez</t>
  </si>
  <si>
    <t>Lorenzo Sánchez Nuñez</t>
  </si>
  <si>
    <t>…les enemigas, compuestas de 3 cañoneras, una balan mente está formando en París una sociedad de sabios, p0r el dra , z caladoras y 2 esquifes , que puesto á la vela intentó ba Dr. D. Lorenzo Sánchez Nuñez. Se vende en Madrid en Jas li tir á la nuestra; mas al ver que esta dió caza general sobre brerías de Perez. ellas, huyó á vela y remo, persiguiéndola hasta las 7 de la Suplemento al correo universal de literatura y política 6 refutación de sus números i.° y…</t>
  </si>
  <si>
    <t>O'Farris</t>
  </si>
  <si>
    <t>…; pero de la sép ima división en Mu iin. para establecer correspon sin poder evitar todos los males. dencia directa, excit ndoles eficazmente á que concurran En la noche del tó el general O'Farris, el general Pas con toda su autoridad y con lo* buenos ciudadanos á la to re y el comandante de la provincia se presentaron á la conservación del orden, y á que dirijan el espíritu público junra reunida con el lugar-teniente, y propusieron apostar hacia el ré…</t>
  </si>
  <si>
    <t>O, Ventura</t>
  </si>
  <si>
    <t>Ventura O</t>
  </si>
  <si>
    <t>…pueblos donde han cabido los premios que se mandó formar ai mar;'cal decampo 1&gt;. Francisco de mayores del sorteo celebrado en eL dia de ayer. Loriga , de resultas del prc-c.-e ue D. Ventura O.'ez de Números. Premios. Administraciones. Btrcara, teniente del extin; ódo regí o ievro t,~ de Iberia, solicitando que con el objeto de evitar recursos ulteriores 2794c... ............... 10000 p.1 f.s... Mad rid. y contestaciones odiosas, qe.e inábpcu cblcmc…</t>
  </si>
  <si>
    <t>O, Vicente</t>
  </si>
  <si>
    <t>Vicente O</t>
  </si>
  <si>
    <t>…de gracias al Altísimo por tan feliz A las reunidas que entienden en el asunto una represen suce'o. tación de la sociedad patriótica de Murcia sobre extinción F.l Sr. cura párroco D. Vicente O i vares pronunció una de diezmos. ester-me exhortación . én la que demmtrt con la mayor A la de Agricultura una exposición de los sexmeros de elocuencia la perlera armonía je rué tra santi-imn religión los cinco campos de Ciudad-Rodrigo sobre no ser adapta co…</t>
  </si>
  <si>
    <t>O-Da</t>
  </si>
  <si>
    <t>…rlota se han señalado para gastos de cámara, A la especial que entiende en el asunto se mandó pa- vestidos y alfileres 6409 rs. vn. A la primera, ííc9 á la íer una proposición del Sr. O-Da/y, relativa á la extinción segunda, y 6009 A la tercera, cuyas cantidades unidas com de ladrones y malhechores. ponen 1.790© rs. La comisión es de parecer que, sobre no Id Sr. Moya pidió que la resolución tomada sobre el ser excesiva esta cantidad, importa al…</t>
  </si>
  <si>
    <t>O-Dalí</t>
  </si>
  <si>
    <t>…de sus patrió ticas ideas. Ya se rompió esa que* sin ser incomunicación-, parecía una reserva que no inspiraba toda la confianza que necesitábamos para ser unos. Mi elec ción del brigadier O-Dalí, uno de- sus gefes, para mandar el campo de Gibraltar, ha sido una prueba de mi aprecio á todos ellos, y de mi confianza en sus operaciones. El paso de que parte de la guarnición de esta plaza sea de las tropas de S. Fernando (1), ha deshecho las nubes que of…</t>
  </si>
  <si>
    <t>O-Dali, Demetrio</t>
  </si>
  <si>
    <t>Demetrio O-Dali</t>
  </si>
  <si>
    <t>4M El mismo capitán general ha nombrado para comandante general del cam po de Gibraltar al mariscal de campo D. Demetrio O-Dali, en virtud de las facultades que le estaban concedidas. Igualmente, á causa del mal estado de salud del mariscal de campo Don Estanislao Sánchez Salvador, ha nombrado para la formación de la causa de Cádiz al coronel del regimiento de infantería de España D.…</t>
  </si>
  <si>
    <t>…e omitiese la cláusula nde acuerdo con el- Gobierno francés'’ Sanchez Toro, vecino de la ciudad de Vera, .para que el (véase la gaceta anterior ); porque podía inducir á creer Sr. diputado D. Demetrio O-Dali certifique en una in que se reconocía la pretensión moderna /[ue tienen los fran formación sobre su adhesión al sistema constitucional. ceses de que les pertenece la mitad del rio; lo cual no es A la comisión Eclesiástica se pasó una representación asi, pues…</t>
  </si>
  <si>
    <t>O-Daly</t>
  </si>
  <si>
    <t>…ormal buenos profesores, rio sé estableció" luf-ta, 'I791' de otras dos proposiciones relativas á este mismo objeto; cerca de Copenhague, y bajo el reinado dé'Crbuano -vn, una del Sr. O-Daly etf estos términos: »que se pregun y fue el modelo de otros muchos que después re'Fundarorí te hoy mismo por los Sres. secretarios de ¡as Cortes á los de. en las provincias. Imitando lo* grandes propie arios el egenv-’ S. M. el estado de la causa de Cádiz, cu…</t>
  </si>
  <si>
    <t>O-Daly, Demetrio</t>
  </si>
  <si>
    <t>Demetrio O-Daly</t>
  </si>
  <si>
    <t>…y su dictamen sobre el uso de ella, empresa que creemos Se dió cuenta del informe de la comisión de Poderes muy propia de la sociedad económica de esta ciudad, y acerca de los del Sr. D. Demetrio O-Daly , diputado su aun de su diputación provincial, en caso que no haya exa plente por Puerto-Rico, que fueron aprobados, é igual geración en el mérito del invento del labrador de Albalat. mente los del Sr. D. Luis Casaseca, diputado por Zamora. Tolosa 2 de Julio.…</t>
  </si>
  <si>
    <t>O-Daüy</t>
  </si>
  <si>
    <t>…ca y Ordinaria de hacienda un plan del á la comisión de Hacienda, y las Cortes determinaron que gobernador de Ceuta D. Fernando Butrón, presentado por se pasaran á la Ordinaria. ñ Sr. O-Daüy relativo á hacer algunas reformas y econo Se leyó una indicación del Sr. Banqueri, que se tuvo mías en aquella plaza, y sobre si convendrá negociar los pre por proposición y primera lectura, relativa á que se nomsidios menores con ei Emperador de Marruecos. h…</t>
  </si>
  <si>
    <t>O-Do-, Alejandro</t>
  </si>
  <si>
    <t>Alejandro O-Do-</t>
  </si>
  <si>
    <t>…naciones libres, y los bienes nombre una junta de población, con otros particulares. que á la nuestra resultarán del establecimiento de jurados, Se dio cuenta de una exposición de D. Alejandro O-Do- que la Constitución en su artículo o* deja ú la resolución nell, coronel del regimiento de infantería Imperial Alejan de las Cortes para cuando lo crean conveniente. Pu o el dro, en la que insertaba ia represen&gt;ación que había dirigi egemplo de los con ejos d…</t>
  </si>
  <si>
    <t>O-Dodividuos, Alejandro</t>
  </si>
  <si>
    <t>Alejandro O-Dodividuos</t>
  </si>
  <si>
    <t>…ra, de las juntas de Ga é Infracciones de Constitución la exposición que el dia 1 j licia y Asturias sobre dbpensacion de algunas gracias á in del actual se leyó en el Congreso de D. Alejandro O-Dodividuos del cgércuo que se pronunció por la causa de la nell, y no encontrando que hubiera sido infringida en nada patria. la Constitución, opinaban que no hay' lugar A deliberar ¡obre Se dio cuenta de un oficio del secretario de Hacienda la expresada representación…</t>
  </si>
  <si>
    <t>O-Donell</t>
  </si>
  <si>
    <t>…ución La opinión del Sr. Martínez de la Rosa fue que debía ó de ley los procedimientos del. ministerio de la Guerra admitirse á discusión este punto, cuando menos por el ho con el coronel O-Donell; y por último se acordó que pa nor del mismo Congreso; y que tanto sus compañeros de sara á la comisión de Infracciones de Constitución , á la comisión como él presentarían muy pronto á !as Cortes un que se mandó agregar la de Guerra k petición del señor proy…</t>
  </si>
  <si>
    <t>O-Donell, Alejandro</t>
  </si>
  <si>
    <t>Alejandro O-Donell</t>
  </si>
  <si>
    <t>…regeneración política del reino, verificada con Gareii y Dolarea, contrarios á la resolución tomada sobre tanto orden y tranquilidad, se vea manchada con un nume la exposición de D. Alejandro O-Donell; y los de los señores roso sacrificio délas vidas de aquellos mismos valientes, que Díaz Morales , López , Díaz del Moral, Camus y Herrera, en otras ocasiones han manifestado tanto zelo por el buen Clemente, Michelena, Fagoaga, Couto, Freiré, Corta orden, y q…</t>
  </si>
  <si>
    <t>O-Donell, Carlos</t>
  </si>
  <si>
    <t>Carlos O-Donell</t>
  </si>
  <si>
    <t>…corriente , conmovido este pueblo á consecuencia de los de cretos de S. M.-d'e 6 y 7 del mismo, condujo á las Casas consistoriales al ca pitán general de este egéreitO y provincia D. Carlos O-Donell entre aplausosy aclamaciones, pidiéndole mandase publicar inmediatamente la-Constitución,y manifestándole al mismo tiempo era' la voluntad ‘genéral se erigiese una Juúp ta superior, compuesta de sugetos-que merecían la confiaftza publica , lo cuál£ se llevó á…</t>
  </si>
  <si>
    <t>O-Donoju</t>
  </si>
  <si>
    <t>…muchos safios. Puerto de Santa María Í7 de Marzo de 1820. = Excmo. Sr. = Pedro de la Puente. =zExctrio. Sr. primer Secretario de Estado y del Despacho.” El Rey ha resuelto que el general O-Donoju dé parte diariamente al Se_ cretario interino del Despacho de la Guerra del progreso de la causa mandad ida formar á los autores de los desórdenes de Cádiz. S. M ha confirmado en sus empleos y distinciones al teniente general Don Pedro Villacampa y al marisca…</t>
  </si>
  <si>
    <t>O-Donoju, Juan</t>
  </si>
  <si>
    <t>Juan O-Donoju</t>
  </si>
  <si>
    <t>…309 GACETA EXTRAORDINARIA DE MADRID DEL LUNES 20 DE MARZO DE 1820. y ' ARTICULO DE OFICIO. El Rey ha nombrado Capitán general interino de An dalucía y en Gefe de aquel Égército á D. Juan O-Donoju: Gobernador dé Cádiz al Teniente general Don Cayetano Valdés; y Teniente de Rey de dicha-plaza al Brigadier D. Manuel Francisco de Jáuregui, con ordentde que se encargue del gobierno hasta la llegada del referido D. Cayetano Valdés. Al mismo tiempo se han dad…</t>
  </si>
  <si>
    <t>O-Donojú, Juan</t>
  </si>
  <si>
    <t>Juan O-Donojú</t>
  </si>
  <si>
    <t>…da de la de Galicia; á D. Joaquín Montesoro de la de Guadalajara; al brigadier D. Francisco de Paula Osorio de la de la Mancha; al mar ques del Villar de la de Murcia; al teniente general D. Juan O-Donojú de la de Sevilla; á D. Luis Castillo Barrantes de la de Toledo; al brigadier conde de Almodovar de la de Valencia, y ai brigadier D. Luis del Aguila de la de Valladolid. El Rey, de acuerdo con la Junta provisional, ha venido en resolver que para evitar los ab…</t>
  </si>
  <si>
    <t>…provincia de su mando, y para que con la mayor diligencia procure que se realicen las expresadas Reales disposiciones. Madrid 6 de Abril de 1820.; El capitán general de Andalucía D. Juan O-Donojú ha dirigido al minis^ terio de la Guerra el parte siguiente: „Excmo. Sr.: En la mañana de este dia emprendí mi marcha desde el Puerto de Sta. María con destino á esta plaza, como avisé á V. E. en mi ofi cio de ayer\ pensaba verificarlo. Me pareció conducente…</t>
  </si>
  <si>
    <t>…que habiendo recibido sus instrucciones, daba principio in mediatamente al desempeño de su comisión. El Rey ha visto con singular satisfacción los partes antecedentes del geseraí D. Juan O-Donojú, y se ha servido aprobar todas sus providencias. El Rey ha tenido á bien nombrar capitán general de Extremadura al te niente general D. Josef María Santocildes, y comandante general de las Can Orrlfiv.í í uv v i uau«nrincnanas aloí mariscal»V» 0*MCr&gt;0 I ílpde…</t>
  </si>
  <si>
    <t>…de las tropas que compusieron los egércttos na cional y reunido de Andalucía se forme-un solo cuerpo ele egército á las ór denes del capitán general interino de aquella provincia D. Juan O-Donojú, yibafo de.estas á las del mariscal de campo D. Antonio Quiroga, siendo gefe del estado mayor general el de igual clase D. Felipe de Arco Agüero. Señaladas ya por Reales órdenes' las fragatas de guerra nombradas Cons titución y Viva, aquella para pasar á Tene…</t>
  </si>
  <si>
    <t>…esta Real resolución se publique en la gaceta para justa* vindicación del honor y buena fama del interesado. El Rey se ha servido nombrar capitán general de Andalucía al teniente general D. Juan O-Donoju, que desempeñaba interinamente dicho destino: igualmente ha nombrado para la capitanía general de Castilla la Vieja ál te niente general D. Tomas Moreno; y para la de las Islas Baleares al de la propia clase D. Nicolás MahL Por decretó de 22 ffé Abril próximo…</t>
  </si>
  <si>
    <t>…para hacer buenos nombramientos. En una de las últimas sesiones del Consejo representativo Cádiz 70 deJulio. se propuso que se ofreciese á otros cantones la cesión de • £l Eximo. Sr. D. Juan O-Donojú, Capitán general de la parte que tenempsen la capitulación, militar con la Fran</t>
  </si>
  <si>
    <t>…pios de lo prevenido en el art. 9, ofre señalados servicios y probada adhesión al sistema constitu ciéndose el autor á dar las aclaraciones que aquella creyese cional del teniente general D. Juan O-Donojú , y en parti necesarias. cular los contraidos últimamente, se ha servido concederle No fue admitida á discusión una indicación del Sr. Ruiz la Gran Cruz de ia Real y distinguida orden española de d(d Prado, para que sin embargo de lo prevenido en el art. 10 C…</t>
  </si>
  <si>
    <t>O-Donojú, Tomas</t>
  </si>
  <si>
    <t>Tomas O-Donojú</t>
  </si>
  <si>
    <t>…nte general de la Vicente de Paul. Armada D. Cayetano Valdés para secretario del Despacho El Sr. Puigblnnch pidió en otra adición, que no se ad de la Guerra,, al mariscal de campo D. Tomas O-Donojú. mitió A discusión , que en el art. 14 después de las pala bras «un convento de una misma orden” se pusiese «ni de Por providencia de 10 del corriente, dada por el juez uno ni de otro sexo.” de primera instancia, y privativo de rentas nacionales de la Art. 19…</t>
  </si>
  <si>
    <t>…la extinción del número de inscripciones bre la queja dada por D. Hipólito Nufiez Montesinos , al y vales consolidados que quepan en la cantidad sobrante, calde de Hellin, contra D. Tomas O-Donojú, gefe políti entrando todos en suene. 2.° Los edificios y fincas nacio co de Murcia, D. Francisco Sánchez Ferrer, juez interino nales que no ofrezcan cómoda y útil salida en la subasta de primera instancia de la villa de Hellin, yD. Ramón de se rifarán á créd…</t>
  </si>
  <si>
    <t>O-Donqpr, Juan</t>
  </si>
  <si>
    <t>Juan O-Donqpr</t>
  </si>
  <si>
    <t>…h/. ¿Utos guarde á Vtnuchps aríos.,pádiz .iq«de Marzo jdet i82p/f=blExT' jcefentíipnaSr.^ Mafrúei íf rei^é.** %-tl . r . v. i.,:---.?] .. . , f; ... 2-.° ,, Excmo. Sr.: El Exenta. Sr. D. Juan O-Donqpr, gqjbctnador mili tar jíé la ciudad de Sevilla, en oficio de ayer á las 12 de, la noche me dice 16 que copio. /0 «¡r -r 3-i ,,Ipcccno* Sr..: -El ofiejp dé V». ,3É. d.e^ ;áy.éjr ep q^éfSé ^ry^vparuéipatme que todas*lás autoridades qué rodean á V. E. y la ciuda…</t>
  </si>
  <si>
    <t>O-Do’noju, Juan</t>
  </si>
  <si>
    <t>Juan O-Do’noju</t>
  </si>
  <si>
    <t>…titeo. ^Excmo. Sr.=Manuel Fréire,=s Excmo'. Señor . ministro de la Guerra.” .■ „ El Sr. Secretario del Despacho de la Guerra ha recibido del capitán ge neral interino de Andalucía D. Juan O-Do’noju el parte siguiente ; „ Capitanía general de Andalucía: Excmo. Sr. ; Enterado' dé la Real orden que én ¿b de! corriente ha tenido V. E. á bien comunicarme en sus dos oficios de la misma fecha, que hoy recibo, mé apresuró á manifestar á V. E., para , que sé sir…</t>
  </si>
  <si>
    <t>O-Reylli, Rosa</t>
  </si>
  <si>
    <t>Rosa O-Reylli</t>
  </si>
  <si>
    <t>…módico precio guardia nacional , habiendo sido elegidos unos de sargentos de 2 rs., encuadernada á la rústica. y cabos, y quedando otros de voluntarios, podrán ó no Por muerte de Doña Rosa O-Reylli y de las Casas, viu usar en todos los actos del servicio, y con el uniforme de da del intendente de egército D. Josef de Gardoqui, minis la milicia nacional, de sus respectivas graduaciones de egér tro que fue en el consejo supremo de la Guerra, se han forma…</t>
  </si>
  <si>
    <t>O-Rian, Edmun do</t>
  </si>
  <si>
    <t>Edmun do O-Rian</t>
  </si>
  <si>
    <t>39^ En la misma ciudad , y en manos del intendente de la provincia D. Edmun do O-Rian, prestaron igual juramento el dia 20 del mes pasado los gefes* empleados y demas individuos de los varios ramos de administración de la tíacieada pública. Habiéndose verificado los primeros remates de gran parte de las fincas que se ven den á instancia del Ex…</t>
  </si>
  <si>
    <t>O-Rian, Edmundo</t>
  </si>
  <si>
    <t>Edmundo O-Rian</t>
  </si>
  <si>
    <t>…ada en los jar dines públicos, en ia forma y modo que se verifica con l^s demas ciases del Estado.” El Rey se ha servido nombrar para directores generales de la Hacienda publica á D. Edmundo O-Rian, oficial que fue de la secretaría del Despa cho de Hacienda, tesorero de egército de Galicia, é intendente de la provin cia de Toledo; á D. Felipe de Sierra Pambley, contador principal de rentas de la provincia de León, intendente en comisión de la misma, com…</t>
  </si>
  <si>
    <t>Obarrio, Juan Antonio</t>
  </si>
  <si>
    <t>Juan Antonio Obarrio</t>
  </si>
  <si>
    <t>…n de mañana. novicias, ni dar profesiones .1 las ya admitidas, como esta La comí-ion de Hacienda presentó su dictamen sobre la mandado con re4pecto á los religiosos.” solicitud de D. Juan Antonio Obarrio, que yendo en el Algunos señores diputados, uno de ellos el Sr. Fraile, año 1812 á Cádiz, fue apresado por-los argelinos , y perdió no consideraron necesaria esta adición , dando por motivo</t>
  </si>
  <si>
    <t>OboJensky</t>
  </si>
  <si>
    <t>Num. i 6. [ 5 cuartos. ] 125 -£*33 GACETA DE MADRID DEL SABADO 5 DE FEBRERO DE 1S20. RUSIA. Petersburgo 2/ de "Diciembre. El -22 de Noviembre se hizo en Moscow á presencia del príncipe OboJensky, protector de ia universidad, de los catedráticos y estudiantes, y de un numeroso concurso, la abertura del nuevo anfiteatro de anatomía, construi do y dispuesto con, arreglo al plan de Mr. Loder, consejero de Estado ac tual, quien ha contribuido mucho á los…</t>
  </si>
  <si>
    <t>…a el acusador de los secretarios to de Galicia D. Carlos Espinosa y D. Manuel Lacy ; con del Despacho, lo que se levanto la sesión. El Sr. Lobaro dijo como el Sr. Calatrava que el general Observaciones sobre el eclipse del dia J. Riego de nada se habia quejado, y por consiguiente que no habia un motivo para tomar tales resoluciones. Citó el artí Ei próximo eclipse de sol de 7 del corriente llama nues culo 170-de la Constitución que autoriza al Rfy pava todo…</t>
  </si>
  <si>
    <t>Ocho</t>
  </si>
  <si>
    <t>…al pueblo dinarias.” La que retiró su autor después de algunas observa ó pueblos comarcanos que ésten fuera de la carrera de su ciones del .Sr. conde deToreno. tránsito. Otra del Sr. Ocho» concebida en estos términos: «pido El 24, otro de los añadidos anteriormente, se aprobó</t>
  </si>
  <si>
    <t>Ochoa</t>
  </si>
  <si>
    <t>…fijan los mencionados artículos 133, 133 y 13; , q_,e da por corporación ó autoridad reconocida por el Gobier efeciivamente se leyeron. no, 6 por individuos partic lares. Decía el Sr. Ochoa q é no creia futre cite un proyecto’ Se leyó también una indicación del Sr. López (D¿ Mar de ley; pero el Sr. Florez Estrada le hizo ver que si. y cial ) para que en atención al urgente remedio que exige ist convencidos ya todo- de e to , se trató solamente d…</t>
  </si>
  <si>
    <t>…reclamando algunos Sres. diputados que de lo que se trataba entonces era de saber si se debia Debiendo salir del puerto de Cádiz en r í de Agosto discutir ó no la proposición del Sr. Ochoa ; y habiendo próximo el bergantín de guerra nombrado Realista, correo preguntado, á instancias de otros, si la votación habia de de la armada nacional, con la correspondencia para Ultra ser''nominal, se resolvió) que sí, y el resultado de esta fue «que habia…</t>
  </si>
  <si>
    <t>…c-neral por la emisión de se hace en el dia, por si ocurriese en lo sucesivo alguna re una especie de papel que representase todos los créditos pa clamación , á lo que se opuso el Sr. Ochoa, apoyando á la ra poderse presentar en la compra de fincas, y que el Esta comisión j y previas algunas observaciones de los Sres. Gol-</t>
  </si>
  <si>
    <t>…ese ñalar también su congrua de los bienes de los conventos de los bienes de los conventos ó de los bienes del Estado. que dejan , ó sea de los nacionales, por cuanto de no ha •El Sr. Ochoa dijo que quisiera le indicase el Sr. Loba cerlo asi se las dejaba expuestas á perecer deSpues de secu to en qué canon, -concilio ó Santo padre de la Iglesia fun larizadas : ademas que al entrar en el convento se las da do daba la propo icion de que á las monj…</t>
  </si>
  <si>
    <t>…terceras partes del tercio qte vencerá en fin de Diciembre en lugar del Sr. Diaz del Moral, al Sr. Clemencia. de este año.” Se mandaron archivar los egemplares remitidos por el El Sr. Ochoa graduó de injusto y poco decoroso al Go ministro de la Gobernación de los decretos expedidos por la bierno , tamo el dictamen de la comisión , como la propo secretaría de su cargo. sición ó propuesta del ministro, á que se referia la misma en Se concedió al S…</t>
  </si>
  <si>
    <t>…los artículos del capítulo sobre vicios patrióticos. las propuestas. ■ No se admitió á discusión la indicación siguiente del Decia el art. 21 enel- reglamento impreso y presentado Sr. Ochoa: ;,Que sea extensivo (lo resuelto respecto de Li á la deliberación de ¡as Cortes : «La provisión de los empleos, universidad de Zaragoza ) á todos los que sujerándose á de oficiales de compañía* sargentos y cabos se hará por examen en cualquiera universidad d…</t>
  </si>
  <si>
    <t>…o gusto, sión de Hacienda prerantaria su plan en la semana pr sima. y que el autor se adelantaba de este modo á los extrangeros, Este fue el inodvo por el cual , á perar de que el Sr. Ochoa opinaba que debía concederse á D. Josef María Santiago el solicitaba que antes de entrar en la discusión se imprimiera, permiso que solicita; y para evitar la menor equivocación no solo no se admitió, sino que habiendo señalado el señor en el desempeño de la…</t>
  </si>
  <si>
    <t>…rsonas; Le respondió el Sr. conde de Toreno, que la comisión porque esto último es dificultoso y odiosísimo. no atacaba en nada al expresado Concilio; pues si este per Insistió el Sr. Ochoa con los Sres. Moreno Guerra y mite tomar las rentas, no por eso manda cobrar los suel Gaseo, en que se debia hacer una distinción de cesantes; dos civiles ; y que ademas no era exacta la comparación del porque entre ellos hay sígueos expulsos, otros jubilados…</t>
  </si>
  <si>
    <t>21 i Retiró después el Sr. Ochoa otra que decía así: «que se les á las establecidas contra los defraudadores en otras mer devuelva el articulo á la comisión para que clasiticando á cancías de ilícito y prohibido comercio. Madrid 6 de Agos las clases de cesantes, señale á cada una el máximum…</t>
  </si>
  <si>
    <t>…de las ac tado, y esta era la razón por que la comisión proponía que túales Cortes. suspendieran dichas pensiones. Se leyeron varias indicaciones del Sr. Bahamonde, rela Añadió el Sr. Ochoa que todas las rentas de los ecle tivas al expediente de permisos particulares, en las que so siásticos, asi como la asignación de diezmos, en su origen licitaba se anulasen los concedidos á la compañía de Filipi tenia por objeto el proporcionarles lo necesari…</t>
  </si>
  <si>
    <t>…iones, concluyó pi S. Miguel y Navarro ( D. Felipe) ; para el criminal ios se diendo se declarase no haber lugar á votar. ñores Marina, Calatrava, Vadido, Caro, Vitorica , Cres El Sr. Ochoa no solo apoyó á su preopinante, sino que po Cantolla, Rivera, Florez Estrada y Rey; para e! de graduó de insultante la representación, opinando que se pa procedimientos, los Sres. Romero Alpuente , Rodríguez sase al tribunal correspondiente, para que con arre…</t>
  </si>
  <si>
    <t>…monde. que la academia de S. Fernando se digne examinarla. El in Se nombró para la comisión de Diputaciones provincia dicado Roca ha ofrecido descubrir canteras de muy supe les al Sr. Ochoa. rior calidad en Murcia, y en otros parages del mediodía Se leyó la siguiente indicación del Sr. Cepero : «sin per de nuestra Península. Es de creer que el Gobierno, zeloso de juicio de ¡o que las Cortes tengan á bien resolver, según in los progresos de las a…</t>
  </si>
  <si>
    <t>…Sánchez Salvador que pedia tuviera de do el dictamen á los Sres. diputados, entonces se podría recho la viuda a todos los ascensos que correspondiesen á su señalar día. marido. Ei Sr. Ochoa redamó la propo'icion hecha por el señor Esto dio origen á las siguientes indicaciones, que se le Moreno Guerra para que se provean las plazas vacantes en yeron después de haber retirado la suya el Sr. Cepero. el Cornejo de Estado, y se repongan los que no ha…</t>
  </si>
  <si>
    <t>…e le corresponda, podrá hacerlo tomando un neficio de comerciar con el extrangero.’’ ' documento que le sirva para percibirlo en fincas ó biends A la comido» Eclesiástica esta del Sr. Ochoa : «que sé nacionales. • : .pase oficio al Gobierno pidiendo la bula obtenida por el Se te. F.l Gobierno en las vacantes que ocurran se val ñor Carlos ni para .disminuir los dias festivos (si os drá délos empleados de esta clase que fueren : aptos ; y si que e…</t>
  </si>
  <si>
    <t>…iudad de Zaragoza, y de truniento; cora bien diversa de los privilegios exclusivos.. la otraá la ae Huesca. Todo español debe ser libre para escribir y publicar sus. Otras dos del Sr. Ochoa: i.a Que el Gobierno remita A ideas, sin que preceda la calificación de su mérito por ia, las Cortes nota circunstanciada de todas las encomiendas ; y Constitución, y del mismo modo es preciso dejar á cual 2.a que se pase á la comisión que las mismas designen…</t>
  </si>
  <si>
    <t>…o, Carrasco, para ello una escala general de cada arma, con arreglo á los Valle, S.brié, Couto, Diaz del Moral y Lallave. reglamentos que rigen, ó en adelante rigieren. Propuso el Sr. Ochoa esta adición : » La amnistía conce 8.° Verificado este primer reemplazo, se formará en dida á los llamados afrancesados, sea extensiva también á ¡of iguales términos una escala general de todos los oficiales so ■que han sido sentenciados por la misma causa.”…</t>
  </si>
  <si>
    <t>Óchoa</t>
  </si>
  <si>
    <t>…resi¡ruidos á su primiti convenientes que se seguirían de cesar inmediatamente. va libertad y proviríon civil y ordinaria. No hubo lucar á votar sobre dos adiciones que propuso El Sr. Óchoa era de dictamen que en este artículo po el Sr. Puigblanch al arr. i.°; una para que después de mo drían suprimirse las palabras curados, y la última ordina nacales se añadiera «de uno y otro sexo," y la otra para que ria ; pero habiendo hecho algunas observac…</t>
  </si>
  <si>
    <t>…s misiones de Filipinas, que po res que los locales de cada convento, elegidos por las mismas drán continuar dando hábitos y recibiendo novicios como comunidades.” hasta aquí.” El Sr. Ochoa, en el concepto de ser este artículo una Art., 11. «El Gobierno protegerá, por todos los medios consecuencia legítima del anterior, opinó que debia apro que ésten en sus facultades, la secularización de todos los barse. regulares que la soliciten, impidiendo…</t>
  </si>
  <si>
    <t>…á pobre, cha de 16 de Enero desde Lagos de los remltados de su ex pobrísima, acoviada de una deuda de I4‘nS¡ millones. pedición, empezada en 29 de Diciembre Sus tentativas para Ei Sr. Ochoa ¡tizo algunas observaciones sobre el orden sorprender á los ürtices, los Navas, el P. Díaz y el Pachón con que presentaba la comisión su informe respecto de la fueron infructuoms, y solo consiguió matarles unos ocho memoria del ministerio, pidiendo la aclarac…</t>
  </si>
  <si>
    <t>…r de los empleados públicos rios, no siendo muy exactos los que se habian recogido ; y y autoridades municipales.” Después de una ligera discusión contestó á las observaciones del Sr. Ochoa, asegurando por fue aprobada. último que se conseguirían mejoras en la admini-tracion de Se aprobó otro dictamen de la comisión de Comercio, la Hacienda pública; pero que esta necesitaba tiempo. _en que habiendo examinado la exposición del ayuntamiento Empeña…</t>
  </si>
  <si>
    <t>…endo, que muchas veces, siendo párroco él mismo, cuan la lesión enorme con que han sido celebradas.” do llevaban á bautizar á alguno solían decir, ¿y cuánto Después de expresar el Sr. Ochoa que en su concep puesta este bautismo : Lo mismo en los entierros : que babia to habia calculado la comisión una cantidad muy peque-visto despojarse de las cosas mas necesarias á los padres, ña, pues el producto de los diezmos, á lo menos en el ar hermanos &amp;c…</t>
  </si>
  <si>
    <t>…ork, mismas iglesias. con dirección á las Californias: este expediente se mandó Continuó la discusión, en que el Sr. Moreno Guerra con pasar á la comisión de Comercio. vino con el Sr. Ochoa respecto de los primeros puntos, pero El Sr. presidente nombró para la comisión Eclesiástica al no del último; porque, decía, debían las Cortes ser muy Sr. obispo de Mallorca. circunspectas para rescindir contratas celebradas por el Rey Se mandó pasar á la co…</t>
  </si>
  <si>
    <t>…sión de del 2 de Setiembre de este año; el que se mandó pasar á 1.» Hacienda las de Agricultura y Comercio. comisión correspondiente. No se admitió á discusión una .indicación del Sr. Ochoa, A (a segunda de Legislación se pasó una consulta del que decía asi: «Pido que el dictamen de la comisión sobre Gefe político de Cádiz, remitida por el ministerio de la papel sellado vuelva á la misma para que proponga el siste Gobernación de la Península, ac…</t>
  </si>
  <si>
    <t>…noche hubo iluminación general. ridículo la religión. El Sr. conde de Toreno, á nombrede la comisión , con CORTES. vino en que se agregase la base de la propiedad á las otras. El Sr. Ochoa aprobó las bases propuestas por la comi Sesión extraordinaria del 13 de Octubre. sión , y la añadida por el Sr. Moreno Guerra, manifestan Leída el acta de la sesión anterior , manifestó el Sr. Ló do al mismo tiempo que el aborrecer el pueblo la contribu pez (…</t>
  </si>
  <si>
    <t>…nte sobre 4 putación provincial de Toledo; pidiendo que subsista la uni dictamen de la comisión primera de Legislación , relativo ti versidad de aquella ciudad, presentadas por el Sr. Ochoa. complemento del consejo de Estado, la quelite sostenida Se aprobó el dictamen de las comisiones de Hacienda y por los Sres. Castañedo, Navarro (D. Felipe) , Dolacsa,</t>
  </si>
  <si>
    <t>…s. blecimiento de la cátedra de ingenieros de caminos y ca El Sr. Olivcr, individuo de la comisión de Comercio, nales. dijo que á su parecer para discutirse el proyecto en su toEl Sr. Ochoa llamó Ja atención de las Cortes sobre los falidad debía solo considerarse si convenían ó no las prohi apremios que sufren ciertos pueblos de la Península (que no biciones , asunto resuelto ya en uno de los objetos mas esen nombró) por parte del intendente de…</t>
  </si>
  <si>
    <t>…s y excesos que se hubieren cio activo los soldados jóvenes de la dase de 1818 , que en cometido.” el día esten en disposición de servir , y se hallan en sus casas. Se concedió al Sr. Ochoa el permiso que solicitaba el juez de primera instancia de esta corte D. Angel Fernandez NOTICIAS DEL REINO. de los Ríos para que informara en las pruebas en que es taba entendiendo para recibirse uno de escribano. Madrid 2¡ de Octubre. Continuó después la dis…</t>
  </si>
  <si>
    <t>…ticas y. urbanas, y A los bienes afectos al subsidio que fue tido contra la Constitución hasta 9 de Marzo de este año. ron enagenadosen virtud de providencias del Gobierno , cu El Sr. Óchoa opinó que no solo debía aprobarse el dic yos réditos ha dejado de satisfacer á sus poseedores el Cré tamen dé-la comisión, sino ampliarle, dando facultad a! dito público, quedando á cargo de este reintegrar á la'te Gobierno pará quitar y poner todos los magis…</t>
  </si>
  <si>
    <t>…ciones hechas en las iglesias parro aplicasen todos los arbitrios que se hubiesen aplicado en Eu quiales.” ropa , y se pudiesen aplicar por las localidades respectivas Ni esta del Sr. Ochoa : «Que después de hospicios, ca de aquellos pait es para su extinción. Después de algunas con sas de expósitos y educación , se añada : «que cumplan con testaciones se conformó el Sr. Ramos Arispe, á nombre de el instituto de su fundación.” los dornas aurores…</t>
  </si>
  <si>
    <t>Óchoa, García</t>
  </si>
  <si>
    <t>García Óchoa</t>
  </si>
  <si>
    <t>…iberasen hacer mientras no se subrogue por otra; pero que no habia de un modo ventajoso á la clase agricuhora. reparo en que se admitiera a di'cusion e-va propuesra , con Anoyó el Sr. García Óchoa á su preopinante, refiriendo tal que no se lleve áegec c'on hasta el tiempo oportuno. Que dilatadamente el orinen ó historia de los diezmos en general, la gran razón que se habia dado para no admitirlo á di cudescendiendo á la lí paña en particular, las difer…</t>
  </si>
  <si>
    <t>Ochoa, Josef</t>
  </si>
  <si>
    <t>Josef Ochoa</t>
  </si>
  <si>
    <t>…á los mariscales de Francia sin egercicio los pueblos por familias, para que sea exacto. 40O francos anuales, sin ningún otro emolumento ; y á los A la de Legislación una duda de D. Josef Ochoa, veci mariscales y mayores generales de la guardia Real otros no de Villafranca, en Extremadura , sobre la inteligencia del 40Q francos mas por sus destinos, sin ningún emolumento. escrutinio secreto que se previene en el art. 73 de la Cons titución. NOTICIAS…</t>
  </si>
  <si>
    <t>Ochoa, Nicolás</t>
  </si>
  <si>
    <t>Nicolás Ochoa</t>
  </si>
  <si>
    <t>…de la Constitución de la Patria, con recer endeble. = Da fe de la verdad de este hecho el alcalde uaa exposición del Sr. Serrallach relativa al asunto^ constitucional de Al mansa D. Nicolás Ochoa en certifica A la comisión- respectiva se mandó pasar una solicitud ción firmada de su puño, y legalizada por dos escríbanos. de la diputación provincial de Soria , presentada por el se Cádiz 7 de Agosto* ñor Sánchez Salvador, para que se conceda protección á…</t>
  </si>
  <si>
    <t>Ocken</t>
  </si>
  <si>
    <t>…ado 1&lt;T siguiente: «Las Cortes, usan vamente la buena opinión del autor, algunas relaciones par do de la facultad que seles concede por Ja Constitución, ciales , y los elogios del profesor Ocken. El autor dió á lian decretado: Que el aumento de prest á los soldados y luz á fines del año 1819 su primer tomo, al cual ofrece .de sueldos á los oficiales subalternos del egército, hecho por .que seguirá bien pronto el segundo. decreto de 13 de Setiembre pr…</t>
  </si>
  <si>
    <t>Odali</t>
  </si>
  <si>
    <t>…por D. Antonio ñor presidente al Sr. Alonso y López. Salas, alcalde constitucional de la plaza de Ceuta, presen Se leyó y mandó agregar al acta ún voto particular fir tado por el Sr. Odali. mado por los Sres. Clemente, Michelena, Moya, Pierola, Igualmente se mandaron pasar' á las comisiones respec Sandino, Canabal y San Juan , contra la resolución de no tivas varios expedientes y recursos, los unos remitidos por haberse admitido á discusión la…</t>
  </si>
  <si>
    <t>Oder</t>
  </si>
  <si>
    <t>…eslau, cimiento público de los derechos del pueblo, no dejarán de donde pasó 24 horas, y se volvió á Berlin por Francfort del contar con el apoyo de la Inglaterra mientras vean al lord Oder; habiendo quedado en Troppau el Príncipe Real y el Castlereagh de ministro. No se les irá de la memoria la fa canciller príncipe de Hardemberg. El embajador ingles ha mosa declaración que hizo en el Congreso de 1815, dicien bla salido también de Troppau, y pa…</t>
  </si>
  <si>
    <t>Odonell, Alejandro</t>
  </si>
  <si>
    <t>Alejandro Odonell</t>
  </si>
  <si>
    <t>…ad del Estado en lo exterior, y recordó también la manifestar que según mi cálculo debe aparecer del modo medida que adoptó el Congreso sobre la exposición del co siguiente: ronel D. Alejandro Odonell. Convino en ¡os méritos del ge Tendrá principio el eclipse á las 1 2 y 32' de la tarde; neral Riego, sumamente acreedor á la gratitud nacional; pe su mayor oscuridad y centro del eclipse será á las 2, y su ro aun suponiendo que las órdenes que se le habian da…</t>
  </si>
  <si>
    <t>Oehoa</t>
  </si>
  <si>
    <t>…das , que hacen sumamente reprensible y criminal esta ig Se leyó por segunda vez la siguiente proposición del noraría’:i que se pretexta. Sr. Moreno Guerra, que había reclamado el Sr. Oehoa en E! Sr. Gareli dijo que la discusión giraba sobre lo que la sesión de ayer: «Pido que las Cortes egecuten el art. 116 se llama el cuerpo de delito, que es medio para encontrar del reglamento para completar el Consejo de Estado, con al delincuente; pero que…</t>
  </si>
  <si>
    <t>…or el amor de la misma, y para ter Sr. Gutiérrez es que se pidan noticias al Gobierno acerca de ror de los serviles. la disolución del egército de la Isla. No es del caso pe ar El Sr. Oehoa, después de manifestar que no conocía á las razones que pnede haber tenido el Gobierno para esta este general, y que retirado en su crea y dedicado al traba providencia, razones que pudieran ser de política, de eco jo, ni aun tenia noticia de que pudiere habe…</t>
  </si>
  <si>
    <t>OFICIO, Diaz de ARTICULO DE</t>
  </si>
  <si>
    <t>Diaz de ARTICULO DE OFICIO</t>
  </si>
  <si>
    <t>…a dictamen de la comisión en todas sus panes, y el Sr. Cal noche, levantando la de este dia. derón convino iustancialmeníe en lo mismo. Después de haber renunciado á la palabra el Sr. Diaz de ARTICULO DE OFICIO. Morales, manifestando lo hacia porque no se le creyese esti Circuí.ir de la Gobernación de la Península. mulado por resentimientos particulares, convino el Sr. Vi Deseando S. M. con la mayor solicitud y cuidado procutorica en la propiedad de los consejeros a…</t>
  </si>
  <si>
    <t>OFICIO, Donato ARTICULO DE</t>
  </si>
  <si>
    <t>Donato ARTICULO DE OFICIO</t>
  </si>
  <si>
    <t>…. Julián Diaz de Yela, ministro honorario de la levantó la de este día. audiencia territorial deCastilla la Nueva, y juez de primera instancia de esta heroica villa, refrendada de D. Donato ARTICULO DE OFICIO. Nuñez, escribano del número de la misma, previo examen El Rey ha expedido el decreto siguiente: de la junta de Censura, que ha calificado por injurioso á la D. Fernando vii por la gracia de Dios, y por la Cons comisión encargada por las Cortes de la redacció…</t>
  </si>
  <si>
    <t>Oíiez, Josef</t>
  </si>
  <si>
    <t>Josef Oíiez</t>
  </si>
  <si>
    <t>…utos formados á instancia del Dr. D. Agustín Josef Mestre, boticario mayor de S. M. y de los egércitos nacionales, ción , de que ya había hecho mérito cuando se discutid en contra D. Josef Oíiez, boticario en la calle de Postas de’esta la sesión del iS, para que no se entendieran por años de corte, sofire injurias eñ un comunicado puesto en el Constitu- servicio los que hubiese tenido únicamente en el último des tional de 8 de Abril de este año, en a…</t>
  </si>
  <si>
    <t>Oiiver</t>
  </si>
  <si>
    <t>…ón el producto los contraregistros por el art. 8.° del decreto de aranceles. . íntegro de la renta de correos y demas que van anejas, y Se leyó en seguida la adición siguiente del Sr. Oiiver al también los sueldos de los empleados , y gastos ordinarios y art. 7.0 de aduanas: «Que se formen extractos de los des extraordinarios de cada renta.” pachos y pagos hechos en las aduanas semanalmente por co Otra del Sr. Diaz del Moral: «Que el Gobierno pro…</t>
  </si>
  <si>
    <t>Ojeda, Francisco Xavier de</t>
  </si>
  <si>
    <t>Francisco Xavier de Ojeda</t>
  </si>
  <si>
    <t>…ones que se manifestarán .á los lidiadores •. Lo que se hace saber ai público por medio de este periódica, para que los que pretendan entrar en el referido arriendo acudan ante el señor D. Francisco Xavier de Ojeda, del Consejo de S. M. en el supremo de Ha cienda, juez asesor general de la Real casa , y escribanía de Cámara de la jun ta suprema patrimonial del cargo de D. Ramón de Carranza; en el -supuesto</t>
  </si>
  <si>
    <t>Olañeta, Pedro</t>
  </si>
  <si>
    <t>Pedro Olañeta</t>
  </si>
  <si>
    <t>…ra , Volcan , rio León, Yala, rio Reyes y entrada de la Tablada * los rebeldes ^mandados , por lds caudillos Ximehéz, Al vare^iy .Cortés , este último, gobernador de Jujuy. * ,,Ét brigadier D. Pedro Olañeta con el batallón de cazadores manda do ppr el segundo comandante Dw Josef María Pereira tomó las alturas que do minan el rio Reyes,^con cuya operación facilitó la marcha y entrada de Jujuy, á cuya ciudad también salió falso se hubiese'aproximado el egército de…</t>
  </si>
  <si>
    <t>Olavarríae, Juan</t>
  </si>
  <si>
    <t>Juan Olavarríae</t>
  </si>
  <si>
    <t>…njurias ] la librería de Cruz y Miyar. Reflexiones á las Cortes, que en las actuales circunstanciasnó remitidas—............................ ............................ 15 J hace D. Juan Olavarríae un cuaderno en 4.° Se hallará á 5 rs. Total................................................ 2S3 á la rústica en la librería de Calleja; en Bilbao en la de García, y en Valencia en la de Cabrerizo. MADRID EN LA IMPRENTA NACIONAL.</t>
  </si>
  <si>
    <t>Olea, Mariano de</t>
  </si>
  <si>
    <t>Mariano de Olea</t>
  </si>
  <si>
    <t>…í; .)• c&gt; isa D. Juan Josefde Yermo, vecino dS )Iá viilk'de Bilbao j*1 en el Gsenóríp de Viz caya. falleció en ella, el día 2-6-de Jimio» díPiBi 8- bajo disposición otorgada ante .D. Mariano de Olea, escribano del número de-la misma, nombrando por sus testamentados á D. Francisco de Zabalburu , D. Agustín de Doistua, Doña Teresa y Doña María Antonia de Gordia, vecino^ de dicha villa; y. deseando -estos dar fin al cargo en. qué se hallan constituidos, sin…</t>
  </si>
  <si>
    <t>Oli</t>
  </si>
  <si>
    <t>…sto y de la pru de decreto sobre matrículas había encontrado sin resoíucíon dencia, diciendo: ¡ Muera la revolución! es preciso ex el art. 30 del proyecto; y habiendo recordado el Sr. Oli— terminarla Otros se irritan contra la libertad, tan ver el motivo por qué se había suspendido, se leyó, y que amajade todos ios franceses, y reproducen continuamente las dó aprobado. ideas de grandes propiedades , superioridades sociales, Se leyó una adición…</t>
  </si>
  <si>
    <t>….°; jr cia, se hallaba reducida hoy al triste estado en que se la pin abiendo contestado el Sr. pre-idente que no estaba autori taba. Explicó la diferencia de su opinión de la del Sr. Oli zado por el reglamento para prohibir que se hablase en la ver, las que había creido conformes su preopinanre: repi totalidad del dictamen, levantó la sesión. tió que la Nación tenia recursos en sí misma; pero confesó Sesión ordinaria del 12 de Octubre. la dim…</t>
  </si>
  <si>
    <t>Oli, Narciso</t>
  </si>
  <si>
    <t>Narciso Oli</t>
  </si>
  <si>
    <t>…recoger el tomo 13 y pagar el 14, qué saldrá pronto, á la librería de Quirós, calle de Atocha; en Cádiz á la de Zara goza; en Santiago á la de Rey y Romero; en Barcelona á casa de D. Narciso Oli va, calle de la Platería; en Zaragoza á la de D. Pedro Marín del comercio, junta al arco de Sto. Dominguito, y en Valencia á la de D. Francisco Navarro , calle de Caballeros. Igualmente se avisa á los suscriptores que se hallan sin algunos de los últimos tomo…</t>
  </si>
  <si>
    <t>Olier, Juan de Campos y</t>
  </si>
  <si>
    <t>Juan de Campos y Olier</t>
  </si>
  <si>
    <t>…ilegio de introducción , concedido por el A la comisión de Premios se pasó una exposición docu anterior Gobierno, por el puerto de Málaga, pagando el mentada del teniente retirado D. Juan de Campos y Olier, derecho de pabellón nacional, un 4 por too de habilitación manifestando sus servicios en ia guerra contra el invasor, y de bandera, y dos duros mas en fanega. pidiendo se le recomendase al Gobierno para que le diese un La comisión era de parecer qüe se debia…</t>
  </si>
  <si>
    <t>Olier, Juan Villa y</t>
  </si>
  <si>
    <t>Juan Villa y Olier</t>
  </si>
  <si>
    <t>…no , gastos, judiciales y escritura de venta. La persona que quisiese mejorarla acuda al expresado limo. Sr. por la escribanía del número y comisión de policía urbana de! cargo de D. Juan Villa y Olier, sita,dentro de las casas consistoriales del Excmo. ayuntamien to de esta muy heroica villa dentro del expresado término; en inteligencia que la persona á cuyo favor quede rematada ha de constituir censo con réditos de 3 por 100 al año, hipoteca'de!la misma f…</t>
  </si>
  <si>
    <t>…ra de S. M., bor, tierras, viñas, olivares y molino aceitero. del número y comisiones del Exento, ayuntamiento de la misma, E n esta corre la casa sita en la plazuela del duque de D. Juan Villa y Olier , se cita, llama y emplaza á Mr. ThiAlba, mím. 23 , manz. 143 , donde antes estuvieron situa baud, D. Francisco Xavier Duran, D. Felipe Fernandez JBobadas la' oficinas del establecimiento. dfila, D. Diego Moreno, D. Migual Francisco Aspiroz, Don Otra idem en…</t>
  </si>
  <si>
    <t>Oliva, Antonio</t>
  </si>
  <si>
    <t>Antonio Oliva</t>
  </si>
  <si>
    <t>…s. testamentarios del citado difunto Sr. Ulloa, que vive caile.de la Cruz, á la plazuela del Angel, niím. 24. &gt; Práctica de vida cristiana y egercicios de devoción, dado á luz por D. Antonio Oliva, segunda edición: un tomo en 8.°, adornado con 11 láminas finas. E.-te ma-* nual del cristiano contiene entre varias oraciones las siguientes: oración á Jesucristo, que comprende los misterios de su vida santísima; á las santas llagas; á la santísima Virgen;…</t>
  </si>
  <si>
    <t>Oliva, María Sanz</t>
  </si>
  <si>
    <t>María Sanz Oliva</t>
  </si>
  <si>
    <t>…entre otros la atención de los espectadores el niño Otra Ídem en idem deSta. María y callizo de lu Muerte. Josef Robles, de 10 años de edad, cuyos padres , por haber Capellanía de Doña María Sanz Oliva. ío dedicado á la mendicidad desde sus mas tiernos años, lo Una viña de 11 robos , 2 almudes en el campo de Char- presentaron en la escuela en un estado de absoluta ignoran za , jurisdicción de Marchante. cia; este niño se halla ya con solos nueve meses de es…</t>
  </si>
  <si>
    <t>Oliva, Narciso</t>
  </si>
  <si>
    <t>Narciso Oliva</t>
  </si>
  <si>
    <t>…e coger el tomo 14 y pagar el 1 5, que saldrá pronto, á la Obrería de Quirós, calle de Atocha; en Cádiz á la de Zaragoza; en Santiago á la de Rey y Romero; en Barce lona á casa de D. Narciso Oliva, calle de la Platería; en Zaragoza á la de D. Pedro Marín, del comercio, junto al arco de Sto. Domingoito, y en Valencia á la de Na&lt;* Tarro » calle de Caballeros. ' EN LA IMPRENTA NACIONAL.</t>
  </si>
  <si>
    <t>…ger el tomo 15 , y pagar él r&lt;5, qué saldrá pronto, á la librería de Quirós, calle de Atocha; en Cádiz S la de Zaragoza; en Santiago á la de Rey y Romero: en Barce lona á casa de D. Narciso Oliva : eh Zaragoza á la de D. Pedro Marín , del comercio, y en Valencia á la de D. Francisco Navarro. . ^ Auto de fe celebrado en Logroño en los días 7 y 8 de Noviembre de xtfio, é ilustrado con notas por el bachiller Gines de Posad!lia, natural de Yébenes. En est…</t>
  </si>
  <si>
    <t>Olivan, Miguel</t>
  </si>
  <si>
    <t>Miguel Olivan</t>
  </si>
  <si>
    <t>…a, vicaifio géñéral dé ;jos Reales egércitos y armada, ha re suelto el Rey que interinártíente égerza lá jurisdicción eclesiástica castrense el teniente vicario y auditor general-,D. Miguel Olivan en los mismos términos* modo y forma que la egeréró D. Josef del Castillo'en 16 de Diciembre de • 1781 por muerte del cardenal Délgado, y que el mismo Olivan lo ha veriíi- cádo en 7- de Abril de 1806' en lá vacante de D. Antoníno de Sentmanat, y en * las post…</t>
  </si>
  <si>
    <t>Olivcr</t>
  </si>
  <si>
    <t>…lo á los extrangeros no católicos que no pue Después de haber leído el dictamen de la comisión de Ha den obedecer las leyes, y sí solo respetarlas. cienda sobre la proposición del Sr. Olivcr para que el terri Sin discusión quedó aprobado el 2.", que decía: «Los torio español se nvrase como un asilo inviolable, se proce individuos comprendidos en el artículo anterior y sus pro dió á la discu ion de ¡os tres artículos que contenía y pre piedades go…</t>
  </si>
  <si>
    <t>…a enteramente á la aprobación del dicta sarias este año en los caminos y puentes, y para el resta men de las comisiones. blecimiento de la cátedra de ingenieros de caminos y ca El Sr. Olivcr, individuo de la comisión de Comercio, nales. dijo que á su parecer para discutirse el proyecto en su toEl Sr. Ochoa llamó Ja atención de las Cortes sobre los falidad debía solo considerarse si convenían ó no las prohi apremios que sufren ciertos pueblos de l…</t>
  </si>
  <si>
    <t>Olive, Antonio</t>
  </si>
  <si>
    <t>Antonio Olive</t>
  </si>
  <si>
    <t>2 * rin, que apoyó al Sr. conde de Torena •, el Sr. Romero Al- señte al diputado de las extraordinarias D. Antonio Olive puente, que opinó debía señalarte á la viuda el sueldo ínte ros , muerto después de un largo martirio. gro Je su marido; el Sr,. Vargas Ponce, que fue de parecer Se mandaron pasar todas las indicaciones á la comisión se dijera al Gobierno que la señalara por…</t>
  </si>
  <si>
    <t>Olivencia, Matías</t>
  </si>
  <si>
    <t>Matías Olivencia</t>
  </si>
  <si>
    <t>…, D. Ramón de Pando y Apenas igualaron Demóstenes y Bossuet la elocuencia y de Otnmendi, D. Manuel de Robrero, D. Josef de Tejada energía del pasage siguiente de Masillon. y Ruiz, D. Matías Olivencia , D. Josef Melero, D. Fran «Los príncipes y los grandes no son sino los -hombres cisco de Bior, el Sr. marques de S. Martin, D. Pablo Ca del pueblo; 3’ ti lejos de ser los protectores de su debilidad brero, el Sr. Marques Je Cusa-Pon.ejos, la Sra. Duquesa de…</t>
  </si>
  <si>
    <t>Oliver</t>
  </si>
  <si>
    <t>…e de alguno ae ellos en el dia memo misión de Hacienda. A petición del Sr. Cano Manuel se rable de la apertura de las Cortes; y salió con efecto para lejro; y habiendo indicado el Sr. Oliver que se imprimiera Madrid , donde habrá tenido el honor de ofrecer este rasgo para que se enterasen los diputados, se acordó asi, y que de industria española á tos R. P. de S. M., y de mani después se pasara á la comisión de Hacienda. festarle el amor que prof…</t>
  </si>
  <si>
    <t>…ltaron aprobados el i.° y 2.°, retirando se llevasen al Congreso todos los documentos. la comisión el 3.0 como no necesario. Se dió cuenta de otro dictamen de ia comisión de Ha El Sr. Oliver indicó que se debia mandar entregasen el cienda acerca de seis expedientes, remitidos por el minis tabaco, bajo el precio que se conceptuase, aquellos que lo terio de este ramo con fecha de 18 del coróen*e , en que hubiesen comprado de buena fe; sobre lo cual…</t>
  </si>
  <si>
    <t>…ta el dos que le habían precedido, y al mismo Sr. Vargas Pones, año 23 , ó hasta que las Cortes acordasen otra coso. que tanto se interera en el fomento de !a marina de guerra, El Sr. Oliver creyó que habrían inducido á la comisión si creería asequible en el espacio de cuatro ó cinco meses A darsudie amen cuatro consideraciones: i.a que se asegu poder poner nuestra marina en estado de proteger nuestras re la propiedad española de los cargamentos…</t>
  </si>
  <si>
    <t>…Se mandó pasar A la comisión de Agricultura con ur Concluida la lectura de este dictamen de la comisión de gencia una memoria de? D. Baltasar Antonio Zapata so Hacienda , dijo el Sr. Oliver que estaba muy bien que la co bre ganado lanar trashumante, presentada en la sesión del misión preparase estos trabajos para presentarlos A la deli 2 2 del pasado . con una proposición del Sr. Sánchez Salva beración de las Cortes ; pero no le parecía oportuno…</t>
  </si>
  <si>
    <t>…a que se man pués en el día 2; de Mayo la noticia oficial de haber S. M. dó pasar á la comisión ordinaria de Hacienda. jurado la Cons:itucion , inmediatamente fue proclamada es El Sr. Oliver leyó un proyecto de las comisiones de ta; se colocó una lápida provisional en el sitio que ocupaba Marina y Comercio dividido en 46 artículos, dirigidos al tinte*; ; hubo repique general de campanas; se cantó un so fomento y mejor organización de los individu…</t>
  </si>
  <si>
    <t>…ó pasar a la pedidos por las Cortes, sin perj rielo de que los G ardías comirion especial q-e enriende en el asunto. continuasen bajo el pie v tuerza actual hasta que se les dé El Sr. Oliver, i ndividtio de la comirion de Comercio, nueva forma. En vista de todo re han servido declarar las leyó el dictamen sobre aranceles, formado por esta y La Cortas que hasta aquí ha, debida formarse por el ayudante</t>
  </si>
  <si>
    <t>…os pueblos de que se componen las primera hora la de los artículos propuestos por la comisión provincias, y las del Sr. Calatrava respecto de las últimas, sobre la proposición del Sr. Oliver para que se comidere se aprobé como sigue: «Gozarán de este olvido general las como un sagrado el territorio de España para las propieda provincias ó pueblos disidentes de Ultramar segun se va des extrangeras: luego la del dictamen de la comisión de yan pacif…</t>
  </si>
  <si>
    <t>…ía y que pertenezcan á Gobiernos que se bailen en guerra con la las demas leyes que gobiernan á los súbditos de ella.” Nación española ó sus auxiliares, en cuyos casos se proce El Sr. Oliver se extendió en manifestar el objeto con que derá con arreglo á lo que establezca el derecho de gentes ó habia extendido su proposición, y tas ventajas que á la Na los tratados existentes." ción se seguirían, como las que habia experimentado la in El Sr. Dolar…</t>
  </si>
  <si>
    <t>…ración y de la adhesión que habia manifestado en es puesto de que se trataba para los fines que quedan indicados. tos seis años últimos á las actuales instituciones, le tuviese El Sr. Oliver sin embargo de todo lo expuesto fue de presente cuando correspondiera. dictamen que las diputaciones provinciales debian promover En seguida se procedió á la discusión pendiente sobre las obras de utilidad pública, y el Gobierno solo proteger el dictamen de l…</t>
  </si>
  <si>
    <t>…en que pedía á las Cortes ampliación de su territorio. asi se habia usado desde el tiempo de los godos. Ala de Hacienda una representación del ayuntamiento El Sr. presidente y el Sr. Oliver hicieron presente que la de Víilarejo de Salvanés, en que se quejaba del reparto de variación del escudo de la moneda podría influir perjudicontribuciones, pues se le habla cargado al pueblo la que cisilmenre, considerándola como mercancía.</t>
  </si>
  <si>
    <t>…, se blos, no se hiciera enteramente ilusoria, por lo que había pasó á la comisión segunda de Hacienda. alterado su lugar. Las tres comisiones reunidas de Legislación, Guerra 6 El Sr. Oliver demostrando extensamente la necesidad de Infracciones presentaron su dictamen sobre las causas de mirar con circunspección el asunto de que se trataba, hizo varios individuos que se hallan presos en la ciudad de Va algunas observaciones acerca de toda ia segu…</t>
  </si>
  <si>
    <t>…debian de ¡a irjesia de España, conceptuaba que era no solo seguirse, y se manifestó decidido á favor del empréstito. digno de leerse en las Cortes, sino de circular en toda la El Sr. Oliver consideró bajo otro aspecto las circuns Nación , porque justificaba las resoluciones tomadas por el tancias del empréstito: le examinó, calculando el.gravamen Congreso hasta el dia; y en su consecuencia pedia que sé que debia ocasionar á la Nación; pero opinó…</t>
  </si>
  <si>
    <t>…ontraba. Esperaba que pocos capitales que hay. Impugnó en seguida el voto parti en vez de fomentar la industria y agricultura la entrada de cular del Sr. Banqueri y el cálculo del Sr. Oliver, diciendo los 200 millones de rs., como se suponía, debía causar que estos señores habían calculado los intereses como si solo perjuicios de trascendencia, recordando que habrían de en fueran á abonarse en un año, de lo que resultaba que sacaban trar por plaz…</t>
  </si>
  <si>
    <t>…, y acabaría natural—' y por último el Sr. Martínez de la Roía pidió que se volviese píente sin perjuicio de nadie. el dictamen a la combion, para que esta hiciese extensivo el El Sr. Oliver dijo que el verdadero punto de vista de la beneficio á ias demás provincias que se hallaban en igual ca cuestión era si no debian tener facultad los españoles para sa; y asi se acordó, con urgencia. comerciar con Filipinas en virtud de los privilegios de ¡a</t>
  </si>
  <si>
    <t>…orte, pidien principales Gabinetes de Europa. do se derogue la ley que exige 25 años de edad para reva lidarse. NOTICIAS DEL REINO. A la comisión de Legislación una indicación del señor Oliver para que la ley de asilo concedida á las propieda Madrid 24 de Octubre. des y personas de los extrangeros se active particularmen S. M. ha despachado hoy con el Sr. secretario del te en Ultramar, con derogación de la circular expedida por Despacho de Marina.…</t>
  </si>
  <si>
    <t>…e ademas contrario al objeto que la co antiguos aranceles y por decretos de las Cortes, se conser misión se proponía. vará en el arancel general, y se extenderá y aplicará á to El Sr. Oliver, ciñéndose á contestar al Sr. conde de To dos ios que producen nuestros países con suficiente cantidad reno en cuanto habia opinado que se debían detallar los gé para el consumo, sin otra excepción que la que se estable neros prohibidos y recargados, pues las…</t>
  </si>
  <si>
    <t>…gando puntualmente á los poseedores acmo vido á formar esta indicación las reflexiones expresadas an les mientras vivan el producto iiquido de estos bienes tn teriormente, dijo el Sr. Oliver qi:e no se debian perder de cada año , rebajados los gastos de adminb"ación y las car vista dos consideraciones, una el derecho indisputable que gas de justicia, con que cumplirá por parte Ir* junta nacio tenia la Nación como otro deudor cualquiera para amort…</t>
  </si>
  <si>
    <t>…oncurrir á zo Cano , A quien el exponente aprehendi ó con otro veo no* tan interesante objeto.”' ■ del puébío er» el aciq de robar una bodega con quebranta Habiendo manifestado el Sr. Oliver io útil que sería es^ miento de ptíertas y ventanas. La comisión proponía que en ta reunión, hizo ver el Sr. "Vargas Ponce que éste asunto atencion á rio venir documentada la exposición debía decirse '■era algo difícil por están muy opnestos los dos pueblos ,…</t>
  </si>
  <si>
    <t>Oliver, Manuel</t>
  </si>
  <si>
    <t>Manuel Oliver</t>
  </si>
  <si>
    <t>…to á las penalidades que había sufrido en los rnu^ chos años de la citada causa. Y por resolución á dicha .cpnsulta se sirvió $. M* decir lo siguiente : Es mi Real voluntad que á¡ D. Manuel Oliver se le;pre munen sus servicios militares y políticos, en término^ que, le sisva* da 6atislae** »&gt;cion no haber merecido mi Real desagrado, y de resarcimiento á las pena lidades que ha sufrido en los muchos años de' su causa ; y asi lo he' man— »&gt;dádo.” Publica…</t>
  </si>
  <si>
    <t>Ollcr, Andrés</t>
  </si>
  <si>
    <t>Andrés Ollcr</t>
  </si>
  <si>
    <t>…8, sita en la calle dé S. Miguel, que comprende 948p-|[pies de sitio,'tasada en 374,565 rs., está señalado el dia 10 dé Marzo próximo, á ias 1 2 de su mañana,. en la audiencia dél Sr. D. Andrés Ollcr, del Consejo de Sé alcalde de"Casa y Corte, y escribanía de provincia de Don Pedro Josef de Ibabe, donde se admitirán las posturas que se hagan siendo arregladas. Los suscriptores á la colección de obras de Mtstriss Bennet, ó historias-de la he redera dél paí…</t>
  </si>
  <si>
    <t>Oller, Andrés</t>
  </si>
  <si>
    <t>Andrés Oller</t>
  </si>
  <si>
    <t>…e permitirnos besar su Real mano.” S. M. se dignó contestar expresando se? hallaba satisfecho de los- testlmo—, utos de lealtad de la ciudad de Zaragoza. - Por providencia del Sr, D. Andrés Oller, del Consejo de S. M., alcalde de Casa y Corte, en cuyo juagado de provincia y escribanía de D: Pedro Josef de Iba be pende la testamentaría de 1J&gt;. Josef Ortiz de HerbosOy procurador que/ fue de los Reales Consejos, se ha mandado citar, llaaiar y emplazar po…</t>
  </si>
  <si>
    <t>…taría de D. Josef Ortiz de Herboso, anuncia da en el diario y gaceta de 24 y 25 del corriente, se traslada al dia 20 de Febrero próximo, á las nueve de su mañana, en la posada del Sr. D. Andrés Oller, del Consejo de S. M., alcalde de Casa y Corte. ■ ... Juan.de Salaverri, natural de Bayona, y vecino de la ciudad de Bórgos, salió en 27 de_Abril de 1816 con dirección á Ciudad Rodrigo, desde cuyo pueblo no se ha vuelto á saber de su existencia. Si alguna per…</t>
  </si>
  <si>
    <t>…14 de Mayo de 1812 , y son: D. Josef María Puig, D. Francisco López Lisperguer, D. Francisco Ibañez Leí va, Pon Manuel Antonio de la Bodega y Mollínedo, D. Jaime Alvaaez Mendieta, D. Andrés Oller , D. Diego. María Vadillos, y D. Ramón Lopej? Pelegrin , fis cal ; y no siendo, posible hasta la próxima reunión de l^jCortes prestar en ellas el juramento conforme á lo prevenido en dicho decreto de 17 de Abril del año de 1812, lo egecutaran interinamente to…</t>
  </si>
  <si>
    <t>Olma, Pedro</t>
  </si>
  <si>
    <t>Pedro Olma</t>
  </si>
  <si>
    <t>…l Congrego por la Una casa en Sigüenza. junta suprema de Censura , manifestando la necesidad de Otra idem, ídem. aumentar e! número de sus individuos, que en. la actuali Idem idem D. Pedro Olma. dad se hallaba reducido A tres. La comisión se limita á pro Cincuenta y nueve ídem , idem en Palazuelos. poner que el aumento sea de solos cuatro en vez de seis in Nueve ídem , 3 idem en Rio Salido. dividuos, crevendo que interinamente bastaran siete, hasta…</t>
  </si>
  <si>
    <t>Olmo, Josef Soler del</t>
  </si>
  <si>
    <t>Josef Soler del Olmo</t>
  </si>
  <si>
    <t>…orrespondientes al respecto de los 10 mrs. en diencia territorial que abajo se expresan : D. Andrés Lo pez escudo de la diferencia del sueldo que las referidas clases ha de Frías, D. Josef Soler del Olmo, D. Pedro Pablo Belyan dejado de percibir ; y enterado por exposición de la tran , D. Isidro Lasauca, D. Domingo de Dueñas , D. Fran junta de gobierno del expresado monte de que por el enun cisco Antonio de Tudo , D. Josef de Ortiz, D. Josef de ciado extingui…</t>
  </si>
  <si>
    <t>Ompreda</t>
  </si>
  <si>
    <t>…ferentes actitudes de es su permanencia en Nápoles durante el tiempo qne habia ser tos personages cuando no paseaban , y finalmente la fun vido á la Princesa, sobre la llegada del barón Ompreda., y sobre haber sido despedido del servicio de S. A. R. Dijo el ción celebrada el dia de S. Bartolomé. Habiendo procedido Mr. Denman á interrogar por su testigo que se habia ya despedido en Roma, y posterior parte á Cayetano Paturzo, dijo este que entre las p…</t>
  </si>
  <si>
    <t>Ompteda</t>
  </si>
  <si>
    <t>…sobre la conducta de S. A. R. Prede perjudicar á los intereses generales; y como los princi pios que sostienen , y los argumentos que forman contra, los guntada si se acordaba del barón Ompteda, y de.una carta que elia habia escrito á Mr. Han man , respondió que seque impugnan, se los suministran sus conocimientos y jui acordaba del barón; perojjo de las circunstancias del. robocio , no solamente es legítima la oposición en este sentido, sucedido en…</t>
  </si>
  <si>
    <t>Oñez, Jóeef Antonio</t>
  </si>
  <si>
    <t>Jóeef Antonio Oñez</t>
  </si>
  <si>
    <t>…onal de los destinados para el servicio de las ar Memoria para el mejor gobierno de los hospitales militares, mas; por lo cual tuvo á bien resolver S. M. que el Cornejo por el Dr. D. Jóeef Antonio Oñez , gefe que ha sido del ramo de Estado le consultase sobre este particular cuanto creyeses de farmacia del tercer egército, ayudante de la Real botica, y oportuno. farmacéutico de S. M. en esta corte. — Observaciones analítica* «El expresado Con'eío, en consul…</t>
  </si>
  <si>
    <t>Onez, Josef</t>
  </si>
  <si>
    <t>Josef Onez</t>
  </si>
  <si>
    <t>…sin discusión , y el ;.° des ber Jugar á la revocación del de 26 del mismo mes , en que se pués de algunas observaciones del Sr. Romero Alpuente, á había denegado la pretensión de D. Josef Onez, y que este, que contestó el Sr. Sierra. dentro del término prefijado, cumpliese con probar los hechos El 6.° también se aprobó después de una ligera discu sentado» en los papeles censurados, y confirmándole con costas sión , en que el Sr. Gaseo pidió una exp…</t>
  </si>
  <si>
    <t>Onís, Luis de</t>
  </si>
  <si>
    <t>Luis de Onís</t>
  </si>
  <si>
    <t>…de Londres en lugar del duque de S Carlos al duque de Frías: para la de París en el del duque de Férnan-Nuñez al duque del Parque: para la de Ñapóles en el de D. Pedro Labrador á D. Luis de Onís: para él ministerio de Berlín al conde deToreno en lugar de -D. Pascual Vallejo : para el de Rusia en sustitución deD. Luis de Onís á Don Manuel González Salmón: en la de este para Dresde á D. Joaquín Campuzano; y á D. Josef María de Pando, encargado de negoc…</t>
  </si>
  <si>
    <t>Onis, Luis de</t>
  </si>
  <si>
    <t>Luis de Onis</t>
  </si>
  <si>
    <t>…parezca conveniente para la biblio cion de 6.734,234 habitantes. El 21 habla presentado sus teca de Cortes, y se mandó pasar á la comisión de Ins credenciales á S. M. Siciliana el Sr. D. Luis de Onis, em trucción pública, lo mismo que otra del Sr. Villanueva, bajador de España. El 1J16 y 17 hubo un tumulto en Palersolicitando que se restituyan á los colegios, de que tomaron rao con bastantes desórdenes, á pesar de haberse recibido allí posesión los jesuít…</t>
  </si>
  <si>
    <t>…enados cuatro Pares patria, y lo mismo ha hecho el arzobispo de Chieti. de Irlanda á pagar 100 libras esterlinas de multa, y otros Idem 2 4. cuatro á 100 marcos cada uno. S. E. el Sr. D. Luis de Onís presentó el viernes 21 á El lord canciller hizo estos dias una propuesta , que fue S- M. el Rey sus credenciales de embajador extraordinario aprobada en la Cámara de los Comunes, para ocurrir con y plenipotenciario de S.M. Católica: y luego tuvo la honra una…</t>
  </si>
  <si>
    <t>…entiende en el exterminio de' malhe apéndice, que contiene documentos importantes para mayor ilus chores se pasó una exposición de varios ciudadanos de Je tración del asunto: por D. Luis de Onís , nTinistro plenipoten rez , presentada por el Sr. Cepero, manifestando haber ciario que fue de aquella república , y actual embajador de S. M. en la corte de Nápoies: un tomo en 4.“ marquida, de buen papelaprehendido dos ladrones in fr iganli, y quejándose d…</t>
  </si>
  <si>
    <t>Oohoa</t>
  </si>
  <si>
    <t>…a comisión en que después di' la palabra contraida por los agentes del Gobierno en aquellas pro «capellanías” se añadiera «vacantes ó que vacaren como vincia'.” habia propuesto el Sr. Oohoa ; y en suprimir, á petición El Sr. conde de Toreno manifestó que esta adición , sin "del Sr. Ramos García, estas «patrimonio laical y;” con producir ninguna ventaja á los acreedores ultramarinos , po cuyas variaciones se aprobó esta declaración. día disminuir…</t>
  </si>
  <si>
    <t>Oramcndi, Nicolás de</t>
  </si>
  <si>
    <t>Nicolás de Oramcndi</t>
  </si>
  <si>
    <t>…ntes obligaciones de dicha Contaduría mayor,he venido én habilitar para las funciones de presidente de la misma al decano que era D. Juan de Mata Garro: para contadores mayo res á D. Nicolás de Oramcndi, D. Sebastian de Jócano, l&gt;. Carlos Espinosa, ¡IX Pabtet,Ruiz de la Bastida y íX Esteban Palacios, y que en cuanto á- las -demas clases de contadores, secretario y otros individúes de que debe com;*ponerse la referida Contaduría mayor se me propongan con arre…</t>
  </si>
  <si>
    <t>Órbonme, Francisco</t>
  </si>
  <si>
    <t>Francisco Órbonme</t>
  </si>
  <si>
    <t>…está desempeñando Mr. de Schulenburg las funcione» de primer plenipotenciario de'aquel Monarca cerca del Congreso, y Mr. de Glhbigiasde segundo. . ; • i -. Anteayer llegó de Corfú lord Francisco Órbonme con pliegos que $e pre sumen de grande importancia. Se alojó en casa de lord Stewart, é in medí al tamente fue presentado á S. M. I. . ¿ Un incendio terrible ha reducido á cenizas en Constantinopla cerca de 1500 casas. Se cree que los genízaros son los princi…</t>
  </si>
  <si>
    <t>Ordaz, Juan de Reyes</t>
  </si>
  <si>
    <t>Juan de Reyes Ordaz</t>
  </si>
  <si>
    <t>…agenaciones', siendo este su lugar propio, Se aprobó el dictamen-de la comisión de Premios acer ya porque los letrados causarían dilación en los negocios; ca de las solicitudes de D. Juan de Reyes Ordaz y de especialmente,si se les concedía voto, y ya porque en este D. Nicolás Piñuela, en premio de sus servicios; y opinaba último caso’, si hacia el nombramiento el Gobierno-, se da debían pasarse al Gobierno con recomendación para que les rían dos votos á est…</t>
  </si>
  <si>
    <t>Orden, Nicolás</t>
  </si>
  <si>
    <t>Nicolás Orden</t>
  </si>
  <si>
    <t>…os en debida forma; con prevención que al que no concur dos relativos á la organización de dicha arma. ra le parará el perjuicio que haya lugar. Sus autores son los siguientes: El coronel D. Nicolás Orden natural y eseíicial de las sociedades políticas. Cuando del Campo; el brigadier D. Francisco Serrano; D. Baltasar se imprimen las traducciones del derecho de gentes de Vattel y del espíritu de las leyes de Montesquieu , un amante de la fe Bautista; el coronel…</t>
  </si>
  <si>
    <t>Ordonez, Anselmo</t>
  </si>
  <si>
    <t>Anselmo Ordonez</t>
  </si>
  <si>
    <t>…fundación. En virtud de providencia del Sr. D. Manuel Josef Rubio, del Consejo cíe S. M.r teniente de corregidor de esta muy heroica villa , refrendada del escribano de su nú mero D. Anselmo Ordonez, dada á instancia del Excmo. Sr. marques de Villafraa-</t>
  </si>
  <si>
    <t>Ordoñez, Anselmo</t>
  </si>
  <si>
    <t>Anselmo Ordoñez</t>
  </si>
  <si>
    <t>…'Én virtud de presidencia xjeh 3.r, ¡DCManuél Fernandez: Gatúboai tnínhtrb gado , juez primero letrado de primera instancia de esta muy heróica villa , refrenda-5 da del escribano D. Anselmo Ordoñez,i que ló es, del número? de la misma, dada el* 19 del mea próximo pasado, se convoca á junta á todos los acreedores^del drftihtó' D. huis Perez^Peñuelas para el día 1.8 del corriente, á las ochode-su mamna';*ettjiáí casa-hábitacion de dicho,señprp'fo qve ^e ^…</t>
  </si>
  <si>
    <t>Ordovás, Juan Josef</t>
  </si>
  <si>
    <t>Juan Josef Ordovás</t>
  </si>
  <si>
    <t>…rio á la resolución del tercer artículo del dictamen so dante general, nombrado por el nuevo Gobierno, el maris bre el reconocimiento de la misma; y de los Sres. Díaz cal de campo D. Juan Josef Ordovás , y fueron recibidos Morales y González Allende contra la de los tres últimos por el ayuntamiento y pueblo con el decoro y distinción artículos del referido dictamen. correspondientes. Se nombró al Sr. Giraido para la comisión de Gobierno interior de las Cort…</t>
  </si>
  <si>
    <t>Orejón, Diego</t>
  </si>
  <si>
    <t>Diego Orejón</t>
  </si>
  <si>
    <t>…fuertes; 460 sobornales de grana;. 6 cajas de yainilla; 8'ca jones de plata labrada, y 3 barras de .plata;en dos bultos. .i*, i . . ^0: ! Por Doña Dionisia de Horcasitas, viuda de D. Diego Orejón y secretario de S. M., vecinos de esta corte, se fundó un patronato Real de legos y me-b üioria de misas sobre sus mayorazgos, de que es actual poseedora Doña Ma lta,de la O Arriaz a y Mostetrtn, vecina de esta corte; y siendo su expresa Voluntad qüe el patro…</t>
  </si>
  <si>
    <t>Orense, Casimiro de</t>
  </si>
  <si>
    <t>Casimiro de Orense</t>
  </si>
  <si>
    <t>…de un perió dico sin periodo fi o. y &gt;se halla en las librerías de Brun, Ortega, Hurtado, Matute Villa, Minutría, Orea y González, í 1 rs. ^ Disertación sobré población, leída pór D. Casimiro de Orense, abogado del cok legto, en su oposición á la cátedra de economía. Puede ir en carta. Se hallará en las librerías de Sojo y viuda de Quirogacsítle de las Carretas, y viuda de Sánchez ¡ calle de Toledo. La feliz elección ¿té las máximas perpetuas economizas que…</t>
  </si>
  <si>
    <t>…Política. No permitiendo él local que ademas dé los lóelos se admira sino ün nú mero determinado de alumnos, la sociedad ha puesto 40 papeletas "de entrada á disposición del socio profesor D. Casimiro de Orense. Las lecciones se darán los martes, jueves y sábados, de seis á.siete de la tarde, en lá casa de la sociedad, en la calle de Atocha, frente; á ja de Reía? , . , , , / «ril 1 ^ tores, cuarto principal. ,___- ,, Hallándose yagintg. La ajministracipn tesorería d…</t>
  </si>
  <si>
    <t>…unos derechos de que podrian usar en perjui Ateneo español* La cátedra dé economía política, que cio de la misma patria. Es cierto que no debían entrar en estaba á cargo del socio D. Casimiro de Orense, continua xaüticaciones; pero no podían tampoco desentenderse de rá en los mismos dias y horas al del socio presiden re Don que entre ellos se hallan los que se unieron á los egércitos Manuel Flores Calderón. Lo que se previene á los alum .del invasor, y toma…</t>
  </si>
  <si>
    <t>Orfila, Josef Mariano</t>
  </si>
  <si>
    <t>Josef Mariano Orfila</t>
  </si>
  <si>
    <t>…menos que si se dotaran igual número de del extinguido consejo de Castilla, pertenecía volver á ver oficiales por el método-antiguo; y que concedida la necesi y votar un p'eito de D. Josef Mariano Orfila, de cuyo ex dad de los 21 individuos, era indiferente ai erario que los pediente se dió cuenta en sesión de 29 de Julio. sueldos de estos variasen de un modo ú otro, siempre que su Se aprobó igualmente otro de las comisiones reunidas de totalidad río produjes…</t>
  </si>
  <si>
    <t>Orfila, Josef Mariano de</t>
  </si>
  <si>
    <t>Josef Mariano de Orfila</t>
  </si>
  <si>
    <t>…ual se debieron todas las providencias de los úl diente remitido por el ministerio de Gracia y Justicia , en timos felices años del reinado de Carlos m. Es cierto que el que pedia D. Josef Mariano de Orfila se votase nueva se niega la marinería al servicio militar; pero no porque mente un pleito que-con D. Josef Oriol habia seguido en el falta, sino porque es el servicio mas duro: se la mantiene conseio de Castilla en grado de segunda suplicación. en una clausur…</t>
  </si>
  <si>
    <t>Orga, Josefa Sánchez</t>
  </si>
  <si>
    <t>Josefa Sánchez Orga</t>
  </si>
  <si>
    <t>…dos los autos de testamentaría de Don Félix Ubeda, del comercio que fue de cerería en los portales de frente á la iglesia de Sta. Cruz, é igualmente los de abintestato de su viuda Doña Josefa Sánchez Orga nero,, que falleció en el estado de demencia en esta, misma villa y corte en 1 2 del presente mes y año, y por providencia de dicho señor juez, de 19 del mismo, se ha mandado citar, como por el presente se cita, llama y emplaza á los parientes y he rederos ab…</t>
  </si>
  <si>
    <t>Oriol, Josef</t>
  </si>
  <si>
    <t>Josef Oriol</t>
  </si>
  <si>
    <t>…os del reinado de Carlos m. Es cierto que el que pedia D. Josef Mariano de Orfila se votase nueva se niega la marinería al servicio militar; pero no porque mente un pleito que-con D. Josef Oriol habia seguido en el falta, sino porque es el servicio mas duro: se la mantiene conseio de Castilla en grado de segunda suplicación. en una clausura sumamente triste, y en pago de todo esto El Sr. Martínez de la Rosa presentó una memoria de está desnuda, y car…</t>
  </si>
  <si>
    <t>Orive, Frarrcísccp</t>
  </si>
  <si>
    <t>Frarrcísccp Orive</t>
  </si>
  <si>
    <t>…iciente de hombres que eí¡ desorden de la dispersión, el hambre,, la sed y la poca distancia habíacongregad», resolví saliese de Moreno el capitán D. Mareo- Llorens y el ayudante- D. Frarrcísccp Orive con gente de aquel sitio,; y unidos con los del -Paso^atacasen al enemigo, !cuya operación ya ía encontraron- verificada dichos ofiéiaíes á su arribo á la ciudad por las del Paso é indios de D. MigueI Gomez ; y replegado en el castillo de S. Jor ge, cuya fort…</t>
  </si>
  <si>
    <t>Orive, Marcos</t>
  </si>
  <si>
    <t>Marcos Orive</t>
  </si>
  <si>
    <t>…nifiesto de las ideas de un militar espa Se levó el dictamen de la comisión segunda de Legisla ñol para desenvolver la felicidad de la Nación, y sír ción acerca de la solicitud de D. Marcos Orive y D. To canos de la naturaleza para la felicidad de España, mas Cueto para que se Ies habilitae un curso de lí¡oscila lo habia efectuado en unión de otros 9 ciudadanos , nom ganado en vacaciones La comidon era de dictamen que por brados por el mismo coronel, que habi…</t>
  </si>
  <si>
    <t>Orrantía, Francisco de</t>
  </si>
  <si>
    <t>Francisco de Orrantía</t>
  </si>
  <si>
    <t>…-vedad alguna: todo lo que participo á V. S. para su conocimiento. ,, Dios guarde á V. S. muchos años. S. Felipe Agosto 31 de 1819. = Gre gorio de Arana. =$r. coronel y comandante general D. Francisco de Orrantía/' PROVINCIA DE GUANAJUATO» Oficia dd coronel y comandante general D. Antonio de Linares* - ,,Excmo. $r.: En el adjunto parte, que original pongo en las superiores manos de V. E., me manifiesta el coronel D. Anastasio Bus tomante que con dos partidas del regim…</t>
  </si>
  <si>
    <t>…isa» y después fue puesto en una capilla, que al efecro estaba iluminada. ESPAÑA. México 7 de Octubre* Continuación de los partes de Nueva-JEspaña. Oficio del coronel y comandante general D. Francisco de Orrantía. ,,Excmo. Sr.: Dirijo á V. E. el diario dé las operaciones de la sección del mando del teniente coronel D. Gregorio de Arana desde el 22 hasta el 30 del último Agosto, por el que se impondrá V. E. de la brillante acción que tuvo el alférez de Frontera D. Alej…</t>
  </si>
  <si>
    <t>Orte, Josef</t>
  </si>
  <si>
    <t>Josef Orte</t>
  </si>
  <si>
    <t>…o Setiembre último', me presentó 3200 legionarios. Las Ca de Gracia y Justicia. labrias están impacientes de llamar por tercera vez !a aten Las Cortes accedieron á la solicitud de D. Josef Orte ción de la Europa, y las otras cuatro divisiones compi ga , sustituto de oficial mayor del almacén de cristales de ten con las primeras en entusiasmo, y por poco que el S. Ildefonso en esta corte, pata que se le perdonen i© Parlamento dirija sus desvelos (com…</t>
  </si>
  <si>
    <t>Ortega, Francisco</t>
  </si>
  <si>
    <t>Francisco Ortega</t>
  </si>
  <si>
    <t>…oro y Torrejon de Velasco. (S¿ conti ALMERIA. nuará. ) Capellanía fundada de Doña Bernarda García Dueñas. ANUNCIOS. La tercera parte de un molino harinero en la Vega. Idem idem de D. Francisco Ortega. Se cita á los acreedores de D. Jaime Buscallá, del comercio Una hacienda de riego en Benadux. de esta corte, para Ja junta que ha de celebrarse ante el señor Idem idem de D. Rodrigo Marín de la Ala. D. Angel Fernandez de los Ríos,ministro togado, juez de pri…</t>
  </si>
  <si>
    <t>Ortega, Francisco Antonio</t>
  </si>
  <si>
    <t>Francisco Antonio Ortega</t>
  </si>
  <si>
    <t>…a, refrendada por el escribano de número D. JosefSoriaPian del vestuario presentado á S. M. por el comisario no Fernandez de Laguna, de la misma, se. cita, llama y empla de guerra D. Francisco Antonio Ortega. za á codas Jas personas ¿jue se consideren conderecho'á los bienes concursados de la casa quebrada de Aguila é lila, del comercio Memoria del brigadier_D- Félix Prat sobre el sistema •deMurcia, para que se presenten en el término de 20 dias, conque podría da…</t>
  </si>
  <si>
    <t>Ortega, Henrique</t>
  </si>
  <si>
    <t>Henrique Ortega</t>
  </si>
  <si>
    <t>…isco' Xavier Adell: para magistrados á; D. Antonio de la Cuesta y Tor re, arcediano titular de la iglesia catedral de Avila; D. Manuel Tariego, arcediano titular de la de Segovia; D. Henrique Ortega, dignidad de chantre de la iglesia colegial de Baza, y D. Alejandro-Dolare»;-y para fiscal á Don Eranciscq Alfonso, de Tuero ; cuyo tribuna] especial M Tnsiáiará i«medihtav</t>
  </si>
  <si>
    <t>Ortega, Josef</t>
  </si>
  <si>
    <t>Josef Ortega</t>
  </si>
  <si>
    <t>…ste por el coronel del regimiento de infantería de Murcia D. Fer mín Escalera, y asimismo el gobernador del castillo de Monjui, coronel D. Juan Desvalls, por el de la propia clase D. Josef Ortega. „Como mi mando, según Constitución, se reduce solo á la parte militar y sobre las tropas que componen el egército de este principado, mis disposi ciones no han excedido de esta esfera,y no me separaré de esta marcha mien tras circunstancias extraordinarias n…</t>
  </si>
  <si>
    <t>…de la plaza de Barcelona al mariscal de campo D. Joaquirí Ruiz. de Porras; en el^le la cindadela de la misma plaza al coronel D. Fermín Escaléra; en el deLéastillo díé Monjuich al coronel D. Josef Ortega , y enél- de la plaza de Gerona al -brigadier D. Gmllélmo Minad; -•&gt; t ■ Asimísmo ha confirmado S. M. -interinamente en el gobierno de la plaza de Alicante al brigadier D. Pablo Miranda, y en el de la ciudadela de Va lencia al teniente coronel D. Pedro Perez…</t>
  </si>
  <si>
    <t>Ortega, Manuel</t>
  </si>
  <si>
    <t>Manuel Ortega</t>
  </si>
  <si>
    <t>…o cesaron de resonar en aquella noche. En las tardes del 4 y 5 se dió una abun dante comida á la tropa, costeada por la oficialidad del mismo cuerpo. El pa triotismo del ciudadano D. Manuel Ortega contribuyó en gran manera al ma yor lucimiento de esta función, facilitando cuantos recursos fueron necesa rios^ manifestando su adhesión y amor al nuevo sistema: del mismo modo se han conducido todos los vecinos de Almagro, á quienes esta oficialidad está et…</t>
  </si>
  <si>
    <t>Ortiz, Dámaso</t>
  </si>
  <si>
    <t>Dámaso Ortiz</t>
  </si>
  <si>
    <t>…se acordó que este expediente pa'ase al Go el ministerio de la Gobernación de la Península. bierno para los fines convenientes á los interesados. ' ' Al Gobierno una exposición de D. Dámaso Ortiz , ma •La comisión primera de Legislación presentís su'dicta nifestando sus servicios en la guerra de la independencia, y men acerca de 1» instancia promovida por D. Juan de Dios</t>
  </si>
  <si>
    <t>Ortiz, Josef de</t>
  </si>
  <si>
    <t>Josef de Ortiz</t>
  </si>
  <si>
    <t>…ercibir ; y enterado por exposición de la tran , D. Isidro Lasauca, D. Domingo de Dueñas , D. Fran junta de gobierno del expresado monte de que por el enun cisco Antonio de Tudo , D. Josef de Ortiz, D. Josef de ciado extinguido Consejo solo se dió conocimiento de la Masdevall, D. Manuel de Fortuny , D. Miguel de Prats y mencionada Real resolución en 24 del mismo Enero último "Villalba, D. Juan de Medinabeitia, fiscal; D. Pedro Gó á ese ministerio, y al…</t>
  </si>
  <si>
    <t>Ortiz, Juan</t>
  </si>
  <si>
    <t>Juan Ortiz</t>
  </si>
  <si>
    <t>…rtido. 4.° «Que para desvanecer las impresiones equivocadas y Se mandó pasar á la comisión de Premios una exposi las infundadas esperanzas que pueden h lvr .catatado en el ción de D. Juan Ortiz, manifestando- l.os. servicios que ,ha pueblo sencillo los folletos del coronel Castillo, será conve hecho en la plaza de ministro principal de, cuenta y ra niente mandar insertar en los papeles públicos este informe,' zón en el egercito.de la Isla; y pidiend…</t>
  </si>
  <si>
    <t>Ortiz, Marcelo</t>
  </si>
  <si>
    <t>Marcelo Ortiz</t>
  </si>
  <si>
    <t>…prendido de los europeos el en tiempo de paz: su autor el subteniente agregado al regi arte de hacer excavaciones con fruto, y en el dia trabajan miento de infantería de Cantabria D. Marcelo Ortiz. á competencia en derribar montañas de arena, bajo las cua Memoria sobre una nueva planta para la caballería, por les han quedado sepultadas por espacio de muchos siglos las el teniente coronel D. Josef Rubio, capitán retirado de la entradas de edificios de t…</t>
  </si>
  <si>
    <t>Ortiz, Pedro Aparici y</t>
  </si>
  <si>
    <t>Pedro Aparici y Ortiz</t>
  </si>
  <si>
    <t>…apolitanos que la unión hace la fuerza, y .i esto dirigen Memoria que presentó á las Cortes generales y extraordina todos sus esfuerzos, y no lo han Ihecho en vano. Pensábase rias D. Pedro Aparici y Ortiz , diputado por la provincia de en aumentar e] egárcito activo; pero el loríame Uto decidió Valencia, sobre que los dueños territoriales carecen de título que eran suficientes los &gt; 4© hombres existentes, b ien equipa legítimo para retener los raíces que dejar…</t>
  </si>
  <si>
    <t>Orue, Josef de</t>
  </si>
  <si>
    <t>Josef de Orue</t>
  </si>
  <si>
    <t>…de dicho género, donde se admitirán las Sres. diputados las adiciones de que fuesen extensivas las pro proposiciones que se hagan para el todo ó parte; y en Ma drid en la lonja de D. Josef de Orue, calle.de la Montera,posiciones referidas á las Juntas de Pamplona, Tarragona y otras, que estaban en igual caso , y á la guarnición de Ma esquina á la de los Jardines. drid , que tanto contribuyó al mismo objeto. Se leyó otra del Sr. Moreno Guerra, para que…</t>
  </si>
  <si>
    <t>Oscalan, Timoteo</t>
  </si>
  <si>
    <t>Timoteo Oscalan</t>
  </si>
  <si>
    <t>…de Paz y de Brun, frente á las gradas de S. Felipe el Real. ** Apuntes acerca^del difunto teniente general de los egércitbs nacionales de Espa ña el Excmo. Sr.'Di. Luís Lacy. Por D. Timoteo Oscalan deLacy, su primo, teniente de Navio de la; Armada nacional, é ingeniero dé Marina. Se vende en la librería de Sancha/ *...... &gt; . uT* SUPLEMENTO r</t>
  </si>
  <si>
    <t>Oscar, Real</t>
  </si>
  <si>
    <t>Real Oscar</t>
  </si>
  <si>
    <t>…, es desconocer de un todo el espíritu del si la ley de elegir á su arbitrio cuatro jurados , é incluyó en glo, la justicia natural y la hechura del corazón humano: este numero al príncipe Real Oscar; lo que se hizo saber es seguir la funesta máxima de Constantinopla: Lo que al Rey por el tribunal. S. M. sueca decidió que siendo lla siempre se hizo hádase siempre , q‘ue ha llenado de hor mado el Príncipe'su hijo por la Constitución á otras fun rores la hi…</t>
  </si>
  <si>
    <t>Osma, Benito Osma y</t>
  </si>
  <si>
    <t>Benito Osma y Osma</t>
  </si>
  <si>
    <t>…Rafael Galinno y Guillelmi, D. Francisco Rívadeneira y Acevedo, D. Mariano Navarro "y Avellañ, D. Juan Basco y Sarria; Den Ramón Nuñez de Haro, D. Josef Rulz del Burgo y Basabrú, D. Benito Osma y Osma, y el soldado distinguido de la misma arma D. Benito de XJrrutia y Franco, que han concluido el curso general de estudios, ha tenido á bien promoverlos á subtenientes efectivos de dicho cuerpo, aunque con solo el suel do que en la actualidad disfrutan hasta q…</t>
  </si>
  <si>
    <t>Oso-, Vicente</t>
  </si>
  <si>
    <t>Vicente Oso-</t>
  </si>
  <si>
    <t>…e se hallan en prensa, Pedro Toséis Gamez ; ídem D. Josef Bucareli; ídem D. Jo y el primero se entregará muy en breve á los que gusten sus sef San Juan ; ídem otra del mismo; Ídem D. Vicente Oso- cribir, pagando 20 rs. vn. adelantados. A los que no suscriban rio ; el teniente general D. Juan Caro; el comandante de les costará 28 rs. Se suscribe en Madrid en ¡as librerías de Bar escuadrón D. Luis Casamavor: el coronel y varios oficiales co; en Valencia…</t>
  </si>
  <si>
    <t>Osorio, Francisco de Paula</t>
  </si>
  <si>
    <t>Francisco de Paula Osorio</t>
  </si>
  <si>
    <t>…adier D. Josef del Castellar de la de Cataluña; á D. Pedro Lainez de la de Córdoba; al brigadier D. Ra món Losada de la de Galicia; á D. Joaquín Montesoro de la de Guadalajara; al brigadier D. Francisco de Paula Osorio de la de la Mancha; al mar ques del Villar de la de Murcia; al teniente general D. Juan O-Donojú de la de Sevilla; á D. Luis Castillo Barrantes de la de Toledo; al brigadier conde de Almodovar de la de Valencia, y ai brigadier D. Luis del Aguila de la de Vall…</t>
  </si>
  <si>
    <t>Osorio, María</t>
  </si>
  <si>
    <t>María Osorio</t>
  </si>
  <si>
    <t>…en si los servicios hechos por su poder las representaciones de Huidobro , opinaba que él para el restablecimiento de la Constitución en Marzo pa debia accederse á la instancia de Doña María Osorio, con sado son de mérito relevante, y pueden ser atendidos. intervención del tribunal competente, y con obligación da A la de Diputaciones- provinciales se pasó el expediente depositar el sobrante en e! mismo tribunal. Después de al de la nueva división de par…</t>
  </si>
  <si>
    <t>Osorno, Cárlos</t>
  </si>
  <si>
    <t>Cárlos Osorno</t>
  </si>
  <si>
    <t>…también á la comisión una indicación del cuadrón de caballería que creó el general D. Rafael del Rie St. Casaseca, relativa al arbitrio 8.a de ja lista núm. 4, la go, al mando de D. Cárlos Osorno, se previene será uno cual decía: «Redáctese én la forma siguiente: los bienes de ae los que formen alguno de los actuales regimientos de ca los monacales suprimidos y de Los que se supriman de otros ballería, el cual tomará desde entonces el nombre de regi r…</t>
  </si>
  <si>
    <t>Ostolaza, Blas</t>
  </si>
  <si>
    <t>Blas Ostolaza</t>
  </si>
  <si>
    <t>…Gracia y del público y de los propietarios, opinó que no se debía Justicia, en que decía que era perjudicial la permanencia cíe decretar un precio general para toda la Península. D. Blas Ostolaza en el monasterio de la Cartuja en que se El Sr. Banqueó, conviniendo en la necesidad de tomar hallaba, mucho mas existiendo en ella un religioso conoci una medida provisional, juzgaba que para evitar compromi do por su desafecto al sistema constitucional y su…</t>
  </si>
  <si>
    <t>…menos pesada esta car ministro de Gracia y Justicia, con referencia á otro del Gefe ga, hacia la indicación siguiente: «Que el aumento de haber político de Murcia, participaba que D. Blas Ostolaza ha al soldado sea basta 20 cuartos diarios.” bía sido trasladado á las cárceles de la extinguida Inquisi Se mandó pasar esta indicación á [as comisiones reuni ción de aquella ciudad; de lo que las Cortes quedaron en das, é igualmente otra de los Sres. Mostoso…</t>
  </si>
  <si>
    <t>…sa de la Constitución, y de! Rey constitucional. Las No hubo lugar á votar sobre una representación que ha Cortes ia oyeron con particular agravio , mandando hacer lio. cia el Dr. D. Blas Ostolaza , pidiendo que se declare por las norífíca mención de ella en el diario de sus sesiones. Cortes que no se hallan comprendidos en el art. 372 de la' El mismo Sr. diputado presentó otra exposición de los Constitución los ex-diputados que firmaron el manifiesto…</t>
  </si>
  <si>
    <t>Oteiza, Francisco de</t>
  </si>
  <si>
    <t>Francisco de Oteiza</t>
  </si>
  <si>
    <t>…fidelísima ciudad, de Calatáyud, el Excmó. Sr. conde de Sástago, marques de Aguilar, grande de España de pri mera clase, gentilhombre de S. M. con egercício, y el coronel retirado Don Francisco de Oteiza; el primero de los cuales dijo: ,,Señor: El ilustre ayuntamiento de la&gt;M. N. L. y-F.,.ciudad de^Calata, yud, una de las de voto en cortes en elt reino ;de Araron, qne siempre (i* - manifestado la mas acendrada fidelidad ;á su sv Sobe ranos, interesada en el b…</t>
  </si>
  <si>
    <t>Oteiza, Sancho Sánchez de</t>
  </si>
  <si>
    <t>Sancho Sánchez de Oteiza</t>
  </si>
  <si>
    <t>…e Castilla. Otra de 14 robos, 14 almudes en el campo de la Serena No se'admitió otra del Sr. Peñafiel para que se supri y camino de Co relia. miera la palabra igual. Capellanía de D. Sancho Sánchez de Oteiza. Por último se mandaron pasar á la comisión las dos Una pieza de tierra Manca , de 6 tobos, en el campo de siguientes : una del Sr. Ezpeleta: «Que cualquiera renta li Traslapuente, término de Girón. bre que un poseedor hubiere vinculado á cualquiera persona C…</t>
  </si>
  <si>
    <t>Otiver</t>
  </si>
  <si>
    <t>Por indicación del Sr. Otiver, atendiendo á que en el drones ;~y Habiéndose hecho algunas reflexiones por el señor negocio del préstamo de 40 millones, de que habló el mi Calatrava sobre que no debía pasar á ninguna comisión, se nistro en la sesión anterior, y se mandó pasar á la comi sus…</t>
  </si>
  <si>
    <t>Otiver, Leonardo</t>
  </si>
  <si>
    <t>Leonardo Otiver</t>
  </si>
  <si>
    <t>…ían en la capital aquellas que Congreso para poder seguir la instancia pendienrc .cn el su de común acuerdo se tuviese por conveniente que acompa premo tribunal de Justicia contra D. Leonardo Otiver , Don ñasen á la j-mta. tanto para su decoro, como para partici Rafael Baleña y otro* , de resultas de haber infringido las par del; espectáculo de la a'egría pública , y de los justos leyes el juez de primera instancia de Mallorca contra su ho aplausos que m…</t>
  </si>
  <si>
    <t>Otra</t>
  </si>
  <si>
    <t>…ada una el máximum y el to de t8ao.=Josef de Espiga, presidente. — Diego Clemen mínimumpor ser la misma que la del Sr. Calatrava. cia , diputado secretario.^ Manuel López Cepero , diputado Otra hizo el Sr. presidente: „Si se supondrá por base secre ario." como máximum el sueldo de 30‘d) rs.” que retiró también Por tanto mandamos á todos los tribunales, justicias, en vista de la discusión que se suscitó, en la que después de gefe¡, gobernadores y dem…</t>
  </si>
  <si>
    <t>…izarralejo, su cabida 4,500 fanegas, El Sr. Remero Aipuen'e opinó que de ninguna manera poco mas ó menos, de labor y pasto. se podían declarar infractores de la Constitución ni el juez Otra dehesa de la Mata, cabida 700 fanegas, poco mas de primera instancia ni el auditor, pues lo que hicieron ó menos, para labor. fue un efecto de circunstancias particulares, como que el ha {Doscientas cincuenta fanegas situadas en término de la ber nn estado á…</t>
  </si>
  <si>
    <t>…ne la co Otra de 8 robos, 8 almudes en las Coronas, misión, y que se hizo leer. Otra de 7 robos , 10 almudes en Jas Coronas .bajas. Se mandó pasar á la comisión una indicación del señor Otra de 2 robos, 11 almudes en Mosquera. Marín Tauste: «La intervención que para enagenar se da á Una abejera deruida y sin bajos, llamada del Bollo, todos deberá ser en los menores ó ausentes de los síndicos con 14 á 1 ó-olivos muy débiles, sita en ¡os montes de…</t>
  </si>
  <si>
    <t>…, donde antes estuvieron situa baud, D. Francisco Xavier Duran, D. Felipe Fernandez JBobadas la' oficinas del establecimiento. dfila, D. Diego Moreno, D. Migual Francisco Aspiroz, Don Otra idem en la calle de Jacometrezo, núm. 2, manza Miguel Antonio de la Torre, D. Luis González y D llenrina 3; ; ; cuyas fincas son las únicas de que hasta el día ha que Abeglie, últimos tenedores, el primero de tres vales rea les de 300 pesos, creación de i.° d…</t>
  </si>
  <si>
    <t>…terreno ó solar que hay entre las dos úl rio , cuya ni'j'liiminiiisti « ([aapo-sitiwa. timas casas y las anteriores, 2025. Decíase errnVíls^rtrlí qiutitcSIiaciiizo de S. A. R. el duque Otra casa en la calle de S. Juan, llamada de la Peniten de Burdeos thiící tiriliñcinza basta Febrero; y que la Rusia cia , 28,441. y el Austria DÉ '¡tiiíurarn mluy aacordes sobre el punto de los Otra casa en la citada calle, contigua á la anterior , 9393* asuntos…</t>
  </si>
  <si>
    <t>…em , núm. 4.0, en 13,200 rs. tratar en adelante á sus prisioneros como á esclavos, los Otra idem ídem, núm. 5.0, en 15,400 rs. matan y los tiran al agua. En el mismo acto de estar lord Otra idem idem , núm. 6.a, en 58,350 rs. Exmouth bombardeando á Argel sucedió un caso horroroso, Una haza como de 44 marjales de tierra calma de riego, que acabará de darnos uná idea de la crueldad dé estos ca término de la misma ciudad de Granada, pago- de Alcalá…</t>
  </si>
  <si>
    <t>Otra, Agus</t>
  </si>
  <si>
    <t>Agus Otra</t>
  </si>
  <si>
    <t>…rezo,de ; robos, Avila; D. Mariano Becenil, teniente coronel graduado de jurisdicción de la referida ciudad de Tudela , en iQ rs. idein ; D. Antonio Rodríguez*^ teniente de idem ; D. Agus Otra heredad de árboles frutales, en Mosquera y sitio tín Santero, idem idem; D. Pío Ximenez de Muñana, del común , de 3 robos y 4 almudes, en la propia juris ídem idem; D. I-Ienrique Lefleer, comandante de aquel dicción, en 1950 rs. . resguardo; D. Fernando Puert…</t>
  </si>
  <si>
    <t>Otra, D- Vicente</t>
  </si>
  <si>
    <t>D- Vicente Otra</t>
  </si>
  <si>
    <t>…a nes y 32 estadales. ñana se dar 1 principio en el estudio nacional de Clínica in Otra á la Alcantarilla, de una fanega y 13 estadales. terna de esta corte, bajo la dirección del Sr. D- Vicente Otra en Carro Segovia, de una fanega, 3 celemines y Martínez, primer médico de cámara de SS MM. y A A. RR., 25 estadales. caballero de la Real y distinguida orden e-pañola de Cir 0¿ra mas adelante, de media fanega. ios m Scc., á las lecciones de la enunciada parte…</t>
  </si>
  <si>
    <t>Otra, Joa</t>
  </si>
  <si>
    <t>Joa Otra</t>
  </si>
  <si>
    <t>…robos y 4 almuaes, término del mismo pueblo de Urzante, Coronel, D. Eusebio Iglesias, D- Pedro Espina y D. Josef en 3 91; rs. . . . Perez, regidores y miembros del ayuntamiento ; D. Joa Otra viña, también joven, en Calchetas y los Sábados,■ quín de Miguel, comandante del quinto escuadrón'de ar de 10 robos y 3 almudes, en el citado término, en 489,0 rs». tillería; D. Angel Vargas, capitán de idem; D- Fernando Una lamia, en el término de lijo Matía…</t>
  </si>
  <si>
    <t>Otra, Josef Ma</t>
  </si>
  <si>
    <t>Josef Ma Otra</t>
  </si>
  <si>
    <t>…las Coronas, de 5 robos y 7 almudes, jurlsdic^ do de caballería de Borbon; D. Félix Isnedio, teniente de cion de Tudela , en 43 5 rs. idem ; D- Cayetano Barrera, alférez de idem ;.D. Josef Ma Otra en el mismo campo, de 8 robos y 7 almudes, en ría Pedrioazi, teniente de ídem; D. Jaime Subirán , capi la propia jurisdicción, en 680 rs. . , tán de Ordenes militares; Bernabé Díaz, sargento 2.° de Otra en el citado campo , de^4 robps.y 2 almudes, ¿a dragones…</t>
  </si>
  <si>
    <t>Otra, Juan</t>
  </si>
  <si>
    <t>Juan Otra</t>
  </si>
  <si>
    <t>…. Otra en ¡a calle de Entadriiiadi, parroquia de S. Ro Memorias para la vida del Excmo. Sr. D. Gaspar Melchor mán . núm. 20. de Jovellanos, y noticias analíticas de sus obras, por D. Juan Otra en la calle Larga del barrio de Triana, núm. 21. Agustín Cean Bcrmudez. Madrid en la imprenta que 'ue de Otra casa, calle de Cadenas, del mismo barrio, núm. 22. Fuentenebro, año de 1814: un. tomo en 8.J mayor. Los susOtra casa-almacen en el barrio de la Carre…</t>
  </si>
  <si>
    <t>Otra, Lorenzo</t>
  </si>
  <si>
    <t>Lorenzo Otra</t>
  </si>
  <si>
    <t>…iña en la Ropa ó Lagunar, de 17 robos y 13 al hallándose encargado interinamente del gobierno po mudes , término de Urzante , en 4987 rs. lítico el intendente de aquella provincia D. Lorenzo Otra en S .las, de 3 robos y 3 almudes . término de Ur Perabeles. zante, en S92 rs. Don Miguel Palacio; D. Gregorio Camarero, segundo Otra viña , plantado joven, en .el mismo campo , de 7 alcalde, constitucional; D. Luis Arrabal, D. Santos Aboin robos y 4 almuaes,…</t>
  </si>
  <si>
    <t>Ouiroga</t>
  </si>
  <si>
    <t>…algodón, acerca de que no se. halla para la militar. De ninguna manera faltan las ennles ofreció hacer dos indicacioner. embarcaciones; miles de toneladas están esperando carga El Sr. Ouiroga dijo que la comi ion de Milicias nacio mento para hacer la navegación ; no son los mejores les bu nales no habia dado ya sus trabajos por no juzgar decoroso ques de 1200 toneladas , sino los que no pasen de 60; estos presentar un reglamento interino; añadiend…</t>
  </si>
  <si>
    <t>…ashumante, y otra de Los emigrados con el go bierno intruso. ■ - — . ■■■“* NOTICIAS DEL REINO. Se recibieron con agrado, y se mandaron distribuir los egemplares presentados por el Sr. Ouiroga del estado de gas Madrid de Setiembre. tos ocurridos én el egército de la-Isla. 1 SS. MM. y AA. siguen sin novedad en su importante Conformándose las Cortes con el dictamen de la comi •alud. sión de Poderes, aprobaron los de los Sres. D. Manuel S. M. ha despa…</t>
  </si>
  <si>
    <t>Oüver</t>
  </si>
  <si>
    <t>…a dada por Manuel Arroyo, vecino de Aigüenza, con matrículas, se añadiese »y suprimidos todos los gremios tra el alcalde y el juez de primera i.stancia de la misma ciu de mar.” El Sr. Oüver hizo presente que esto ya se habia dad en e1 asunto pendiente con el arriero Tomas Sabalceta. aprobado, por lo cual se mandó archivar el dictamen de La comisión era de parecer q e no habia lugar á la forma que se trataba. ción de causa A'los referidos alcalde…</t>
  </si>
  <si>
    <t>Ouvvarof</t>
  </si>
  <si>
    <t>…sus luces particulares; y con este motivo ha hecho saber al y de Matusewitz, se hallan también el príncipe Vv'olkonsRey el príncipe de Ilardemberg que su presencia era abso ky, el conde Ouvvarof, el príncipe Menzikoit , el conde lutamente indispensable. Olkarowsl; v y el príncipe Czernichetl; pero estos últimos, Por lo demás parece fuera de toda duda que los asuntos incluso el principe Wolkonsky, no toman parte alguna en que se están ventilando en Tr…</t>
  </si>
  <si>
    <t>Ovalle, Félix de</t>
  </si>
  <si>
    <t>Félix de Ovalle</t>
  </si>
  <si>
    <t>…en el prebendas con que acudir á su subsistencia; por lo que se juicio de conciliación, celebrado en 26 de Junio último an ■probó también. te elSr. alcalde primero constitucional D. Félix de Ovalle, Se leyó la siguiente adición del Sr. Torre Matin al'ar entre el susodicho y el Excmo. Sr. conde de Miranda , ma tículo 9.0, que no fue admitida; «pero que esta sea á jus yordomo' mayor de S. M., con los respectivos asociados, en ta tasación , y no por subast…</t>
  </si>
  <si>
    <t>Ovallo, Cosme Martínez</t>
  </si>
  <si>
    <t>Cosme Martínez Ovallo</t>
  </si>
  <si>
    <t>…roblemas contenidos en la cir dicho nacimiento. cular del inspector general de infantería de 12 del corrien En el tomo t2.° sobre la nación malaysa, con la tra te, por el teniente coronel D. Cosme Martínez Ovallo, ca ducción del código marítimo,: sobre la altura de los montes pitán de Voluntarios de Aragón. Himaleyos, entre los cuales está el Yammavatani, que tiene Memoria sobre la organización del egército , por el ca mas de 2 5 © pies de elevación. pitán graduado de…</t>
  </si>
  <si>
    <t>Ovando</t>
  </si>
  <si>
    <t>…artidas de infantería, había listón.) recogido cuantos habían quedado vivos, siendo uno de los' Se opusieron los Sres. Sancho y Florez Estrada al artí muertos , según se decía, el gobernador Ovando. culo , fundados en que desconocían los tratados á que se re Según otro parte remitido al Excmo. Sr. general en gefe feria, y la clare de delitos que en estos se comprendían. con fecha de 24 de Mayo, la división de flecheras, al man Los Sres. Crespo Cantolla…</t>
  </si>
  <si>
    <t>Ozméfcola, Josef de</t>
  </si>
  <si>
    <t>Josef de Ozméfcola</t>
  </si>
  <si>
    <t>…jará á nadie con menos de esta suma. de Farnesio, sobre fomento de su profesión; y un proyec 5.® aDss que «saetí incorporados en el monte pío respec to de Constitución militar por D. Josef de Ozméfcola. ‘‘•o tivo sufrirán los. descuentos correspondientes á la cantidad A la de Instrucción pública una exposición de D.‘Se- - delrsSiGldo que se les deja. bastian Ortiz de Carvajal, sobre establecimientos de educa ■ 6.® -Sufrirán ademas la diminución establecida,…</t>
  </si>
  <si>
    <t>P, Juan</t>
  </si>
  <si>
    <t>Juan P</t>
  </si>
  <si>
    <t>…y su industria sobre la barbatie de las naciones ambu tancia en esta villa, por la escribanía de sir.número que egerce lantes , mientras que otros, salidos suce-ivamente de las al D. Juan P^aya; en inteligencia que pisado dicho término, sin tas sierras del Tauro, asolaban aquel país á su paso para el mas citación se proveer lo que corresponda en justicia, y les parará el perjuicio que haya Jugar. Occidente. Ignorándose la hibitacion en esta cort…</t>
  </si>
  <si>
    <t>Pa'area</t>
  </si>
  <si>
    <t>…la mitad de su regeneración con mayor cilina, con será pública y uniforme." mayor respeto á las leyes, á la religión y á las vidas y pro Leido el 2.% lo consideró) perjudicial el Sr. Pa'area , di piedades de los ciudadanos, y en fin con mayor dignidad ciendo que le parecia contrario á las mejoras que cada día ■que el pueblo de las Dos Simbas, se hacian , especialmente en las cié cías tísicas y matemáticas; Concluyó diciendo que la Constitución de…</t>
  </si>
  <si>
    <t>Pablo</t>
  </si>
  <si>
    <t>…rema los mismos individuos que la componían cuando se disolvió; á saber, D. Manuel Josef Quintana, presidente, y ios vocales D. Felipe Bau*á, D. Martin Navas, Di Eugenio de Tapia, D. Pablo de la Llave, D. Vi cente Sancho-, D. Juan Acevedo, y D. Francisco Martínez de la Rosa, se*eretario; y previniendo que si algunos hubieren fallecido, sean reemplazados por los suplentes que había en la misma época, y que cuide la misma junta suprema del pronto…</t>
  </si>
  <si>
    <t>…stas en la trario á la indicación aprobada del Sr. Diaz del Moral, so libertad de vender al extrangero , pagando los derechos es bre que se hiciese extensiva A la muger é hijos de D. Pablo tablecidos.” ~ López la pensión concedida á este. be opusieron A este artículo los Sres. Lorertzaña y Va— A propuesta de la comisión segunda de Legislación se dillo , opinando el primero que debía señalarse al fabrican habilitaron A D. Francisco de Círdoba lb…</t>
  </si>
  <si>
    <t>Pablo, Francisco</t>
  </si>
  <si>
    <t>Francisco Pablo</t>
  </si>
  <si>
    <t>…en ¡as librerías de Bar escuadrón D. Luis Casamavor: el coronel y varios oficiales co; en Valencia en la de Beneito; en Barcelona en la de Sierra; dei regimiento de Lusitania; el coronel D. Francisco Pablo en Zaragoza en la de Yagiie; en Sevilla en la de la viuda da de la Peña ; el teniente coronel D Bartolomé Amor; ídem Vázquez, y en Granada en la de Martínez Aguilar. D. Josef Rubio; los gefes y oficiales del regimiento déla Manifiesto de la junta provisional…</t>
  </si>
  <si>
    <t>Pacca</t>
  </si>
  <si>
    <t>…iopúblicos descjp su juventud : como gobernador de ia capital estaba á la cabeza je la policía y dé la justicia criminal. Monseñor Pianetti le ha reemplazado' provisionalmente. El cardenal Pacca , su tío, sé baila muy ^pesaroso por rtal1 suceso, y. ha- salido -ir pasar álgurftiémpb eq ■ ■ ;Frasca ti.: *■ - .-■&gt;-&gt; . y-i / *. ■ - • • ; **• *“••■ :"r‘-*r&gt; - - ALEMANIA. /-;■* ’ ?- ' - - Heidelberg aj de Abril, ;/&gt;■ j Parece que se trata de nuevo del regl…</t>
  </si>
  <si>
    <t>Pache, Ramona</t>
  </si>
  <si>
    <t>Ramona Pache</t>
  </si>
  <si>
    <t>…uso, y convino la co de 1. de Enero de 1808 , señalado con el número 267,427 , que misión Eclesiástica, en que al proyecto que habia presen á consecuencia de reclamación hecha por Doña Ramona Pache tado hoy- se añadiese, que lo contenido en el era «sin per co, como heredera de D. Antonio Gutierre/., fue retenido en juicio de los actuales poseedores." la oficina de Renovación , y remitido a dicho juzgado de prime ra instancia para que dentro del término…</t>
  </si>
  <si>
    <t>Padrón, Ruiz</t>
  </si>
  <si>
    <t>Ruiz Padrón</t>
  </si>
  <si>
    <t>…te, léase, después: mani de Beneficencia una memoria fi'antrópica de D. Francisco festando no ser necesario el tribunal supremo de Salud pública, González barro, presentada por el Sr. Ruiz Padrón, sobre antes bien perjudicial y estar derogadas sus principales atri buciones por la Constitución.diferenci.: en re los pobres y los verdaderamente necesitados. otra. En la gaceta de anteayer , redactando la sesión extraor Se leyó la siguiente indicación del…</t>
  </si>
  <si>
    <t>Padrón, Rulz</t>
  </si>
  <si>
    <t>Rulz Padrón</t>
  </si>
  <si>
    <t>Dos del Sr. Rulz Padrón: I.* que en todas las acias raldo, Palarea, Sánchez Salvador, Torre Marín, Sancho, é instrumentos públicos en que se haya de decir Fernan Vi ronca, Romero Alpuente, Calatrava y Montoya, se do vir, se denomine Fernando el Grande: 2.a que asi en la aprobó el di…</t>
  </si>
  <si>
    <t>Padua, Macario</t>
  </si>
  <si>
    <t>Macario Padua</t>
  </si>
  <si>
    <t>…o; un laboratorio y un anfiteatro anató Seis cartas á Irénico, declarando las ideas de los derechos micos; un gabinete de física ; un museo de historia natura! del hombre &amp;c.: por D. Macario Padua. Véndense á 16 rs. en mu y abundante en mineralogia ; un establecimiento hidráu la librería de Quiroga. lico, creado por el Rey Carlos Manuel 111 para instrucción El fruto de la religión en la desgracia , ó) reflexiones íilosófico-mor.des de un español expatr…</t>
  </si>
  <si>
    <t>Paez, Manuel</t>
  </si>
  <si>
    <t>Manuel Paez</t>
  </si>
  <si>
    <t>…ra de latinidad, y se principió el acto £911 una oda latina, que pronunció Pablo Merchante. '' y D. Antonio Mediano, juez interinó de esta villa, hizo donación de tres medallas, y D. Manuel Paez , alcalde constitucional , entregó tres coÍeccipñe¿ de autores latinos para que las obtuvieran lós sugetos que alcanzasen el aciesit en sus respectivas clases: se dieron los premios del modo siguiente: i,*1 la meda lla, perteneciente al que mejor desempeñara…</t>
  </si>
  <si>
    <t>Page, García</t>
  </si>
  <si>
    <t>García Page</t>
  </si>
  <si>
    <t>…do expe zo de 1811, se acordó lo segundo. diente , se procedió á la discusión por artículos. Se pasó después á la discusión señalada pava hoy (vía Empezada la del primero, leyó el Sr. García Page «l se la sesión del ti) del dictamen de las comisiones reuni Real decreto del restablecimiento, dado en 21 de Mayo das especial de Hacienda y de Legislación, las que hacien de 181 í ; y con las expresiones de este demostró la ofensa do en su informe referenci…</t>
  </si>
  <si>
    <t>…no se les daba otro nombre, y también á que hay ridades con la de los padres de familia, opinó adhirién algunos que están considerados como vagos, por egemplo, dose al parecer del Sr. García Page , que se debían señalar los soldados inválidos y los artesanos que por desaplicación pe'nas, pudiendo ser estas en su concepto para los que no ó pereza 110 se dedican al trabajo, para los cuales no seria correspondieren á aquella confianza ; en el primer grad…</t>
  </si>
  <si>
    <t>…idad de las sesiones del Congreso y en. la libertad de la consuelo de que se le reuniese su esposa, cuyo elogio hizo imprenta'. Pretender una ampliación de esto, solo.puede ser el Sr. García Page; quien presentó la muerte del Sr. Cuar en. el caso de estar vacilante la Constitución , ó no bien tero como una consecuencia precisa de sus trabajos y perse marcada la libertad, que es acaso lo que ha legitimado ta cución , de su viage de vuelta á la Penínsul…</t>
  </si>
  <si>
    <t>…e le hizo notar ser de abso ción. La gran cue-tion es si estamos en el caso de estas cir luta impósibiidad. cunstancias extraordinarias, y d" dispensar las formalidades Di jo'; el Sr. García Page que ño podía menos.de adver para'el aíresto. Digo que no. El Estado no peligra. Yodes-, tir que se' habian recibido dos cartas del egército de la Isla, canso en ja buena voluntad del egército, en la opinión pu en que se confirmaba lo mbino que ya £e habia dic…</t>
  </si>
  <si>
    <t>…ar Se opu’o á la indicación el Sr. Sánchez Salvador, en el en esta discusión. El primero á quien se ie concedió fue al conceprode que la inscripción en el salón de Cortes no debía Sr. García Page, que conviniendo en la primera parte con pasar de los geles ó cabezas de las empresa' sin generalizar el dictamen de la mayoría de la comisión . apoyó en la se se, citando por egempio al gobernador de Gerona D. Ma gunda el voto particular, opinando no debía c…</t>
  </si>
  <si>
    <t>…ue hacen á la Nación, artículos anteriores; y estando comprendidos en la dotación sino que se lo hacen á sí propios. de la Real casa los sueldos de aquellos, y todos los gastos El Sr. García Page, apoyando el dictamen de la comi de la capilla, sobre que el Rey podrá hacer lo que le pare sión , se opuso á lo que se habia dicho del derecho que ad ciere, el Gobierno dispondrá inmediatamente que entren en quieren los monges á permanecer ett sus conventos,…</t>
  </si>
  <si>
    <t>Paiafcx, Manuel La-Cerda y</t>
  </si>
  <si>
    <t>Manuel La-Cerda y Paiafcx</t>
  </si>
  <si>
    <t>…Don Ramón Ruiz de Labastida, D. Joaquín Cabañíes y Fuster, D. Jesualdo Pé rez de Lema , D. Mariano García y Saleta , D. Josef Guerrero y Sedaño 3 Don Santiago Olloqui y Martínez, D. Manuel La-Cerda y Paiafcx, D. Juan Ló pez Larrainzar , D Francisco Cascajares y Bardnxí, D. Josef Aivarez Reyero , D. Cárlos Casaprin y González, D. Rafael Rodríguez Solís, D. Josef Canals y Mayéis, D. Rafael Galinno y Guillelmi, D. Francisco Rívadeneira y Acevedo, D. Mariano Navarro…</t>
  </si>
  <si>
    <t>Paiarea</t>
  </si>
  <si>
    <t>…lo los citados privilegios con cuerpo;” se aprobó después de algunas objeciones del se cedidos desde el año de 1816 inclusive, sino también las ñor Golfín , á las que respondió el Sr. Paiarea. transaciones de que se ha hecho mérito.” Lo que de Real Se leyó un oficio del ministro de la Guerra, en que daba orden comunico á V V. SS. para su inteligencia y cumpli parte á las Cortes de que S. M., con arreglo á las leyes, ha miento, en consecuencia de l…</t>
  </si>
  <si>
    <t>…ares y eclesiásticas, de cualquiera clase y dignidad, que obrarían con generosidad. j ■ guarden y hagan guardar, cumplir y cgecütan ja presenta Apoyó ei dictamen de ‘a comisión ei Sr. Paiarea, Fun ley, en todas sus partes. Tendreíslo entendido, para su cum dado en que no debia'n obrar los diputados conforme á sus plimiento, y dispondréis: se'dmprima, ;publique y circu sentimientos particulares, sino con arreglo á lo que exigiese le. = Está rubrica…</t>
  </si>
  <si>
    <t>Paikull</t>
  </si>
  <si>
    <t>…no puede menos de recibirse con aceptación atendida la celeoridad de que goza la titulada Pen samientos del conde de Oxenstiern, traducida en casi* todos los idiomas europeos. El barón Paikull ha regalado al Rey su colección de historia natural, cu ya mayor parte consiste en pájaros.* de los que hay 1300 especies; y S. M. Ja ha puesto á disposición de la academia de Ciencias, señalando para su conservador, los fondos necesarios. La misma academia h…</t>
  </si>
  <si>
    <t>Painbley, Sierra</t>
  </si>
  <si>
    <t>Sierra Painbley</t>
  </si>
  <si>
    <t>…e tículo r.'7; pero no el quedar en sesión permanente como la Rosa; con lo que se aprobó el artículo reformado de esta pidió el Sr. Cortés. suerte. Leído el 2.0 artículo, habló el Sr. Sierra Painbley para Después de aprobados todos los to artículos que com probar que el artículo i.° aprobado por las Cortes estaba prendía esre dictamen de las cornijones, se aprobó también en oposición con este; porque si se declaraba sin efecto el la útiima parte que hacia…</t>
  </si>
  <si>
    <t>…rmano' dtíl marques de Sta. Cruz, en que Agustín Juan de Poveda sobre Las minas de alumbre de Es pedia se le conservare el '-grado de teniente de Guardias paña , presentada por el Sr. Sierra Painbley. VYalonas y los derechos de ciudidano, á pesar de.hallarsd Se oyó con agrado: una felicitación del cabildo eclesiás sirviendo a'l Emperador de Austria, en atención á haber to- tico de la villa’de Castillo, pidiendo se lleve á efecto la re jnado las armas, en…</t>
  </si>
  <si>
    <t>Pajarea</t>
  </si>
  <si>
    <t>…Habiendo notado el Sr. conde de Toreno que la expo sición contenia dos partes, una relativa á peticiones, y otra Sesión del i i de Julio. la felicitación, propuso, apoyándolo el; Sr. Pajarea, y se Se leyó el acta de la sesión anterior. acordó que pasara la primera á una comisión especial, y Se dio cuenta de un oficio del secretario de ía Goberna que la segunda se insertara íntegra en el Diario de Cortes, ción de la Península, en que daba parte de…</t>
  </si>
  <si>
    <t>…lución, por haberlo ya hecho en la sesión en que se dió Contestando al Sr. Oliver el Sr. Yandiola , individuo da cuenta. la comisión, demostró no solo que era exacto el cálculo El Sr. Pajarea presentó dos memorias, la primera del del Sr. Alvarez Guerra, sino que habia presentado el emprés coronel D. Fermiu de Mendialdua y Madariaga sobre esta tito bajo el único aspecto que debia. Hizo ver con los do blecimiento de colegios militares, y la segunda…</t>
  </si>
  <si>
    <t>…eclarado no se debia en el de 1814', sin-otro papel que la cubierta en que se le diri estado actual recargar á la Nación, no quedando por con gía, y que acompañaba. A petición del Sr. Pajarea se leyó secuencia sino el tercer medio , el cual creía el mas ^ pro- el título, que decía: Constitución secreta que tedian /ar mada las Cortes contra la soberanía df nuestro amado potito para sostener el sistema; pues los estados, dijo el orador, solo se sost…</t>
  </si>
  <si>
    <t>…A la- dé Guerra una exposición del coronel D. Lorenzo para verillcarlo.” v . : Calvo, pidiendo que se declare estar en toda su fuerza y Y fue aprobado, suprimiendo á petición del Sr. Pajarea vigor el reglamento del egérci to y decreto dado por la Re las palabras y profesores para -jérijtcarlo. gencia en el año de 1812. Quedó asimismo aprobado, con las reformas correspon A las de Agricultura y Comercio reunidas una exposi dientes á la variación de…</t>
  </si>
  <si>
    <t>…n atención á no estar apro cesivo por la tesorería general. bado el plan de arreglo de estos establecimientos, á petición Que el producto neto de la renta de Caminos y Correos del Sr. Pajarea; se acordó que potase á la comisión de Ha hasta la cantidad de 12 millones quedará á disposición del cienda con urgenc:a, para que en la sesión de esta noche Sr. secretario de la Gobernaron de la Península para cu presente su dictamen. brir el presupuesto de…</t>
  </si>
  <si>
    <t>Pala</t>
  </si>
  <si>
    <t>…debido: el orden.no obstante se respecto de la administración judicial, ya se ha verificado conservará h roda co ta. antes; sin embargo, todos los reos que lian sido presos por El Sr. Pala rea dijo : en el oficio del capítan general no causas conocidas están entregados á la justicia; el Concretoveo mas que la« d¡sporicionec tomada'. En el del Gefe políti se ocupa ahora en facilitar el curso de ests. ¿Oué se quiere co ya. se anuncia el origen de…</t>
  </si>
  <si>
    <t>Pala-</t>
  </si>
  <si>
    <t>…culo 2.0 ue se debía aprobar al pie de la letra el artículo que se La dip ¡tacion que pasó i palacio á felicitar á S. M. re iscutia. gresó estando en la lectura del artículo, y el Sr. Pala- t Siendo ya cerca de la una salió la diputación nombrada rea expuso á las Corres que la diputación había desempe para felicitar á S. M , compuesta de los Sres. l’elarea , San- ñado su encargo, y que S. M. había manifestado que agra juan, Gutiérrez, Sánchez Sa…</t>
  </si>
  <si>
    <t>Palacio, Miguel</t>
  </si>
  <si>
    <t>Miguel Palacio</t>
  </si>
  <si>
    <t>…o mudes , término de Urzante , en 4987 rs. lítico el intendente de aquella provincia D. Lorenzo Otra en S .las, de 3 robos y 3 almudes . término de Ur Perabeles. zante, en S92 rs. Don Miguel Palacio; D. Gregorio Camarero, segundo Otra viña , plantado joven, en .el mismo campo , de 7 alcalde, constitucional; D. Luis Arrabal, D. Santos Aboin robos y 4 almuaes, término del mismo pueblo de Urzante, Coronel, D. Eusebio Iglesias, D- Pedro Espina y D. Josef en…</t>
  </si>
  <si>
    <t>Palacios, Francisco de Paula</t>
  </si>
  <si>
    <t>Francisco de Paula Palacios</t>
  </si>
  <si>
    <t>…rcio de tabaco en las provincias vascongadas; Cuenta- y asuntos de diputaciones provinciales, dado en otra de [ó. Pascual Rodríguez y consortes, vecinos de la vis,a del recurto de D. Francisco de Paula Palacios, indi villa de llaneza, pidiendo la supresión de los puestos públi viduo de la diputación de Granada, erí que pedia se le cos de carne, vino, aceite y jabón; un proyecto de Don asigna'e alguna cantidad duran.e el tiempo de su "encargo Juan Maximino Moreno, al…</t>
  </si>
  <si>
    <t>Palacios, Joaquín María</t>
  </si>
  <si>
    <t>Joaquín María Palacios</t>
  </si>
  <si>
    <t>…tituciones del derecho civil de Castilla que escribieron los doctores Asso y Ma nuel, enmendadas, ilustradas y añadidas conforme á la Real orden de 5 de Octubre de 1802 por el Dr. D. Joaquín María Palacios, colegial huésped sn el imperial y mayor de Santiago: séptima edición en dos tomos en 4/ Se hallará en la librería de Castillo, frente á las gradas de S. Felipe el Real. Memorias de agricultura y artes que se publican de orden de la Real junta de go bierno de…</t>
  </si>
  <si>
    <t>Palacios, Josef de</t>
  </si>
  <si>
    <t>Josef de Palacios</t>
  </si>
  <si>
    <t>…las Huelas de Búrgos. Sesión del \t° de Setiembre. A la encargada de la organización de la Fuerza armada Leída el acta de la sesión anterior , se di í cuenta de un un proyecto de D. Josef de Palacios, intendente honorario oficio del ministerio de Gracia y Justicia, avisando de que</t>
  </si>
  <si>
    <t>Palacios, Juan de Galvez</t>
  </si>
  <si>
    <t>Juan de Galvez Palacios</t>
  </si>
  <si>
    <t>…ta señora ha ocultado su nombre por mo deración. . , Antequera i $ de Diciembre. Se ha establecido en esta ciudad una academia de varios ramos de primera educación por su director D. Juan de Galvez Palacios. El método adoptado en ella ha sido el de enseñanza mutua, acomodándose á los sistemas de Bell y Lancaster, en cuanto ha sido compatible con los recursos de un particular. El público espera la mejora de la instrucción de la juventud, pues este nuevo profesor…</t>
  </si>
  <si>
    <t>Palacios, Laureano</t>
  </si>
  <si>
    <t>Laureano Palacios</t>
  </si>
  <si>
    <t>…e participaba el Sr. secretario de la Gobernación de la El Sr. Bahamonde presentó una exposición de las cua Península que SS. MM. y AA. seguían en la mas perfecta tro huérfanas de D. Laureano Palacios , muerto en Galicia salud. cuando entró el general Ney, para que se les pague la pensión A la comisión de Hacienda se pasó un oficio del Sr. se ue en 1813 se les asignó sobre el economato del obispacretario de la Gobernación de la Península sobre que se se o…</t>
  </si>
  <si>
    <t>Palacios, Santiago</t>
  </si>
  <si>
    <t>Santiago Palacios</t>
  </si>
  <si>
    <t>…Cru2;, de Villa, plazuela ronel mayor de caballería de Sagunto, y escrita en unión de Sto. Domingo;'de Minutria, calle de Toledo, y.on casi ríe con la oficialidad de dicho cuerpo. D. Santiago Palacios, frente i las gradas de S. Felipe, a 4 rs. MADRID EN LA IMPRENTA NACIONAL.</t>
  </si>
  <si>
    <t>Palafox</t>
  </si>
  <si>
    <t>…enes de V. E. se com binaron las tropas de Maravatio, S. Joan del Rio y Temascalcingo para per seguir la gavilla dé rebeldes que asesinaron fuera de ésta' demarcación al te niente coronel Palafox; y habiéndose acercado á ella la gavilla del cabecilla Resendis, marchó en su alcance el comandante capitán D. Rafael "Velazquez, y logró matar uno, hacer 2 prisioneros, y coger 4 carabinas, 2 sables, 10 caballos , entre ellos uno de los qué quitaron al refer…</t>
  </si>
  <si>
    <t>Palafox, Josef de</t>
  </si>
  <si>
    <t>Josef de Palafox</t>
  </si>
  <si>
    <t>…provincias, inspectores y directores generales1 de las armas se ha comunicado, con fecha 11 del corriente mes de Ma yo , la Real orden siguiente: „ Al capitán general de egército D. Josef de Palafox digo con esta fecha lo que sigue: ,,Con fecjia de 14 de Abril último comuniqué á V. E. que el Rey, con el objeto de que tf^onsolide y mejore fa Real y miiitar orden de S. Her menegildo, había tenidtTá bien disponer que se formase una Junta presidida por V. E.…</t>
  </si>
  <si>
    <t>…emn.es, que- fueron ebobjeto de la del dia 18. A la de Divúion del territorio español una memoria i*®' Con dos militares sobrantes , cesantes,© reformados del intendente honorario D. Josef de Palafox, sobre nueva no se hará mas. novedad que la de que el máximum será división de provincias. de 40© rs. A la de nfracrioncs donde están los antecedentes una ^2." Los que han sido ministros efectivos de los Conse exposición de D. Jaime Quiñis, auditor de Guerra…</t>
  </si>
  <si>
    <t>Palafox, Juan de</t>
  </si>
  <si>
    <t>Juan de Palafox</t>
  </si>
  <si>
    <t>…rretas, se hallan de venta la colección de sermones del presbítero D. Manuel Fortea. Vida de S. Juan el limosnero, patriarca.de Alejandría, escrita por el venerable obispo de Osma D. Juan de Palafox. El solo, nombre de este ilustre prelado bastará á hacer recomendable esta obra , escrita con mucha elegancia: un tomo en 8.° Se ha llará en la librería.de Montero, calle de;la Conccpcion Oerónima, á 10 rs. en pasta. Viacrucis explanado é ilustrado con los.br…</t>
  </si>
  <si>
    <t>Palar'ea</t>
  </si>
  <si>
    <t>…n del art. 1.°, ca, Calderón, González Allende, Diaz de Morales, Cañe sino que debe ian reservarse para la del segundo. do, Fondevila , Govantes, Navarro (O. Felipe Benicio), CaEl Sr. Palar'ea se propuso probar, contra lo que se ha ravaño, Valle, Quintana, Gutiérrez de Acuña, Rey, Na bla dicho, que la Nación esta en el caso de poder recibir varro (D. Fernando), otro Sr. diputado. Moreno Guerra, la abolición de los mayorazgos. Todos los que no los t…</t>
  </si>
  <si>
    <t>Palarca</t>
  </si>
  <si>
    <t>…la asistencia de los dos á las funciones segundos y un tambor:” se aprobó como estaba. públicas; lo que apoyó el Sr. Moscoso. Lo mismo se hizo con el artículo 7.0: «De 60 á 100 El Sr. Palarca leyó el art. 356 de la Constitución, en hombres será la fuerza de una compañía compuesta de ca que re prescribe al egército permanente la obligación de con pitán , 2 'ementes, 2 subtenientes, un sargento i.°, 5 segun servar la tranquilidad interior: c hizo ve…</t>
  </si>
  <si>
    <t>Palarea</t>
  </si>
  <si>
    <t>…ños , á fin de ver los que exigiesen la aprobación de mas que una consecuencia inmediata dd discurso del Mo las Cortes. narca, que no debía dilatarse, y que nada tenia de común El Sr. Palarea hizo nna adición á ¡a proposición del con las proposiciones y proyectos á que se referia el regla Sr. Muñoz Torrero relativa á la revocación del decreto de: mento , se declaró no haber lugar á votar. 18 de Marzo de 18.1 i, y propuso.que esta no se entendiera…</t>
  </si>
  <si>
    <t>…acerse en una materia tan á di cu-ion se hallaba alterado ; por lo que juzgaban debía ¡atrasada, oyendo- á los Sres. Hiño josa y Martel, que tuvieron suspenderse esta, pidiendo el Sr. Palarea que no se verifi parte en s¡ formación; se promovió sobre esto disc tsion, cara sírt preceder los trámites que aseguraron el acierto, tan pidiendo en ella algunos señores se suspendiera el dictamen to por ser conforme al reglamento, como por la suma im deja,…</t>
  </si>
  <si>
    <t>…ente. brando una comi-.ion para los asuntos particulares:” ja cual Declarado el punto suficientemente discutido, pidió el fue aprobada p&gt;or las Cortes, después de haber oido á los Sr. Palarea que se votara el dictamen por partes, indican Sres. Martínez de la Rosa y conde de Toreno, que insistían do también que en vez de frmulcs se pudiera contrabando en que entendiera también en lo relativo al Crédito públi pata evitar cualquiera inala inteligenci…</t>
  </si>
  <si>
    <t>…comisión, porque esta medida del Reino, y es como sigue: no era mas que del momento ,y que sin perjuicio de lo que ,, Las Cortes, teniendo presente que en cuanto el Señor pedia el Sr. Palarea, no se difiriera la dbcusion por largo D. Fernando vji haya prestado el juramento prescrito tiempo, pues era de la mayor urgencia. Otro Sr. diputado por la Constitución egercerá con toda plenitud las faculta dijo que se debía discutir al momento, y que se ext…</t>
  </si>
  <si>
    <t>…ue con pusiese quiénes fuesen los ministros á los que se debiese pe testó el Sr. Florez que las señaladas por las leyes, pues sabia dir indemnización. que no puede haber otras. El Sr. Palarea expresó que nada tenia que añadir á lo di Otra indicación hizo el Sr. Diaz Morales sobre que cho por el Sr. Vitorica. respecto á haber pedido el Sr. Florez Estrada que la comi El Sr. Quiroga creyó, contra la opinión del Sr. Vitori sión de Hacienda procediese…</t>
  </si>
  <si>
    <t>…si habia lugar á votar; y no habiéndose ad- nota. En la sesión de Cortes del 28, col. 5, antes de Ja • iriítido la-votación nominal que se habia propuesto, leyó de proposición del Sr. Palarea, relativa al pago de presupuestos mi nuevo el secretario el dictamen de la comisión, y las Cor- litares. debe leerse la siguiente del mismo señor: «Que Las » Cortes se sirvan anular inmediatamente la contribución de in-- tes resolvieron que no se aprobaba, y…</t>
  </si>
  <si>
    <t>…ctos, y malignidad posibles para imputar este desurden, á. lq dimanados de iguales causas. Con este motivo reclamó el Constitución ; pues siendo antiguos aquellos , era injusto ha Sr. Palarea la necesidad de que la venta del Diario de Cor cer á la Constitución responsable de excesos anteriores á tes se publique á coste y costas, recordando al mismo'tiem ella. Manifestó que esta opinión errónea tenia su fundamen po la imposihiüdad de que salga en e…</t>
  </si>
  <si>
    <t>…cita tiguos , pues en lo demas no se oponia á la comi ion, ma da del Sr. Martínez de la Rosa. nifestó que esta juzgaba no debia hacerse distinción en los Se leyó el tercero, y el Sr. Palarea pidió que en vez de créditos del Estado; tanto mas . cuanto creia que conven quemar los créditos que se cancelaran, se archivasen, como dría hacer una masa de crédito gc-neral por la emisión de se hace en el dia, por si ocurriese en lo sucesivo alguna re una…</t>
  </si>
  <si>
    <t>…e Cataluña, habia contestado aquella que no tenia facultades el nombramiento de la misma , según está prescrito. ira nombrar por sí, ni para autorizar á la de Gobierno de Apoyó el Sr. Palarea la opinión del conde de Toreno, g arcelonajunta de paraCensuraque conlo verificase,los individuosy quequedebiaexistieraninstalarsedel laaño instandopara habilitará queinterinamentese hicie-e coná lala¡untamayorque brevedad,en el dia yexisteaun de 1814 ; que d…</t>
  </si>
  <si>
    <t>…e su primer dictamen ya aprobado, Se leyó el acta de la sesión anterior, á la que se mandó proponía que se reformara en estos términos: ,,Que se pro agregar el voto particular del Sr. Palarea, contrario á lo híba la introducción de trigo , cebada , centeno , maíz , mijo, acordado sobre habilitar á la junta de Censura de Cataluña; avena, y demas granos y harinas extrangeras en todos los y otro de los Sres. Zapata, Quintana, Dolarea , Lecumberri pue…</t>
  </si>
  <si>
    <t>…o en estúpida indolencia, pues Gobierno para que no haya en esto el menor atrasose to va al dulce impulso de benéficas instituciones en movi ■aprobó igualmente, con la adición del Sr. Palarea, «que miento activo v vigoroso hacia todas las artes de la prospe cuando las circunstancias del Erario lo permitan.” ridad general. íln el entusiasmo de estas complacencias, Señor, Lo mismo sucedió con el quinto : ,, Recomiéndese por el ■recibe la agradable n…</t>
  </si>
  <si>
    <t>…rado debe proponerse el hacer silogismos al pués de reproducir casi las mismas ideas que quedan expues acusado. s tas, juzgaron que el marques de Castelar habia procedido Luego el Sr. Palarea probó la importancia del asunto al arresto de Aguilera en virtud de lo dispuesto por la or que se debía discutir en esta sesión , por ser no un caso par denanza, sin infringir la Constitución política de la Monar ticular, sirio uno cuya decisión servirá de re…</t>
  </si>
  <si>
    <t>…i mitad de otra. siendo siempre comandante el capitán mas licianos para no hacerle' perder el trakijo ; á lo que dijo el antiguo,” suprimiendo á petición de los mismos autores las Sr. Palarea que por eso se dejaba á juicio de la autoridad ci palabras «con una e'ceadra ó mitad de otra;" lo que evitó vil su a i'tencin. la discusión para la que algunos Sres. tenían pedida la palabra. También se levó y aprobó el arr. i; : «Perseguir y Del mismo modo e…</t>
  </si>
  <si>
    <t>…ene la preferencia ; y habiéndose conforr universidades que se hallan en igual casola que se aprobó, mado con este dictamen el Sr. Moscoso , se mandó pasar á é igualmente esta del Sr. Palarea: nyá los establecimiehtos la comisión. literarios aprobados.” . Igual resolución se tomó con la siguiente del Sr. Lasanta: Se dio cuenta de una exposición de Pablo López, co «Pido una declaración de las Cortes sobre que los volunta nocido por el Cojo de Málag…</t>
  </si>
  <si>
    <t>…del cabildo de S. Isidro; mar del Sur, que gozan del mismo beneficio del comercia y otro de los Sres. Dolarea y Lccumberri contrario á los en buques extrangeros; y la segunda del Sr. Palarea para seis primeros artículos del mismo decreto. que se prefije la fecha desde que han de principiarse .i con El Sr. Silves manifestó que en la gaceta del Gobierno de tar los tres meses concedidos para la extracción de frutos este dia se había incluido equivoc…</t>
  </si>
  <si>
    <t>…rs. poco mas ó menos. Los me de los inconvenientes que tiene el establecimiento de la mi moriales se dirigir ,n al ayuntamiento en todo el mes de Se-. licia en la ida de Cuba. El Sr. Palarea expuso que la comi Hembra, sión habia hecho su reglamento provisional , y que no po Est: vacante la plaza de cirujano de la villa de Daganzo de día ser de otro modo; y el Sr. Florez Estrada dijo rain- arriba, á 4.legua» de Madrid, y . de Alcalá de Henares: su…</t>
  </si>
  <si>
    <t>…representa Parece que en Oran, Argel y Tremecen continúa ha ción precedente á la comisión segunda de Legislación. ciendo estragos la peste. Se leyeron también dos indicaciones del Sr. Palarea g-Ias^ Bilbao 25 de Agosto. que á consecuencia de algunas reflexiones hechas por Virios Ei 23 de este mes fue tanta la lluvia que cayó aquí, señores , refundió su autor en esta otra. «Que ia represen—: que se llevó el puente de barcas , el cual hubiera causad…</t>
  </si>
  <si>
    <t>…fue admitida á discusión la indica conducta de su coronel; de otra hecha á nombre de los freí- ción del Sr. Quintana. res de la orden militar de Santiago de las Casas de Ucles El Sr. Palarea presentó una memoria de D. Josef María y S. Marcos de León , pidiendo se declarase que los indivi de Urbina sobre organización de la caballería ligera , ia que . duos clérigos de la referida orden no son regulares, ni es- fue recibida con agrado, y se mandó p…</t>
  </si>
  <si>
    <t>…. repetidas instancias del mismo general Riego y de varios Se aprobó igualmente la segunda, con la adición á ins diputados, cuyas opiniones respetaba mucho, se habia re tancia del Sr. Palarea nen el seno de las Cortes y asimismo suelto á retirar la proposición que habia anunciado en la se se aprobaron las otras dos. sión anterior para que se nombrara una comisión que felici Se leyeron y aprobaron los artículos reformados por la tase á aquel benemé…</t>
  </si>
  <si>
    <t>…ó deseo de que dijesen energía para conservarle. los ministros las providencias tomadas, y convino en lo pro Después leyó otro parte del Gefe político de Madrid , en puesto por el Sr. Palarea , excepto en,lo relativo al art. 308 que hablaba de la concurrencia de gentes en la escalera de de la Constitución , porque seria dar armas contra los ciu palacio para dar voces ; que había pasado á observar los mo dadanos honrado'y contra sí mismos. vimiento…</t>
  </si>
  <si>
    <t>…de que' el púeMo pueden haber sido producidas por los que aparece, y pue se tomase la justicia , haciendo ver las desgracias que* acaede que no. Esa oscilación que ha indicado el Sr. Palarea es rearia esto A la Nación. El "Gobierno no viene á acusar á bastante motivo para que los enemigos de la libertad hayan nadie, añadió, refiriéndose á las noticias reclamadas por el procurado causar un escándalo. El suceso de anoche no es mismo Sr. diputado: c…</t>
  </si>
  <si>
    <t>…ue ya estaba concluida la discu cargo porque no ha deferido á esa Opinión? sión sobreda proposición del .sr. Moreno Guerra. Con el objeto de extrariat la opinión mas 6 menos se El Sr. Palarea dijo que en el discurso de la discusión ha ha pintado el egército del modo mas terrible-, suponi-.ndo- bía visto que el Gobierno , en caso que lo creyese nece ario, le en la desnudez y en el hambre. lJodrá ser muy bien que era quien debía pedir la suspensión…</t>
  </si>
  <si>
    <t>…ra no dar lugar á qne Sr. López Cepero. se concluyera la legislatura sin haber podido resolver en esta Habiendo tomado posesión [os expresados señores, leyó materia. Apoyó esto el Sr. Palarea, con cuyo motivo, des el Sr. Vitorica el dictamen de la comisión especial, nom pués de una breve discusión, sobre cuál debería ser la ver brada para examinar las proposiciones del Sr. Sancho sobre dadera significación de la palabra b.itiííis , se admitió la i…</t>
  </si>
  <si>
    <t>…s por la diputación provincial de Galicia del actual; la que se leyó á petición de varios señores. por el conducto del ministerio de la Gobernación, una de Con este motivo dijo el Sr. Palarea: Este es un nuevo cuatro ciudadanos de Tuy, y otra del alcalde segundo de testimonio de lo que tantas veces se ha dicho en este Con la misma ciudad , quejándose del auditor de guerra, y una greso , y consta á la Nación , á saber , que el actual egér-, exposic…</t>
  </si>
  <si>
    <t>…do testimonio de lo actuado por de Feira.s: Antonio Gomes Ribeiro.” D. Amero Henriquez, gobernador de Marios, en los pro cedimientos con:ra Gerónimo Tellez. NOTICIAS DEL REINO. El Sr. Palarea pidió se le concediese licencia, é igual mente á otros Sre*. diputados q1 e habían sido electores del Alberca de las Torres (reino de Murcia ) 7 de Setiembre. ayuntamiento de Madrid, para proceder á nueva elección cíe un regidor, por haber empleado el Gobiern…</t>
  </si>
  <si>
    <t>…robos, 6 almudes en el Tablar alto de gún interes ni derecho lleven por esto. Tudela. Se dejó para mas adelante el tomar en consideración otra Otra de 3 robos en dicho campo. del Sr. Palarea, para que la comisión presenr.-ue un proyecto Otra de 3 robos en el Tablar del medio. de ley acerca de la renta y condiciones que deberán tener Otra de 2 robos, 10 almudes en el Tablar alto. los que hayan de conservar los títulos de Castilla. Otra de 14 robos…</t>
  </si>
  <si>
    <t>…, regidor de Cartagena , para c .brir el déficit que cecos de esta corte en los dias 6 y 7 de este mes, y presen resulte al resoro público de la abolición de diezmos. tadas por el Sr. Palarea, coronel de dicho cuerpo; ¿ igual A la de Código civil una represen.ación de D. Pere- mente la del Gefe político y diputación provincial de Ara grin Miguel de Barbastro sobre los. perjuicios que remitan gón en otras dos representaciones, dirigidas también con…</t>
  </si>
  <si>
    <t>…y demás contenidos en el santa , Dolarea y Banqueri , á las que contestó el Sr. Giral- artículo anterior y después de las últimas palabras estas do, conviniendo únicamente con el Sr. Palarea en que po otras: «y las demandas de reivindicación de bienes vincula dría señalarse un te'rmino para la terminación de los litigios dos que se poseyeren por otros indebidamente como libres.” pendientes de que habla el misino artículo, bien que en el Lo mismo…</t>
  </si>
  <si>
    <t>….i las modificaciones que pudieran exigir las provincias Se mandó pasar á la comisión de Legislación una indica ultramarinas, las que no deberían establecerse en arancel ción del Sr. Palarea sobre el modo y calidades con q-.ie ha distinto, sino en uno mismo. yan de subsistir, y las personas que puedan heredar los títu Puesto á votación el artículo por parres, quedaron apro los de Castilla que están anejos á los mayorazgos.</t>
  </si>
  <si>
    <t>…, particularmente respecto á las m ¡ta' y costas, tad de imprenta. con el menor perjuicio de la Nación.” Finalmente otra del Oyeron las Cortes con par icular agrado los buenos sen Sr. Palarea : «Que las Cor.es decreten se ¡evante un monu timientos de las diputaciones provinciales de Galicia y Ara mento en cada una de las provincias en que han muerto gón, del ayuntamiento de Ceuta v de! regimiento de As heroicos patriotas por la causa de la liberta…</t>
  </si>
  <si>
    <t>I-a conceptuó necesaria el Sr. Palarea; se opuso e! señor ra, ha conocido qne hay algunos en que puede hacerse una Vitorica á que se admitiera en los términos en que estaba; reforma, sin saber todavía hasta qué punto podrá llegar esta. el Sr. Moscoso, á nombre de la comisión, convino en ella; Tamp…</t>
  </si>
  <si>
    <t>…grado, y la mandaron pasar á la comisión Los Sres. ministros de la Gobernación de la Península y primera de Legislación. de Hacienda convinieron en la necesidad del aumento que El Sr. Palarea hizo presente que el regimiento de ca se pedia, y manifestaron que la penuria de la Nación había ballería de Montesa pedia se le concediese la distinción, tenido mucha parte en la falta que se notaba en el presu acordada ya para uno de los de la misma arma, d…</t>
  </si>
  <si>
    <t>…os meses lo mas útil de la lógi puesto del ministerio de Hacienda,” pudiendo tener lugar ca, de la metafísica y de la moral. Principió la clase dicho en seguida la indicación : el Sr. Palarea_ para fijar la resolu dia 2; , y durará desde Jas 10 á las 11 de la Imañana, y ción pidió que después de la palabra «proponía" se añadiera de ; á 6 de la tarde, añadiendo media hora en os dos me «y propone;" otro Sr. que se suprimiera la expresión «en ses sig…</t>
  </si>
  <si>
    <t>…al no podría sa También se aprobó la décima, después de pedir el se carse partido en casi medio año. ñor Palarea que fuese sin perjuicio de lo que resolviesen las A esto añadió el Sr. Palarea que era necearía parte del Cortes sobre una proposición suya que paraba en la comi egército permanente para el servicio interior de la Penínsu sión, dirigida á la abolición del descuento de inválidos. la , como lo acreditaban las reclamaciones de varios Gefes…</t>
  </si>
  <si>
    <t>…teresa 7.a «Por último propondrá el ministerio camas eco « la Hacienda pública.” nomías, puedan y deban hacerse, atendida la diferencia del Después de una difusión, en que dijo el Sr. Palarea estado en que estuvo la marina en otro tiempo, y del que ue las noticias que había presentado ayer, y habían pro- actualmente tiene, como nri bien propondrá cuantas refor ucido la Indicación del Sr. Banqueri, esraban sacadas de mas considere út’les vrtecerire…</t>
  </si>
  <si>
    <t>…ión de 1817 había, res Sancho y Sánchez Salvador, y los Sres. Golfín y Florez prevenido mucho la opinión general, aumentándose ia opo Estrada, individuos de la comisión , pidió el Sr. Palarea, sición y la desconfianza con la falta de cumplimiento, des-, apoyándole el Sr. San Miguel, que atendida la importancia pues de haber salido el Sr. Garay del ministerio, á todas, del asumo, quedara el expediente sobre la mesa, y se seña las promesas que se.ha…</t>
  </si>
  <si>
    <t>…a, Se admitieron ambas , y se procedió á la discusión de la las mas á propósito para inspirar á estos jóvenes los conoci primera. mientos y delicadeza del gusto de sus autores. El Sr. Palarea convino en lo que exponia el autor de las Madria _p de Octucre. indicaciones, en cuanto al objeto de ellas, mas no en el mo S. M. ha despachado hoy con el Sr. secretario del do, manifestando los males que podría ocasionar este gra despacho de la Guerra. vamen…</t>
  </si>
  <si>
    <t>…ino que se les relevaba de ella, como proponía la proyecto de arancel general la sesión del día siguiente; y comisión. que siendo muy interesante én su concepto esta materia, ’ El Sr. Palarea , reproduciendo algunas razones de las ale pedia se imprimiesen á lo menos los artículos que proponía gadas por el Sr.-Valle dijo, que no poáia dejarse de mirar *la comisión. El Sr. Ramos Aríspe añadió, que siendo corto . la cuestión bajo el riguroso aspecto…</t>
  </si>
  <si>
    <t>…o destinado á la versión de los «Que entre la enseñanza de la lógica y la moral se inferautores latinos. ...- •pqtiga la de.: aqueHareparte"" de_ metafisíta-r^ne manifiestft/Ja £1 Sr. Palarea, manifestando la importancia de la mine Existencia"de Dios y-su&lt;.átribritos, yda .naturaleza dél fcsjíralogía y de la química, opinó que de ningún modo debían 'mil lü i man o , esto' es j su espmtuaRaatí^fnmonalidacT.” reunirse las dos enseñanzas en un solo p…</t>
  </si>
  <si>
    <t>…z efecto verdadero del discurso, no debia considerarse este de QLavarrieta, sobré el establecimiento de tribunales pro comprendido en el artículo. tectores de la agricultura. i El Sr. Palarea dedujo como consecuencia legítima de las Sé aprobó el dictamen da la comisión segunda de Legis objeciones propuestas por el Sr. Martínez de la Rosa la ne lación acerca de la exposición del síndico de Erija, para- qué cesidad de que se aumentase la pena al par…</t>
  </si>
  <si>
    <t>…de la Después de alguna discusión no fue aprobada esta indi Junta diocesana de Censara, los reglamentos formados cación. por el Emmo. Sr. cardenal arzobispo de Toledo, y aproba El Sr. Palarea presentó una felicitación del regimiento dos por S. M., para el modo de proceder esta junta en las de caballería de Borbon, de línea, manifestando los sen causas de fe y censura de obras; cuyo informe se remitía á timientos patrióticos que animan á todos sus…</t>
  </si>
  <si>
    <t>Palarea, Juan</t>
  </si>
  <si>
    <t>Juan Palarea</t>
  </si>
  <si>
    <t>…y 16 rs.Idem sin ella; debiendo tomar pre cisamente dos estampas que'hacen una entrega. Retratos á caballo de los generales D. Francisco Ballesteros y D. Pedro Villa»» campa y el coronel D. Juan Palarea ,• el Médico, en medio pliego de marquillla. Se bailarán en el almacén de estampas de la calle Mayor, á 8 rs, iluminados y 4 eri negro. en iXimprentZnacionalT</t>
  </si>
  <si>
    <t>Palaudarias, Ignacio</t>
  </si>
  <si>
    <t>Ignacio Palaudarias</t>
  </si>
  <si>
    <t>…la de San Miguel D. Francisco Tomas Ros; para la de S. Jaime B. Prosperó Bofarull, archivero general de la corona de Aragón j para la de S* Cucufateel Sr. mar ques de Monistról ó D. Ignacio Palaudarias; para la de S. Justo D. Francisco Benús, juez interino de, cuartel , y para la de Sta. María D* Felipe Martin Igual, mimstro de la audiencia territorial*. Se acordó que se pida el censo de poblado» al ayuntamiento de esta ciu dad. Uno de los objetos mas impor…</t>
  </si>
  <si>
    <t>Palfi, Antonio de</t>
  </si>
  <si>
    <t>Antonio de Palfi</t>
  </si>
  <si>
    <t>…Suecia, á quien sucederá el conde deThurn, primer secretario de embajada en Rusia. El conde de Bombelles, nuestro ministro en Dresde, está destinado para Munich , y para Dresde el conde Antonio de Palfi, que se acaba de casar con una hija ael príncipe de Kaunitz. Corre la voz de que el archiduque Ranerio, virey de Lombardía, se casa con la hija del gran duque Alejandro de Wurtemberg, que se halla hace algún tiempo en esta corte con su madre, hermana del duqu…</t>
  </si>
  <si>
    <t>Palladino</t>
  </si>
  <si>
    <t>…sar á nuevos destino'. relli, relativa á la egecucion del art. 1S1 de la Constitución: El general austríaco conde de Nugenr, que en los días 7.a del Sr. Netti sobre el arresto del Sr. Palladino y sus de la última revolución mandaba el egércíto napolitano, se compañeros: 8.a del Sr. Faltacone para que se invite á los vio precisado, como se dijo entonces, á alejarse de Ñapó ciudadanos de todas clases á presentar exposiciones sobre los les para evitar…</t>
  </si>
  <si>
    <t>Palmer</t>
  </si>
  <si>
    <t>…sión á ! instituciones , que nos prescriben la justicia y be -----Las cartas que han llegado de la India por el buque el neficencia con todos: considerad ¡os males que traen consi general Palmer, procedente de Madras, anuncian que se han go las pasiones inmoderadas, y el precipicio en que con manifestado algunos disturbios en la provincia de Kutsch, funden á los que no las refrenan. La anarquía es la inme los cuales, aunque de poca consideración, pod…</t>
  </si>
  <si>
    <t>Pam, Sierra</t>
  </si>
  <si>
    <t>Sierra Pam</t>
  </si>
  <si>
    <t>…rtamente creia no era asi, Los Sres. Rovira, Calderón y Florez Estrada hicieron pues estaba seguro que excedían Jos recursos de América á otras observaciones, á lasque contestó el Sr. Sierra Pam su deuda , y que sobrada de ellos para aliviar la de la Pe bley : y antes de votar preguntó el Sr. Vadillo si Los crédi nínsula , como se vería al tratar de la deuda de América; y tos que ganasen el 10 ó 12 por 100 de réditos deberían últimamente quedó aproba…</t>
  </si>
  <si>
    <t>Pambiey, Sierra</t>
  </si>
  <si>
    <t>Sierra Pambiey</t>
  </si>
  <si>
    <t>…s las beneficencia, y que se habia decretado que se cerraran las contribuciones del pueblo. oficinas de aquel establecimiento hasta que el Congreso se E11 esta indicación creyó el Sr. Sierra Pambiey que se desocupara: que se pagase puntualmente á los empleados; procedía equivocadamente , por cuanto ios capellanes de ho yr finalmente que si la junta quisiera hacer representación , ó nor gozan su sueldo por palacio de ios 40 millones asigna resistir á la o…</t>
  </si>
  <si>
    <t>…venientes que habia tenido i.° Que se accedie'e al establecí miento de las dos ca presentes la comirion para no proponerla. sas de moneda que proponian los Sres. Ramos Arispe y El Sr. Sierra Pambiey recordó, para justificar esta me Michelena, dejando expedita al Gobierno la facultad de si dida, la libertad que se dejaba á los acreedores de consoli tuarlas en los puntos que pedian los referidos diputados, ó dar su deuda , ó pasarla á la deuda sin interes.…</t>
  </si>
  <si>
    <t>Pamble, Sierra</t>
  </si>
  <si>
    <t>Sierra Pamble</t>
  </si>
  <si>
    <t>…o que fuese con absolución de costas; 16 §ue Las Cortes oyeron con particular satisfacción el oficio pidió se añadiese. remitido por el ministro de la Gobernación , dando porte El Sr. Sierra Pamble)' juzgó superflua esta adición, fun de que S. M. habia empezado á tomar las aguas de Sacedon, dado en que no hay condenación de costas donde no hay y que gozaba completa salud con su augusta Esposa. sentenciará que contestó el Sr. Calatrava que nada se per Qu…</t>
  </si>
  <si>
    <t>Pamblev, Sierra</t>
  </si>
  <si>
    <t>Sierra Pamblev</t>
  </si>
  <si>
    <t>…ez una proposición del Sr. Ruiz mezquinamente los objetos comprendidos en este presupuesto. Prado sobre las ventas de bienes raices hechas judicialmente Defendieron el dictamen el Sr. Sierra Pamblev, indivi en pública subasta. duo de la comisión . y el Sr. presidente, que había perte Se aprobó el dictamen de la comisión segunda de Legis necido también A la misma. lación sobre el expediente remitido por el Gobierno, y re Habiéndose declarado que no habia…</t>
  </si>
  <si>
    <t>Pambley</t>
  </si>
  <si>
    <t>…ion en el sistema de gobierno, sin tido, se pasó á la lectura de varia- indicaciones. Dos del los horrores que fueron siempre la funesta consecuencia de Sr. Villanueva, y tres de! Sr. Pambley. Luego se leyó otra cuantas han intentado las naciones que se dijeron las mr,s del Sr. presidente: «que se nombre una combion especial sabias 6 ilustradas del mundo antiguo y moderno : dias que adonde pase este expediente con todas las indicaciones he celebra…</t>
  </si>
  <si>
    <t>Pambley, Felipe de Sierra</t>
  </si>
  <si>
    <t>Felipe de Sierra Pambley</t>
  </si>
  <si>
    <t>…de la Hacienda publica á D. Edmundo O-Rian, oficial que fue de la secretaría del Despa cho de Hacienda, tesorero de egército de Galicia, é intendente de la provin cia de Toledo; á D. Felipe de Sierra Pambley, contador principal de rentas de la provincia de León, intendente en comisión de la misma, comisionado regio de las islas Canarias, é intendente en propiedad de Segovia; á D. An tonio Elola , contador interino del egército de Cataluña, intendente interino de…</t>
  </si>
  <si>
    <t>Pambley, Felipe Sierra</t>
  </si>
  <si>
    <t>Felipe Sierra Pambley</t>
  </si>
  <si>
    <t>…cretaría general de la Junta central, comisionado por S. M. en Lisboa, y al presente intendente de la provincia de Asturias : para la de Segovia al de León, va cante por salida de D. Felipe Sierra Pambley á director de la Hacienda pú blica , á D. Ramón Luis Escovedo, que la servia -durante la invasión enemi ga: para la de egército y provincia de Extremadura, vacante por jubilación de D. Andrés Ibañez, á D. Pascual Genaro Rodenas, oficial de la secretaría gener…</t>
  </si>
  <si>
    <t>Pambley, Sierra</t>
  </si>
  <si>
    <t>Sierra Pambley</t>
  </si>
  <si>
    <t>…éndole á que Se dió cuenta del dictamen de la comhion de Hacienda~ no produjere efecto, como ya parece habia sucedido. acerca del presupuesto de gastos del mirii rerio de la Go El Sr. Sierra Pambley conte-tó que no habia ene combernación de Ultramar, presentado por el secretario del promi'o si ias Corte; decretaban la suspensión del decreto. Despacho de la misma para el año próximo, importante El Sr. Vi tonca opinó en favor del dictamen , atendien 1.378,…</t>
  </si>
  <si>
    <t>…decomiso declarado; pos den. para ei efecto á ¡as respectivas secretarías del Despacho, lo que se decidió en favor' de la adición. sobre lo cual pasó á extender una indicación. El Sr. Sierra Pambley dijo que no se vendían los efec Se dió cuenta del nombramiento verificado por la junta tos decomisados, suspendiendo dar determinación sobre suprema de Censura en los Sres. D. Felipe Bauzá y D. Pa ellos hasta sustanciar el proceso; pero los Sres. Alvarez Sobl…</t>
  </si>
  <si>
    <t>…se extienda á los que informaron acerca de bían leído no le parecían de sugetos tan beneméritos de la dichos privilegios.” patria que pudiera hacerse una excepción particular. El Sr. Sierra Pambley pidió que el Sr. Florez Estrada El Sr. v itorica, después de expresar que no encontra expresara cuáles eran las penas de que hacia mención la in ba tantos inconvenientes políticos como se suponia para la dicación que queda referida contra los funcionarios púb…</t>
  </si>
  <si>
    <t>…utados , que las retiraron, porque eran relativas á los artí Julio de 1820.” culos que quedaban aprobados anteriormente. ,,Por tanto mandamos á todos los tribunales, justicias, El Sr. Sierra Pambley dijo que en atención A que las gefés , gobernadores y demas autoridades, asi civiles como islas Canarias no producen ni trigo ni granos de otra espe militares y eclesiásticas, de cualquiera clase y dignidad, cie para el consumo de sus habitantes durante la mi…</t>
  </si>
  <si>
    <t>119«dirigían sus indicaciones, por las que solicitaba se declarase él Sr. Sierra Pambley se oponía á que se votara sobre él, si el hospital General de Madrid era propio de la provincia porque lo juzgaba ageno de la atribución de las Corre'. «5 de un pueblo, pues de ningún modo se debia mantener El Sr. Fraile dijo que no se pedia otra cosa al Gohi…</t>
  </si>
  <si>
    <t>…o efecto presentó después una indicación, que breve despacho por medio de la distribución que se haga fue aprobada. entre las respectivas diputaciones; haciendo presente al mis El Sr. Sierra Pambley manifestó que el motivo que la mo tiempo el Consejo que las expresadas diputaciones pro comisión habia tenido en presentarle asi á la aprobación de vinciales deben tener en estos negocios toda la autoridad las Cortes, era el de evitar en esto la discusión. qu…</t>
  </si>
  <si>
    <t>…asen en considera ley nueva riño de ver si se ha infringido la ya establecida. ción , y se accediese á ellas. Ap°y &gt; -u dictamen contra el délas comisiones, primero en Se opuso el Sr. Sierra Pambley á que se admitieran á que aun e-tt vigente la ordenanza general de egército ; lo discusión, particularmente las seis primeras proposiciones secundo- en que esta prohíbe 1 los subalternos censurar por del Sr. Banqueri, por dos razones: i.a porque no las juz me…</t>
  </si>
  <si>
    <t>…etos expedidos por la bierno , tamo el dictamen de la comisión , como la propo secretaría de su cargo. sición ó propuesta del ministro, á que se referia la misma en Se concedió al Sr. Sierra Pambley el permiso que pedia su informe. Injusto, porque solo seria útil á los pueblos ricos, el ministro de Hacienda, para evacuar ciertos informes re que podrían satisfacer con prontitud dos partes para eximir lativos á las islas Canaria'. se de la otra, y gravoso…</t>
  </si>
  <si>
    <t>…chos territoriales de Moreno , donde sorprendió el 22 del anterior un desta y solariegos ínterin no presente los títulos. camento enemigo de 60 hombres, de los cuales no escapó El Sr. Sierra Pambley , individuo de la comisión de Ha uno solo , dejando en nuestro poder 50 fusiles y 14 cargas cienda, leyó la primera y segunda parte del dictamen de de municiones, que remitian desde Rio-Hacha al insurgente esta sobre la memoria del ministro del ramo, que comp…</t>
  </si>
  <si>
    <t>…egocijo verdadero y aquel afecto sincero que ca cho , manifestando lo urgente y crítico de la estación; y racterizan á los hombres de bien, amantes del Rey y de habiendo pedido el Sr. Sierra Pambley que ■ e pacara á la su patria. El domingo 27 de Agosto el ayuntamiento, comisión el segundo artículo, sobre que no hubo lugar á acompañado de la mayor parte del pueblo, pasó á la igle votar, antes de proceder á discutirse los restantes que de sia parroquia!,…</t>
  </si>
  <si>
    <t>…dico-quirúrgicoque se debería proceder contra los que se hallaran ya fuera farmacéutica de la sociedad económica de amigos del pais del servicio de mar. de León, presentada por el Sr. Sierra Pambley. A la misma se mandaron pasar varias indicaciones y A la de Legislación una representación de D. Antonio adiciones. Una del Sr. S. Miguel al art. i.°, en que pedia se Cardóniga , residente en lá villa de Bañeza, sobre arreglo declarase que en todo el curso de…</t>
  </si>
  <si>
    <t>…ridad qué pastos eran los que entendía por co de 26 cañones, una goleta y una polacra de guerra, todas munes. ellas argelinas , y llevando tras sí nueve bergantines y po- Apoyó el Sr. Sierra Pambley el artículo fundado en la lacras mercantes, entre las que descubrió distintamente una utilidad del ramo de lanas, en cuya finura tenia mucho in polacra española. flujo la trashumacion, no por la materialidad de esta, sino Madrid 18 de Setiembre. porque conser…</t>
  </si>
  <si>
    <t>…rero dijo que nunca podría esto veri cuanto á su nombramiento en el cargo de hacer las eleccio ficarse. nes mas oportunas. Ei Sr. Vítorica, oponiéndose también á la indicación, El Sr. Sierra Pambley mostró la necesidad que habia te creyó mas conveniente fiar esras medidas relativas á la se nido la comisión de desentenderse de los pormenores de es guridad de los extrangeros , á la opinión pública de los Go ta clasificación , que, como dijo el Sr. ministro…</t>
  </si>
  <si>
    <t>…dió su autor que pasara á la comisión para que oyen la que fue aprobada. do al ministro del ramo propusiera lo conveniente. No se admitió á disensión otra de los Sres. Cortés y El Sr. Sierra Pambley, individuo de la comisión, hizo ob López (D. Marcial), dirigida á que se excitara al Gobierno servar, que esta no habia señalado dotaciones, sino que habia para que se empleasen muchos brazos que deberían quedar hecho solamente una asignación para el ramo, añ…</t>
  </si>
  <si>
    <t>…discusión sidad de nombrar la dicha, comisión; y se mandó pasar la el último lugar, para ver entonces cuánto bastaria de elia. indicación á la de Organización miiitar. Convino el Sr. Sierra Pambley en el principio sentado Leyóse por segunda vez la proposición hecha por los por su preopinante; pero manifestó que las circunstancias Sres. I.opez ( D. AÍarcial ) y Villa, suscrita después por el actuales habian obligado á la comisión á no considerarla co Sr.…</t>
  </si>
  <si>
    <t>…scusado y noveno se El Sr. Moreno Guerra fue de opinión que pasase este reúna á los demas ramos de la Hacienda pública.” asunto á las comisiones de Fuerza armada y Legislación; El Sr. Sierra Pambley rogó al Sr. Ochoa dijese á qué pero el Sr. Giraldo dijo que debía pasar á la comisión de rentas quería se agregase, supuesto que en las provincias no Legislación y Guerra coq urgencia; y asi se aprobó. habia ya administrador de rentas, sino únicamente el guar…</t>
  </si>
  <si>
    <t>…l,'yquedó conocimiento de las Cortes una exposición del intendente aprobada, suprimiendo la palabra «alfolíes” á petición del de Madrid, consultando algunas dudas sobre el decreto Sr. Sierra Pambley; mandándose agregar á la comisión de del 2 de Setiembre de este año; el que se mandó pasar á 1.» Hacienda las de Agricultura y Comercio. comisión correspondiente. No se admitió á discusión una .indicación del Sr. Ochoa, A (a segunda de Legislación se pasó una…</t>
  </si>
  <si>
    <t>…or segunda vez seis proposiciones de los se presentar otros medios. Demostró que varias de las parti ñores Ramos Arispe y Micheiena , leidas por primera en 4 das enumeradas por el Sr. Sierra Pambley para probar la exis de este mes, dirigidas’ á que se estableciese una diputación tencia de un nuevo déficit, 6 no pertenecían al presente provincial en la ciudad de Arispe, capital de la intenden cia de Sonora y Sitíalo», en las provincias internas de Méxi- a…</t>
  </si>
  <si>
    <t>…la A la misma se mandó pasar otra queja de D. Luis An comisión que se nombrase á la de Hacienda. tonio Serrano contra el alcalde de Murcia, por haberle exi Apoyó ia indicación el Sr. Sierra Pambley, no solo gido una multa en un juicio de concilacion. porque al déficit que debia cubrirse con el empréstito era Se dió cuenta de una exposición de varios ayuntamien preciso aumentar los too y mas millones, que había mani tos de Galicia para que se formase una…</t>
  </si>
  <si>
    <t>…a , cuales eran la carne, el aceite, ra pagar parte de sus cuotas, se seguirían los perjuicios que" el vino &amp;c., y recordó que á la España- la habia destruido el habia indicado el Sr. Sierra Pambley, y ademas no se lo sistema de abastos; y que mientras los hubo en Madrid, rodo graría el objeto propuesto. Después de lo cual se acordó que faltaba, y cada dia habia motivos de hambres y tumultos, volviese á la comisión. sin embargo de estar ocupados en los a…</t>
  </si>
  <si>
    <t>…los capitales para que todos ganasen el 5 nas que disfrutaban sueldos. Por todo lo cual repetía que el por roo. dictamen de la comisión estaba fundado en las bases de Contestó el Sr. Sierra Pambley que la Nación tenia de equidad y de justicia. recho para extinguir toda la deuda; pero que sin embargo Por lo respectivo á la deuda de América, añadió, que el dejaba á los acreedores la libertad de consolidar la que les Sr. secretario de Hacienda habia indica…</t>
  </si>
  <si>
    <t>…o que proponía la comisión en el núm. 8-° dei ar to. «Los capitales de I3 deuda sin ínteres serán extin tículo 18. guidos con ¡os bienes y fondos que refiere la lista núm. 4.0, El Sr. Sierra Pambley observó que no se habia impug y los que en lo sucesivo se aplicaren á este objeto, por me nado el artículo , sino que únicamente se habian hecho ob dio de la venta en pública subasta A créditos sin Interes, servaciones sobre si convendrá, admitir en parte de…</t>
  </si>
  <si>
    <t>…ecta salud.” por término de solo un año, y no se admitió á discusión. Previas algunas observaciones del Sr. Cavaleri, contesta El P.ey hi expedido el decreto siguiente: das por el Sr. Sierra Pambley , se aprobó el art. 11 , que Don femando v 11 por la gracia de Dios, y por la Cons decía asi: titución de la Monarquía española, Rey de las España?, 11. «Los dueños de vales y de créditos con ínteres, á todos ¡os que las presentes vieren y entendieren, sa que…</t>
  </si>
  <si>
    <t>…escritos que merezcan la calificación dade bienes nacionales las certificaciones de créditos no liqui obscenos y contrarios á las buenas costumbres , que ha redados , manifestó el Sr. Sierra Pambley que era mayor in caído sobre el papel titulado el Defensor de afligidos yconveniente privar por mucho tiempo á una gran parte de desesperadas \ y en cumplimiento de los decretos de lasacreedores de comprar fincas, como sucedería indudable Cortes sobre liberta…</t>
  </si>
  <si>
    <t>…reyó que no debia zones que en aquella sesión opusieron algunos Sres. diputa nombrarlos el Gobierno. dos ; por lo cual mandó hacer la pregunta de si obstaba ó A lo expuesto por el Sr. Sierra Pambley añadió el señor no al Sr. Ramírez Cid la calidad de diputado para'ser nom ministro de Hacienda , que la experiencia habia acreditado brado para la plaza que proponía el consejo de Estado. la necesidad de consultar continuamente en los asuntos gu Hecha que fue…</t>
  </si>
  <si>
    <t>Pamb’.ey, Sierra</t>
  </si>
  <si>
    <t>Sierra Pamb’.ey</t>
  </si>
  <si>
    <t>…l Sr. ministro de Marina cumpla lo que acababa de pro 1660, desde cuya época, por no haberse apartado de sus meter. 4 , principios aun en medio de los mayores apuros, se há vis El Sr. Sierra Pamb’.ey defendió el dictamen de la comi to elevada al colmo de la riqueza y de la gloria en que se sión , resolviendo las dudas y argumentos propuestos pol halla. Después de algunas otras reflexiones concluyó dicien los que le habian precedido. Hizo ver la dificultad…</t>
  </si>
  <si>
    <t>Pamhley, Sierra</t>
  </si>
  <si>
    <t>Sierra Pamhley</t>
  </si>
  <si>
    <t>…ón ordinaria de Hacienda', se mandó pasar á la Sres. Ramírez Cid y el mini tro de la Gobernación . á que extraordinaria con los demas expedientes que no tuviesen contestó el mismo Sr. Sierra Pamhley, se declaró no haber relación con rentas generales, y estuviesen en aquella. lugar A votar por 69 votos contra 43 , y se mandó volver' ’ A la de Premios una exposición de D. Pedro Miguel de á la comisión. Castillo, manifestando que por haber sido comprendido…</t>
  </si>
  <si>
    <t>Pampley, Sierra</t>
  </si>
  <si>
    <t>Sierra Pampley</t>
  </si>
  <si>
    <t>…e dicho cuerpo, se ha servido re Se leyó el dictamen de la comisión , respectivo á las pe solver que ¡es dé las gracias en su Real nombre , como lo nas de cámara ; y recordando el Sr. Sierra Pampley que di egecúto, por la decisión que manifiestan á sacrificarse por resultas de la aprobación del presupuesto del ministerio de sostener las nuevas instituciones.” De Real orden lo comu Gracia y Justicia habia variado este punto, se puso á vo nico á V. S. para…</t>
  </si>
  <si>
    <t>Pamsucesivo, Sierra</t>
  </si>
  <si>
    <t>Sierra Pamsucesivo</t>
  </si>
  <si>
    <t>…sta otra juicio de presentar aquella un papel con las observaciones recaudación. que deberían tenerse en consideración para formarle en lo No se admitió i discusión otra del mismo Sr. Sierra Pamsucesivo. híev, dirigida á que ingresasen en la tesorería general los El Sr. Crespo Can rol la, individuo de la comisión , leyó productos del almanak civil v del depósito Hidrográfico. varias obrervaoiones, que no se hablan podido teñera la vis Se aprobó otra de los S…</t>
  </si>
  <si>
    <t>Pan, Josef López del</t>
  </si>
  <si>
    <t>Josef López del Pan</t>
  </si>
  <si>
    <t>…de los Reales Consejos, en donde se manifestarán sus condiciones /pues su re»ate se ha de celebraren ella el jueves ib de Febrero próximo lias 11 de su mañana. Por providencia del Sr. D. Josef López del Pan, del Consejo de S. M. , alcalde decano de su Real Casa y Corte refrendada del escribano de provincia y comisiones; de U misma D. Luis López de Castro» se ha mandado citar» llamar y emplazar por</t>
  </si>
  <si>
    <t>Pando, Josef de</t>
  </si>
  <si>
    <t>Josef de Pando</t>
  </si>
  <si>
    <t>…en americana de Isabel la Católica, pensionado de la de Cárlos 111, enviado extraordinario y ministro pleuípofericiárió dé Si M.' cerca del Emperador de todas las Rusias , y el Di D. Josef de Pando, regidores perpetuos de la ciudad de Salamanca, y comisionados por el ayuntamiento de la misma para felicitar á S. M. por su afortunado</t>
  </si>
  <si>
    <t>Pando, Josef María de</t>
  </si>
  <si>
    <t>Josef María de Pando</t>
  </si>
  <si>
    <t>…de deToreno en lugar de -D. Pascual Vallejo : para el de Rusia en sustitución deD. Luis de Onís á Don Manuel González Salmón: en la de este para Dresde á D. Joaquín Campuzano; y á D. Josef María de Pando, encargado de negocios en Lisboa. El Rey ha repuesto interinamente en los destinos que obtuvieron de gefes políticos á D. Manuel María de Acevedo, que lo fue de la provincia de As turias; al teniente general D..Cayetano Valdés de la de Cádiz; á D. Angel</t>
  </si>
  <si>
    <t>Par</t>
  </si>
  <si>
    <t>…vido nombrar al duque de Richelíeu presi dente del Consejo de Ministros, sin asignación de departamento: al conde de Simeón ministro del Interior en lugar de Mr. Decazes, y á este duque Par. de Francia y embajador en Londres; subsistiendo los demas ministros en sus ‘ respectivos destinos. • , •' &gt; ESPAÑA. Madrid j de Marzo. ARTICULO DE OFICIO. JE/ Rey nuestro Señor se ha servido expedir el Real decreto siguiente .* í ,, Desde que la divina Provi…</t>
  </si>
  <si>
    <t>Par, Josef Lamas</t>
  </si>
  <si>
    <t>Josef Lamas Par</t>
  </si>
  <si>
    <t>…que los jesuítas volvieron ; y pidiendo vindicándose de una queja pendiente contra él. que en atención á haberse suprimido nuevamente estos, se Se dio cuenta de una exposición de D. Josef Lamas Par le volviese á pagar-la pensión para sostener las cátedras, que do, diputado suplente por Galicia, en que manifestaba ha solo habían subsistido á expensas del zelo de algunos socio: ber sido reformado, y estar cesante en su destino , y pidien por la enseñanza…</t>
  </si>
  <si>
    <t>Para</t>
  </si>
  <si>
    <t>…a bert, Villanueva, Bernabeu , Ceperó, Cortes, Prieeo y ron otra, reducida á que la prohibición de álgodon no se La Madrid. J entendiera con las islas Filipinas. Habiendo dicho el señor Para la de Guerra los Sres. Zayas, Golfín, Quiroga, Moreno Guerra que era inoportuna, pues en el proyecto Sancho, Benitez, Serrallach , Palarea,Medranoy Gutiérrez había un artículo relativo al mismo objeto , no se admitió á de Acuña. discusión. Para la de Instrucc…</t>
  </si>
  <si>
    <t>Parcel, Antonio</t>
  </si>
  <si>
    <t>Antonio Parcel</t>
  </si>
  <si>
    <t>…n á propósito para promover su completa fe licidad; Tendreislo entendido , y dispondréis lo necesario para.siixuimplimiento.=xb¿tá rubricado.==Eu Palacio á 15 de Abril de 18 20.=A D. Antonio Parcel/’ 4/ „Por el decreto de las Cortes de 13 de Setiembre de 1813 , cuya ob servancia tuve á bien restablecer en el de 20 del próximo pasado Marzo,’ fue ron extinguidos los tribunales especiales de Ja Hacienda pública, pasando el conocimiento dé los asuntos conte…</t>
  </si>
  <si>
    <t>Pardo, Luis</t>
  </si>
  <si>
    <t>Luis Pardo</t>
  </si>
  <si>
    <t>…a rehabi Tomo 3.0 De los animales luminosos. Continuación del litación del buque en todos sentidos; al capitán de fragata tratado del fuego. Del calórico. Historia del Príncipe de D. Luis Pardo, que salió del Callao para ir en clase de se Cachemira, ó los prodigios de las ciencias y de la natura cundo en la Prueba, por la actividad y zelo con que ha leza. De la electricidad, de los metéoros y del rayo. De contribuido al adelanto de los trabajos de e…</t>
  </si>
  <si>
    <t>Pardo, Manuel</t>
  </si>
  <si>
    <t>Manuel Pardo</t>
  </si>
  <si>
    <t>…. resolver igualmente que es pios de cosas pertenecientes al alimento , al vestuario y la ■ ta Real determinación se circule á todas las audiencias decencia. D. Mariano Gutiérrez, D. Manuel Pardo, Don y diputaciones provinciales, y sé inserte ademas en la Manuel Martin, D. Miguel Corbesy , D. Agustín Pelaez, gaceta del Gobierno; en la inteligencia .de que cualquiera D. Antonio Gutiérrez, el ya nombrado Navarro, D. Ma solicitud que sobre este punto se…</t>
  </si>
  <si>
    <t>Paredes, Joaquina</t>
  </si>
  <si>
    <t>Joaquina Paredes</t>
  </si>
  <si>
    <t>…iente primero de corregidor de esta muy heroica villa de Madrid, se cita, llama y emplaza a los acreedores á los bienes dimitidos por D. Vicente Tiller Foix de Cardona, y su muger Doña Joaquina Paredes en 13 de Noviembre de 1798 , para que en el preci so término de 20 dias, contados desde la publicación de este anuncio, comparezcan ante dicho señor y escribanía del numero de £&gt;. Juan Antonio de Urraza, por sí • por medio de procurador, con poder bastante, á…</t>
  </si>
  <si>
    <t>Parera, Jaime</t>
  </si>
  <si>
    <t>Jaime Parera</t>
  </si>
  <si>
    <t>…n 24 del mismo Enero último "Villalba, D. Juan de Medinabeitia, fiscal; D. Pedro Gó á ese ministerio, y al inspector general de infantería por lo mez de las Casas, alguacil mayor; D. Jaime Parera, fiscal relativo á la enunciada Parracia, y debiendo tener su entero en el dia de Valíadolid. efecto con todas las viudas y familias que se hallan en igual Se avisa á los Sres. interesados, y á los herederos de los caso, según queda referido; se ha servido S.…</t>
  </si>
  <si>
    <t>Parga, Jacobo María</t>
  </si>
  <si>
    <t>Jacobo María Parga</t>
  </si>
  <si>
    <t>…gun lo decretaron las extraordinarias. Tendreisló-entendido, y lo comunicar' reís i quien corresponda para su cumplimiento. = Está;rubricado.En Pala cio á 22 de Márzo de i820.=='A D. Jacobo María Parga.” El Rey ha expedido el decreto siguiente:. ,, Siendo la Constitución de la Monarquía^ que he Jutedo, ía ley fundamental que arregla ' los 'derechos y -deberes1 de todos* los 'españoles, con res-/ pecro-al trono,&lt;áda Nación yiefítre-síímjsmósy ybconsideratido…</t>
  </si>
  <si>
    <t>Parga.’, Jacobo María de</t>
  </si>
  <si>
    <t>Jacobo María de Parga.’</t>
  </si>
  <si>
    <t>…es la egecucion del decreto y penas referidas. Tendreislo enten dido, y dispondréis lo conveniente para su cumplimiento. == En Palacio á 26 de Marzo de i82o. = Está rubricado, = A D. Jacobo María de Parga.’* Circular del ministerio de la Gobernación de la Península*. „ Conformándose el Rey con el parecer de Ja Junta provisional, se sir vió decretar en 16 de este mes que se publicase de nuevo y jurase la Consti tución política de la Nación española, haciéndolo co…</t>
  </si>
  <si>
    <t>París</t>
  </si>
  <si>
    <t>…cial. nuar las conferencias en el caso de que no se concluyan en FRANCIA. Troppau. Entre los sug«ros que han de venir aqui se de signa especialmente el príncipe de Hardemherg y el duque París yo de Setiembre. de Weliington. Escriben de Bruselas con fecha del 24 que se propagan Todos los regimientas que recib ieron orden de marchar de la otra parte del Rhin varios rumores, y entre ellos el ¡á Italia han llegado ya, ti están prosiiraos allegar á su…</t>
  </si>
  <si>
    <t>…e la solicitaban en las-clases siguientes: constitucional. lo ancianos.,.21 ancianas , 3; niños, 7 niñas y 2 matrimo FRANCIA. nios. También acordó celebrar honras e! día 29 por'el señor París 9 Je Diciembre. D. Tomas Isturiz , vocal que era de dicha corporación , con El i5 de Noviembre murió en Dresde á la edad de 6o asistencia de la misma; y que se coloque su retrato en la años la Princesa María Ana, hermana de S. M. el Rey de contaduría de aquel…</t>
  </si>
  <si>
    <t>París, Francisco Espoz y</t>
  </si>
  <si>
    <t>Francisco Espoz y París</t>
  </si>
  <si>
    <t>…estaban libres de impuesto, ■pedia ?e le exonerase de esta contribución. FRANCIA. . -- - ^1^ je prem;os del egército de S. Fernando una expo sición del capitán general de Navarra D. Francisco Espoz y París ij de Setiembre. .- ~ ■j Mipa v recomendando á los militares y paisanos que se le Se dice que el general conde Rapp, uno de los Pares : hafcáati reunido en i.° de Marzo., y contribuido al restable que componen la comisión de la Cámara, irá dentro de al cimien…</t>
  </si>
  <si>
    <t>Paris, Francisco Mendizabal y</t>
  </si>
  <si>
    <t>Francisco Mendizabal y Paris</t>
  </si>
  <si>
    <t>…dicho cuerpo, á mariscal de campo al director sub inspector D. Manuel Olaguer Feliu : á brigadieres directores cambios. Madrid y Junio jo de 1830. sub-inspectores á los coroneles D. Francisco Mendizabal y Paris......... .................................................. 15 9 D. Anastasio de Arango, y á coronel al teniente D. Josef Londres...................................................... 35? 36 Navarro. Amsterdam.................................................…</t>
  </si>
  <si>
    <t>París, Josef</t>
  </si>
  <si>
    <t>Josef París</t>
  </si>
  <si>
    <t>…de 18a o. pia iglesia á D. Fernando Ortiz de Silva, canónigo de Lóndres...................... ............................... g8f ¿lia; para igual dignidad de la de, Puerro-Rico á D. Josef París............................................................... 16 p Lorenzo Renden , doctoral de la de Sto. Domingo : para la Cádiz........................................ íj .cánongía penitenciaria de la de Charcas á D. Josef Julián Sevilla..................…</t>
  </si>
  <si>
    <t>París, Miguel Luis</t>
  </si>
  <si>
    <t>Miguel Luis París</t>
  </si>
  <si>
    <t>…to Real del servicio de la tonces el proceso será una irrisión : vosotros no solo aman milicia. cillareis la dignidad de Pares, sino que expondréis al ma Se leyó una exposición de D. Miguel Luis París, exyor peligro la Constitución y la patria, reducida ya á la trangero, y avecindado en granada, ofreciendo sus cono última miseria por haber seguido ciegamente los consejos de cimientos en caligrafía, historia natural c idiomas extrangeesos mismos hombres.” (…</t>
  </si>
  <si>
    <t>Parisi, Josef</t>
  </si>
  <si>
    <t>Josef Parisi</t>
  </si>
  <si>
    <t>…blicó otro decreto, creando una Sesión del 3 de Agosto. Junta provisional de r &lt; personas, y nombrando para ella Se leyó el acta de la sesión anterior; á la que se man al teniente general D. Josef Parisi; al caballero D/ Melchor daron agregar los votos particulares de los Síes. Castrülo, Deifico; al teniente general D. Florestano Pepe; al barón Couro, Espiga, Villanueva, Navas, García Page, DolaD. David Winspeare, y al caballero D. Jacinto Mart"cci, á rea, Le…</t>
  </si>
  <si>
    <t>Parral, J. H.</t>
  </si>
  <si>
    <t>J. H. Parral</t>
  </si>
  <si>
    <t>…en su casa ó en la de los alumnos; 500. El cónsul de los Estados-Unidos D. Henrique M. bajo cuyo supuesto, y para la mayor comodidad del público, Cali, 3 20. El cónsul de Portugal D. J. H. Parral, 5 00. han establecido la enseñanza en uno de los mejores parages D. Juan B. Cook, cónsul de los griegos, 320. D. Horario de esta villa; y para arreglar horas y precios tendrán" la Sprague, 320. D. D. Duplessír, 80. Los Sres. Gibbs Casson bondad los que quier…</t>
  </si>
  <si>
    <t>Parrilli, Félix</t>
  </si>
  <si>
    <t>Félix Parrilli</t>
  </si>
  <si>
    <t>…de Jus «Iísima ciudad al mando del digno capítan que la conduce, ticia D. Jacinto Troisi—Al abogado general de la misma «nos ha llenado de tanta y tal satisfacción , que no hemos D. Félix Parrilli.=Al juez del supremo tribunal civil de «querido retardar el darle un público testimonio de ella ¡Sol Ñapóles D. Angelo Abbatemarco.=Al coronel D. Fernan idados! Cuando no es el Ínteres, sino la gloria la que tiene do visconti.=AI coronel de caballería D. Juan…</t>
  </si>
  <si>
    <t>Parry</t>
  </si>
  <si>
    <t>…eriódico de esta capital se ha publicado la siguiente carta, que contiene algunas noticias acerca de los buques que salieron de Inglaterra en la primavera pasada á las órdenes del capitán Parry. Montreal a 7 deDiciembre de z8ij). ,, Hace una hora que llegó aquí un correo del país de los indios con la agradable noticia de haber hallado el paso por el N; O. los buques que salieron de Inglaterra en la pasada prima vera. Atravesando por uno de los estre…</t>
  </si>
  <si>
    <t>…y á los secunda del decreto de las Cortes de i &gt; de .Agosto de 1813, ptannigans, pájaros que abundan mucho en aquei país, ti relativo la liquidación y pago de la deuda nacional.’’ capitán Parry no ha visto habitantes; pero ha hallado fre De Real orden lo comunico á V. para su inteligen cuentemente en las costas chozas vacías. Solo dos marineros cia y cumplimiento, disponiendo se circule á todos los pue de la tripulación experimentaron un iigero ataq…</t>
  </si>
  <si>
    <t>Parts, Isi</t>
  </si>
  <si>
    <t>Isi Parts</t>
  </si>
  <si>
    <t>…gefes españoles en la guerra de I3 independencia, acompañado de una memoria, que ahont FRANCIA. existe en poder del sillero del Rey. Asimismo se pasó a! Gobierno una exposición de D. Isi Parts 13 de Octubre. doro Espada, mariscal mayor del regimiento de caballería Parece que se ha recibido en Bruselas la noticia de ha de la costa de Granada, para que se expidan Reates des ber llegado á Varsovia los despachos relativos á un proyec pachos á los de su…</t>
  </si>
  <si>
    <t>Parts, Juan</t>
  </si>
  <si>
    <t>Juan Parts</t>
  </si>
  <si>
    <t>…el Clyue." su doctrina contribuyen á la propagación de la enseñanza de Ja Constitución , merece ocupar un lugar muy dísunj.inFRAXCIA. do el cura párroco de la población de lyueído D. Juan Parts i.° de JDiciembre. de Idoy , que rige la feligresía de aquella ante-iglesia, de lía habido un consejo de ministros, presidido por el pendiente de la jurisdicción de esta ciudad, quien aña Rey, al cual asistieron el director general de Policía y diendo á su co…</t>
  </si>
  <si>
    <t>Pas</t>
  </si>
  <si>
    <t>…ibertad .í compuesta del regimiento extrangero, resistí : hubo fuego y los presos, ni se habría verificado sin la imprudencia del ge heridos; pero en medio del conflicto lleg i el mariscal Pas neral Church, que se atrevió j insultar á un ciudadano pa tóte , é hizo cesase este , retirando la guardia. cífico. E-ta de-gracia servirá de lección á aquel'o* espíritus Poco después fue saqueada la casa de Church, y quema turbulentos , que consultando mal l…</t>
  </si>
  <si>
    <t>…Bellas Artes proponga el templo mas á propósito de esta Josef de Fcbcníque. capital , en que por decreto de ias Cor.es han de irse reco A la de Infracciones cuatro quejas, urla de Doña Pas giendo los re-id os mortales ¿e |os q.,e h3n perecido ó.- ur» cuala OI ina contra el alcalde de Mnchamiel; oirá de un modo heroico por la pairia desde la g erra de la ind^.en clírí o regular agonizante contra el alcalde de Santa Cruz dónela, y ecribir-e los n…</t>
  </si>
  <si>
    <t>…iente: al lle y 61,894: D. Juan Perez C ineda del 17,036 : D. Jaime Vagar á las orillas del Missisipí Se encontraron con los ira íenti del 17,039: D. Juan Luis Murenco del 19,359= D. Pas &lt; 4°»99^ y quese?, que tes disputaron el para, y emprendieron con ellos cual Moreno de.Mora del 19,431 , 39,433, I9»47i una porfiada y sangrienta guerra; y para continuaría con 41,020: D. Josef Antonio de Sta. María del 23,994', 23,999 y 24,008: D. Manuel Vel…</t>
  </si>
  <si>
    <t>Pascali, Mariano Sardaña y</t>
  </si>
  <si>
    <t>Mariano Sardaña y Pascali</t>
  </si>
  <si>
    <t>…a diputación deí exce lentísimo ayuntamiento de la ciudad de Zaragoza x encargada de felicita* 4 S. M. con motivo de su feliz matrimonio , y compuesta de los caballeros re gidores D. Mariano Sardaña y Pascali, decano de diclio ayuntamiento, y fo. Ignacio Molina, caballero de la Real orden de Carlos iix, gentilhombre de Cámara de S. M. con entrada, destinado al cuarto del Sertuo. Sr. Infante D. Carlos, y coronel de los Reales egército$ ; de los cuales el primero di…</t>
  </si>
  <si>
    <t>Pascual</t>
  </si>
  <si>
    <t>…Fernandez deflos iRIosJ del&gt;Con4ej,c&gt; S; .oidor honorario.¡de la Réal 'chaii'oiMerfa de Valladolid, *j!ftem.cnt4 primero decórre.-i gidor de esta muy heroica vilija, refrendada de D. Pascual jjgco-,. escribjuj%de y deí número de la misma , se, ha mandado sacar á; publica, subastapor térmiup, dq so días, contados desde 5 del corriente, las fincas que se dirán, sitas en término del lugar de Fucncarral, de esta jurisdicción, á saber *. un pedazo, de…</t>
  </si>
  <si>
    <t>…se ha se con el título de Transacciones contienen cuanto se presenta ñalado para junta general de todos los acreedores al concurso por los socios digno de la atención publica. de D. Pascual de las Fuentes el dia 16 del corriente, á las 8 La soi it dad Seal de Londres, establecida en 1662, de la mañana, en la posada de S. S., apercibidos de que la que tan eminentes servicios ha hecho á las ciencias, debió falta de concurrencia por sí ó persona en…</t>
  </si>
  <si>
    <t>…ó-suficientemente deliberado; y pasando á votar, no La misma aprobación mereció el dictamen de la comi la admitieron á discusión. sión primera de Legislación sobre la instancia de D. Pascual La otra adición para el art. 2.0 era, á fió de que después Sierra, que obtuvo cédula de escribano de ayuntamiento de' de las palabras" «con arreglo á las leyes" sé pusieran las si la villa de Perales de Tajuña, para que serie repusiera en su guientes: «que en el…</t>
  </si>
  <si>
    <t>…por Madama Cottin, Enaguila, presbírero, 40. D. Judah Benoliel, 320. Don traducida libremente por S. H. T.: un tomo en 8.°, con una es Hamet Beggia, 160. D. Ambrosio Felipes , 40. D. Pascual tampa fina. Véndese en la librería de Rodríguez, y en Cádiz en la de Hortal y compañía. Francia, 40.D. Antonio Guaseo, 160. D. Juan Pyne, 60. Retrato de la Reina Católica Dona Isabel, grabado por el cuaD. Abram de J. Taurel, 80. Los jornaleros Josef Alonso, d…</t>
  </si>
  <si>
    <t>Pascual, Antonio Sánchez</t>
  </si>
  <si>
    <t>Antonio Sánchez Pascual</t>
  </si>
  <si>
    <t>…ir crecidos intereses en dicha ciudad, se su su persona. plica á quien tuviere alguna noticia se sirva comunicarla á El visir-Azem, cuya principal obligación es mantener Sevilla á D. Antonio Sánchez Pascual, abogado de aquel la Tranquilidad en la capital yen el imperio, da diariamen colegio. te en su propio divan una audiencia pública para la admi Entretenimientos del coraron devoto con el santísimo cora nistración de la justicia, y la decisión de los asuntos co…</t>
  </si>
  <si>
    <t>Pascual, Miguel</t>
  </si>
  <si>
    <t>Miguel Pascual</t>
  </si>
  <si>
    <t>…ar del Sr. Ramonet, contrario á la reso nación de la Península , con el que remitía una instancia lución tomada acerca de la cria de ganado mular ; y' el de de doYTwrmanas del Dr. D. Miguel Pascual, víctima de su los Sres. Ugarte ( D. Gabriel), Lecumberri y Ramírez Cid zelo en asistir á los enfermos del contagio de Mallorca, pi contra la resolución de que fuese tercera lectura la del pro diendo una pensión, por haber quedado en la indigencia; yecto de r…</t>
  </si>
  <si>
    <t>Pase, García</t>
  </si>
  <si>
    <t>García Pase</t>
  </si>
  <si>
    <t>…uspensos por la Constitución de los de que puedan trabajar sin hacerse peores y sin ser gravosos al rechos de ciudadano.” Estado, excluyendo los presidios de Africa. También po El Sr. García Pase, después de pedir á los individuos drán ser; destinados á las obras públicas- de los pueblos res de la comisión manifestaran si existia alguna ley para cas pectivos ó de los inmediatos en que las haya.” tigará las autoridades que faltasen al cumplimiento de'e…</t>
  </si>
  <si>
    <t>Paso</t>
  </si>
  <si>
    <t>…lo que sigue: «SS. MM- continúan disfrutando en este Real sitio la Apuntes sobre el arresto de los vocales de Cortes : núm. 6.a mas perfecta salud; y S. A. Serma. Ja Sra. Infanta Doña Paso de las causas á la sala de alcaldes. Consultas. Comisión de María Francisca está mas aliviada de su indisposición, 'lo causas de listado. Tachas legales. Documentos alusivos á ellas. dos los demas Sres. Infames continúan sin novedad.” Comisionados subalternos…</t>
  </si>
  <si>
    <t>Paterno, Ja</t>
  </si>
  <si>
    <t>Ja Paterno</t>
  </si>
  <si>
    <t>…ida ITALIA. por la ¡anta provió. nal , cuyos actos están dechimdr-- por nulos, inclino el último que fue la capitulación del teniente Ndpoles í7 de Noviembre. general Pepé con el príncipe Ja Paterno ofendente de aquel ia. Se quej ■ muy ¡furia.nente contra el peder egecutiv® &lt;. bservado con' relación á los PAs LAMENTO NACIONAL.---ScSlJIl del íT. y el misterioso silencio que lia El ministro de Gracia y Justicia presentó un proyecto asuntos de Pa'ermo. .Opi…</t>
  </si>
  <si>
    <t>Patnbley, Sierra</t>
  </si>
  <si>
    <t>Sierra Patnbley</t>
  </si>
  <si>
    <t>…á los invasores, para los que regirán las al general Riego de sus destinos , mandándole de cuartel á leyes de la guerra.” Oviedo sin haberlo pedido, ademas del cúmulo de murmu El Sr. Sierra Patnbley concluyó la lectura del dictamen raciones que se han suscitado estos dias ; si á tedo esto, di de la comisión de Hacienda acerca de la memoria del mi go , no ha precedido causa alguna , mande el Gobierno abrir nistro de este ramo, con la tercera parte del mis…</t>
  </si>
  <si>
    <t>…que es incompatible con el orden público, Romero Alpuente , quien amplificó en apoyo de la comisión ó el robo violento , ó los que atacan í la modestia y pudor, lo expuesto por el Sr. Sierra Patnbley ; y por último se y aun en estos casos siempre se procede con arreglo al de aprobó el artículo. recho de gentes, y á los principios reconocidos por todos Asimismo se aprobaron los restantes del proyecto, que los pueblos. decían asi: El Sr. Moscoso opinaba que…</t>
  </si>
  <si>
    <t>Patón, Josef María</t>
  </si>
  <si>
    <t>Josef María Patón</t>
  </si>
  <si>
    <t>…ser tanto mas considerable , cuanto por la escribanía del número al cargo de D. Florencio i.&lt; r&gt;ez son ellos los que gobiernan. Nosotros les hemos dado tier Varo , á instancia de D. Josef María Patón , escribano Real ene ras para cultivar plantas , y ellos han establecido cañones. fue , se ha mandado pasar al archivo general ríe escrituras pú Sujetan á su dominio los hombres que no son de su color, blicas de esta capital los instrumentos públicos que ante…</t>
  </si>
  <si>
    <t>Patti</t>
  </si>
  <si>
    <t>…ridas men en el misino pueblo provienen de iooQ fanegas fran y servicios prestados por el teniente de Rey el coronel Don cesas de viña de la mejor calidad. Felipe Scudieri, por el capitán Patti, del regimiento Re de Resulta pues que la población de Taris, que viene á ser artillería, por el comisario de guerra D. Antonio Montoro, la cuadragésima parte de la del reino, consume anualmente por el teniente D. Salvador Marra, secretario de la plaza los -…</t>
  </si>
  <si>
    <t>Paula, Francisco</t>
  </si>
  <si>
    <t>Francisco Paula</t>
  </si>
  <si>
    <t>…isión de Premios, a la que no podia asistir por tx- nel, mayor y comandante actual. = Por el regimiento de zones de delicadeza; y se levantó la sesión. caballería . de Almansa, el brigadier Francisco Paula de la Peña. Por, la Milicia nacional de caballería, el marques de DIR-ECCION GENERAL DE LOTERIAS. Casa-Poncejos, teniente comandante actual. Noticia de ios pueblos donde han cabido los premios mayores del sorteo celebrado en el día de ayer. ARTICULO DE OFICIO…</t>
  </si>
  <si>
    <t>Paula, Francisco de</t>
  </si>
  <si>
    <t>Francisco de Paula</t>
  </si>
  <si>
    <t>…Palacios j de Mayo de 1820.^= A D. Manuel 'García Her reros.” 3.0 ,,iIabiendo dado lelrzmente á luz un Niño la Infanta Doña Luisa Car iota, esposa de mi augusto Hermano el Infante D. Francisco de Paula, no lie podido menos de considerar que coincidiendo tan fausto suceso con los primeros pasos de ¡la nueva carrera política que ha emprendido ¡la Nación es pañola, seria-muy propio el distinguir á este augusto Niño con un título que recuerde á los siglos venid…</t>
  </si>
  <si>
    <t>…eglamento el que estaba firmado por los Sres. Isturiz, yeron de ¡a sucesión A la corona de las Españas A los Seño Díaz Morales, Díaz del Moral, Moreno Guerra, Navarro res Infantes D. Francisco de Paula y Doña María Lui:q, (D. Andrés), Navarro (D Felipe), Lorenzana, Navas, Ro gran Duquesa de Lúea, y A la descendencia de ambos, de mero Alpuente y Florez Estrada. rogan la referida exclusión, y decretan: que sin embargo dé El Sr. López (D. Marcial) observó que solo se hacia ell…</t>
  </si>
  <si>
    <t>I 28 El Sr. Romero Alpuente apoyó el dictamen del señor decretan, que sin embargo de ella, asi los Sres. Infantes Martínez de lá Rosa ; y pasando A votar, quedó aprobado Don Francisco de Paula y Doña Alaría Luisa, como sus el artículo 4.0 respectivos descendientes legítimos, sucedan en la coro Se leyó después el artículo 5.0 «Que de esta medida na , con entero arreglo A lo prescrito por el artículo 180 de sean exceptuadas las islas Baleares durante su actual penosa la…</t>
  </si>
  <si>
    <t>…tre trompa de eusraquio y por la condensación de la mem S. A. R. la Princesa Luisa Carlota, hija segunda de S. A. R. brana del tímpano. el duque de Calabria, y ¿. A. R. el Infante D. Francisco de Paula, hermano de S. M. el Rey de España. NOTICIAS DEL REINO. «Luego,que se instaló el ministerio de Negociosexrrangeros en 6 de Julio, lo primero que hizo el Gobierno fue co Barcelona 20 de Noviembre. municar los nuevos acontecimientos á los representantes de El s…</t>
  </si>
  <si>
    <t>Paula-Por, Francisco de</t>
  </si>
  <si>
    <t>Francisco de Paula-Por</t>
  </si>
  <si>
    <t>…................... 2.} Agustín Fernandez de S. Vicente; v para una media ración Santiago......................................................... 2 b de la de Santiago .de Cuba A D. Francisco de Paula-Por— Bilbao............................................................ ai tuondo. Santander...................................................... ii VARIEDADES. Zaragoza.................................................... 14 Vales comunes........................…</t>
  </si>
  <si>
    <t>Pavar, Josef</t>
  </si>
  <si>
    <t>Josef Pavar</t>
  </si>
  <si>
    <t>…Cor Una casa en la Magdalena y Callizo del río de media radas, D. Francisco Hernández y D. Josef Xinienez , de villa , en la citada ciudad , en i 3.3.4, rs-..- , , - . pendientes; D. Josef Pavar, teniente coronel retirado, dis Otra pieza en el tablar de en-medio , de 3 robos , ju perso; D. Felipe S. Alberto, capitán idem; D. Manuel risdicción de la misma ciudad , en 960 rs. Cortés, oficial de la secretaría del Desnacho dé Hacienda; Otra pieza.cn el m…</t>
  </si>
  <si>
    <t>Pavía, Domingo</t>
  </si>
  <si>
    <t>Domingo Pavía</t>
  </si>
  <si>
    <t>…- Fernando Una lamia, en el término de lijo Matías y Estupiñana, Sta. Marina, teniente de idem ; D. Emebio Romero, alfé de 6 robos, jurisdicción de Tudela, en 840 rs. rez de idem; D. Domingo Pavía, teniente coronel gradua Orra en las Coronas, de 5 robos y 7 almudes, jurlsdic^ do de caballería de Borbon; D. Félix Isnedio, teniente de cion de Tudela , en 43 5 rs. idem ; D- Cayetano Barrera, alférez de idem ;.D. Josef Ma Otra en el mismo campo, de 8 robos…</t>
  </si>
  <si>
    <t>Pavía, Ramón Pirez y</t>
  </si>
  <si>
    <t>Ramón Pirez y Pavía</t>
  </si>
  <si>
    <t>…icitar al Rey nuestro Señor por su augusto enláce con la Reina nuestra Señora Doña Aíaria Josefa Aivíai :\ de Saxonia, á nombre de la fidelísima ciudad y plaza de Ceuta, el Excmo. Sr. D. Ramón Pirez y Pavía, caballero gran cruz de la Real y mi i ira; orden de S- Hermenegildo, de tercera clase de; la de S. Fernando ¿ te* ntenie general de los Reates egérciros, é inspector general de infantería; y los Stc?. Di Miguel Ramón de Villaroel , del Consejo de S. M-, su s…</t>
  </si>
  <si>
    <t>Payan, Elias Izquierdo y</t>
  </si>
  <si>
    <t>Elias Izquierdo y Payan</t>
  </si>
  <si>
    <t>…ra de S. Gerónimo f casa del marques de Ponte jos. Por providencia del Real tribunal del consulado de comercio de Cádiz., dictada en 20 del pasado ante su teniente escribano mayor D. Elias Izquierdo y Payan , que lo es honorario de Cámara de S. Al. , se manda citar y emplazar á cualesquiera pcrspnas que sejsoneidejen con derecho al concurso y masa de acreedores de D. Anto nio Vallarlno, para que'en el precisó término de 18 meses se.presenten á formíjii-.zarlo co…</t>
  </si>
  <si>
    <t>…ctue y. .resuelva el mismo perjuicio que si fuere con su inter vención y audiencia. Por decreto del Real tribunal del consulado de Cádiz,, dictado ante su teniente escribano mayor D. Elias Izquierdo y Payan , que lo es honorario de Cámara de S. M., se manda citar y emplazar á los que se consideren con derecho al concurso y masa de acreedores de la casa y compañía que ha corrido bajo el título de viuda de'Ruiz é hijo Terri, para que en el preciso término de 18 me…</t>
  </si>
  <si>
    <t>…ibimiento de que pasado dicho tér mino se proceder, á lo que haya lugar, y les parará perjuicio. . Por providencia del trihunal del consulado de comercio de Cádiz, y escribanía de D. Elias Izquierdo y Payan, en los autos de concurso de acreedores á D. Josef María Esclus, pendientes en el propio tribunal y citada escribanía , se manda citar y emplazar á cuantos se consideren con derecho á la dependencia y masa de dicho concurso, para que en el término de un año c…</t>
  </si>
  <si>
    <t>…r. duque, quien se encarga de remitírselos según se le avise. Por providencia del tribunal del consulado de comercio de Cádiz , refrendada pot el escribano de Cámara honorario &amp;c. D. Elias Izquierdo y Payan, dictada en los autos, nútn. 314 de 1815, que son de concurso de acreedores á D. Antonio Ma nuel de Oviedo, se manda citar y emplazar á cualquiera que ppr algún respecto se considere tal acreedor, ó con derecho contra el Tcferido y sus bienes , para que en el…</t>
  </si>
  <si>
    <t>…o de la parte de regocijo y Por providencia del tribunal del consulado nacional de co satisfacción que le cabe por las nuevas instituciones y resta mercio de Cádiz, refrendada por Don Elias Izquierdo y Payan, blecimiento del régimen constitucional que ha jurado, ha escribano de G¡niara honorario, se manda citar y emplazar á determinado unánimemente, con entera aprobación de S. M., los que se consideren con derecho al concurso de acreedores de usar de un rasgo de…</t>
  </si>
  <si>
    <t>…de Rusia, después de haber visto la Por providencia del tribunal del consulado de la plaza de historia de Carlos v , repetia: » Esta es mi constante compa C diz , y escribanía de D. Elias Izquierdo y Payan, pronunciada ñera de todos los viages. jamas me canso de leerla, con espe en ty de Noviembre de 1820 en ios autos de concurso de cialidad el primer volumen.” = El Sr. Filangieri cita en muchos acreedores á D. Manuel García, de este comercio , se manda ci pisa…</t>
  </si>
  <si>
    <t>…mo virtuoso. Todos los arzobispos y otros Por providencia del tribunal del consulado de la plaza d* muchos griegos distinguidos se han suscrito á esta noble Cádiz, y escribanía de D. Elias Izquierdo y Payan , se manda emprem. citar y emplazar á cualquiera que se considere con derecho para oponerse a la cancelación que pretende Doña Ana González Mr. Iskenterí, negociante establecido en Constantino Guirado de una escritura hipotecaria, que como apoderada depla , h…</t>
  </si>
  <si>
    <t>Paz, Felipe María de</t>
  </si>
  <si>
    <t>Felipe María de Paz</t>
  </si>
  <si>
    <t>…idro. Habiendo advertido el Sr. Calatrava Luego se leyó el dictamen de la comisión de Legislación que estaba extendida con la fórmula designada en el artícu sobre el expediente de D. Felipe María de Paz, marques de lo 91 del reglamento para los decretos exclusivos de las la Corona, remitido por la secretaría de Gracia y Justicia Cortes, propuso la duda de si necesitaba la sanción Real. á las Cortes en i.° de Agosto, y estas aprobaron dicho Se suscitó una dis…</t>
  </si>
  <si>
    <t>Paz, Francisco Cándido de</t>
  </si>
  <si>
    <t>Francisco Cándido de Paz</t>
  </si>
  <si>
    <t>…definitiva de vista asi lo pronunciamos, medicina. mandamos y firmamos. = D. Josef Navia Bolaño.= D. Vi _ También ha debido presentar el mismo Boucher á la cente García Cavero. = D. Francisco Cándido de Paz. = Don sociedad económica- el modelo de una embarcación insu Ramón Samé. = D. Ramón Macía de Lleopart. = Madrid mergible , que ha merecido ya la aprobación de un hábil 12 de Julio de 1820. constructor de buques. ^ Sociedades bíblicas.__ Es muy grande el númer…</t>
  </si>
  <si>
    <t>Pcrauni</t>
  </si>
  <si>
    <t>…de este testigo fue llamado Pietro Puchi, apo general Conlitorc: el de Marma es el cu-allerc Vdlguarnera; derado del gran mesón de Trie re, donde la Princesa y y el de arribeña el coronel Pcrauni, que cn.i tornando un re Bérgami e-tuvieron seis días; y dijo que habiendo inirado gimiento de artilleros. La ¡un'a de Hacienda lia invi.ado 1 to un dia por la cerradura de su cuarto, vió A Bérgami salir cos los sicilianos á hacer donativos. La guardia de seg…</t>
  </si>
  <si>
    <t>Pe</t>
  </si>
  <si>
    <t>…n la calle de S. Miguel, que comprende 9489$ pies de sitio, tasada en 374,565 rs. el miércoles 5 de Abril próximo, á las 12 en punto de su mañana, en la escribanía de provincia de D. Pe dro Josef de Ibabe, donde se admitirán las posturas que se hicieren siendo arregladas. Los suscriptores á la nueva edición de la historia general de España del P. Ma riana, ilustrada con notas históricas y criticas, y tablas cronológicas desde los tiem pos ma…</t>
  </si>
  <si>
    <t>…icaciones del lucimiento con que acreditaron en el acto su aplicación y. aprovechamiento. Xerez de la Frontera jo de Marzo. El viernes 10 del corriente por la madrugada recibió el brigadier D. Pe dro Ramírez un oficio del gefe de la plana mayor del egército reunido, en que le decía que habiendo jurado este y Cádiz la Constitución, procediese á hacer el mismo acto con las tropas que estuviesen en este distrito. Con efecto dió las órdenes convenientes,…</t>
  </si>
  <si>
    <t>…no de una traducción persiana sobre los de ia ordenanza de dicho cuerpo. sistemas de astronomía de los hindous, y sobre la relación Memoria para la organización del egército , por D. Pe ue tienen con la historia antigua y moderna: sobre los ve dro Fernandez de Cueva, oficial de la tesorería de egército as ó libros sagrados de los hindous. de Extremadura. En el tomo io.°: sobre la poesía sánscrita y pa rae rita, Ideas expuestas por el coronel…</t>
  </si>
  <si>
    <t>…cuerpos de la ría de Ortega, vecino de Ubeda^; otro por Doña Rosalía guarnición , especialmente por su conducta en los días 6 y 7; López de Cárdenas , vecina de Montoro; otro por D. Pe el Sr. Gaseo recordó la patriótica y virtuosa que observa dro Morales Cardara y Doña María de la Concepción Al ron en los dias 7,8 y 9 de Marzo, y los sentimientos dé férez, y el cuarto por D. Ildefonso Valenzitela, vecino de modestia que les han hecho guarda…</t>
  </si>
  <si>
    <t>…robó, igualmente el dictamen de ia o'tnbion secun ta de D. Mariano Renovales. da de Legislación para que se concediese carta de ciuda A la primera de Legislación una exposición de D. Pe dano á Martin de Rahot, vecino Je Arces de Mar. dro Vida!, del comercio de Barcelona , sobre la causa que Igualmente se aprobó, el de la misma comisión acerca se le formó en estos últimos años. de que se concediese á D. Manuel Gaiarza la dispensa de A ia de!…</t>
  </si>
  <si>
    <t>…s ordenanzas y reglamentos ingleses sobre militares por Qn tgnieqtedel regimiento de la Corona. los buques armados y desarmados. . ', No hubo lugar á votar sobre una exposición de D. Pe Las Cortes recibieron con aprecio una memoria de Don dro de Silva, hermano' dtíl marques de Sta. Cruz, en que Agustín Juan de Poveda sobre Las minas de alumbre de Es pedia se le conservare el '-grado de teniente de Guardias paña , presentada por el Sr. Sierra Painbley.…</t>
  </si>
  <si>
    <t>…ofrecía el dinero age se les señale el sueldo competente para evitar dudas. no , ¿ qué consecuencia deduciremos ? Que hay una conspi A la misma se pasó un proyecto presentado por D. Pe ración contra la Reina, y por lo tanto pido que se pregun dro Fuente sobre reducir á moneda las campanas disponi te forzosamente al testigo que está preseme en la barra." ; bles de todas las iglesias. La proposición de Mr. Brougham fue apoyada por el A la com…</t>
  </si>
  <si>
    <t>Pé, Francisco</t>
  </si>
  <si>
    <t>Francisco Pé</t>
  </si>
  <si>
    <t>…halla ahora en poder del caba honor y buen concepto del gobernador interino D. Jo- llero de Massareen, noble de Irlanda, y traducido en cas sef del Castillo, del de la misma clase D. Francisco Pé tellano dice asi: rez Dávila, el de D. Vicente Talledo , coronel de ingenie «Ha aparecido en nuestros días un hombre de gran vir ros , ni el de igual clase de infantería D. Juan Xitnenez, co tud llamado Jesucristo, el cual vive aun entre nosotros. mandante de…</t>
  </si>
  <si>
    <t>Pé, Jesualdo</t>
  </si>
  <si>
    <t>Jesualdo Pé</t>
  </si>
  <si>
    <t>…en los estudios que han acredíradó los caballeros ca detes dei Real cuerpo de Artillería D. Joaquín Pavía y W-erminghan, Don Ramón Ruiz de Labastida, D. Joaquín Cabañíes y Fuster, D. Jesualdo Pé rez de Lema , D. Mariano García y Saleta , D. Josef Guerrero y Sedaño 3 Don Santiago Olloqui y Martínez, D. Manuel La-Cerda y Paiafcx, D. Juan Ló pez Larrainzar , D Francisco Cascajares y Bardnxí, D. Josef Aivarez Reyero , D. Cárlos Casaprin y González, D. Ra…</t>
  </si>
  <si>
    <t>Pe-</t>
  </si>
  <si>
    <t>…n Antonio Mendoza/ ¿preciada en '17,198 ^.,«que se vende para pago de acreedores, acuda al juzgado de primera instancia del Sr. D. Julián de Sojo por la escribanía de provincia de D. Pe-1 dró «Ji&amp;ísef dé Ibabé ; dentro del término dejgodias,contados defdé esta publica ción?, 3Í6nde se admitirán las» que-se hicieren siendo-arregladas. ‘ W Retrato de D. Rafael Riego, mariscal de'campo, y:comandante general de la primera división del egército na…</t>
  </si>
  <si>
    <t>…pimienta 1250 libras: vainillas 3 500: zarza 912-4 libras. titución. En dicho mes se extrajeron las arrobas de vino siguientes: Coa o*te motivo se leyeron varias indicaciones del Sr. Pe-</t>
  </si>
  <si>
    <t>Pe-, Evaristo</t>
  </si>
  <si>
    <t>Evaristo Pe-</t>
  </si>
  <si>
    <t>…) para que se tenga presente continuar en sus privilegios, cor otros particulares. que en la villa de Osuna no hay mas que una parroquia fue Se dio cuenta de una representación de D. Evaristo Pe- ra del pueblo y en lo aito de una colina. tez de líaro , juez letrado de la villa de Mprata de Tajuña, A la de Comercio, un expediente remitido por el mi en que pedia la aclaración de ciertas dudas sobre el art. 306 nisterio de Hacienda sobre privilegios de l…</t>
  </si>
  <si>
    <t>Peachall</t>
  </si>
  <si>
    <t>…las tropas no se hallarán enteramente reunidas visitarle acompañada de aquel. hasta el 15 de Setiembre; y después de algunas revistas parti Después de este testigo se presentó el capitán Peachall, culares se egecutará la última y grande maniobra el 4 de comandante de la fragata la Clorind.i, y dijo que la pri Octubre, dias de nuestro Monarca. mera vez que recibió a bordo A la Princesa comía S. A. R. Acabamos de saber que S. A. I. el Príncipe heredero…</t>
  </si>
  <si>
    <t>Pedemonte, Carlos</t>
  </si>
  <si>
    <t>Carlos Pedemonte</t>
  </si>
  <si>
    <t>…mas noticias que juzguen convenientes al albacea D. Juan de Dios Marticorena , vecino del mismo pueblo de Huancayo, y rninbrracion. y que no se podía aprobar el presupuesto sin á D. Carlos Pedemonte, residente en Madrid , quien tiene parauna tsran reforma. ellos una carta instructiva é interesante. Conviniendo el Sr. ministro de Hacienda en los vicios Compendio histórico de la revolución que ha experimenta qúe había explicado el Sr. Ochoa, pidió sin emba…</t>
  </si>
  <si>
    <t>Pedrinelli</t>
  </si>
  <si>
    <t>…ales Filangieri, Areovito y Am 7800 mugeres de Nottingham ; y los habitantes de Mor- brosio , v dei coronel Pignalvert. peth y de Rochester se fian dirigido también á S. M. por El general Pedrinelli. oficial de artillería, y sugeto de medio de diputaciones de sus respectivas ciudades. gran talento , manda toda la artillería napolitana. Los habitantes de Newhnry han hecho presentar una ¡Quiera Dios que los mal intencionados y los intrigan carta de felicit…</t>
  </si>
  <si>
    <t>Pedro</t>
  </si>
  <si>
    <t>…vaiier-le-More, Bourdeau, Hargan y barón de Mortarieu. ESPAÑA. Gijon jo de Diciembre. En el sitio de Ferroñes, del concejo de Llanera, inmediato al de esta ciu dad, ha descubierto D. Pedro:Manuel Folgueras una mina, de cobre, y ha conseguido Real cédula para beneficiarla. . \ Madrid 31. de Diciembre. El 9 del corriente tuvieron la honra de felicitar á S. M. á nombre de la M. N. y M. L. ciudad de Saniúcar de Barrameda los Sres. D. Juan Pedro Vin…</t>
  </si>
  <si>
    <t>…do, cuya asistencia es necesaria-para las determinaciones que exi ge el buen gobierno de los pueblos, debiendo componerse de los siguientes consejeros: D. &gt; Joaquín Blake, decano, D. Pedro/Ágar, D* Gabriel Ciscar* el reverendo en Cristo Padre Cardenal de Borbon * D. Andrés García + Don Martin Garay, D. Francisco Xavier Castaños; D. Josef Mariano Almanza, D- Pedro Cevallos , el marques de Piedrablanca, D. justo.Marta Ibar-Na^ai-* ro, D. Josef Ay…</t>
  </si>
  <si>
    <t>…dir en pueblos que disten dé los deotras de los Sres. Isturiz y Carrasco , las tres del Sr. Giral- partamentos, y otras, que sin pertenecer á la armada quie do , y otra de Muñoz ( D. Pedro ). ran exponer sus ideas sobre todos 6 cada uno de los puntos ti Sr. conde de Toreno pidió que se pasaban todas las que conviene consultar; ha determinado publicar losproblé-' indicaciones á una comisión especial, lo que aprobaron las masque contiene el inter…</t>
  </si>
  <si>
    <t>…les franqueará el cor Orden del ministerio de Hacienda d los Sres. directores respondiente billete de entrada. ■ de la Hacienda pública. El regidor constitucional de Víllasequilla D. Pedro «He dado cuenta al Rey del expediente suscitado cort Pablo Perez, con fecha de 1 2 del corriente, se halla enten motivo de la reclamación que hizo la reunión patriótica de diendo en una causa criminal contra Jorge Pui, Tomas La- Vitoria, solicitando que se an…</t>
  </si>
  <si>
    <t>…los Sres. l’elarea , San- ñado su encargo, y que S. M. había manifestado que agra juan, Gutiérrez, Sánchez Salvador, Medrano, Lobato, Mu decía mucho la atención del Congreso. ñoz (D. Pedro), Priego, Casasec3, Canabal, Zubia, San- Sobre el artículo 3.0 dijo el Sr. Moreno Guerra, que las dino , Couto, Fagoaga, Camus , Ramírez Cid, Gobantes, pendones debian pagarlas los que los pidieron á nombre de JJgarte (D. Agustín), La Riva, Valle, Bahamonde,…</t>
  </si>
  <si>
    <t>…á la comisión ordinaria de Hacienda. A las que entienden en el asunto de bagages un proyec Concluida esta lectura , se volvió á entrar en la discu to presentado por el Sr. Muñoz (D. Pedro) para el mejor sión que habia quedado pendiente, y tomando la palabra el servicio militar en este ramo con el menor gravamen de los Sr. Navarro para deshacer una equivocación que habia pa decido el Sr. Larriva, dijo que entre los antecedentes que pueblos. Se…</t>
  </si>
  <si>
    <t>…8o. D. Joaquín Bobadilla, 160. D. Diego Terry, 80. DI Jacinto Isnardy, 320. El heroísmo del amor filial. Isabel, ó los desterrados de SíD. Carlos Williams, 80. D. Juan Shau, 32c. D. Pedro beria. Historia verdadera del presente siglo: por Madama Cottin, Enaguila, presbírero, 40. D. Judah Benoliel, 320. Don traducida libremente por S. H. T.: un tomo en 8.°, con una es Hamet Beggia, 160. D. Ambrosio Felipes , 40. D. Pascual tampa fina. Véndese en…</t>
  </si>
  <si>
    <t>…pro 5.023,036. Recompensas de oficios ena- barse. genados............................... 250.000,00c. El Sr. Ramos Arispe expuso que el autor no debia li 937,500. Dote del Infante D. Pedro... 30.000,000. mitarse á los diputados de Cortes, como parecia que lo ha 2.750,311. Créditos y censos de Felipe v. 180.223,60 2. cia , diciendo que su adición era dirigida á ampliar la del 61.027,478. Vales reales............................ 1525.686,964. Sr.…</t>
  </si>
  <si>
    <t>…los Sres. Navarro (Don La comisión de Infracciones de Constitución presentó Fernando), como peninsular, por 69 votos de 107 ; y Pino, su dictamen acerca de la queja presentada por D. Pedro como ultramarino, por 82 votos de 99; de suerte que que Trigueros , secretario de ayuntamiento de Vicálvaro, con daron elegidos como propietarios los Sres. Muñoz Torrero, tra el alcalde del mismo pueblo Eusebio Mócete, por ha Zayas, Giraldo, Bodega , Sancho,…</t>
  </si>
  <si>
    <t>…con efecto se ha verificado. caso, por lo que pidió se tomase una providencia general -----Con motivo de la ceiebridad del cumple años de S. A. R. en este asunto. el Príncipe Real D. Pedro se empavesaron el dia 12 to El Sr. Moscoso manifestó que la comisión de Hacienda das las embarcaciones; los castillos tremolaron la bandera habia despachado ya el asumo del Monte pió; por lo cual nacional, y hubo salvas de artillería. se acordó suspender la r…</t>
  </si>
  <si>
    <t>…ean aten comprendidos en el expresado aumento A los primaros te didos confitrme á sus me'ritos y servicios.” nientes de la guardia Real de infantería. Se concedió licenc-a al s.r. diputado D. Pedro ¡Rutz de Al Gobierno se mandó pasar una in'tancia de D. Fran Prado para ausentarse A Valencia, con el fin de restable cisco Dufó, director de la compañía de seguros c mtra in cer su salud. cendios. en que bajo el supuesto de no haberse entendido Se leyó el d¡…</t>
  </si>
  <si>
    <t>…portes entre los sueldos de los individuos que componían el extinguido gados á Rastelli , y á los demas correos despachados á paí ministerio de Seguridad pública, á las órdenes de D. Pedro ses extranjeros para asuntos relativos al proceso déla Reina. Agustín Echavarri. En seguida propu o el lord Carnavon que se preguntase A la misma se pagaron dos oficios del mismo Sr. secre á los abocados de S. M. si en las actuales circunstancias po tario , i…</t>
  </si>
  <si>
    <t>…irán sino en efectivo : 7.0 Se admiti nados...................................... 250.000,000 rán á los pueblos créditos consolidados en pago de los atra 937» 5°° D°te del Infante D. Pedro....... 30.000,000 sos que les resultaren hasta, fin de 1819, después de egecu- ,*7S°*311 Créditos y censos de Felipe v..... 180.223,602 tadas las determinaciones que tomen las Cortes con respecto tíi.o27,478 Vales reales..... .......................... 1525.6…</t>
  </si>
  <si>
    <t>…vimientos que advirtieron en la agu El Rey se ha servido nombrar inspector general de Mi ja cuando se hallaron bajo este meridiano; peto como la in licias provinciales al teniente general D. Pedro de la Barce clinación de la aguja no era mas que de 86°, no creen ha na: capitán general de Galicia al teniente general D. Tomas berse hallado exactamente sobre el polo. Moreno: capitanes generales de las islas Baleares, Extrema SI son ciertas las noticias, e…</t>
  </si>
  <si>
    <t>…lo mismo para los cu Los antos que por e! juzgado de primera instancia del’ ras párrocos, para las funciones de las parroquias; pues contiene Sr. D. Julián de Sojo y escribanía de D. Pedro josef de todas las reglas del canto figurado, con varias misas; la de di übnbe siguen los individuos de la junta superior gubernativa funtos á cuatro voces. Un tonto en 4-J Se vende en la librería de «¡rugía contra D. Josef Guasque, editor que fue del pe de C…</t>
  </si>
  <si>
    <t>Pelaez, Agustín</t>
  </si>
  <si>
    <t>Agustín Pelaez</t>
  </si>
  <si>
    <t>…ón se circule á todas las audiencias decencia. D. Mariano Gutiérrez, D. Manuel Pardo, Don y diputaciones provinciales, y sé inserte ademas en la Manuel Martin, D. Miguel Corbesy , D. Agustín Pelaez, gaceta del Gobierno; en la inteligencia .de que cualquiera D. Antonio Gutiérrez, el ya nombrado Navarro, D. Ma solicitud que sobre este punto se dirija directamente al mi nuel Colon y D.Tomas Gil, que realizaron lo expuesto, de nisterio quedará sin curso alg…</t>
  </si>
  <si>
    <t>Pele-</t>
  </si>
  <si>
    <t>…as, in la Península con fecha de 17 del corriente me dice ió formadas por lo respectivo á la primera; á las de Legislación que sigue: y Agricultura, reunidas las proposiciones del diputado Pele- ,,D. Manuel Montí, coronel graduado de inflorería, y grin , relativas di fomento de ganadería trashumante; y á corregidor político nombrado para la ciudad de C írdoba, las de Legislación y Hacienda Otro expediente sobre que acudió ai Reí manifestando haber-qu…</t>
  </si>
  <si>
    <t>Pelegnn</t>
  </si>
  <si>
    <t>…rgos. provincias: otro sobre si los dependientes de pósitos en los pueblos han de ser excluidos de las elecciones de ayunta ARTJCUtO DE OFICIO. miento, y algunas proposiciones del diputado Pelegnn, re lativas fil fomentó de la ganadería trashumante. Hizo el Sr. Circular del ministerio de la Guerra. Yandiolá la reflexión de que e! Congreso no se hallaba con El Sr. Secretario del Despacho de Hacienda me dice las luces necesarias sobre estos expedientes d…</t>
  </si>
  <si>
    <t>Pelegrin</t>
  </si>
  <si>
    <t>…inciales otra expoócion de la presentaron su dictamen sobre una proposición hecha e! 4 .diputación provincial de Sevilla, pidiendo se habilite para ae Setiembre de 1S12 por el Sr. diputado Pelegrin , para que el comercio extranpt.ro el puer:o de Sanlúcar. se sujetase el derecho de propiedad de los hacendados al de A ¡a e pecial de Hacienda una expo icion de N._Ruiz, jsosesion y de tasa adquiridos por los ganaderos. Las comi remirida por el Gefv político…</t>
  </si>
  <si>
    <t>Pelegrin, Juan López</t>
  </si>
  <si>
    <t>Juan López Pelegrin</t>
  </si>
  <si>
    <t>…na de Murcia, sus individuos D. Francisco Gómez Jara, chantre, del Consejo de S. M., y decano deá tribunal de la Rota , D. Josef Lledó, mi nistro dePReal Consejo de las Ordenes, y D. Juan López Pelegrin, capellán de Honor de S. M., canónigos; y el primero dijo: ,, Señor: Cuando V. M. pensó en su enlace con la ilustre casa deSaxonta, fue sin duda estimulado por el egemplo de su esclarecido Abuelo, que tomó de aquella una Esposa, que fue modelo de las virtudes…</t>
  </si>
  <si>
    <t>Pelialosa, Henrique</t>
  </si>
  <si>
    <t>Henrique Pelialosa</t>
  </si>
  <si>
    <t>…juzgaba que en esto se debia fijar la comisión, pues sj el comercio no quie ANUNCIOS. re, aquí se quedarán los frutos , y nunca se arreglará mas Para la junta de los acreedores de D. Henrique Pelialosa se que por su voluntad. Finalmente que no creía útil todo cuan- ha señalado por el Sr. D. Angel Fernandez de los Ríos, mi ‘to se dijera robre la marina, hasta saber si es más econó nistro togado, y juéz de primera instancia en esta muy heroica mico hacer el c…</t>
  </si>
  <si>
    <t>Peñafie</t>
  </si>
  <si>
    <t>do las leyes civiles mas que dar el título y derecho exclu Confirmó esta última parte el Sr. Peñafie!, designando sivo de religión dei Esiado A ia que este adopte, pero no y leyendo la ley que se habia citado. hacer que e.ta sea ó no verdadera, lo cual depende de Después de otra objeción sobre l^nguage, del Sr. Ramos la esencia de la misma religión, no deben…</t>
  </si>
  <si>
    <t>Peñafiel</t>
  </si>
  <si>
    <t>…ner Otra de 2 robos, 10 almudes en el Tablar alto. los que hayan de conservar los títulos de Castilla. Otra de 14 robos, 14 almudes en el campo de la Serena No se'admitió otra del Sr. Peñafiel para que se supri y camino de Co relia. miera la palabra igual. Capellanía de D. Sancho Sánchez de Oteiza. Por último se mandaron pasar á la comisión las dos Una pieza de tierra Manca , de 6 tobos, en el campo de siguientes : una del Sr. Ezpeleta: «Que cualqu…</t>
  </si>
  <si>
    <t>…Justicia, Propuestas y Gobernación, por sobre la mesa hasta la sesión de la moche. término de 30 días , contados desde 3 de Noviembre , de los Se leyó la siguiente indicación del Sr. Peñafiel: «Que pretendientes que se consideren con ¡as circunstancias nece se extienda esta gracia (la abolición del censo de Granaca) sarias para su desempeño , de los partidos de Madrid, con á todas las prestaciones que se pagan al patrimonio Real en seis juzgados;…</t>
  </si>
  <si>
    <t>&lt;5o8 adición hecha ayer por los Sres. Traver y Zapata á la In Se admitió á discusión, se declaró haber lugar á votar, dicación del Sr. Peñafiel acerca del censo de población de y se aprobó, todo por unanimidad. Granada. Se aprobó el dictamen de la comisión de Guerra, rela Se mandaron repartir 300 egemplares de las órdenes y tivo á los premios del egército nacional de Galicia, opinan decretos de las ú…</t>
  </si>
  <si>
    <t>Peñalver, Manuel Crespo y</t>
  </si>
  <si>
    <t>Manuel Crespo y Peñalver</t>
  </si>
  <si>
    <t>…ctubre. origen á su privilegio de introducción de frutos en buques El día 7} del pasado celebró el catedrático de latinidad extrangeras en la América, retornando frutos coloniales D. Manuel Crespo y Peñalver un examen público de sus La comisión ordinaria de Hacienda presentó su dlcradiscípulos, los cuales respondieron con mucho acierto, en xnen acerca de lo expuesto por la junta nacional dd Cvédi-</t>
  </si>
  <si>
    <t>Peñamedrano, Francisco Xavier de</t>
  </si>
  <si>
    <t>Francisco Xavier de Peñamedrano</t>
  </si>
  <si>
    <t>…stro cesante de la extinguida sala de señores alcaldes, y por la escribanía de provincia de D Valdo-ponder , concediéndole al mismo tiempo reiief y habilita mero Aloraleda , sigue D. Francisco Xavier de Peñamedrano , deción al egcrciciode su empleo , y mandando se haga pública esta vecindad, sobre adjudicación de una gran perla oriental, y en el epército su inocencia , respecto á que ha desvanecido su rubí orleado de brillantes, propias de aquel, en parte de pago de fic…</t>
  </si>
  <si>
    <t>Península, Jo</t>
  </si>
  <si>
    <t>Jo Península</t>
  </si>
  <si>
    <t>…que con esta fe Contestación á los problemas publicados en 23 de Ma cha lo participamos al ministerio de la Gobernación de la yo , por el coronel del i.° de voluntarios de Aragón D. Jo Península para su respectivo cumplimiento.” sef de Lagarda. De Real orden lo traslado á V. para su inteligencia y Ensayo sobre la organización reformativa del egército efectos correspondientes. Palacio 25 de Agosto de 1820. de tierra, por D. Luis Córsini, alférez del r…</t>
  </si>
  <si>
    <t>Pepe</t>
  </si>
  <si>
    <t>…venir esta en «Francisco. Duque de Calabria, lugar- teniente gañera! del vidia? ¿Puede hacerse la guerra á una nación porque quiere reino. ~ Al egército conducido por el teniente general Pepe, sobornarse por leves buenas? Serum eso : por que na se declara Ja guerra á la-I. rancia, ¿.la España, ai orino, Je Ho .g.omandanti¿ en vete..........................</t>
  </si>
  <si>
    <t>…entonces no pueden menos de Camporeale.= Al capitán de navio Statti, sicilianos. «de conseguiré los grandes objetos á que se dirige. ¡Loor El egército constitucional, al mando del general Pepe, «al digno capiran que ha sabido conducir todo esto a fines hizo sú entrada el dia 9 en esta capital. Toda Ñipóles se Ha «tan satisfactorios! ¡Loor al egército tan bueno y tan bien llaba por las calles; y todos sus habitantes rebosaban de jú «disciplinado , q…</t>
  </si>
  <si>
    <t>…ción es de 700 ducados, pagados tienen noticias hasta el 28 de Setiembre, publican, entre las «leí fondo de propios. Se dirigirán los memoriales al ayunta mas interesantes, que el general Pepe iba acercándose á Pa- miento constitucional en el término de 20 dias , contados desde Iermo; y que esta ciudad se sometería dentro de dos ó tres el 13 del corriente, exhibiendo al mismo tiempo las relaciones de días; pues asi lo había exigido el príncipe ViiJ…</t>
  </si>
  <si>
    <t>Pepé</t>
  </si>
  <si>
    <t>…zerosos amigos en el momento ■ró que ta ¡unta de Falermo aceptaba todas las condiciones de sus mayores desgracias: y a1 i la muerte la privó de Mr. que había dictado en Cefalú el general Pepé: á cuya'consé1cuencta las tropas sé apoderaron en el momento cíé la'floti- Fitt, qué era su utas firtW apoyo; este la dejó encargada .i Mr.Perceval, á quien arrancó la vida una mano a^óna , cu 11a palermitana, reducida á siete cañoneras de á 24 y-A al gunos b…</t>
  </si>
  <si>
    <t>…y ademas una y otras varias particularidades sobre las elecciones de dipu anualidad que paca;án los provistos en ctiatro años, según tados. Los periódicos anuncian la entrada del general Pepé las disposiciones anteriores. ó.u Todos los'arbitrios señala en Palermo en 5 de Octubre sin derramamiento de sangre; dos en las provincias de Ultramar, á la anrigua consolida y que en la sesión del Parlamento de Ñapóles del dia .4 ción mientras subsistan. 7.0…</t>
  </si>
  <si>
    <t>…es todos se apresuran á confiar sus fondos Propaso el Sr. Gatalani que el Parlamento declarase be al Gobierno español. Los especuladores que creyeron que neméritos de la patria al general Pepé y á los demas valien las Cortes lograrían restablecer muy luego el crédito públi tes, y que se llamase al expresado general para informar al co , no se han engañado en sus cálculos, y han ganado su Parlamento sobre las calidades de-las personas que compo mas…</t>
  </si>
  <si>
    <t>…gos ptfra á sus respectivos acantonamientos, se conceden muchas li S. A. R. y para todos los ministros. * cencias ilimitadas, y lo que es mas, el landwehr acaba de La división del general Pepé entró en Palcrmo el ¿''de disolverse. Hacia yn tiempo qué esta milicia popular estaba este mes despees de haber tomado, el 5 los puntos fomficisecretamente condenada por él elector ; pero los servicios dos, y haber firmado un convenio á boxdo.de un cúter in q…</t>
  </si>
  <si>
    <t>…as prácticas de los tribunales, de las fórmulas de la ley, y guu valor el convento militar hecho entre S. E. el teniente de que la Cámara de los Lores era un tribuna! de justicia; general Pepé y el príncipe de Paterno, y firmado en j de pero que cuando cunvjnia á esta parte contraría traspasar Octubre de 18 &gt;c. todas las leyes, y echar á un ledo todas las fórmulas, en «Mandamos á todos los tribunales , autoridades judi- tonces ya no era fa Cámara u…</t>
  </si>
  <si>
    <t>…la agricultura ha hecho en putados hablaron en el mismo sentido; pero en fin, en lu Suecia en estos diez años últimos, pues que no solo tene gar de votar sobre la proposición del coronel Pepé contra mos bastante grano para las necesidades del país, sino que el general D. Florestano Pepé, se oyó la proposición dq podemos extraer cierta cantidad; y asi es que el Gobierno Otro diputado (el Sr. Dragonetti) en favor del general Don ha enviado á Londres…</t>
  </si>
  <si>
    <t>…esión , son de notar las siguientes: que se conozcan sus dueños, y se ha preso á muchos mal que no se exima á los jqdíos del servicio militar por una hechores. El dia 8 publicó el general Pepé un decreto del cierta cantidad de dinero , porque es un medio de fomen tenor siguiente: tar su multiplicación ; que se supriman las jurisdicciones Art. i.° «Quedan nombrados individaos de la Junta establecidas en su comunión ; que sean desalojados de las prov…</t>
  </si>
  <si>
    <t>…ivo voluntario? aunque de extracción semejante á la del correo Bérgami. Veía &lt;Gr.indis apLmsis desde Lis triiun &lt;s.) también sentado en el trono de otro estado á un Soberano El Sr diputado Pepe apoyó la proposición, y ofreció altado y amigo de la Gran - Bretaña, cuyo origen no es mas su cuota; luego el Sr. Sémola, y luego todos á una voz; ilustre que el de Bérgami; y estos egempíares justifican aca de manera que la proposición quedó aprobada antes q…</t>
  </si>
  <si>
    <t>…Muchos señores diputados hablaron á favor de esta yecto de ley sobre los jurados, extendido en :q ámenlos proposición. que abrazaban todo lo que se puede apetecer para la ovia El Sr. Pepe hizo varias reflexiones sobre los peligros que administración de la justicia criminal. Acabada -11 lecona, pudiéramos rezelar de parte de los enemigos de todo régi probó con razones sólidas é incontrastables que el establecí-</t>
  </si>
  <si>
    <t>…pidió importantes asuntos que deben tratar con sus ministros, que se diesen providencias para cortar semejantes abuso5. por lo que es regular que permanezcan todavía en Troppau El diputado Pepe apoyó la propuesta, diciendo que las por el espacio de un mes. Sin embargo, el Emperador Ale autoridades de la provincia de Molisa eran cabezas de un jandro ha manifestado deseos de estar en Petersburgo á lin partido, y trataban de susciiar disensiones. de No…</t>
  </si>
  <si>
    <t>…onces cor y de Troppau habia habido algunos consejos de Estado. El riente. e= Firmado == El Secretario Fernando de Lúea.” Rey debió salir de Munich el 16, y deberá estar hoy en El coronel Pepe, diputado de la provincia de Molisa, Wurtzbourgo. Se asegura que acompañan A S. M. el maris hizo las proposiciones siguientes: r.1 Que vuelvan á su an cal príncipe de Wrede y otros varios oficiales generales. tiguo vigor los parlamentos de los pueblos instiru…</t>
  </si>
  <si>
    <t>…le de tropas en las cercanías de Belgrado. fu ese declarado benemérito de la patria, por haber termina do los funestos negocios dé T'alermo. SAXONTA. Habiendo tomado la palabra el coronel Pepé, hizo Leipsick 19 de Noviembre. grandes elogios del valor, patriotismo, eonocinrenos mi Se dice que á resultas de las conferencias de Dresde se litares y otras prendas del citado D. Floresrano , X quien tratará en la Dieta de mejorar el sistema representativo…</t>
  </si>
  <si>
    <t>…bución impuesta i la ida ITALIA. por la ¡anta provió. nal , cuyos actos están dechimdr-- por nulos, inclino el último que fue la capitulación del teniente Ndpoles í7 de Noviembre. general Pepé con el príncipe Ja Paterno ofendente de aquel ia. Se quej ■ muy ¡furia.nente contra el peder egecutiv® &lt;. bservado con' relación á los PAs LAMENTO NACIONAL.---ScSlJIl del íT. y el misterioso silencio que lia El ministro de Gracia y Justicia presentó un proyec…</t>
  </si>
  <si>
    <t>Pepe', Fiorestano</t>
  </si>
  <si>
    <t>Fiorestano Pepe'</t>
  </si>
  <si>
    <t>…ecie , y excitándoles á que los combatan con vigor en ¡as Se asegura que S. M. ha concedido el cordon de S. Fer escuelas , v cuando dirigen las almas que esian á su cuida nando al general Fiorestano Pepe' en recompensa de la des do ; lo cual ha de serles" sobremanera fácil , pues una ins treza con que se manejó en la empre&lt;a difícil de Sicilia. Este trucción sólida sobre los fenómenos naturales dada en las general v el principe l’aternó han llegado de Palermo…</t>
  </si>
  <si>
    <t>Pepe', Florestano</t>
  </si>
  <si>
    <t>Florestano Pepe'</t>
  </si>
  <si>
    <t>…17 de Octubre, el que as leves di pe..sari a la' de los e pinole . Parlamento ha declarado por nula la convención que el ge ARr. ad Ni 1 uto o de : ye añas en dentro de r ■ neral D. Florestano Pepe' habia hecho con los palennnanos, ra ni por otro ningún mot” o podrin confiscar e . *e y en la que el art. 2.0 deoia : •. La mayoría de votos de los trarse ni embargarse .lidias propic.iad.-s , a no °er sicilianos legahnente convocados decidirá de la unidad ó…</t>
  </si>
  <si>
    <t>Pepé, D- Guillermo</t>
  </si>
  <si>
    <t>D- Guillermo Pepé</t>
  </si>
  <si>
    <t>…é húsares , encargado de una comisión, cuyo ob __E! Parlamento nacional ha dirigido la siguiente carta al jeto ciertamente no ignoro. ; Es acaso justo que las ventajas Exento. Sr. general D- Guillermo Pepé. que se lian concedido constantemente á la parte acusada se «Señor general: El Parlamento ha acogido con la ma le nieguen en esta coyuntura para dhpensarlas á Ips acusa yor satisfacción los sentimientos expresados en vuestra car dores? ; Es justo suspender el…</t>
  </si>
  <si>
    <t>Pepé, F.</t>
  </si>
  <si>
    <t>F. Pepé</t>
  </si>
  <si>
    <t>…o, y co Austria en S. Petersburgo, el conde dé Mercy y el caba mandante general de la 9.a división militar. = El teniente llero de Gent; por parte de la Rusia el conde Capo de Is- general F. Pepé.” tria, secretario de Estado del Emperador de Rusia , el Ñapóles 20 de Octubre. conde de Golowkin , ministro de Rusia en Austria, y el Reina, al parecer, la mayor tranquilidad en la alta Ita príncipe de Wolkonski, ayudante general del Emperador lia. En la Ita…</t>
  </si>
  <si>
    <t>Pepe, Fiorestano</t>
  </si>
  <si>
    <t>Fiorestano Pepe</t>
  </si>
  <si>
    <t>…ibir los demas juramentos que de ral Carrascosa, ministro de la Guerra, y otros personases' berían haberse hecho en sus manos y en aquél acto, el dia que salieron al campo, con e! general D. Fiorestano Pepe y siguiente los recibirá S. A. R. • un canónigo llamado Merechine, que estaban á la cabeza Al tiempo de prestar eí Rey el juramento se hará una de jas milicias y paisanos, se logró que no se turbare la salva de artillería. Aquel dia se vestirá la corre de gal…</t>
  </si>
  <si>
    <t>Pepe, Florestano</t>
  </si>
  <si>
    <t>Florestano Pepe</t>
  </si>
  <si>
    <t>…e la sesión anterior; á la que se man al teniente general D. Josef Parisi; al caballero D/ Melchor daron agregar los votos particulares de los Síes. Castrülo, Deifico; al teniente general D. Florestano Pepe; al barón Couro, Espiga, Villanueva, Navas, García Page, DolaD. David Winspeare, y al caballero D. Jacinto Mart"cci, á rea, Lecumberri, Martínez Cid, Ca aseca, Gareli y Liáan, fin de que reunidos en comisión presentasen una lista de otras contrarios á ia reso…</t>
  </si>
  <si>
    <t>…la Constitución de España, los Madrid ¡y de Agosto. tenientes generales duque de Roccaromana , duque deAsco- SS. MM. y AA, siguen sin novedad en su importante li, duque de Sangro, D. Florestano Pepe; los mariscales de salud. campo marques de Giuliano, el príncipe de Campana, el S. M. ha despachado hoy con los Srcs. secretarios de príncipe de Helmonte; los Sres. Carafa de Noia, Maccy, Guerra, Gracia y Justicia y Hacienda. Canceliie, Gualengo , Caracciolo,…</t>
  </si>
  <si>
    <t>…r su patriotismo, y son los En la última expedición qüedíó á la vela el sábado paVa limos, y Exentos. Sres. Principal Freiré, el conde de Sari Sicilia se embarcó S. E. el teniente general Florestano Pepe* Payo, el conde de Resende, el conde de Peñafiel, el te hermano del general en gefe; el cual va á mandar las tropas niente general Matías Josef Dias Azledo, y hermano Bradrien los dominios de la otra parte del Faro. camp; habiendo mo-trado el pueblo de tal ma…</t>
  </si>
  <si>
    <t>Pepé, Florestano</t>
  </si>
  <si>
    <t>Florestano Pepé</t>
  </si>
  <si>
    <t>…Pálérmp Por lo demas no ppede ya haber duda ninguna sobre sus pn 34 horqs, y condujo al teniente Letizia, ayudanta cíél intenciones , porqué ademas de haberse enviado á las tropps general Florestano Pepé. Este oficial ha traído pliegos ptfra á sus respectivos acantonamientos, se conceden muchas li S. A. R. y para todos los ministros. * cencias ilimitadas, y lo que es mas, el landwehr acaba de La división del general Pepé entró en Palcrmo el ¿''de disolverse.…</t>
  </si>
  <si>
    <t>…coronel Brown, y pidió tiempo para tomar tro de lo Interior sobre el convenio miiirar, ajustado entre declaración á este corone!, á fin de refutar todas las aser S. E. el teniente general D. Florestano Pepé y el príncipe ciones de los abogados de la Reina , añadiendo que esto era de Paterno, ha advertido que este acto es contrario á los tanto mas necesario cuanto había sidosorprendido. principios establecidos en la Constitución , art. 122 , núme Mr. Brougham pre…</t>
  </si>
  <si>
    <t>…de 102,778 escudos, se ha aumentado convenio celebrado con los palermitaños, y concluyó pi con los 4c0 que ha añadido S. M. El segundo es de 92,000 diendo: i.° que fuce llamado el general Florestano Pepé escudos, que S. M. ha destinado, con el título de fondo de para que diese cuenta de su conducía . ó se disculpase ma medallas, para las pensiones y gratificaciones de los solda nifestando las instrucciones que había recibido: i.° que fue dos que han recibido…</t>
  </si>
  <si>
    <t>…o dependan de los ministros y de las demas personas lla Los periódicos de Roma anuncian que el convento ajus madas á dicha ciudad por razón de sus destinos. tado en Palermo por el general Florestano Pepe había he El segundo empréstito negociado con Mr. Rotschild cho ta! sensación en Ñ ipóles, que se temía por instantes ha quedado suspendido. Las catas de Detkmann, Baring y que hubiese una nueva revolución. Hope acaban de ajustar una contrata de esta especie c…</t>
  </si>
  <si>
    <t>…tá parafrenteembarcarsede una partidacon direcciónde revoltosos.á Sícilia^el general Colleta, que ha sido nombrado gene.al en gete de aquel BAViERA. egército, y va á reemplazar al general D. Florestano Pepé. Ya ha vuelto á restablecerse el orden en la ci dad de Augsburgo jo de Octubre. Bronti, donde algunos facciosos levantaron el estandarte de El Rey de Baviera acaba de confiar el mando superior la rebelión; v las autoridades han empezado á cgercCT de del egérc…</t>
  </si>
  <si>
    <t>Pepe, Guillermo</t>
  </si>
  <si>
    <t>Guillermo Pepe</t>
  </si>
  <si>
    <t>…nos, todos ardían en patriotismo, y presen con tanta gloría se va á levantar. = Avefino 6 de Julio de taban una masa terrible por el número, y nías todavía por ideo. = El teniente general Guillermo Pepe.” el valor v espíritu que la anima. ¿De donde vienen estos El dia 7 expidió S. M. un decreto, aprobando las di-po prodigios"? do que los errores del Gobierno no han podido siciones tomadas por S. A. R. su augusto Hijo sobre haber “ destruir la disposición que…</t>
  </si>
  <si>
    <t>Pepé, Guillermo</t>
  </si>
  <si>
    <t>Guillermo Pepé</t>
  </si>
  <si>
    <t>…Guillermo Pepe.” Se asegura que asi el príncipe de Metternich, como los ministros extrangeros que deben acompañarle, saldrán den Idem 2 de Octubre. tro de 10 días para Troppau. El general Guillermo Pepé ha, dirigido á los diputados Nuestro Soberano llegará á aquella ciudad el 17 de Oc del Parlamento nacional la siguiente exposición : tubre : el Emperador de Rusia y el Rey de Prusia llegarán «Señores: Vuestra reunión hace de esta época la mas glo también , se…</t>
  </si>
  <si>
    <t>…ir tn Escocia ó en Inglaterra el sobrante de mayores elogios. La proposición se tíirigia á que el Parla nuestros granos de reserva. mento mandase imprimir un informe presentado al general D. Guillermo Pepé el día 7 de Julio , en que tomó el man AUSTRIA do del egército.— El presidente interrumpió la delihera-i Vierta jp de Octubre. cion, anunciando que se iban á leer las noticias de olido Aun no ha variado en. lo mas mínimo el estado de nues llegadas de Palermo…</t>
  </si>
  <si>
    <t>…mo, ha Kdpoles 16 de Octubre. biendo pasado la Cámara á votar la cuestión, declaró que Por decreto de S. M. del dia 13 ha sido nombrado el no podía conceder e! plazo que se pedia. general D. Guillermo Pepe inspector general de los regi En seguida se mandó) entrar á los abogados de ambas mientos de milicias, de las legiones y.de las guardtas de partes , v no habiendo ocurrido co&lt;a particular . dijo Mr. seguridad de la ciudad de Nápoles de .1 pie y de á caballo.…</t>
  </si>
  <si>
    <t>…a Tranquilidad general á cuantos contri este derecho: Ancona está guarnecida con tropas de S- S* buyesen á mantener ei desorden actual. A esto añaden que El cuerpo de egército del general Guillermo Pepe, com se ha despachado á Nápoles un correo con pliegos, en que puesto de i;© hombres y de las milicias de los Abrazos, declaran ios Soberanos aliados que no podran reconocer la que ascienden á otros 12©, se halla en las cercanías de Te- Constitución que se ha…</t>
  </si>
  <si>
    <t>Pepi, Gabriel</t>
  </si>
  <si>
    <t>Gabriel Pepi</t>
  </si>
  <si>
    <t>…s pusieron á disposición de S. M. para el estable La sesión del Parlamento del día 14 comenzó por uu cimiento de un hospital militar, cuyo fondo, aunque solo enérgico discurso del coronel D. Gabriel Pepi contra el era en su principio de 102,778 escudos, se ha aumentado convenio celebrado con los palermitaños, y concluyó pi con los 4c0 que ha añadido S. M. El segundo es de 92,000 diendo: i.° que fuce llamado el general Florestano Pepé escudos, que S. M. ha des…</t>
  </si>
  <si>
    <t>Peral, N.</t>
  </si>
  <si>
    <t>N. Peral</t>
  </si>
  <si>
    <t>…a^. reos, tomó la palabra el Sr. Ramírez Cid, manifestando A la comisión de Hacienda se mandó pasar una instan que su opinión era que se pusiese esta renta i ¡a disposición cia de Doña N. Peral, remitida por el ministerio de aquel del ministro de la Gobernación de la Península, para que ramo, para que se la continuase la pensión que disfruta. con ella atendiese á la compostura y conservación de ca A la de Infracciones varios documentos que remite un…</t>
  </si>
  <si>
    <t>Perc, Fernán</t>
  </si>
  <si>
    <t>Fernán Perc</t>
  </si>
  <si>
    <t>…obrevino el invierno, Centón epistolario del bachiller Fernán Gómez de Cibdareal; y dejó burladas nuestras esperanzas. Fue pues preciso tomar y generaciones y semblanzas del noble caballero Fernán Perc» de Guzman : dos tontos en 8.J marquilla, á 20 rs. á la rústica al momento la derrota al Este, y estamos aqui de vuelta y 26 en pasta. Se hallarán en la librería de Ortega. para Inglaterra. Hemos hecho numerosos descubrimientos Continuación chl catálogo de la…</t>
  </si>
  <si>
    <t>Pere-</t>
  </si>
  <si>
    <t>…7 de este mes, y presen resulte al resoro público de la abolición de diezmos. tadas por el Sr. Palarea, coronel de dicho cuerpo; ¿ igual A la de Código civil una represen.ación de D. Pere- mente la del Gefe político y diputación provincial de Ara grin Miguel de Barbastro sobre los. perjuicios que remitan gón en otras dos representaciones, dirigidas también con el de hacer testamento marido y muger bajo un documento mismo objeto. mismo. Lo mismo…</t>
  </si>
  <si>
    <t>Perea, Juan Antonio</t>
  </si>
  <si>
    <t>Juan Antonio Perea</t>
  </si>
  <si>
    <t>….... ....... abundamiento se anuiicíe en el diario ygácéta de esta Corte para que llegue a su no ticia; en cu/a inteligencia se previeneá los parientes y descendientes del citado señor D. Juan Antonio Perea que dentro de cuatro meses y ¿odias., por que se ha fijado «l tercero y último edicto, acudan al juzgado de la expresada subdelegacion general á exponer y decir de su derecho; apercibidos que pasado dicho término sin haberlo hecho se declararán vacantes ios b…</t>
  </si>
  <si>
    <t>…d de Cahors. . - —En la subdélegacíon general de bienes mostrencos vacantes y abfntestatos se han denunciado todos los bienes y efectos de que se compone el vínculo fundado por «i Sr. D. Juan Antonio Perea, marques que fue de Monteverde, vecino de Bilbao, en el concepto de no existir pariente ni descendiente alguno de aquel; y por proVidenciai de 19 de Junio del año jasado'de i'8'i8 se mandó se procediese á la fijación de los tres edictos que previene la Real i…</t>
  </si>
  <si>
    <t>Pereira</t>
  </si>
  <si>
    <t>…por la costa hasta Santa Fe, con todas las demás circunstancias que expresan los citados partes; cuyo conocimiento espero se digne V* E. elevar á S. M., recomendando al benemérito coronel Pereira, que se ha hecho acreedor á la mayor consideración. Dios guarde á V. E muchos años. Cuar tel general de Valencia 13 de Setiembre de 1819. mExcrrio Sr. = Pablo Mo rillos Excmo. Sr. Secretario de Estado y del Despacho universal de la Guerra.” Partes que se cita…</t>
  </si>
  <si>
    <t>Pereira, Dw Josef María</t>
  </si>
  <si>
    <t>Dw Josef María Pereira</t>
  </si>
  <si>
    <t>…mandados , por lds caudillos Ximehéz, Al vare^iy .Cortés , este último, gobernador de Jujuy. * ,,Ét brigadier D. Pedro Olañeta con el batallón de cazadores manda do ppr el segundo comandante Dw Josef María Pereira tomó las alturas que do minan el rio Reyes,^con cuya operación facilitó la marcha y entrada de Jujuy, á cuya ciudad también salió falso se hubiese'aproximado el egército de Belgrano, pues bien al contrarioAvpor;lasnoticias que adquirí, hace mas de un mes rque…</t>
  </si>
  <si>
    <t>Pereira, Josef</t>
  </si>
  <si>
    <t>Josef Pereira</t>
  </si>
  <si>
    <t>…general D. Pablo Morillo dice al Excmo. Sr. Secretario interi no del Despacho de la Guerra lo que sigue: ,, Excmo. Sr.: Por las adjuntas copias de los partes que me ha dirigido el coronel D. Josef Pereira, comandante del segundo batallón del regimiento in fantería de Valencey , se enterará V. E. de la bizarría con que dispersó la división del faccioso Marino á las órdenes de. Bermudez, en Barcelona, per siguiéndole por la costa hasta Santa Fe, con todas las de…</t>
  </si>
  <si>
    <t>Perellá, Diego López</t>
  </si>
  <si>
    <t>Diego López Perellá</t>
  </si>
  <si>
    <t>…egidor de esta muy heroica villa , se ha señalado el dia 12 de Marzo próximo, á las 10 de la mañana, en su posada para junta de:acreedores é in-, terésados en la testamentaría del Sr. D. Diego López Perellá,, que se halla radicada en su juzgado y escribanía de número de D. Tomas de Sancha y Prado. ~ Se desea saber el paradero de Juan de Salaverri, natural de Bayona, y vecino de la ciudad de Burgos, de donde salió en 27 de Abril de 1816 con dirección á CiudadRodr…</t>
  </si>
  <si>
    <t>Perellós, Salvador</t>
  </si>
  <si>
    <t>Salvador Perellós</t>
  </si>
  <si>
    <t>…levantó la sesión. discutido por las Cortes ordinarias, y preparado ya para lá resolución; y una exposición hecha á la diputación de Va ARTICULÓ DE ÓEtCIO. lencia por su individuo D. Salvador Perellós, qtie presen tó el Sr. Villanueva. Circular del ministerio de la Guerra. Se mandó igualmente pasar á la comisión de Hacienda varias consultas de la Regencia sobre establecimiento de El Sr. Secretario del Despacho de la Gobernación de ayuntamientos en'Cataluña…</t>
  </si>
  <si>
    <t>Perena, Felipe</t>
  </si>
  <si>
    <t>Felipe Perena</t>
  </si>
  <si>
    <t>…v i uau«nrincnanas aloí mariscal»V» 0*MCr&gt;0 I ílpde f-Jcaíaloiv. T'n"i 7'# T Asimismo ha conferido S. M. interinamente el gobierno militarle la plaza de Jaca al mariscal de campo D. Felipe Perena ; ehde la de Tortosa al coro nel D. Vicente Magrat; el de la de Figueras al brigadier D. Josef de Igle sias; el de la de Hostalrich al coronel D. Pedro Perena, y la comandancia militar de la provincia de Asturias al coronel D.\ Ramón de la Pola. El Rey, ejn c…</t>
  </si>
  <si>
    <t>Perena, Pedro</t>
  </si>
  <si>
    <t>Pedro Perena</t>
  </si>
  <si>
    <t>…e Jaca al mariscal de campo D. Felipe Perena ; ehde la de Tortosa al coro nel D. Vicente Magrat; el de la de Figueras al brigadier D. Josef de Igle sias; el de la de Hostalrich al coronel D. Pedro Perena, y la comandancia militar de la provincia de Asturias al coronel D.\ Ramón de la Pola. El Rey, ejn consideración al distinguido mérito y particulares servicios que acaban de hacer á íá. nación D. Antonio Quiroga, t&gt;* Felipe. Arico Agiierp, D. Rafael Riego , D…</t>
  </si>
  <si>
    <t>Perez, Cayetano</t>
  </si>
  <si>
    <t>Cayetano Perez</t>
  </si>
  <si>
    <t>…ciosos, según la declaración de los pasados y prisioneros, consiste en 2 oficiales y 9 soldados muertos, 18 heridos, entre ellos el comandante de escuadrón Francisco Barroso, y el capitán Cayetano Perez. Barcelona 17 de Agosto de 1819. = Excmo. Sr.= Josef Pereira. s= Es copia,=Morillo.” 3.0 ,, Excmo. Sr.: Al amanecer del 13 dieron parte los puntos avanzados sobre el puente y rio del profundo silencio que se observaba en las posiciones del enemigo: inmediatam…</t>
  </si>
  <si>
    <t>Perez, Félix Herrera y Josef</t>
  </si>
  <si>
    <t>Félix Herrera y Josef Perez</t>
  </si>
  <si>
    <t>…e los pre miados,^» la siguiente inscripción :•Lerma d los progreses de la juventud. Entré los qué mus sobresalieron de la primera clase fueron Alejo Sanrillarty Di Genaro Urién , D. Félix Herrera y Josef Perez. De la segunda Don Segundó Valpuesta» Baltasar Antón, Gregorio García y Manuel López. De la tercera Valentín Cuesta, Manuel Gonzalo, Roque Arrabal y Saturio Carazo. El muy ilústre señor abad y otros de los circunstantes, después de dar Tñs" grtfólás'al dicho…</t>
  </si>
  <si>
    <t>Perez, Francisco</t>
  </si>
  <si>
    <t>Francisco Perez</t>
  </si>
  <si>
    <t>…jueves 13 del corriente, á las ocho de la maña na , en la posada de S. S., para celebrar junta de acreedores Agua griega con el mayor anhelo y gratitud , y todos los los bienes de D. Francisco Perez, vecino de c amarina de Este-catedráticos le han manifestado su satisfacción. ruelas: ú cuyo fin se les hace saber acudan á ella por sí ó por Las letras y las ciencias, que fueron expelidas del país persona con poder suficiente para aprobar lo que en la misma…</t>
  </si>
  <si>
    <t>…n aplicables al objeto en cuestión. La comisión primera de Leghlacion , habiendo exami El Sr. Corte's llamó la atención hacia los jornaleros, nado el expediente de purificación de D. Francisco Perez que acaso quedarían sin trabajo en este invierno. del Ribero, opinaba que debia ser rehabilitado, y devol Continuaron la discusión los Sres. Azaola, Palarea y verse el expediente al Gobierno, para que en vista de esta Subercases patentizando la necesidad de a…</t>
  </si>
  <si>
    <t>…s labios de los sacerdotes Crédito publico; D. Josef I.opez Busrainante, administra guardan la ciencia, y que la ley se encontrará en su Loen. dor de Cruzada; D. M mee! Cisneros , D. Francisco Perez Los pueblos están persuadidos que lo que dice un sacerdo Gayo, D. Joaquín Lazada, D. Manuel de los Ríos y Sa te es lo que debe decir, y lo que ellos deben practicar. Un ladar, y D. Carlos Milne. solo sacerdote convirtió al pueblo de Neocesarea del Ponto, como fue…</t>
  </si>
  <si>
    <t>Perez, Gol</t>
  </si>
  <si>
    <t>Gol Perez</t>
  </si>
  <si>
    <t>…las ban ra que le tuviese presente cuando se hubieran de proveer las deras, las cuales ele mano de los Sres. regidores Muñoz y dignidades eclesiásticas. Habiendo hecho presente el Sr. Gol Perez pasaron á las de los coroneles de los regimientos de fín que ya se habla dado un decreto para arreglar los pre España y Aragón , quienes hoy desempeñaron las funciones mios , se desaprobó el dictamen , y á petición del mismo de abanderados hasta dejarlas depo…</t>
  </si>
  <si>
    <t>Perez, Joaquín</t>
  </si>
  <si>
    <t>Joaquín Perez</t>
  </si>
  <si>
    <t>…a á lo que dispoiie la.ley : todo to que bajen los pro dante del 2.0 batallón del regimiento infantería de la Prin ductos de. las rentas por la defraudación es un déficit que cesa D. Joaquín Perez. (Se continuará.) han de suplir las contribuciones. y por consiguiente pesa sobre los buenos ciudadanos la ocupación ilícita á que se de dican unos pocos por su propio ínteres. Sírvase v. S. pues ANUNCIOS. con su natural zelo persuadir de.estas verdades á tod…</t>
  </si>
  <si>
    <t>Perez, Josef</t>
  </si>
  <si>
    <t>Josef Perez</t>
  </si>
  <si>
    <t>…ean acreedores teraria inglesa , intitulada Cuarterly Revie- á ella, para que se presenten á los síndicos D. Pedro de Smidts «Belzoni nació en Italia en los estados Pontificios. y D. Josef Perez á recibir el rateo de 14 por 100 que se lia Apenas se tiene noticia de las particularidades de su juven acordado hacer de los fondos realizados; bajo el concepto de que tud. Hace cerca de nueve años que fue á Edimburgo , don lo verifiquen en el término de cua…</t>
  </si>
  <si>
    <t>Perez, Josef María</t>
  </si>
  <si>
    <t>Josef María Perez</t>
  </si>
  <si>
    <t>…a la cuestión á una pregunta, hizo el Sr. Isru- El dia 2 5 del mes último se abrió una escuela filantrópica, riz una in dicación para obviar dificultades, en que pedia al cargo de D. Josef María Perez, en la calle de la Ruda, casa cierras noticias circunstanciadas; reclamó el Sr. Tapia qt:e núm. 7, cuarto'principal, para todos los que quieran ins siguiera la votación. proponiendo ¡a cuestión al efecto en truirse en los principios que forman el hombre de bi…</t>
  </si>
  <si>
    <t>Pérez, Juan</t>
  </si>
  <si>
    <t>Juan Pérez</t>
  </si>
  <si>
    <t>…ue siendo privilegio, no debia suprimirse hasta que los de A la de Organización de la fuerza armada una exposi mas españoles estuviesen en estado de poder disfrutar de él, ción de D. Juan Pérez, comandante del segundo batallón pues de lo contrario se seguirla el mismo grave perjuicio i del regimiento de la Princesa, sobre puntos de disciplina. los citados individuos, y acaso no se lograría ninguna ven A la Eclesiástica dos exposiciones de los ayunta…</t>
  </si>
  <si>
    <t>Perez, Juan Josef</t>
  </si>
  <si>
    <t>Juan Josef Perez</t>
  </si>
  <si>
    <t>…te redujo la cuestión á examinar cuáles serian preferibles en A la comisión segunda de Legislación una representa la actualidad , los que presentaba la comisión, ó los que ción de D. Juan Josef Perez&lt;de la Rosa, profesor de medi existian bajo el nombre de juntas de censura. cina, en la que hacia presente sus méritos y persecuciones. Para deducir la diferencia, en su concepto favorable á Se recibió con agrado, y se mandó) pasar a la comisión estas, reprodu…</t>
  </si>
  <si>
    <t>Perez, Manuel</t>
  </si>
  <si>
    <t>Manuel Perez</t>
  </si>
  <si>
    <t>…ola, ó contestación al mani tadas, todos los puertos y las radas que logran en el dia de fiesto del licenciado D. Juan de Dios Cañedo á la Nación espa esta habilitación. ñola: por D. Manuel Perez¡de Aguayo, natural de la América 6.° «Las disposiciones contenidas en los cinco artículos septentrional. Véndese á 3 rs. en el despacho de la imprenta Na anteriores se entenderán en calidad de por ahora, á fin de cional. no retardar el beneficio del nuevo sis…</t>
  </si>
  <si>
    <t>Perez, Miguel</t>
  </si>
  <si>
    <t>Miguel Perez</t>
  </si>
  <si>
    <t>…os, seis años salió para Valencia con su padre, el cual murió seis años há. .Teniendo que comunicársele asuntos de la mayor consideración, se espera que den razón de ku paradero á D. Miguel Perez, calle de la Sartén, núm. 8, cuarto 2 c=z FI. de Don F. mand-' y L)oña Isabel Manjon de Cevaflos, hermanos, é hijos de otro D. Fer nando v natural d-l valle de Toranzo, en las montañas de Santander, y de Doña Tomasa Santa», que lo fue de. esta corte. Hay que…</t>
  </si>
  <si>
    <t>Perez, Pedro</t>
  </si>
  <si>
    <t>Pedro Perez</t>
  </si>
  <si>
    <t>…assus, profesor de la escuela de 'medicina de París, cirujano consultor de S. M., miembro de la academia de las Cien cias y del Instituto &amp;c.&amp;c Traducido al castellano por el Lie. D. Pedro Perez, con sultor honorario de cirugía de los Reales egércitos, é individuo de varias academias. Se hallará con la interesante memoria, traducida por el mismo, de la prolongación de la lengua fuera de la boca, que ha merecido el aprecio de los sabios, en la librerí…</t>
  </si>
  <si>
    <t>…ales, ademas de lo que con separación con tribuyen los individuos del estado eclesiástico, criados y criadas de servicio, y jor naleros de temporada. Pero hasta tanto que fallezca D. Pedro Perez, á quien se ha concedido el retiro por su avanzada edad de 82 años con cierta dotación, única* mente gozará el nueve} provisto de la de 300 ducados, con obligación de mantener un barbero. Los pretendientes dirigirán sus respectivos memoriales por el correo, p…</t>
  </si>
  <si>
    <t>Perez, Pedro Vicente</t>
  </si>
  <si>
    <t>Pedro Vicente Perez</t>
  </si>
  <si>
    <t>…1812. Quedó asimismo aprobado, con las reformas correspon A las de Agricultura y Comercio reunidas una exposi dientes á la variación de cátedras acordada, el artículo 31, ción de D. Pedro Vicente Perez , ganadero del valle del .propuesto en estos términos: i Roncal, en Navarra, pidiendo se recarguen los derechos de '31. «Cuando haya recursos suficientes se separarán cier entrada al ganado vacuno extrangero, en atención al mal tas enseñanzas que ahora se reú…</t>
  </si>
  <si>
    <t>Periaga, Bernarda</t>
  </si>
  <si>
    <t>Bernarda Periaga</t>
  </si>
  <si>
    <t>…asa , núm. 20, calle de Herradura , en aquella sotros esta, y os haréis dignos de gozarla. Bendigamos á ciudad. Dios, como primer autor de tan grande obra, y después Idem idem por Doña Bernarda Periaga. á nuestro Rey , que nunca fue mas Rey que cuando con Otra idem, y 13 tahullas en el partido de Rincón de una sola firma dijo á tantos millones de súbditos: «Ya sois Seca, jurisdicción de dicha ciudad. «libres; ya teneis leyes; ya formáis un cuerpo sabio, vig…</t>
  </si>
  <si>
    <t>Persa</t>
  </si>
  <si>
    <t>…, reprimen el poder arbitrario, y &lt;jpn, ,éstab¿Hdá'd*al mismo Gobierno.” imi\ Se .ha . mandado que desde mañana esté pronta á dar la vela,' en Douvres ¿pa fragata, para, recibir 4 embajador Persa y á su comitiva^ . •. &gt;&gt;&gt; ■ ‘ ‘ : • u 'FRANCIA, . ,.r * Parts i.° de AMl*................... Dicese que hart llegado á esta capital pliegos de mucha importancia de dos Gabinetes que tienen en el día un grande influjo en Europa. . Rcfiejfv ua; periódico ingles…</t>
  </si>
  <si>
    <t>…sta ahora solo entre los negros ha hecho estragos la enfermedad, que de,‘algunos dias á,estamparte va cediendo, conside rablemente, y no se nota ya ningún síntoma epidémico?.". El embajador Persa salió ayer de esta capital, después de haber ratificado un tratado entre la Inglaterra y la Persia. Es de mucha importancia este su ceso, el cual manifiesta el ascendiente que/tenemos en la corte de Persia , y ofrece una nueva prenda de seguridad para el goce…</t>
  </si>
  <si>
    <t>…nx y el distrito dé Envés: la dirección de este camino, del que queda» todavía algunos fragmentos intactos, es desde Argenton hacia Bourges* Idem 10, Han llegado á esta capital el embajador Persa de vuelta de Londres y el general ingles sir Roberto Wilson. ‘ : •' Idem 13. • Acaba de ponerse éñ egeciadón él convenio entre las cortes dé Nápoles y de Lisboa para trasportar al Brasil á los galeotes napolitanos para poblar aquellos desiertos. El mes ultimo…</t>
  </si>
  <si>
    <t>Pertuza, Matilde</t>
  </si>
  <si>
    <t>Matilde Pertuza</t>
  </si>
  <si>
    <t>…is su ministro, su primer depositario. La ley debe cisco Ximenez de Bedoya. D. Vicente Cafuer y C haves, «arreglar el uso de la autoridad, cuando emana de ella ; la Doña Ana Diaz, Doña Matilde Pertuza, D. Joset Benitez, «autoridad no es 3’a un yugo para tos súbditos , sino D. Gerónimo Colinas, el Sr. Conde de Motezuma, D. San «una regla que los dirige. Los hombres se reputan libres tiago Martin, D. Tadeo Sánchez de Escanden, D. Juan de «cuando solo los gob…</t>
  </si>
  <si>
    <t>Pesit, Mariano</t>
  </si>
  <si>
    <t>Mariano Pesit</t>
  </si>
  <si>
    <t>…el Sr. Ramonet.- Sr. Priego, relativa al árt. 6.°: «Que se prohíba absoluta Se leyó una exposición del médico de la ciudad de-Gan- mente la seda en rama, el cáñamo y e! lino.” día D. Mariano Pesit, presentada por el Sí. Traver, en la Tampoco se admitieron las siguientes: una del Sr. Frei que patentiza los trabajos que sufrió en la priuon.de la Tor ré, dirigida á que se permitiese la introducción de manu re de la puerta de Cuadre, en Valencia , por 1a i…</t>
  </si>
  <si>
    <t>Peverelly, San Miguel</t>
  </si>
  <si>
    <t>San Miguel Peverelly</t>
  </si>
  <si>
    <t>…nez, D. Manuel Corvero, Aprobado este artículo se suspendió la discusión sobre I). Carlos Whiring, Macnal Myddleton y compañía , D. F. este proyecto , y se leyó una indicación del Sr. San Miguel Peverelly y compañía, y D. F. Sivori, todos vecinos y del para que pasando A una comisión la representación del pa comercio de las plazas de Lisboa , Faro y Gibraltar, asi co dre general de capuchinos , informase loque le pareciese con-, mo á otro cualquiera interesada…</t>
  </si>
  <si>
    <t>Pezuela, Ignacio</t>
  </si>
  <si>
    <t>Ignacio Pezuela</t>
  </si>
  <si>
    <t>…Manuel Abad y Queipo, D. Ma nuel Lardizabal, D. Mateo Valdemoros, D. Vicente Sancho, Coronel de Ingenieros, Conde de Taboada, D. Francisco Gres?o de Tejada, D. Bernardo Tarrius, y D. Ignacio Pezuela. odas las providencias que emanen del Gobierno hasta la ins talación constitucional de las Cortes serán consultadas con esta Junta, y se publicarán con su acuerdo. Téndráse entendido en todo el reino, adonde se comunicará para su pronta inmediata publicación…</t>
  </si>
  <si>
    <t>…acan., D.. Manuel de Lardizabal y conde de Taboada,; ■del Consejo y Gámara dé S. M., D. Matea Valdemoros, D. Vicente Sancho, D. Francisco Crespo de Tejada , D&gt;; Bernardo Tarrius y D. Ignacio Pezuela.. Presenciaron el acto el Excmo. Sr. D. Manuel Gáyoso, señor de la casa de</t>
  </si>
  <si>
    <t>Phannacides, Theocleto</t>
  </si>
  <si>
    <t>Theocleto Phannacides</t>
  </si>
  <si>
    <t>…nes tengan cias y de las letras. Hasta ahora han tenido mucha afición siempre á la vista la imagen de su bienhechor. á la literatura pérsica; y varios Príncipes de la nación po El Sr. Theocleto Phannacides, uno de los editores del seen colecciones de libros escritos en este idioma. Por dos mercurio griego, acaba de publicar una obra intitulada: veces destruyeron los persas una imprenta que se habia es Elementos de la lengua griega para el uso de las escue table…</t>
  </si>
  <si>
    <t>Pharmacides</t>
  </si>
  <si>
    <t>…trabajo la her de la reunión de aquel país á la Rusia en lo relativo á la mosa chrestom.ithia grieea del célebre Federico Jacobs. forma de los juicios y á los asuntos civiles. El Sr. Pharmacides há dedicado el primer volumen á la ju ventud anega ; el segundo al docro arzobispo Ignacio, pro ANUNCIOS. . tector de la sociedad de los lJhitomusas; el tercero á En virtud de providencia del Sr. D. Julián de Soio, minis Mr. Coray, médico , filólogo y crítico…</t>
  </si>
  <si>
    <t>Pí, Jocef</t>
  </si>
  <si>
    <t>Jocef Pí</t>
  </si>
  <si>
    <t>…en caso de haber do y • el-eclesiástico esraban sujetos á una pena- por el ser los vendido. món, discurso &amp;c., y á otra mas grave si se verificase Otro relativo á.la solicitud de D. Jocef Pí, para que se la sedición. . le permitiese beneficiar una mina de alcohol que habia des Tampoco creía justo aumentar en tanto grado la pena cubierto. La comisión proponía se accediese á esta solicitud, por razón del suceso, siendo muy diiicil probar que la se…</t>
  </si>
  <si>
    <t>Pí, Josef Francisco Ixart y</t>
  </si>
  <si>
    <t>Josef Francisco Ixart y Pí</t>
  </si>
  <si>
    <t>…franceses en el Canadá, y la confederación volvió al ins 32&gt;5tí4, 32.ñ66, 32,569 y 32,584: L-. Gabriel Canais del tante sus armas contra estos nuevos enemigos; pero quedan 45,925: D. Josef Francisco Ixart y Pí del 45,802 : D. Juan do expuesta á los ataques de los extrangeros y de los de Angel Ortiz del 51,489: D. Rafael Garrete del 52,819: Don lawares. Para salir de este apuro discurrieron los iroque- Josef Corminas del 52,890 : Doña Vicenta Conde y Puente del ses…</t>
  </si>
  <si>
    <t>Píándolit, Benito de</t>
  </si>
  <si>
    <t>Benito de Píándolit</t>
  </si>
  <si>
    <t>…ní am ien tos" cousti tuciona les en todos los pueblos de la provincia. ? 1 , %í;í; t Señores: Gefe superior político, presidente.zs.Barón de Castellet. =-Don Félix Jorres Amat. = D. Benito de Píándolit. == D. Antonio Támaro. = DoiI Juan Botlie.=:D. Manuel Lassala. = D. Mariano Esteve. =D. Antonio Buch, secretario. Se levantó la sesión. - \ Sevilla de Afqrzp,^..i)f%,El general en gefe del egército reunido d los individuos que fe forman* 1 „ Compañeros, yo so…</t>
  </si>
  <si>
    <t>Pich, Josef</t>
  </si>
  <si>
    <t>Josef Pich</t>
  </si>
  <si>
    <t>…asado me dicen lo que caro , hasta la última posteridad, en las manos de vuestros sigue: diputados. Estos serán los patriarcas de la nación, los fun «Habiendo acudido á las Cortes D. Josef Pich, vecino dadores de la patria y los adalides del Estado. Conside de Barcelona, exponiendo las dificultades que se le han rad y elegid. Lisboa palacio del Gobierno 31 de Octubre puesto por ki intendencia de Cataluña para beneficiar una de i8ao.” (Siguen las fir…</t>
  </si>
  <si>
    <t>Picón, Gregorio</t>
  </si>
  <si>
    <t>Gregorio Picón</t>
  </si>
  <si>
    <t>…cación de este aviso; pasados los cuales,quedará por el capitán , ayudante mayor del 5batallón del tren de cerrada la oposición á las referidas plazas. Los pretendien Artillería , D. Gregorio Picón. tes se presentarán al redactor primero del Diario de Corte* Proyecto de reglamento para los regimientos provincia D. Juan Corradi para que les señale el día en que deberán les, por el teniente coronel de egército y capitán de grana hacer Ja expresada prueba.…</t>
  </si>
  <si>
    <t>Pie, Josef</t>
  </si>
  <si>
    <t>Josef Pie</t>
  </si>
  <si>
    <t>CORTES. Al Gobierno se mandó pasar con recomendación efi caz una exposición de D. Josef Pie, en que manifestaba qne Sesión del jr de Octubre. habia sido nombrado cónsul constitucional de España en Leída y aprobada el acta de la sesión anterior, se dió Gibraltar por el Sr. general D. Antonio Quiroga, en cuyo cuenta de un oficio del Sr. secretario de…</t>
  </si>
  <si>
    <t>Piélagos, Juan Francisco de</t>
  </si>
  <si>
    <t>Juan Francisco de Piélagos</t>
  </si>
  <si>
    <t>…Mateo y de Victoria Buendía, se está siguiendo expediente en dientes de Gengis-Khan , desde el reinado de Mengli Gherai el tribunal eclesiástico de esta corte , y por el olido de Don Juan Francisco de Piélagos, uno de los cuatro notarios mayores,en 1477 ha&gt;ra la conquista de la Crimea por los rusos en el para acreditar el fallecimiento de su marido Manuel López Orrsiglo anterior. Es fácil conocer que.durante esta época va á tiz, natural de la villa de Hortaleza , h…</t>
  </si>
  <si>
    <t>Pierda</t>
  </si>
  <si>
    <t>…á los cuartos, y 4200 á los quintos, dejando el aumento bleciese una universidad de provincia en Guanajuato; y otra de sueldos á las clases superiores para cuando se aprobase del Sr. Pierda para que se establezcan universidades en Gua- el plan general. mnnga, la Paz , Sta. Cruz de la Sierra y Puno, en el Perú. Después de alguna discusión, en que se opuso al dicraNo se admitió otra del Sr. Diaz Morales para que en Fili men el Sr. Sánchez Salvador…</t>
  </si>
  <si>
    <t>Pignalvert</t>
  </si>
  <si>
    <t>…presentado á la Reina una exposición firmada por do de los tres tenientes Generales Filangieri, Areovito y Am 7800 mugeres de Nottingham ; y los habitantes de Mor- brosio , v dei coronel Pignalvert. peth y de Rochester se fian dirigido también á S. M. por El general Pedrinelli. oficial de artillería, y sugeto de medio de diputaciones de sus respectivas ciudades. gran talento , manda toda la artillería napolitana. Los habitantes de Newhnry han hecho pres…</t>
  </si>
  <si>
    <t>Pignatelli-Strongo’i</t>
  </si>
  <si>
    <t>…arte ham SUIZA. brientos y desnudos. . . Los montenegrinos amenazan invadir las fronteras tur-, "Zurick i.° de Setiembre. cas,.-y horl dado muestras de querer oponerse á que se El príncipe Pignatelli-Strongo’i acaba de publicar una acerque el egército otomano» Al¡ bajá permanece tranquilo,, exposición histórica de la revolución de Nápoles;. y asegu y parece que observa con atención la marcha de su enemi ra que los napolitanos abandonaron voluntariamente á M_igo, qu…</t>
  </si>
  <si>
    <t>Pinilla, Josef López Juana</t>
  </si>
  <si>
    <t>Josef López Juana Pinilla</t>
  </si>
  <si>
    <t>…eto de 7 de Agosto, he tenido. R ipien npmbrar para tesorero general en egercicio al que lo es en la actualidad I&gt;. Vidtor Soret, y en cesación interino al intendente de provincia D. Josef López Juana Pinilla en consideración á sus vastos conocimientos y distinguidos servicios; y para contádores de Valo res al conde de lbangrandé que lo era en el año de 1814 , y de Distribución á D¿ Joséf Moreno Martínez, contador; de data y guerra de ia tesorería ge neral. Y enca…</t>
  </si>
  <si>
    <t>…de la Secretaría de Estado y del Despicho de Hacienda de Ultramar, he venido en nombrarle tesorero general de la Nación; y teniendo en consideración las cualidades y servicios de D. Josef López Juana Pinilla, de los cuales me hallo satisfecho, he tenido á bien exonerarle del propio car go que desempeñaba como interino cesante , dejándole los honores y carácter anejo á su destino, con el goce íntegro asignado al intendente de Guadatajara, reservándome ocnpar sus l…</t>
  </si>
  <si>
    <t>Pinilla, Manuel Vacas y</t>
  </si>
  <si>
    <t>Manuel Vacas y Pinilla</t>
  </si>
  <si>
    <t>…o Gastambide, Don Termin Antonio Arriaga, D. Antonio Lázaro y Pozo, D. Pablo González, Don Francisco Xavier Guerra Balboa, D Juan de la Torre, D. Mariano Mamar, Don Juan Pió Jaén, D. Manuel Vacas y Pinilla y los señores Balmaseda ¿ hijo, últimos tenedores de 37 vales, citación de fi.° dc Enero de 1809., señalados: 9 de ñocrpesos con los números 365,061; 365,483; 366,553; 369,205; 369,421; 374,623 5 374.7435 374,907 y 376,109 : ídem 4 de: &lt;300 pesos., riúmetós &lt;…</t>
  </si>
  <si>
    <t>Pino</t>
  </si>
  <si>
    <t>…icta que conduzca á los extraviados al sendero de de correo, lacayo ó comprador, en cuya clase liabia servi I» justicia con la persuasión y la indulgencia. Vuestra obe do antes al general Pino, quien no se sabe si le recomendó diencia, vuestra moderación y su propio ínteres les servirán á S. M.; pero resulta que Bérgami permaneció al lado de deeeemplo , y los restituirán al camino del honor, del cual la Reina hasta el punto de salir esta del contin…</t>
  </si>
  <si>
    <t>…s que embarcaron sie e caballos y dos jumentos, dor Conoce á Bergami .por -haber servido ambos á un mismo mían sob e cubierta: que la tienda de la Princesa estaba dis .tiempo, al; general Pino. La primera parte" de su interroga pee tu como ya'se ha dicho: que dormían en edu.la Prince torio nada ofrece de particular. sa y Béream; ; pero en dos camas distinta’;. Ai capftan se Idem $ de Setiembre. daba la orden de cerrar .:a tienda: la hacia egecutar;…</t>
  </si>
  <si>
    <t>…s presas de piraterías. referirse, pues se redujo á decir que habia conocido .1 Bar Los tunecinos se niegan á pagarnos el tributo ordinario, ga mi cuando servia en la división del general Pino, y que que á la verdad se reduce á un barco cargado de aceite; petó toda la oficialidad le tenia por hombre de bí :n. el Gobierno considera este feudo como una señal de supre En seguida fue examinado el testigo Carlos Forfi , agre macía sobre los otros dos es…</t>
  </si>
  <si>
    <t>…escrutinio. Península. Para la elección del séptimo diputado obtuvo el señor Las Cortes oyeron con particular agrado el oficio del Moscoso 7 7 votos de 109, como peninsular; y el Sr. Pino, Sr. secretario de la Gobernación de la Península, en que como ultramarino, 81 de 112; y habiéndose procedido al ponía en noticia de las Cortes que SS. MM. y AA. prose sorteo tocó la suerte al Sr. Moscoso. guían en el Escorial con la mas perfecta salud. Para…</t>
  </si>
  <si>
    <t>Pino, Francisco del</t>
  </si>
  <si>
    <t>Francisco del Pino</t>
  </si>
  <si>
    <t>…unos. caciones, yo estableceré mi cuartel general en S. Fernando "Victoria 10 de Octubre de 1820. = Pablo Morillo. = Señor de Apure para fines del próximo óctubre. Allí espero la D. Francisco del Pino, capitán general interino de estas respuesta de V. E. , ó los comisionados que quiera V. E. provincias." dirigirme, si lo tuviere por convenientes Entre tanto no sus «Excmo. Sr: En este momento, que son las ocho de la penderemos nuestras operaciones. Dios gua…</t>
  </si>
  <si>
    <t>Pinol, Josef Antonio de</t>
  </si>
  <si>
    <t>Josef Antonio de Pinol</t>
  </si>
  <si>
    <t>…rnador: quien tuviere, noticia se, servirá darla'en lá cálle de las Fuentes, núqn. 6, cuarto tercero, , Quien supiere el paradero, del Hijo del señor marques: de .Áipbeca, llamado Don Josef Antonio de Pinol y de CÍimeñt, dé unos 20 años, de, edad., poco mas ó menos, que se ausentó dé la cmdádr’de Torfosa hará tres .meses, sé servirá ,áyisar en la dicha ciudad á D. Santiago Albárruiz, maybrdomo de dicho señor. Modo práctico de hacer una confesión general, asi par…</t>
  </si>
  <si>
    <t>Pinol, Miguel</t>
  </si>
  <si>
    <t>Miguel Pinol</t>
  </si>
  <si>
    <t>…róximo de 1821 se subaste y saque á público remate en cubrimientos modernos, aplicada á lá medicina y á las artst:esta capital; y á efecto de que los que pretenden interesarse por D. Miguel Pinol, licenciado en farmacia: Un tomo en 4.0, en' esta subasta tengan el debido conocimiento del rrtodo con é 26 rs. á la rústica y go en pasta. Se hallará en casa del autor, que S. MI quiero se verifique el rentare, deben entender: eri la botica de lá corredera d…</t>
  </si>
  <si>
    <t>Pinon</t>
  </si>
  <si>
    <t>…El Emperador de Austria se ha dignado suscribir por la suma de 2© francos para la construcción del monumento de Malesherbes; con cuj'O moti vo ha escrito el príncipe Metternich al vizconde Pinon la carta siguiente: ,,Sr. vizconde: El honroso sentimiento que dio origen al proyecto de erigir un monumento en Francia para, .perpetuar la memoria de Mr. de Males herbes , no podia* dejar d$ ser . dignamente apreciado por mi augusto amo ei Emperador, y habéi…</t>
  </si>
  <si>
    <t>…por la cantidad de 800 francos para los gastos del monumento de Malesherbes, con cuyo motivo su ministro de Estado y de Negocios extrangeros el conde Brilingeroide ha remitido ai vizconde Pinon la carta siguiente: *»Ha llegado á.noticia del Rey con mucha satisfacción el proyecto que se ha formado de erigir un monumento, á Mr. de Malesherbes; y apreciando de»</t>
  </si>
  <si>
    <t>Pinos, Rafael de</t>
  </si>
  <si>
    <t>Rafael de Pinos</t>
  </si>
  <si>
    <t>…tos príncipes mezclan con el uso de la autoridad , lejos de María Antonia Niño, D. Vicente Fraile, D. Francisco de «extenderla, la debilitan. Se hacen menos poderosos cuando Mata, D. Rafael de Pinos, D. Amorfo de Castro, D. An «quieren &lt;er superiores á las leves , y pierden su poderío drés Montalvo , el Sr. duque del Parque, D- Francisco Xa «perdiendo el amor de ‘lis súbditos.” vier de Aguilar, D. Juan Sánchez, D. Ramón de Pando y Apenas igualaron Demóst…</t>
  </si>
  <si>
    <t>Pinto, Antonio Villar y</t>
  </si>
  <si>
    <t>Antonio Villar y Pinto</t>
  </si>
  <si>
    <t>…a vez, ib. Núm. 752. D. M. J. y R. 80. Núm. 753. D. J. A. un vale Real consolidado de 50 pesos que produjo 204 rs. Núm. 754. D. J. A. 80. Num. 755. Doña Antonia Sanz 20. Num. 756. Don Antonio Villar y Pinto, boticario de Salamanca, 200; Núm. 757. La vene rable universidad de priores y beneficiados de Jaén 300. Num. 7 58. El cabildo de la iglesia colegial de Ubeda un vale de 150 pesos. Núm. 759. Los señores alcaldes y vecinos de lá villa de Torreperogil, en la di…</t>
  </si>
  <si>
    <t>Piñuela, Nicolás</t>
  </si>
  <si>
    <t>Nicolás Piñuela</t>
  </si>
  <si>
    <t>…ios acer ya porque los letrados causarían dilación en los negocios; ca de las solicitudes de D. Juan de Reyes Ordaz y de especialmente,si se les concedía voto, y ya porque en este D. Nicolás Piñuela, en premio de sus servicios; y opinaba último caso’, si hacia el nombramiento el Gobierno-, se da debían pasarse al Gobierno con recomendación para que les rían dos votos á este en un establecimiento, que debia ser atendiese. independiente de él abs&lt;r&gt;Iu&gt;amen…</t>
  </si>
  <si>
    <t>Pío</t>
  </si>
  <si>
    <t>…pondientes á su cumplimiento.” calidad de las causas y de las pruebas que se propongan, y según las personas que hayan de ser examinadas, y la dis El Rey se ha servido conceder á D. Pío "Valdivieso, tancia de los lugares, negando las prórogas que maliciosa vecino de la ciudad de Lo ja, en el Perú, su Real permiso mente o sin verdadera necesidad pidan ¡as partes. para usar el distintivo de la Flor de Lis con que S. M. r 3. La recepción á prue…</t>
  </si>
  <si>
    <t>Piquer</t>
  </si>
  <si>
    <t>…de 4® trofeos, y se presentaron aspirantes al premio ofrecido , y cuyos autores las reliquias de todos aquellos sugetos con cuyos nombres todos están de acuerdo con la opinión del Sr. Piquer , la que se honra la historia de Suecia, como Reyes, Reinas, gene cada cual prueba por diferente rumbo. Véndese en la oficina de rales, hombres de Estado &amp;c. Este es un verdadero monu D. Antonio Bailo , calle de las Carretas , á 6 rs, en buen papel, mento nac…</t>
  </si>
  <si>
    <t>Piquer, Josef Antonio</t>
  </si>
  <si>
    <t>Josef Antonio Piquer</t>
  </si>
  <si>
    <t>…de las provincias. Memoria premiada por la junta suprema de Caridad el dia VARIEDADES. 30 de Mayo de 1819 , y dedicada al soberano Congreso de la heroica Nación española: su autor D. Josef Antonio Piquer, médico de la Real Familia. En ella se prueban las ventajas de Antigüedades.----El gentilhombre de cámara del Rey la hospitalidad domiciliaria sobre las de los hospitales, aun los de Suecia Mr. Rothlieb presentará en todo este año la bien organizados, apoyand…</t>
  </si>
  <si>
    <t>Piqueras, Nicolás</t>
  </si>
  <si>
    <t>Nicolás Piqueras</t>
  </si>
  <si>
    <t>…squería de ballena después de he-' contribuye en gran parte el zelo c infatigable trabajo del chos los gastos, por los obstáculos que el anterior Gobierno cura párroco de la misma'D. Nicolás Piqueras, que no con le puso después de darle el permiso. tento con explicar la Constitución todos tos días festivos por Las'Cortes aprobaron el dictamen de la comisión se el espacio de mas de una hora en Iá iglesia, acomodando su gunda de Legislación, reducido á que…</t>
  </si>
  <si>
    <t>Pirch</t>
  </si>
  <si>
    <t>…qüe debe; conservarse, y care cen absolutamente de?todo fundamento las voces que se han esparcido de que se habia concertado con el Austria ei licenciarlas.” í Se ha conferido; al general Pirch la dirección de los establecimientos de instrucción militar. Se anuncian de algunos dias á esta parte grandes mudanzas en los princi pales empleados del Gobierno. * *v ' • ' • 'T'.\;;r f;\' ’ würtemberg. / :::' Stuttgardt' t.° de Ertefo* Parece que se van á p…</t>
  </si>
  <si>
    <t>Pire, Juan</t>
  </si>
  <si>
    <t>Juan Pire</t>
  </si>
  <si>
    <t>…. ; &gt; Madrid d* Mayo* -VEl día cinco del corriente^ tuvieron la honra de .felicitad i S, M., por comisión especial del ayun|amiento constitucional de la.plaza de Ceuta, los Sres. D. Juan Pire^, brigadier director del cuezpo nacional de ingenieros, * D. Joaquín de la Cflt? » coronel graduado, y teniente coronel del mismo» y D. Fulgencio Salas, teniente coronel, y capitán del re^tóiento infantería del Infante D. Antonio; dirigiendo el primero á S. M…</t>
  </si>
  <si>
    <t>Pirez, Juan</t>
  </si>
  <si>
    <t>Juan Pirez</t>
  </si>
  <si>
    <t>…. Di Miguel Ramón de Villaroel , del Consejo de S. M-, su secretario con egercicio de decretos, y oficial dé la secretaría de&gt; Estado y-del Despacho^ U-rn/ePsal de la Guerra, y el brigadier D. Juan Pirez, coronel del Real cuer po de Ingenieros, y vocal déla junta superior del mismo. Y S. M , después de haberse dignado escuchar los votos de fidelidad, amor y respeto que le trasmiten aquellos leales vasallos, contestó con su ca racterística bondad} manifestando…</t>
  </si>
  <si>
    <t>Pirez, Ramón</t>
  </si>
  <si>
    <t>Ramón Pirez</t>
  </si>
  <si>
    <t>…eto que le concierne.. E1‘ Rett se ha servido nombrar Inspector general interinode Infantería al Teniente general D.. Josef Santocildespor re nuncia que ha hecho el de igual clase D. Ramón Pirez;, desem peñando dicho encargo mientras se presenta aquel en esta corte el Inspector general interino de Milicias Di Ignacio Balanzat. Asimismo ha nombrado S. M. Inspector general interino de Caballería ál Teniente general D.. Ramón de Vil 1 alba, por re nunci…</t>
  </si>
  <si>
    <t>Pirroquet, Juan</t>
  </si>
  <si>
    <t>Juan Pirroquet</t>
  </si>
  <si>
    <t>…olución. Estándole discutiendo este reglamento se suspendió para Se declaró no haber lugar á votar sobre la solicitud de dar cuenra de un oficio del ministro de Gracia y Justicia, D. Juan Pirroquet, para que el ayuntamiento de Segovia le con que remitía sancionado por el Rey, oído el Consejo de reintegre del precio ae un oficio de escribano que poscia , y Estado, uno de los dos originales del decreto de las Cortes habia'ocupado aquella corporación. de 1…</t>
  </si>
  <si>
    <t>Pizarro</t>
  </si>
  <si>
    <t>…rras y fincas siguientes: una tierra en el olí* var de Ambroz, de seis fanegas y ocho celemines, en jjióó.rs.: otra en dicho sitio, de tres fanegas, en 1800: otra de la huerta del señor Pizarro, junto al lugar de Vicáfvaro, de nueve celemines, en 600: otra ideen en la bajada del juego de bo fos de dicho pueblo, de cuatro celemines, en 316: otra ideen por encima del barrio de las Gallegas de dicho pueblo , de siete celemines, en 554: otra ídem como s…</t>
  </si>
  <si>
    <t>PlandoIit, Benito de</t>
  </si>
  <si>
    <t>Benito de PlandoIit</t>
  </si>
  <si>
    <t>…para este car go el Si*. D. Gines Quintana, abogado de esta audiencia territorial^ Señores: Gefe superior político, presidente. = El barón de Castelíet.=r Don Félix Torres Amat. = D. Benito de PlandoIit.=D. Antbnío’Támaró. sr Don Juan de Batlle. ==D.^ Manuel LassaJa=D. Maríapo Estévé. =z Antonio Buch, secretario. . . ? Madrid 7 de Abril\ ARTICULÓ DE OF ICIO. Él P-ey,ha expedido los depr^tps siguientes:-k ■ ^ « ,, Cuando tuve á bien nombrar £ecretario¿ in-ter…</t>
  </si>
  <si>
    <t>Playas, Josef</t>
  </si>
  <si>
    <t>Josef Playas</t>
  </si>
  <si>
    <t>…onio Breciano,8o. D. Bartolomé Scotto, 2®. Don pública de Filipinas, Nueva-España, Ha vana y Puerto-Rico. Josef Comitre, 1®. D. Manuel Caballero, 2200. D. Ma nuel de los Ríos, 80. D. Josef Playas, 160. D. Diego Baro, 80. D. J. B. Canepa, 80. La Sra. viuda de Hernán Deseando complacer al público en todos sus ofrecimientos dez, hijo y compañía, i0. D. Josef Martínez, x0. Don los profesores de caligrafía, aritmética, grartiática y ortogra Francisco Xavie…</t>
  </si>
  <si>
    <t>Plaza, N.</t>
  </si>
  <si>
    <t>N. Plaza</t>
  </si>
  <si>
    <t>…a, con otra del Sr. López (D. Marcial), Se mand í puar á la comisión de Premios la so icitud en que reclamó Un expediente sobre el minino asunto rela de Doña Rosa Zamora, viuda de D. N. Plaza, oficial del, tivo áDarocá. ' . regimiento de Húsares francos de Galicia, muerto en. I3 Se aprobó una adición del Sr. Vecino al art. 5.0: del horca en esta capital por comprendido en la causa de Riproyecto respectivo á sueldos de cesantes, la que decia así: c…</t>
  </si>
  <si>
    <t>Pleito, Domingo</t>
  </si>
  <si>
    <t>Domingo Pleito</t>
  </si>
  <si>
    <t>…ún el mérito de los aspirantes por el orden siguiente: los de primera clase á D. Dionisio Santos, D. Manuel del Cerro y D. Miguel Rojo. Los de segundad D. Manuel Hernández Alegre, D. Domingo Pleito y D. Francisco de Toro; y los de tercera á D. Julián Quirós, D. Saturnino Díaz y D- Eugenio Lázaro Carrasco. Concluyóse él acto con un breve discurso que pronunció su cura párro co el Lie. D.. Domingo de Buezo y Rojas, en que ademas de dar las gracias por su exactitud y zelo al mae…</t>
  </si>
  <si>
    <t>Plyffer</t>
  </si>
  <si>
    <t>…á Rusia, y trata de pasar algún tiempo en Petersburgo. Antes de su partida desempeñará el encargó qué le ha dado su Emperador dé entregar 'érf nombré de S. M. una rica sortija al coronel Plyffer, de Lucerna, autor de la relación de la conducta que observaron las tropas suizas eñ'íaris el día io de Agosto de 1792, de funesta memoria.,^n tc^stjiponio de| aprecio que se ha graneeado de S. M. X. . . &lt; El Góbferúó deSchaffousa ha juzgado á rláv tércera* y…</t>
  </si>
  <si>
    <t>Pnlafox</t>
  </si>
  <si>
    <t>…cuando solo los gobierna la ley. La sumisión los hace feliDios Trillo, D. Pedro López, D. Castor del Amo, el se «ces , porque en ella cifran su tranquilidad. Las pasiones, los ñor general Pnlafox, Doña María de Loreto García de Roa, «injustos caprichos, los ambiciosos y exceóvos deseos que D. Antonio Ruiz de Flores, D. Gerónimo Gambo», Doña «tos príncipes mezclan con el uso de la autoridad , lejos de María Antonia Niño, D. Vicente Fraile, D. Francisco…</t>
  </si>
  <si>
    <t>Pnmbley, Sierra</t>
  </si>
  <si>
    <t>Sierra Pnmbley</t>
  </si>
  <si>
    <t>…os males en lo suce ivo. la obra de agricult ra de Gabriel Alonso de Herrera. Las El Sr. Quiroga apoyó á su preopinante. Cortes oyeron con agrado la exposición, y recibieron la El Sr. Sierra Pnmbley, sin oponerle al dictamen del obra con el mi uno. Cornejo, ni ñ la- indicaciones del Sr. Villanueva, y cre Oyeron también con singular satúfaccion el parte co yendo que el poder egecutivo estaba expedito para acceder municado por el ministerio de la Gobernaci…</t>
  </si>
  <si>
    <t>Poerio</t>
  </si>
  <si>
    <t>…ora, y hasta que nueva Constitución que han de presentarle los Estados pue lleguen los demas diputados de Sicilia. da ser el modelo de las constituciones liberales de Alemania. El Sr. Poerio llamó la atención del Parlamento sobre La primera virtud, y pudiera decirse, la primera nece dos pumos muy esenciales. Desde el dia , dijo, el mi sidad de un alma generosa, es la beneficencia. Nadie se ha nistro de Guerra ha manifestado que el egcrcito camina…</t>
  </si>
  <si>
    <t>…á la tribu guió á este na, pudiesen ocuparla. (fVo.r aplausos desde las tribunas.) Por último, concluyó diciendo que tenia alguna pre Al apoyar el Sr. Dragonetri la propuesta del Sr. Poerio, vención contra la L&lt;.eir&gt;a, y que estaba rezeoso de q ,e aló ofreció por su parte 300 ducados. fin se probasen los hechos de que (a acusaban,’ lo cual le . Hizo con este motivo varias observaciones sobre los hubiera puesto en la forzosa precisión de votar po…</t>
  </si>
  <si>
    <t>…ñía do no hombres, y 20 ducados para las necesi mayor frecuencia con los que vienen del remo Lombardo- dades de la guerra. Véneto. Hay también una correspondencia diaria con el El diputado Poerio dijo que aquellos valerosos volunta cuartel general austríaco que está en Treviso , y lo mismo rios estaban ya en Castellnmare, dispuestos á marchar á la sucede con Milán ; haciendo presumir todas estas circuns frontera; y se aceptó la oferta. tancias que ant…</t>
  </si>
  <si>
    <t>…los emplea podrá levantar un magníncp y sólido edificio. dos que 110 reconoce la Constitución. (Se mandó imprimir.) La comisio.. segunda presentó un dictamen leído por el ITALIA. Sr. Poerio, ei| que opinaba se diesen a! ministro de Mari na los fondos que pedia para continuar el armamento mtTurin ij de Noviembre. mi 1 o, y que ai mismo; tiempo se encargase á los de Ha El cuerpo de egéreito que tiene el Gobierno de Ñi cienda y Guerra que se pongan…</t>
  </si>
  <si>
    <t>PoeSe</t>
  </si>
  <si>
    <t>…s, alegando por razón que solo á rencias de Ñapóles. los ministros les estaba permitida la entrada en el Parlamen Viena 4 de Noviembre. to. Sin embargo, habiendo hecho presente el diputado PoeSe ba notado aqui que el príncipe Ruño, embajador que rio el egemplo de las Cortes de España, que admiten en su era de Ñapóles, visitaba todos los días á la Emperatriz an seno á las diputaciones de todos los cuerpos, se decretó qua tes que S. M. partiese para Tr…</t>
  </si>
  <si>
    <t>Pohl</t>
  </si>
  <si>
    <t>…Austria,, de.Bavie.ra y da Tosca na. Por el de Austria son comisionados .el profesor Mikau en todo lo respectivo á la historia natural en general y la botánica en, particular; el doctor Pohl para el ramo de mineralogía, y Mf* Matterer por lo pertenecien te á la zoología.Xos acompaña Mr. Sphott enfCa1jdad.de jardinero,; Mr. Eu.der, pintor de paisages ,-y Mr- Frick* pinfor de historia ñarural. Jfo^ el Go bierno de Baviera haoído.ei doctpr.SpriX', z…</t>
  </si>
  <si>
    <t>Poicel, Antonio</t>
  </si>
  <si>
    <t>Antonio Poicel</t>
  </si>
  <si>
    <t>…uroso en toda la Monarquía española. Lo tendréis entendido, y comunicareis á quien corresponda para su cumplimiento.srRubricado de la Real mano.=rPalacio 24 de Abril de 1820. =z A D. Antonio Poicel.” "■ Por el ministerio de la Guerra se ha circulado la Reah orden siguiente: El Rey me ha dirigido con esta fecha el Real decreto siguiente: „ Siendo Yo por la Constitución de la monarquía el Gefe supremo del egército, y proponiéndome el vigilar por Mí mismo…</t>
  </si>
  <si>
    <t>Politi</t>
  </si>
  <si>
    <t>…orden de 19 de Marzo de 1816, ha resuelto el Rey que de-la universidad jónica, sino que habiendo llegado á saber cese desde luego, y que se avise al público para su conoci que .el Sr. Politi, joven leucadío, deseaba enseñar la quí miento. mica en las islas Jónicas, ha mandado se le entreguen los LITERATURA. fondos necesarios para comprar todos los instrumentos y utensilios necesarios.para. un. laboratorio. Debe también sa listado actual de las le…</t>
  </si>
  <si>
    <t>Polo, N.</t>
  </si>
  <si>
    <t>N. Polo</t>
  </si>
  <si>
    <t>…izo la segunda lectura de la proposición del Sr. Ló A la de Premios una representación de D. Manuel Gon pez ( D. Marcial) leída por primera vez en 2 1 de Julio pa zález del Campo, D. N. Polo y D. Francisco Belda, pi sado, acerca del establecimiento de jueces de hecho, fiján diendo se establezca una distinción para premiar y clarificar dose al mismo tiempo las calidades y requiriros que hu— el mérito cívico. bie'eii de tener los sugetos que se nombren para el cargo de…</t>
  </si>
  <si>
    <t>Pon</t>
  </si>
  <si>
    <t>…Juan Bilbao la Vieja.=Excmo¿ Sr. virey conde del Venadiro.’*' ■ • Lista dé indultados que cita el oficio anterior. i D. Josef Miguel González, alias el Chino; D. Juan Josef Silva, D. Pon«iano Campa, D. Norberto y D. Josef María González, Francisco Hérnondez, Eugenio Trejo , Mariano Alaniz , Guadalupe Hernández , Guadalupe Gachuzo, Quirico Osornio , Vicente Navarrete, Manüef Villano , Pablo Alaniz,' Juan Estrella, Josef María Chavero, Trinidad…</t>
  </si>
  <si>
    <t>Ponce, Bernardo Ildefonso</t>
  </si>
  <si>
    <t>Bernardo Ildefonso Ponce</t>
  </si>
  <si>
    <t>…tenido y deleitado á los concurrentes, cerró los certámenes con general aplauso. jMadrid iGde Enero. : ; AJRTICULO DE OFt CIO. í .í EÍ Rey nüestfó,;Señ|dr se ha,dignado conceder á D. Bernardo Ildefonso Ponce su Real pérrióíso para usar de la condecoración de la flor de Lis con que ha sido agraciado por S. M. Cristianísima. • . Mercurio de España. Diciembre de 1819. Véndese á 4 rs. en el despacho de la imprenta Real. Se suscribe en dicho despacho, yendas provincia…</t>
  </si>
  <si>
    <t>Ponce, Vargas</t>
  </si>
  <si>
    <t>Vargas Ponce</t>
  </si>
  <si>
    <t>…es , para que se pusiera en egecucion; y á la comisión de que deberia verificarse al tiempo señalado. Legislación las de las provincias-de Segovia , Sevilla y Gra Se leyó otra del Sr. Vargas Ponce para que á fin de nada , que pendían de informe de la misma. Igualmente se perpetuar la memoria del juramento solemne del Rey se acordó pasar á dicha comisión la división de h provincia de decretara que se bordase el nombre Fernando séptimo de Burgos, remitid…</t>
  </si>
  <si>
    <t>…motivo propuso el Se de Estado. y de otra de la sociedad patriótica de Alcalá de ñor Martínez de la Rosa que al contestar al oficio no se di Henares, felicitando á las Cortes: el Sr. Vargas Ponce pi jera simplemente que las Cortes quedaban enteradas, sino dió que la proposición del Sr. Cepera en la última sesión, que se expresara el aprecio que habían merecido el zelo'y dirigida á que no se admitiesen felicitaciones, fuese exten prudencia de sus proce…</t>
  </si>
  <si>
    <t>…a de haberse verificado el dia 9 la apertura de ¡as Cortes, y Se leyeron igualmente por secunda yez las proposiciones que S. M. juró ante el Congreso la Constitución. Con este del.Sr. Vargas Ponce, relativas a perpetuar la memoria del. motivo ha llegado á su colmo el gozo de todos estos habi solemne juramento delRrYenel dia9 de Julio, que fueron; tantes ; y no se pierna por el momento mas que en Te 1.a Que el nombre de Fernando val se bordase de reíd-,…</t>
  </si>
  <si>
    <t>…al, y contribuido con el pueblo á su establecimiento, an°3' cargasen á la academia de la Historia las inscripciones. Til tes que ei Rey la hubiese adoptado por su Real d.-cteto de Sr. Vargas Ponce, fundando sus proposiciones, dijo : que 9 de Marzo, se declaren acreedora A la estimación na habia propuesto se pusiera el nombre en el salón de Cortes, cional y beneméritos de ja patria : i.A Que igual declaración para que brillara el del primer Rey constitu…</t>
  </si>
  <si>
    <t>…ro, en que por sí, y á nombre del La comisión de Gobierno interior presentó el suyo acer egército de su mando, felicitaban al Congreso, dando una ca de la proposición hecha por el Sr. Vargas Ponce para ligera idea del estado en que quedó la Nación por la inva- que se publique la lista de los empleos Vacantes dy Cortes, *ion francesa, del abandono en que ha yacido en los últi eon los sueldos asiguados á ellos , reducido á que se vérifi-</t>
  </si>
  <si>
    <t>…eñala , y que de consiguiente cesarán las no solo á la época del año 21, sino q. e sea hasta mas ade Cortes en el egercicio de aquellas que, siendo del poder egelante; á lo que el Sr. Vargas Ponce respondió que esto era cutivo, se habian reservado hasta ahora en conformidad al destruir la marina española, y que se tomara un término arr. 19J de la Constitución; declaran que el tratamiento de mas largo para determinar sobre cosa de tanta importancia; Mxg…</t>
  </si>
  <si>
    <t>…ente que habia dicho el mi Se leyó el dictamen de la comisión de Bellas Artes acer nistro que la navegación para ¿os puertos de la América del ca de la medalla que había pedido el Sr. Vargas Ponce que Sur podría proteger-c estableciendo algunos cruceros; pero se acuñara para perpetuar la memoria del juramento de no asi la que se hiciese en la América septentrional, que no S. M., á la que habian pensado poner la inscripción: Sic eral habia quien la pudi…</t>
  </si>
  <si>
    <t>…n esta leyenda nulld falles- pácho para dar principio á la discusión señalada para este cere culpa ; de doctrina cristiana con esta doctrina sud dia en la sesión del 28 , pidió el Sr. Vargas Ponce que di noscetur vir, y de la clase de Constitución con la misma jeran si sabían algo de las novedades ocurridas en N.ípolcs leyenda. El pu bl.ico, que fue convidado á estos exámenes, sobre haber adoptado su Monarca la Constitución política quedó satisfecho de…</t>
  </si>
  <si>
    <t>…lioo, llevando á su frente dos oficiales y un canónigo, ,los deseos manifestados al principio de la discusión por el ■y. que -pedían la deposición del general Nugent y de los mi . Sr. Vargas Ponce, dijo que en el corto espacio que Había nistros. mediado habia recibido noticias oficiales de Sácedón , fela- El Gobierno envió al general Carrascosa con una divi• tivas á los acontecimientos de Ñápeles, de las que por no .sion para batir á los descontentos,…</t>
  </si>
  <si>
    <t>…e se hicieron por la tarde y por concurso de artistas;-lo que apoyó el Sr. conde.de Toreno: la noche, dieron á esta fiesta todo el lucimiento que se po y habiéndole manifestado el Sr. Vargas Ponce que la' co día desear. misión habia prevenido sus deseos, se mandó pasar á la es Madrid 4 de Agosto. pecial de Bellas Artes. SS. AA. continúan sin la menor novedad en su impor Se dió cuenta del dictamen de las comisiones de Agri tante salad. cultura y Comerci…</t>
  </si>
  <si>
    <t>…y cada calle es tina confu ion: una mala pa Comercio , á la que se habia encargado el pronto despacho, labra n&lt;t se ha oido ni de dia ni de noche en el pueblo: pa hizo presente el Sr. Vargas Ponce que ayer á la media no rece que nadie duerme hace ocho dia» : las casas todas col che habían concluido las comisiones reunidas de Comercio gadas de dia, de noche iluminadas, comidas, bailes, toros, y Marina el trabajo para que ce habia pedido el expediente. y…</t>
  </si>
  <si>
    <t>…falta de brazos que el simple ahorro de al das , dado á consecuencia de la exposición de un comer gún numerario. ciante de S. Sebastian. , en que hacia presentes los perjuicios El Sr. Vargas Ponce, oponiéndose al dictamen de la que resultaban de haber suspendido los permisos para tras comisión, encontró en la propuesta dos partes, una que ha portar á la America frutos de la Península en buques ex- cia relación á personas, y otra á sueldo'. Después de l…</t>
  </si>
  <si>
    <t>…el dictamen de la mis no de la sabiduría de los diputados que la sancionaron , y ma comisión de Hacienda, sobre el presupuesto de los gas baluarte inexpugnable de la libertad. El Sr. Vargas Ponce tos de la Gobernación de Ubramar, que la comirinn juz dijo que era preciso no evitar ningún medio de facilitar el gaba muy arreglado y conforme , y que las Cortes podían conocimiento de la Constitución a todo-., porque lo que aprobarlo. Este dictamen, que se…</t>
  </si>
  <si>
    <t>…itar la elección de di- socorro de la humanidad doliente. Se aprobaron los cinco jeu.ados á Cortes. artículos. Al Gobierno una representación á nombre de 34 pueblos A petición del Sr. Vargas Ponce se nombró ai Sr. Mar de la provincia de Segó vía sobre los perjuicios de haber tel individuo de la comisión de Beneficencia, á la que pa coro ¡suido a Yi!¡aca*tin cabeza de partido, y pidiendo se saron dos indicaciones, una de dicho Sr. Vargas para que trasla…</t>
  </si>
  <si>
    <t>…tículos de los diez presentados por la comisión. de la comisión , no admitiéndose la adición «de por ahora” Concluidas ambas lecturas, se encargó-la misma comímoii indicada por el Sr. Vargas Ponce, en razón de hallarse1.ex de Legislación de imprimir, tanto su dictamen como ci vo presado en el ingreso de aquel. ■ to particular del Sr. Hifiojosa; y se levantó la sesión. Conformándose las Cortes con lo propuesto por la. co misión de Guerra, mandó pasar al…</t>
  </si>
  <si>
    <t>…nda, Segorve, Liria, Chelva y Chiva. viese á la comisión,, porque le parecía que «sostener las Cor Bureos. Aranda de Duero, Aranzo de Miel, Aillon, tes” no quiere decir nada; y el Sr. Vargas Ponce dijo que Belorado, Briviesca, Burgos, Castrojeriz, Villanoz, Mi la primera parte del artículo era un poco repugnante, por randa, Santo Domingo, Sedaño y Villarcayo. que defender la religión católica con las armas en la mano, nota. En virtud de acuerdo del Con…</t>
  </si>
  <si>
    <t>…os desde la viuda del general Porlier con derecho á los ascensos y el 42 hasta el 46 inclusive. sueldos de este. Al art. 47 quería el Sr. Zapata que para aclararle se aña Otra del Sr. Vargas Ponce «sobre/jue la comisión Es diera culi era la pena de desobediencia simple, la que era pecial informe cómo se deban colocar en el salón todos los y debía entenderse puramente en los actos de servicio ; pero nombres de los declarados beneméritos de la patria.” h…</t>
  </si>
  <si>
    <t>…r dosas riberas del Miño , donde se reunieron también las au no nombrarse en él. toridades civiles , militares y eclesiásticas, el estado mayor, Graduó de inoportuna la adición el Sr. Vargas Ponce, toda la oficialidad, y otros individuos de las demas clases aunque convencido de la necesidad de corregir y morigerar de los cuerpos de la guarnición, como igualmente muchos á las mugeres, porque juzgaba debía seguir la discusión del ciudadanos que habían si…</t>
  </si>
  <si>
    <t>…ob &gt; la idea; pero se devolví 5 A !n comisión para que intvod ccion del extranjero para el sur ido del egército. lo refundiera según lo que se había manifestado en la dis Otra del Sr. Vargas Ponce , que decía: «Pido que ¡as cusión. Cor es acuerden que todos los diputados de de [a legislatura Luego se leyeron y aprobaron varias adiciones, una de!' próxima uten de un vestido decoroso é igual, compuesto Sr. Calderón, que decia: «Los dias para la mejora em…</t>
  </si>
  <si>
    <t>A la misma comisión otra indicación del Sr. Bahamonde, do pedido el Sr. Vargas Ponce que ¡a secretaría despabilara que decia: «Que la comisión proponga el método y forma a ía mayor brevedad este decreto, pues en e! día de ayer que deba observarse en la presentación para piezas eclesiás habían puesto en la calle ¡os jeiuitas á todos sus discíp…</t>
  </si>
  <si>
    <t>…los interesados todo el bien posible para la Nación es dió , se infiere ya que deberán ser colocados, sino que el pañola. Gobierno los podrá nombrar atendiendo su mérito; y no El Sr. Vargas Ponce, después de hacer presente la mul hay un motivo para desconfiar del Gobierno, que ha ciado titud de emigrados que se han introducido en la corte, á pruebas bastantes de su rectitud y adhesión al sistema ; ni pesar de las órdenes vigentes , prueba nada favorab…</t>
  </si>
  <si>
    <t>…se presenta cuando puede si proceder contra un extrangero en caso de ser reclamado en no con el mejor de sus vestidos. virtud de los tratados por causa de lesa magestad, deberá El Sr. Vargas Ponce creyó de su deber recordar que hay preceder el dictamen del Consejo de Estado, quien deberá cierros gastos que se debieran tener en consideración en las oir previamente al interesado.” embajadas, y citó entre otros los del soberbio edificio que tie .Apoyó el…</t>
  </si>
  <si>
    <t>…por algunos de los interesados, y los docu nos en el presupuesto, donde en su concepto de'ria incluirse; mentos remitidos por el ministerio , y en tu consecuencia pero anunció el, Sr. Vargas Ponce, individuo de la comi manifestaba hallarse convencida de que había lugar á la for sión especial encargada de informar sobre el arreglo de Cár mación de causa, si el asunto se miraba por el lado, de la celes, que esta habia concluido sus trabajos, y los presen…</t>
  </si>
  <si>
    <t>…iento de Cartagena , en que hacia presente no ba¡&gt;;ar para y variando enteramente el escudo de armas de la moneda. las elecciones parroquiales la iglesia de nuestra Sra. de Gra El Sr. Vargas Ponce, individuo de Ja comisión, expre cia por el numeroso concurso que se reunia en ella , pidien só circunstanciadamente los motivos q-ie habían determinado do se le incorporasen algunas ayudas de parroquia. á esta á hacer cada una de las variaciones que habia pr…</t>
  </si>
  <si>
    <t>…que se le habian pedia á las Cortes su aprobación. Se mandó pasar á la co pasado , presentados por D. Jacobo Vülanova. misión ordinaria de Hacienda. Concluida la lectura, pidió el Sr. Vargas Ponce, indivi D. Gonzalo de Luna, abogado, presentó á las Cortes duo de (a comisión, qje te encargara al Gobierno que ínte dos ejemplares de la obra intitulada Economía universal, rin se discutía el proyecto inutilizase los calabozos subter otros dos de! tomo prime…</t>
  </si>
  <si>
    <t>468 , . frasatas; y qoe según et gran numero de estos últimos ba El Sr. Vargas Ponce dijo que debia pnsar al Gobierno ques, puede creerse que se piensa en embarcar tropas. para que este informase, y luego se pasase á ia comisión correspondiente. Asi se acordó. NOTICIAS DEL REINO. Las Cortes oyeron con agrado la felicitación del Gefe político…</t>
  </si>
  <si>
    <t>…ales cilia?, cual nueva estrella aparecida pocos meses há en el fir debían de dejarse al arbitrio de los profesores. mamento , se presentaba circundada por algunas nubes que se El Sr. Vargas Ponce satisfizo las objeciones del Sr. pre dirigían á oscurecer su luminoso esplendor; pero estoscelages, opinante , diciendo que ladlreccion de estudios , que se pro prosiguió con viveza, que suelen acompañar siempre á los ponía en el mismo proyecto , adoptaVia to…</t>
  </si>
  <si>
    <t>Poncedijo, Vargas</t>
  </si>
  <si>
    <t>Vargas Poncedijo</t>
  </si>
  <si>
    <t>…la ocasión de oponer datos á sospechas, razones á ca . El Sr. Gaseo pidi - que se hiciera extensivo á mañana, á lumnias , virtude- á imprudencias. El primer punto que ha lo que el Sr. Vargas Poncedijo que le habian mostrado va- ■ llamado la atención del Congreso ha sido el estado de la se rios milicianos que la tropa estaba contenta con que se sa-■ guridad pública ; que ya hace dias se notaba esta especie de piese q e cumplían con su deber. , ■ . ■ agitaci…</t>
  </si>
  <si>
    <t>Pones, Vargas</t>
  </si>
  <si>
    <t>Vargas Pones</t>
  </si>
  <si>
    <t>…amen ; pero amplian proteger nuestro comercio. Preguntaría A lo3 Sres. diputa do el término q e lija para la pr úxiina legislatura hasta el dos que le habían precedido, y al mismo Sr. Vargas Pones, año 23 , ó hasta que las Cortes acordasen otra coso. que tanto se interera en el fomento de !a marina de guerra, El Sr. Oliver creyó que habrían inducido á la comisión si creería asequible en el espacio de cuatro ó cinco meses A darsudie amen cuatro consider…</t>
  </si>
  <si>
    <t>Ponoticias</t>
  </si>
  <si>
    <t>…as -en Grecia. berse para satisfacción de los amantes del género humano, Extracto de una carta de Cilio, que contiene curiosas que él SrcCapo.de Istria ha puesto á disposición del Sr. Ponoticias sobre los progresos que hacen én.la Grecia moder liti varias-cantidades á título de fomento para una escuela de na las ciencias y la literatura. r. ' enseñanza mutua que este apreciabie profesor va á esta ..Tocia la Grecia aplaude el patriotismo y zelo de los…</t>
  </si>
  <si>
    <t>Pons, Juan</t>
  </si>
  <si>
    <t>Juan Pons</t>
  </si>
  <si>
    <t>…aleras y cañoneras viejas; pero sin Goninma, D. Juan Rull, D. Jaime Bosch, D. Serapio San— gefes ni marinería. Tiene ademas unas 30 embarcaciones mer gertnan, D. Francisco Cortés, D. Juan Pons, D. Manuel cantes , y muchos barcos pequeños de cabotage. Forner, D. Francisco Coima , D. Ignacio Torres GolobarMarruecos se halla actualmente sin marina. des, D. Josef Aranijo, D. Josef Antonio Carerach y Don Los periódicos alemanes dicen que Ali-Bajá ha rec…</t>
  </si>
  <si>
    <t>Pontela, Juan</t>
  </si>
  <si>
    <t>Juan Pontela</t>
  </si>
  <si>
    <t>…uerra patriotas de Algezares. acerca de los servicios hechos en Galicia al tiempo del res Las comisiones de Agricultura, Caminos y Canales, en tablecimiento de la Constitución por D. Juan Pontela, opi vísta de la exposición de varios vecinos de Albacete acer nando que no solo puede con justicia decirse que á las Cor ca de los perjuicios que les ocasiona el canal de desagüe y tes le han sido agradables, sino que al recomendarlos al riego de aquel punto…</t>
  </si>
  <si>
    <t>Porccl, Antonio</t>
  </si>
  <si>
    <t>Antonio Porccl</t>
  </si>
  <si>
    <t>…sión de hoy representar al Excmo. Sr. Gefe supe Rubricado de Ja Real mano.= En S. Lorenzo á 6 de No rior político de esta provincia, entre otras cosas, la nece viembre de 1820.= A D. Antonio Porccl. sidad de remover de sus empleos á aquellos generalmente conocidos por desafectos á la Constitución, y de romar 2.0 Don Fernando vil por la gracia de Dios y por la gubernativamente medidas vigorosas contra los eclesiásticos Constitución de la Monarquía españo…</t>
  </si>
  <si>
    <t>Porce, Antonio</t>
  </si>
  <si>
    <t>Antonio Porce</t>
  </si>
  <si>
    <t>…a Gó~ bemacion de la Península á D* Agustín de Arguelles en atención á sus distin guidos méritos r debiendo, hasta la llegada .ckjest^ despadiar interinamente el citado ministerio D. Antonio Porce^, mi Secretario ae Estado y del Despa chó.. de la Gobernación de Ultramar., Tendráisíó .entendido,, y dispondréis lo conveniente á su cumplimiento.. = Está rnbricado. =r Palacio 3 de LAbril de 1820.=?Á D., Juan Jábate . 2.0 ,,En atención á ios distinguidos mé…</t>
  </si>
  <si>
    <t>Porceí, Antonio</t>
  </si>
  <si>
    <t>Antonio Porceí</t>
  </si>
  <si>
    <t>…s corres pon-» éa para su debido cumplimientoi Palacio ió de Marzo dé 1820. szEstá. n*-? bricado. = A D. Josef María de Alós.” • ; ' 4.0 , En atención á los méritds’y servicios de D. Antonio Porceí, mi— nístro quedue del supremo Consejo de las Indias , y a los conocimientos que tiene en los asuntos de América, he venido en nombrarle Secretario de Estado y del Despacho de la Gobernación de Ultramar. Tendreislo entendido, y dis-. pondtes lo necesario á su…</t>
  </si>
  <si>
    <t>Porcel</t>
  </si>
  <si>
    <t>…en sn concepto en perseguirlos, puesto que ya el pabellón no protege la debia adinitirse’el dictamen de la comisión. carga. Del dictamen por consiguiente no puede re-ultar uti El Sr. Porcel, extendí éndoce en apoyar A los Sres. Var lidad, sino daño, pues creo que acabarán de perecer todos gas Ponte y Oliver, acumulando reflexiones para demostrar los buques, y se concluirá nuestra marinería. El pueblo, los perjuicios que se seguirían de aprobar e…</t>
  </si>
  <si>
    <t>…y el Congreso, prestándose mutua fuerza principiado con el mayor aparato, y quedaba reducida á la entrambas autoridades. nada en el momento en que el ministro de la Gobernación El Sr. Porcel, de eo&lt;o como el que mas de conceder habia asegurado q -e no estaba comprometida ia tranquilidad una absoluta libertad individual á todo español, advirti &gt; que pública; y que no habiéndose negado la neceó dad de for nadie podia gozar de una libertad que, no.‘…</t>
  </si>
  <si>
    <t>…s casos gene muerte algunos millones, seria porque los tuviese de su casa rales, que dicen relación con lo gubernativo. y por las circunstancias en que se habia hallado, siendo El Sr. Porcel, secretario del Despacho de la Goberna hombre muy estudioso y entregado á las bellas artes; y que ción de Ultramar, pregmtó si en caso de que esta indica en cuanto á los agregados á las embajadas ya S. M. habia ción fuese aprobada, y se debiese oir al Consejo…</t>
  </si>
  <si>
    <t>…io de que se trataba, y el origen que tes de fierre* de Navarra , pidiendo se prohibí la introduc daba á contrabandos. ción de fierro exrrengefo en la Península y Ultramar, por El Sr. Porcel impugnó detenidamente este artícele.. ba .no ser suficiente para impedir su entrada el derecho que jo el supuesto de que el privilegio, lo tuviese la compañía paga. como contrato con el Gobierno, ó como simple privilegio, A la de Catninos y Canales un proyect…</t>
  </si>
  <si>
    <t>Porcel, Antonio</t>
  </si>
  <si>
    <t>Antonio Porcel</t>
  </si>
  <si>
    <t>…la que las designadas. Lo tendréis entendido, y comuni careis á quien corresponda para su mas exacto cumplimiento. = ¡Rubricado de Ja Real manó. = Palacio 26 de Abril de 1820. = A D. Antonio Porcel¡” 2° „ Por mi decreto de 15 del corriente tuve á bien restablecer en ni pleno vigor todos los decretos que las Cortes generales y extraordinarias, y las or dinarias, dirigieron á la Regencia del Reino durante sus sesiones en favor de los habitantes de las pro…</t>
  </si>
  <si>
    <t>…ti&gt;i)uo de su humillación.. Lo tendréis entendido, y comunicareis á quien (Corres ponda para su cumplimiento. =: Rubricado de la Real mano. = iin Palacio á 29 de Abril de 1820.5=A D. Antonio Porcel.” ^ Circulares del ministerio de Querrá. 1.«v Lá voluntad, gerleral de la Nación , que unida al voto del egército , ha manifestado a,l Rey' su ardiente, deseo de ver restablecida ía Constitución po; lírica de la Monarquía Española promulgada en Cádiz en 19 de…</t>
  </si>
  <si>
    <t>Pórcet, Antonio</t>
  </si>
  <si>
    <t>Antonio Pórcet</t>
  </si>
  <si>
    <t>…Estado y del Despacho de Hacienda á D. Josef Canga Arguelles, debiendo D. AntonioSalmon seguir en el des pacho de los dos ministerios referidos hasta la llegada á esta ca pital de D. Antonio Pórcet y del citado D. Josef Canga Ar guelles. Tendreisío entendido , y dispondréis lo conveniente á su cumplimiento. = Está rubricado. = A D. Juan Javat.” Nota. Se ha expedido por extraordinario de ayer al señor Canga Arguelles el aecreto que le concierne.. E1‘ Ret…</t>
  </si>
  <si>
    <t>Porlier</t>
  </si>
  <si>
    <t>…mios, dígase al Gobierno que se la cual realizada, proporcionará extraordinarias ventajas. declare inmediatamente la viudedad á la señora viuda del Madrid og de Agosto. benemérito general Porlier , abonándole el haber que la cor SS. MM. y AA. siguen sin novedad en su importante responde percibir desde el fallecimiento de su esposo.” Su salud. autor añadió habia sabido por casualidad que se hallaba en S. M. ha despachado hoy con los Sres. secretarios d…</t>
  </si>
  <si>
    <t>…repongan los que no hayan si El Sr. Zapata hizo dos indicaciones: r.J «Que las Cor do admitidos constitucionalmentc, ó no hayan merecido la tes declaren benemérito de la patria al general Porlier: i.* confianza de la Nación. «Que en su consecuencia pase esta resolución al Gobierno Se procedió á la discudon del reglamento de milicias na para que en favor de la viuda de este general acuerde lo que cionales, y se leyó el artículo 39 sobre la fórmula de!…</t>
  </si>
  <si>
    <t>…es de Anglesea y otras personas dis día por la brillantez y buen gU'to de las iluminaciones be tinguidas fueron ayer insultados determinadamente. Cuando representó un monólogo del general Porlier por un sargen la Reina iba á St. James, rodeada de mucha menos gente to de la Princesa, quien Lo recitó con la mayor propiedad, que otros dias, una multitud de hombres, que nada tienen y se terminó con un baile, que duró hasta las cinco de la ma que perder, s…</t>
  </si>
  <si>
    <t>…rtínez , desde Guar- Ignacio Varela, vecino de la Coru.'ia, manifestando sus datinajas de i.° de Junio, al brigadier D. Francisco Tomas méritos y servicios patrióticos á favor det general Porlier, Morales, se sabe que el 29 de Mayo había marchado aquel y pidiendo se le favoreciese para poder educar á sus siete al punto de S. Felipe á batir áLópez, y que no consiguién hijos. dolo, se dirigiría á Camaguan,y participaba ya haber bati A la de Infracciones…</t>
  </si>
  <si>
    <t>…l dictamen de la comisión. María Peón y otros oficiales del eeército, manifestando ha Igualmente se aprobó el de la segunda de Legislación , re ber sido compañeros del desgraciado general Porlier , y co lativo. á que se sentenciase el pleito entre.. D. Francisco de mo tales comprendidos'en su causa,"y pidiendo se les de Herrera y consocios con D. Fernando de Carbia, vecinos clarase dignos de la consideración del Gobierno por los per de Granada , sobre…</t>
  </si>
  <si>
    <t>…tiva á si debería imponer á Pedro Villarta, diondo, en que manifestaba haber sido comprendido y pre individuo de la cuadrilla de salteadores , conocida por los so por la causa del general Porlier; y que habiendo logra Niños de Ecija, la pena señalada anteriormente por la au do tugarse, habia continuado en Inglaterra y Francia sus diencia , ó si debería oírle antes. servicios por la libertad de la Nación, y por; último había A la ordinaria de Hacienda…</t>
  </si>
  <si>
    <t>…s, el aumento de sueldo concedido A Iás »»Oue se rengan presentes los oficiales que fueron compren clases inferiores del egército; declarando al mismo tiempo didos en la cauta del general Porlier, para que sean aten comprendidos en el expresado aumento A los primaros te didos confitrme á sus me'ritos y servicios.” nientes de la guardia Real de infantería. Se concedió licenc-a al s.r. diputado D. Pedro ¡Rutz de Al Gobierno se mandó pasar una in'tancia…</t>
  </si>
  <si>
    <t>Porlier.fiíel, Juan Diaz</t>
  </si>
  <si>
    <t>Juan Diaz Porlier.fiíel</t>
  </si>
  <si>
    <t>…r, de acuerdo con la Junta provisional de gobierno, que todos los indi viduos.comprendidos en las causas formadas al mariscal de campo D. Fran cisco Espoz y Mina, el de igual dase D. Juan Diaz Porlier.fiíel,teniente ge¿neral D. LuisLacy, el comisario de guerra D. Vicente Richard y el maris cal de campo D. Mariano Renovales, las formadas en Valencia en 1817 y 1819 , la de los acontecimientos del egército expedicionario d&amp;Ultramar en $ de Julio de 1819 , y demas d…</t>
  </si>
  <si>
    <t>Porras, Joaquín Ruiz de</t>
  </si>
  <si>
    <t>Joaquín Ruiz de Porras</t>
  </si>
  <si>
    <t>…también me informe) el referido Gefe político que el pueblo acla mó la tarde del viernes, y- al tiempo de pedir Ja Constitución, por goberna dor de esta plaza al mariscal de campo D. Joaquín Ruiz de Porras, destitu yendo al teniente general D.. Francisco de Coponsy Navia, como igualmente al mariscal de campo, gobernador de esta ciudadela, D. Pedro de Grimarest, sustituido este por el coronel del regimiento de infantería de Murcia D. Fer mín Escalera, y asimismo…</t>
  </si>
  <si>
    <t>Portee, Vargas</t>
  </si>
  <si>
    <t>Vargas Portee</t>
  </si>
  <si>
    <t>…igueras y viña, páis en que hay libertad de imprenta parecían sumamente al pago de Casillas, término de dicha villa. ridículos. Idem idem por D. Genaro Espinosa en dicha villa. £i Sr. Vargas Portee hizo y retiró una indicación para Dos suertes de olivar, el uno de 216 pies, y el otro de que se decretara que el Gobierno estaba autorizado para po 430 , en el término de Montoro. ner en práctica la ley de Partida contra las asonadas. Idem idem por D. Bartol…</t>
  </si>
  <si>
    <t>Porter</t>
  </si>
  <si>
    <t>Núm. 90. [5 cuartos.] y í:"f ,;¿ i■' ) ■''i» DEL MARTES 6 DE JUNIO DE iáio. - ! &gt; ^ ¡ - i. . ‘ .1: - ■ RUSIA. : / . ¿ h . t :.,*4 Petcrsbiirgo i8 de Abril, El caballero Porter, viagero ingles, acaba de llegar aquí desde Persia des pués de recorrer aquellos países, que en ei día fijan la atención de Europa. Este viagero ha regalado ai Emperador írn ladrillo de las ruinas de Babilonia; un pedazo de betún&gt;de ;que usaban e»‘ la constru…</t>
  </si>
  <si>
    <t>Portier</t>
  </si>
  <si>
    <t>…dor, y poniéndole las manos sobre el hombro derecho, la Coruña, manifestando los servicios que habia prestado, le rasgó el vestido, causándole una herida leve: hízolo por tanto al general Portier, como posteriormente; de que había segunda vez con las quijadas abiertas para devorarle; y en resultado la emigración de su familia y la ruina de su casa , tan crítica situación con la mano izquierda pudo asirle la y pedia alguna recompensa para poder subsist…</t>
  </si>
  <si>
    <t>…haberse extraviado su solici Premios del egéreito de S. Fernando. Se acordó que pasase tud anterior, en la que exponía los servicios que hizo en al Gobierno. tiempo del benemérito general Portier, gastando cuanto te La comisión segunda de Legislación presentó su dicta nia en la malograda tentativa de este desgraciado patriota; men acerca de la exposición del teniente coronel D. Josef y pidiendo que en atención á su actual estado de escasez se Tahona y…</t>
  </si>
  <si>
    <t>…ón' adoptarse era hacer respons ihles A los pueblos de ¡os delitos de D. Juan Eontela ,■ manifestando haber sido comprendido- que se ‘comerte en en res t írmlnos.' en la.cau-a»del general Portier, y úrtimamente h tber sido- El-Sr. Sánchez Salvador manifestó que en todos tiempos uno dedos que leívantafon ei grit-- de la libertad en Galicia;’ habia habido rhu~!'ns malhechores, y que el Gobierno te por lo que pedia qué se declarase que sus servicios habl…</t>
  </si>
  <si>
    <t>Portocarrero, Tomas</t>
  </si>
  <si>
    <t>Tomas Portocarrero</t>
  </si>
  <si>
    <t>…en un escrito en lengua ventajas que se expresan, y ordenar las colecciones que tuviesen persiana, precedido de un prólogo en árabe, que se intitula por conveniente , ocurrirán á D. Tomas Portocarrero , grabador contra la idolatría de todas las religiones. Apellida su de láminas en la calle dé la Almudena, núm. 3, quien les dará doctrina la creencia de la unidad; pero reconoce la mo razón de la casa que habita el interesado. ral del evangelio como la única…</t>
  </si>
  <si>
    <t>Portugal, Henrique Ataide y</t>
  </si>
  <si>
    <t>Henrique Ataide y Portugal</t>
  </si>
  <si>
    <t>…de los Niños: obra útil para su cristiana y civil educa 122 fanegas y media, pagos del Bcche y del Pozo de San, ción. Publícala , traducida al castellano , corregida y aumentada, D. Henrique Ataide y Portugal: es un resumen de los principiosIgnacio. de la moral cristiana y de la civilidad, breve, claro, metódico, Una casa , calle de la Corredera. y proporcionado á la capacidad de los niños íun tomo en 8.° Se Una hora y un grano de agua por tanda en la balsa dé hal…</t>
  </si>
  <si>
    <t>Portuondo, Francisco de Paula</t>
  </si>
  <si>
    <t>Francisco de Paula Portuondo</t>
  </si>
  <si>
    <t>…l Sanentre sí como el medio mas á propósito para difundir por taella á canónigo de la santa iglesia catedral de Puerto-Rico, todas parres y hacer circular las luces. y renuncia de D. Francisco de Paula Portuondo, han que Tonió la palabra el Sr. ministro de la Gobernación de dado vacantes en la misma dos raciones, regulada cada una la Península , y dijo, que le parecía podían reducirse todas en 600 pesos de renta anual: y para su provisión se admiten las doctrinas pro…</t>
  </si>
  <si>
    <t>Potemkim</t>
  </si>
  <si>
    <t>…su libertad y su dignidad. el dia 30 á la plaza del palacio , los soldados se presenta «Habitantes de Lisboa ! Continuad tranquilos como ta ron sin armas, y con capotes pardos. El general Potemkim, ta aqui. Vuestros hermanos de las provincias, la Europa su antiguo coronel, á quien amaban mucho , consiguió imparcial, el mundo entero justificarán vuestras virtudes pa por un momento formarlos en dos batallones; pero bien trióticas, y os tributarán el debi…</t>
  </si>
  <si>
    <t>Pou, Josef Mariano de</t>
  </si>
  <si>
    <t>Josef Mariano de Pou</t>
  </si>
  <si>
    <t>…ya lugar en derecho , y se dará á los autos del abintestato el curso que corresponda. Se cita , llama y emplaza á los acreedores á los bienes que han quedado por falle cimiento de D. Josef Mariano de Pou , coronel de los Reales egércitos, agregado úl timamente al regimiento infantería del Infante D. Cárlos, que murió en esta plaza el 2 3 del pasado, cuyo juicio de testamentaría se halla radicado en el juzgado militar de la misma, para que en el término de 40…</t>
  </si>
  <si>
    <t>Pover, María Pazos y</t>
  </si>
  <si>
    <t>María Pazos y Pover</t>
  </si>
  <si>
    <t>…no el 2.a y 3.°, y que debia independencia con su persona y acémilas, en atención .1 la volver el dictamen A la misma comisión, pidiendo el señor indigencia en que se halla ; y a Doña María Pazos y Pover La Santa que añadiese esta otros artículos semejantes al 4.0 se la concediese algún socorro, hasta que se la pueda dar la para reglamentar las corporaciones de que se trataba; y se viudedad que la corresponde por muerte de su marido Don levantó la sesión. Juan Langres…</t>
  </si>
  <si>
    <t>Pozo, Alfonso del</t>
  </si>
  <si>
    <t>Alfonso del Pozo</t>
  </si>
  <si>
    <t>…idencia de 20 del corriente cfel Sr. D. Francisco Xavier dé* ©jédhy d[el Consejo.de S. M en el supremo de Hacienda, juez asesor general dé la Real Gasa y Patrimonio, refrendada de D. Alfonso del Pozo, secretario de S. MV y sus Reale$. caballerizas., se ha mandado sacar á pública subasta por otros 15 dias más, contados desde esta fecha, una casa sita en la calle de Zurita., señalada con el número 3 9 de la manzana 20 , y es la misma.que se anunció al públi…</t>
  </si>
  <si>
    <t>Pozo, Antonio Lázaro y</t>
  </si>
  <si>
    <t>Antonio Lázaro y Pozo</t>
  </si>
  <si>
    <t>…cita., llama y emplaza 4 D. Melchor de Urra, D. Antonio (^onsez Villaboa, Don Joaquiq;txaniza de Vitoria, D. Josef Antonio Arriba, D. Diego Gastambide, Don Termin Antonio Arriaga, D. Antonio Lázaro y Pozo, D. Pablo González, Don Francisco Xavier Guerra Balboa, D Juan de la Torre, D. Mariano Mamar, Don Juan Pió Jaén, D. Manuel Vacas y Pinilla y los señores Balmaseda ¿ hijo, últimos tenedores de 37 vales, citación de fi.° dc Enero de 1809., señalados: 9 de ñocrp…</t>
  </si>
  <si>
    <t>Pozzo</t>
  </si>
  <si>
    <t>…eso, cuando he aqui se presenta ya en la Dios os tenga en su santa guarda.= Luis." escena un intrigante, que compromete la tranquilidad de ¡3 Ayer salió de esta capital el general príncipe Pozzo di capital, esparce la alarma de un extremo al otro de - la Pe Eorgo, embajador de Rusia en Paris, que va á Troppau, nínsula, y nos hace formar á todos mil y bien fundadas donde está su Soberano. sospechas sobre la sinceridad de ciertos funcionarios, ai pa so…</t>
  </si>
  <si>
    <t>Pozzo-diBorgo</t>
  </si>
  <si>
    <t>…s de sus réspeétivós^ Soberanos en respuesta á la notificación que se les había hecho de la muerte dé S. A. R el duque de Berry. Con el mismo motivo se presentó después á S. M. el general Pozzo-diBorgo, poniendo en sus manos una carta de pésame de su Soberano el Empe rador de Rusia. ’ •■*■■■■ - ESPAÑA, ¡ Madrid is&gt; de Abril. Ha llegado á esta capital el célebre D. Felipe Arco Agüero, gefe del estado mayor del egército nacional de la Isla, á quien S. M. ha r…</t>
  </si>
  <si>
    <t>Prado, Bartolomé Saiz del</t>
  </si>
  <si>
    <t>Bartolomé Saiz del Prado</t>
  </si>
  <si>
    <t>793 serlo en esta urgentísima ocasión , en que se os pí Je que ¡a provincia; D. Bartolomé Saiz del Prado, comisionado del seáis: porque está escrito que los labios de los sacerdotes Crédito publico; D. Josef I.opez Busrainante, administra guardan la ciencia, y que la ley se encontrará en su Loen. dor de Cruzada; D. M mee! Cisneros , D. Francisco Perez Los pueblo…</t>
  </si>
  <si>
    <t>Prado, Bernardino Temes y</t>
  </si>
  <si>
    <t>Bernardino Temes y Prado</t>
  </si>
  <si>
    <t>Junta nacional del Crédito contenida en el artículo i.° del citado decreto; y que por ahora compóngan dicha Junta D. Bernardino Temes y Prado y Don Antonio Barata, que fueron nombrados ministros de ella por las mismas Cor tes en 15 de Qctubre de 1811. Tendreisio entendido, y dispondréis lo con veniente á su puntual cumplimientó&amp;Rubficado. = Palacio 13 de Marzo d2T1820.” Asimismo se ha servido S. M. expedir con esta fec…</t>
  </si>
  <si>
    <t>Prado, Fran</t>
  </si>
  <si>
    <t>Fran Prado</t>
  </si>
  <si>
    <t>…onfitrme á sus me'ritos y servicios.” nientes de la guardia Real de infantería. Se concedió licenc-a al s.r. diputado D. Pedro ¡Rutz de Al Gobierno se mandó pasar una in'tancia de D. Fran Prado para ausentarse A Valencia, con el fin de restable cisco Dufó, director de la compañía de seguros c mtra in cer su salud. cendios. en que bajo el supuesto de no haberse entendido Se leyó el d¡o*amen de la comisión ordinaria de Ha con claridad por la junta del…</t>
  </si>
  <si>
    <t>Prado, Lucas del</t>
  </si>
  <si>
    <t>Lucas del Prado</t>
  </si>
  <si>
    <t>…e la di con agrado. putación provincial de Cuenca. En consecuencia se pasó con A la comisión correspondiente se mandó pasar una ex urgencia á la ordinaria de Hacienda. posición de D. Lucas del Prado, remitida por et Sr. secre El Sr. presidente nombró en su lugar para la comisión tario de la Gobernación de la Península, dirigida á que se primera de Legislación al Sr. Giraldo; para la de Poderes le dispense el tiempo de estudios que le falta para concluir…</t>
  </si>
  <si>
    <t>Prado, Tomas de Sancha y</t>
  </si>
  <si>
    <t>Tomas de Sancha y Prado</t>
  </si>
  <si>
    <t>…a mañana, en su posada para junta de:acreedores é in-, terésados en la testamentaría del Sr. D. Diego López Perellá,, que se halla radicada en su juzgado y escribanía de número de D. Tomas de Sancha y Prado. ~ Se desea saber el paradero de Juan de Salaverri, natural de Bayona, y vecino de la ciudad de Burgos, de donde salió en 27 de Abril de 1816 con dirección á CiudadRodrigo, desde cuyo pueblo no se ha vuelto á saber de su existencia Qjien tuviere alguna notici…</t>
  </si>
  <si>
    <t>Prats, Miguel de</t>
  </si>
  <si>
    <t>Miguel de Prats</t>
  </si>
  <si>
    <t>…expresado monte de que por el enun cisco Antonio de Tudo , D. Josef de Ortiz, D. Josef de ciado extinguido Consejo solo se dió conocimiento de la Masdevall, D. Manuel de Fortuny , D. Miguel de Prats y mencionada Real resolución en 24 del mismo Enero último "Villalba, D. Juan de Medinabeitia, fiscal; D. Pedro Gó á ese ministerio, y al inspector general de infantería por lo mez de las Casas, alguacil mayor; D. Jaime Parera, fiscal relativo á la enunciada P…</t>
  </si>
  <si>
    <t>Presas, Josef</t>
  </si>
  <si>
    <t>Josef Presas</t>
  </si>
  <si>
    <t>…poderosas razones que el Campos, con varias observaciones sobre la necesidad de llevar almanaque civil ó calendarlo de esta provincia , la Mancha ál cabo tan importante obra; por D. Josef Presas. Vándese éa la librería de Matute.alta y baja, Guadalajara, Cuenca y Toledo para el año física-qüímica reducida i verdaderos principios, según despróximo de 1821 se subaste y saque á público remate en cubrimientos modernos, aplicada á lá medicina y á las arts…</t>
  </si>
  <si>
    <t>Presiden</t>
  </si>
  <si>
    <t>…gran partida de la deuda nacional. ;.;l El ban Antes de pasar á la discusión pendiente sobre el Crédito co nacional de S. C irlos, los cinco gremios y la compa público dispuso el Sr. Presiden e que se leyerin los artícu ñía de Filipinas podrán designar el número de acciones lo- i ,7, 15X y ií9 de la Constitución, relativos al nom equivalente al valor de los créditos que tienen contra el bramiento de la diputación permanente de Cortes, y el ar Esta…</t>
  </si>
  <si>
    <t>Presidente</t>
  </si>
  <si>
    <t>…nia culpa de que hubiesen faltado los Cortes la comisión de Hacienda en tSt;, añadiendo por dos electores, procediendo esta ademas con tal delicade su parte otras reflexiones. F.l Sr. Presidente levantó la sesión za que habia elegido uno (el Sr. Giraldo) del partido de pública para entrar en secreta. Infantes, cuyos electores no habían asistido. Se acordó no haber lugar á votar sobre este asunto. ARTICULO DE OFICIO. A la comisión de Legislación se ma…</t>
  </si>
  <si>
    <t>…y ; y es bien sabido que si se le concedía Real Familia, el que se dejó para discutirle en otra se la franquicia, á la sombra del establecimiento se introducá- sión, levantando el Sr. Presidente la de este dia. •rían muchos mas víveres ó géneros. Por lin, como quiera que se hiciese esta rebaja de contribución, ó seria contraria Exposición que ha dirigido al Rey el asuntar,liento á ia Constitución, ó abriria la puerta á los abusos , y por ae Cuenca. t…</t>
  </si>
  <si>
    <t>…y comprendidos por consecuen vantes, Medrano, Torre Marín, Muñoz, Golfín, Calarracia en los que designa expresamente el 371 de la misma; va, Yuste, San Juan, Camus, Lastarria, el Sr. Presidente que entre las restricciones; de la libertad de imprenta no en y otros tres. contraba una siquiera que prohibiese á los militares usar de En consecuencia se declaró aprobado el dictamen de las ella; que tampoco hallaba en los artículos 24 y 25 de la ley comisi…</t>
  </si>
  <si>
    <t>…viduos de la comisión la necesidad de reconciliar con ¡tí ma y tocándole hablar al Sr. Martínez de la Rosa, suspendió dre patria á estos hijos que la dejaron en borlandad , ha el Sr. Presidente la discusión para continuarla mañana por bian convenido en que se les concediese volver á ella y dis ser cerca de las tres de la tarde; y levantó la sc-ion. frutar de sus bienes; pero no hablan creído que se les de bían conceder unos derechos de que podrian u…</t>
  </si>
  <si>
    <t>…Gobierno por un artículo adicional para que pudiese solici- • dactarlos según ’lá menté del Congreso; y conviniendo el tar la concurrencia de la autoridad eclesiástica en aquellos Sr. Presidente en que esto podria hacerse después de discu puntos en que la creyese conveniente; y esto solo como tido el proyecto, se procedió á la votación , y quedó apro medida de pura política y prudencia , pues sabia y volvió á bado el art. 9,0 " f manifestar que la Na…</t>
  </si>
  <si>
    <t>…Gómez y Orea, y en las principales de las provin la misma arenga, cuyo dictamen fue aprobado. cias. Su precio 40 rs. en rústica y 50 en pasta, y 100 el de Habiendo-manifestado el Sr. Presidente que la comisión los grandes en buena pasta. de Hacienda liabia reformado ya su dic:amen en cuanto al Ensayo sobre la topografía y estadística de la villa de Reus, con el epígrafe siguientes con solo el auxilio de topografías exac presupuesto del-ministerio de…</t>
  </si>
  <si>
    <t>Prie</t>
  </si>
  <si>
    <t>…e saíen anualmente de España para subsistencia de artículo, y quedó aprobado. aquellos conventos,y si podrían reducirse ó suprimirse.” No se admitió á discusión una indicación del Sr. Prie El Sr. Freire propuso una adición al art. 19, que no se go, reducida á lo misino que habia propuesto en su dis admití ) á discusión, y decia: «Si acaso las religiosas secu curso. larizadas no eligiesen reembolsar sus dotes, en cuyo caso se Se leyó otra indicación d…</t>
  </si>
  <si>
    <t>Priego</t>
  </si>
  <si>
    <t>…ue se leyó. El Sr. Vadillo, conceptuando que con decir se sobre Se presentó para unirle al acta un voto particular del sea en las causas, se entendía bien que si hubiese algún pre Sr. Priego contrario á la resolución tomada en la sesión pró so debía ser puesto en libertad; dudó sin embargo si que xima sobre el proyecto de educación pública. daría tan claro que fuese con absolución de costas; 16 §ue Las Cortes oyeron con particular satisfacción el…</t>
  </si>
  <si>
    <t>…comisión se h-biera ceñido sí, se pasó A votar por partes el dictamen de las comisione'". en c! dictamen á la Andalucía. Lcido el primer arriculo, hicieron presente algunos se El Sr. Priego , poniendo A la España por su falta de ca ñores diputados que no correspondiendo exactamente la funales, de caminos, y por la dificultad de su comunicación nena de trigo al quin al de liarina. no podia fij írsele e! mis interior, fuera del cAlci lo de los eco…</t>
  </si>
  <si>
    <t>…de las causas del mismo mal, porque si no se cono Se leyó el acta de la sesión anterior. Habiendo hecho ciesen estas, no servirían acaso los remedios que se aplicasen. pre'ente el Sr. Priego que había notado algunas equivoca En cuanto al primer punto manifestó su opinión el Gobier ciones en la gaceta del Gobierno., respecto del dictamen de no, el cual débia reunir todos los datos mas ciertos ;sobre la comisión de Bellas artes, con que se concluyó…</t>
  </si>
  <si>
    <t>…ue la guardia Real de infan medio hasta que se arregle el pían general de Hacienda; tería ha dado nuevas pruebas de su tlescontento. El viernes, todo lo cual fue presentado por el Sr. Priego á nombre de cuando los tambores tocaban llamada para la parada de la los diputados de la expresada provincia. mañana, tres compañías del primer regimiento no quisie El Sr. conde de Toreno reclamó para después que se le ron salir de los cuarteles; y noticioso…</t>
  </si>
  <si>
    <t>…r lugar á cualquiera alguna alteración favorable los vales, y se iría cubriendo el reclamación que pudiere ocurrir.” Crédito público para salir de apuros en caso necesario. Apo El Sr. Priego, conceptuando que la comisión habrá tra yó por último el dictamen de la comisión, ofreciendo á las tado el asunto con el tino y sabiduría que le eran propias, Cortes un documento que llevaba, por si podia contribuir á creia que las Cortes no debían detenerse…</t>
  </si>
  <si>
    <t>…echo de usar del fuero particular eclesiástico, siempre ligencia y efectos correspondientes. Palacio 31 de Julio de las Cortes se han reservado el derecho de protección. 1820.” El Sr. Priego apovó al Sr. preopinante, manifestando que SECRETARIA DEL -CONSEJO UE ESTADO.____Ultramar. si las monjas no pudieran secularizarse sino después de es tar demostrado que la autoridad eclesiástica no habia cam- Por fallecimiento de D. Josef Hurtado de Saracho,…</t>
  </si>
  <si>
    <t>…nínsula , de que S. M. seguía disfrutando el beneficio de los dia el Sr. Banqueri. Por último, después ae haber dicho el baños, y permanecía en buena salud con su augusta Esposa. Sr. Priego que ya estaba acordado , y que únicamente de Se aprobó la propuesta hecha por la junta de Censura bía tratarse de sí se entendería solo trigo ó granos, se apro para vocales de las de Navarra y Toledo, y piara completar bó el dictamen de la comisión por 5 4 vo…</t>
  </si>
  <si>
    <t>de Constitución. La libertad de imprenta, dijo-, consiste’ Sr. Priego fue el primero qué se levanto, apoyando tn tíñ eséncialmente en poder escribir, y en q.:e se puedan impri todo el dictamen de la mayoría de las comisiones. Tres tan, mir y publicar los escritos sin previa censura ni licencia; y dijo, las razones que sé alegan…</t>
  </si>
  <si>
    <t>…cia el alivio que debe procurarse A las cargas del era clases comprendidas en las palabras funcionarlos públicos;” rio, se ha servido el Rey, en conformidad de lo propues otra del Sr. Priego «que se exprese que por funcionarios to por la dirección de la Hacienda pública, declarar supri públicos no se entienden para quedar exceptuados del ser mida la plaza de vista que ha resultado vacante en la aduana vicio de la milicia nacional los empleados en…</t>
  </si>
  <si>
    <t>…nfirmación del sagrado pacto entre ría , sobre !a utilidad de ¡a Constitución. el Rey y su pueblo, pues á la augusta ceremonia se halla Se leyó por primera vez una proposición del Sr. Priego ban presentes los diputados de casi todas las provincias. Las para que se señalen 90 doblones anuales á los diputados de tropas de linca y los milicianos , unidos con la mayor ar provincia que no sean vecinos de la capital. monía en el profundo sentimiento de…</t>
  </si>
  <si>
    <t>…bre, feliz ó infeliz, según su conducta, y no según el lar á los señores eclesiásticos, puesto que se hallan en caso sueldo qüe obtiene. mas ventajoso que los demas ciudadanos. El Sr. Priego pidió que se aclarase el artículo en la par Este primer punto fue aprobado después de haberse de te de que los sueldos serán conforme al de su último desti clarado suficientemente discutido. no ; pues hizo ver que podrá haber algunos que hayan ser Se leyó y a…</t>
  </si>
  <si>
    <t>…los ojos, dan otro de gratitud. nen los actuales. Madrid 2 i de Agosto. Se leyeron por primera vez varias proposiciones, una del SS. M\f. y AA. siguen sin novedad en su importante Sr. Priego sobre abolición de pósitos: otra del Sr. Losada, salud. relativa al método de pedir la palabra los Sres. diputados , y S. M. ha despachado hoy con el Sr. secretario del Des de discutir los asuntos; la que retiró su autor: otra del se pacho de la Guerra. ñor C…</t>
  </si>
  <si>
    <t>…y que la prisión con los nombres de afrancesados, persas, y disidentes de debe quedar pera después de esta. América. Leyó después el Sr. presidente dos leyes de la Recopi Otra del Sr. Priego para que en atención á ser contra lación, por las que manifestó que lo que previene la Cons rias á los principios de economía política las leyes que pro titución se hallaba ya en ellas, y que el a fectar ignorarlo híben el interes del dinero, se permita un 10…</t>
  </si>
  <si>
    <t>…onrercio, es pre-, A la que entiende en el asunto, una representación de císo que haya muchos ociosos sin culpa. 40 ciudadanos de Utrera , pidiendo que la enorme contri . Juzgó el Sr. Priego, qué sin perjuicio de las disposicio bución de alojamientos y bagages pese igualmente sobre to nes que se adoptasen para lo sucesivo, se debían tomar me das las clases. didas que disminuyesen el mal presente; y habiendo con No hubo lugar á votar sobre una pet…</t>
  </si>
  <si>
    <t>…se declaró discutido , y Por el juez de primera instancia de esta capital el Sr. D. Ju se aprobó el artículo. lián de Sojo, se pasaron á la audiencia territorial de Castilla la El Sr. Priego pidió que se pusiera al artículo 3." una adi Nueva los autos formados á instancia del Dr. D. Agustín Josef Mestre, boticario mayor de S. M. y de los egércitos nacionales, ción , de que ya había hecho mérito cuando se discutid en contra D. Josef Oíiez, boticar…</t>
  </si>
  <si>
    <t>…eldos o estipendios, o como maes nes políticas, evitando ios abusos de ia misma.” tros de oficios, se hallasen en el caso de vesiirte á expensas Admitida á discusión, manifestó el-Sr. Priego que le propias, y de perder algún jornal en servicio de la patria, parecía necesario en el día prescribir reglas para ciertas, re sin detrimento de la subsistencia de subfamilia* El maris uniones, sin hablar de los beneméritos individuos que las cal de campo…</t>
  </si>
  <si>
    <t>…los artículos 11 y 18 del proyecto de ley Se mandó pasar á las comisiones de Comercio y Legis sobre aranceles, acordada en la sesión de anoche. lación la siguiente proposición del Sr. Priego, de segunda Se mandó pa«ar á las comisiones de Diputaciones pro lectura: «Pido á las Cortes la formación de una ley que vinciales y de división del territorio español, después de permita el interes del dinero hasta el xo por 100 con hi recibirla con agrado, u…</t>
  </si>
  <si>
    <t>…la Rosa: «En vir segunda lectura, y que podría pasarse á la comisión si el tud de establecerse en Málaga la intendencia correspondien Congre-.o lo juzgaba conveniente. Después el Sr. Priego fue te , cere en el misino acto el establecimiento conocido con de opinión que podría pasarse á la comisión Eclesiástica; y el nombre de Veeduría general, encargándose la intenden el Sr. Martínez de la Rosa, que mirándolos bajo el aspecto cia de todas las atr…</t>
  </si>
  <si>
    <t>…graduándola ferencia de los servicios de este oficial, de los cargos que' de sediciosa y subversiva del orden público. habian resultado contra él en el tiempo que habia estado El Sr. Priego dijo, que á pesar de que solo habia pedí- ‘ prisionero en Francia, y del destino de capitán del batallón do la palabra para hablar sobre el,art. 14, no podía menos de Asturias, que le había conferido el referido general, con de convertir su discurso hicia la…</t>
  </si>
  <si>
    <t>38° i sus hijos que no comiesen sino del trabajo de sus manos, nión pública con la publicación de este papel. y que estuviesen sujetos a sus respectivos ordinarios. El Sr. Priego., después de manifestar su admiración de El Sr. San Juan hizo una indicación , que no fue admiti que hubiese quien sostuviese unos principios tan erróneos da, para que se exceptuasen las dos casas de padres agoni como habia sentada el Sr. Gasaseca, explicó ,…</t>
  </si>
  <si>
    <t>…e justicia quef tengan, juicios que de dicha resistencia se originan al Erario; y un asi civiles como eclesiásticas.” oficio del mismo ministerio, haciendo presente que á conse El Sr. Priego pidió que se exceptuaran los bienes de los cuencia de haber pedido muchos acreedores del Estado el conventos suprimidos de la orden de S. Juan de Dios , pues' pago de sus créditos, cediendo una parte de ellos á favor de mucha parte de ellos provenían de donac…</t>
  </si>
  <si>
    <t>…y rayo en la materia mas difícil en su concepto de la legisla por lo mismo no podia someterse á discusión. Sin embargo, ción, y juzgaba mas oportuno probar en aquellos delitos el Sr. Priego pidió que después de pensamientos se añadie ■que por su naturaleza interesan mas á todos los ciudadanos, ra políticos, porque podria acaso decirse que el segundo y están mas al alcance de todos , como el homicidio, sal artículo destruía al primero. teamiento…</t>
  </si>
  <si>
    <t>…com Sr. Arispe se votó el artículo por partes,y quedó aprobado petente los impresos que juzgue subversivos ó sediciosos.” en su totalidad. Pasado á la votación, quedó aprobado. El Sr. Priego presentó una indicación concebida en estos Art. 33. «En todos los cosos, excepto los de injurias, términos : «Al fiscal nombrado por el ayuntamiento para en que se abuse de la libertad de imprenta, deberán, el fis que examíne los escritos, se le señalará un s…</t>
  </si>
  <si>
    <t>…ra discusión abierta ó señalada hasta la conclusión de viese, eo atención á los hombres ilustres que habia produci estos dos amntos. do , y u su’ antigua fundación. A petición del Sr. Priego determinó el Sr. pre-idente A la ordinaria de'Hacienda una exposición de la villa que hubiera sesión ex; raordinaria todos los días empezan de Ca«a'de Reina, eu la que hacia presente el mal estado do hoy-; y habiendo pedido el Sr. Moscóso que «010 pu de la co…</t>
  </si>
  <si>
    <t>…, y los ministros del altar tratados con el de se , y el clero su subsistencia y su independencia, sin te coro debido. ner nunca que ir ni depender de la tesorería, que por des El Sr. Priego, manifestando que desearia tener una me gracia no tiene mucho crédito; pero que fuese este proyec moria feliz para contestar á todos los puntos comprendidos to ú otro, las comisiones reunidas, cumpliendo con las ul en el discurso del Sr. Lobato, y bajo el con…</t>
  </si>
  <si>
    <t>…agoza; que-después de declare que sus bienes deben solo pagar la contribución la salida de los franceses se dividió este derecho por mirad civil, y ño el subsidio eclesiástico. El Sr. Priego manifestó entre la expresada comunidad y la empresa del canal, para», que esta queja era genefal, pues el subsidio se ha repartido las obras de la puerta de Sta. Engracia ; y que no empleán sobre los bienes de los eclesiásticos, gravados ademas con la dose lo…</t>
  </si>
  <si>
    <t>…ándose ;al consejo de Estado tenga muy ■. A-iacomision: de Hacienda se mandaron, pasar las si- particular atención en sus propuestas con los dignos magis guieutesíndicaciories del Sr. Priego*. ;iy* «Que se levanten trados que han sido perseguidos por su adhesión al-sistema ios -apremios que por .razón de atrasos del' pago del ;subai-r Constitucional , !!) que hayan-mostrado éri- éstos- últimos seis dio estaú puestos al clero secular y regular que…</t>
  </si>
  <si>
    <t>Prieto, Antonio Romero</t>
  </si>
  <si>
    <t>Antonio Romero Prieto</t>
  </si>
  <si>
    <t>…D. Roque Naranjo : para el de Jerez de I s Ca-_. abierta y hacienda. balleros á D. Juan Gonzakz Miranda ;Zy’para el de Zafra á' Resolución. Que todo español, sea ó no militar, que D. Antonio Romero Prieto. te halle en el caso que expresa esta duda, y no tenga per Igualmente se ha servido nomb.rar en !a provincia dé la didos ó suspensos los derechos de ciudadano, disfruta de Mancha : para el partido de Ciudad-Real á D. Pedro An voz activa en todas las eleccione…</t>
  </si>
  <si>
    <t>Prieto, Pedro Perez</t>
  </si>
  <si>
    <t>Pedro Perez Prieto</t>
  </si>
  <si>
    <t>…n ía plaza y en la fortaleza de. S. Jorge ; al cadete D. Josef Joaquín: Gutiér-r rez,? que en ambas acciones se. ha cdnducido con envidiable, valor, é intre pidez; y á Jos vecinos D. Pedro Perez Prieto ,.Manuel Antonio Barlisa, Josef María y Rafael Iguaran , que contribuyeron por su part^áureunir y en tusiasmar la gente con que marché de. aquel sitio,, eosteáiíd.Qi^n.t&amp;’^telIos Jos gastos que se hicieron, y acompañándome el primero y últuriO: con ¡el obrje.…</t>
  </si>
  <si>
    <t>Prietoque, Pedro Perez</t>
  </si>
  <si>
    <t>Pedro Perez Prietoque</t>
  </si>
  <si>
    <t>…corriente* en que me separé de V. S. del sitio de Moreno con los 42 hombres armados y 16 sin armas que saqué de dicho sitio * llegué al parage nombrado el Paso&gt; donde se me reunid D. Pedro Perez Prietoque como V. S. sabe vino con e£ objeto de estimular y entusiasmar á los que me acompañaban , y se me presentó el te niente dé la tercera compañía Jacinto Amaya, á quien, como V. S. no ig nora ¿ había remitido» á dicho* punto anticipadamente con el fin de reunir t…</t>
  </si>
  <si>
    <t>Primo, Josef</t>
  </si>
  <si>
    <t>Josef Primo</t>
  </si>
  <si>
    <t>…esde muy arriba, á fin de que S. M. $e entere de todas» lasi ocurrencias, . • • , í ,, En el día 7 me envió el- capitán general D. Juan María Vülavrcencio al capí tafi de tía vio. D. Josef Primo, de Ribera para decirme &gt; que» advirtiendo en Cádiz alguna fermentación'* seria, conveniente qué yo pasase para tranqui lizar los ánimos. Nót pude;hacerlo ai día siguiente 8. por mis ocupaciones, y lo verifiqué el 9. Hallé al mismo Primo de Ribera en la bahía…</t>
  </si>
  <si>
    <t>Primo, N.</t>
  </si>
  <si>
    <t>N. Primo</t>
  </si>
  <si>
    <t>…os gobernadores del reino conceden y aseguran solem traido de su casa una hija , constituyéndola en deposito para nemente, en nombre de S. M., una entera amni tía á to ca arla con D. N. Primo. dos aquellos que inmedúramenre vuelvan á s i deber, y se A la de Agricultura una queja de un vecino de Puerto sometan al Gobierno legítimo; declarando ademas que en Real contra el ayun-amieuto de dicha villa, por haber es todo caco , asegurados de los leales…</t>
  </si>
  <si>
    <t>Propuso, Mviñózi</t>
  </si>
  <si>
    <t>Mviñózi Propuso</t>
  </si>
  <si>
    <t>…sido nal para juzgar á los 69 diputados de las Corres de 1814, una equivocación. ^ sino para las causas que ocurrieseh en lo sucesivo. Se leyó por segunda vez la proposición del "Sr. Mviñózi Propuso la duda otro Sr. diputádó de si deberían ser Torrero, en que después de manifestar las causas quernojletrados los elegidos; la que satisfizo'el Sr. presidente, ma tivaron la exclusión de los Infantes D. Francbco_de"Páulá nifestando que habiéndose de hacer el…</t>
  </si>
  <si>
    <t>Prós</t>
  </si>
  <si>
    <t>…ón; siendo lo lúas contra el juez de primera-instancia de la misma ciudad. particular que la explicación de está la hace siempre adap A la primera de Legislación una exposición de D. Prós tándola á la capacidad y dialecto de los que le oyen. pero García, vecino de la villa de Muro. Madrid t6 de Octubre. A la segunda de idem otra exposición de D. Juan Ma &amp; M. ha despachado hoy con el Sr. secretario del nuel de Zamudio, alcalde constitucional de…</t>
  </si>
  <si>
    <t>Ptgnabertad</t>
  </si>
  <si>
    <t>…individuos que las cal de campo Saluzzo ha sido nombrado comandante de la componen, y cuyos esfuerzos se dirigen á consolidar la li provincia de la Calabria ulterior; el teniente general Ptgnabertad de la patria, sin embargo de que era preciso co tclli inspector general de la caballería de línea, y el principe nocer la facilidad con que podian degenerar de su instituto; de Scaletta lunar-teniente de Sicilia. La junta preparatoria, y asi aun para la liber…</t>
  </si>
  <si>
    <t>Puente, Josef María</t>
  </si>
  <si>
    <t>Josef María Puente</t>
  </si>
  <si>
    <t>…aleares; á D. Mi guel Escudero de la de Navarra; á D. Bernardo de. los Ríos de la de Palen— cía; á D. Francisco'Cantero de la de Salaipanca; á D. Josef Qúeipo de la de Segovia ; á D. Josef María Puente de la de Soria; á D. Antonio Leonardo de Letona de la de Vizcaya» y á D. Josef Pintón y Lorenzana de la de Za mora. Asimismo ha venido S. M.ven nombrar gefes políticos interinos al bri gadier D. Josef Marrón de la provincia de Burgos; á D. Manuel Riva Her-? r…</t>
  </si>
  <si>
    <t>Puente, Luis García</t>
  </si>
  <si>
    <t>Luis García Puente</t>
  </si>
  <si>
    <t>…fiscal. han verificado su entrada en esta villa SS. MM. el Rey y la Reina en medio de las aclamaciones y demostraciones del mayor júbilo de todo el vecindario, y de los que de los D. Luis García Puente, segundo ayudante del cuarto pueblos inmediatos han concurrido. SS. MM. desde bastante escuadrón de artillería nacional: Habiéndose ausentado de distancia han sido conducidos en su coche arrastrado á bra- esta plaza y del cuartel dei regimiento infantería del…</t>
  </si>
  <si>
    <t>Puente, Vicenta Conde y</t>
  </si>
  <si>
    <t>Vicenta Conde y Puente</t>
  </si>
  <si>
    <t>…ues de los extrangeros y de los de Angel Ortiz del 51,489: D. Rafael Garrete del 52,819: Don lawares. Para salir de este apuro discurrieron los iroque- Josef Corminas del 52,890 : Doña Vicenta Conde y Puente del ses un medio que supone una profunda sagacidad política. 53&gt;52°- 53 &gt;5 '-7 &gt; 53-S-P y 53-5-17= D. Mariano Siguen del Entre estos ferocísimos pueblos no pueden nunca los hom 60,679; y D. Sebastian Artigas del 61,895. Y en providencia bres pedir la paz: nun…</t>
  </si>
  <si>
    <t>Puerta, Fernando</t>
  </si>
  <si>
    <t>Fernando Puerta</t>
  </si>
  <si>
    <t>…idem idem; D. Pío Ximenez de Muñana, del común , de 3 robos y 4 almudes, en la propia juris ídem idem; D. I-Ienrique Lefleer, comandante de aquel dicción, en 1950 rs. . resguardo; D. Fernando Puerta , D. Francisco García Cor Una casa en la Magdalena y Callizo del río de media radas, D. Francisco Hernández y D. Josef Xinienez , de villa , en la citada ciudad , en i 3.3.4, rs-..- , , - . pendientes; D. Josef Pavar, teniente coronel retirado, dis Otra pieza…</t>
  </si>
  <si>
    <t>Puerto, María</t>
  </si>
  <si>
    <t>María Puerto</t>
  </si>
  <si>
    <t>…, con la noticia de que ron en mucho las esperanzas de la sociedad y del pueblo, y los cónsules de Inglaterra y Cerdeña habían salido de aque muy particularmente las dlscipulas de Doña María Puerto lla ciudad, embarc.tndo'e para Marsella; pero que no se sa Belis, las cuales en ocho meses de educación hilan perfecta bia la causa de su salida. mente, hacen medías, cosen, leen algunas muy-bien y con Se asegura haber llegado ya á Fráncfort el manifiesto del…</t>
  </si>
  <si>
    <t>Puertolas, Pascual</t>
  </si>
  <si>
    <t>Pascual Puertolas</t>
  </si>
  <si>
    <t>…ención á sus méritos patrióticos, que re NOTICIAS DE LA PENINSULA. comendaba la diputación provincia!. Se acordó también parar al Gobierno una exposición de Cádiz 14 de Setiembre. D. Pascual Puertolas, comandante de batallón agregado al Ha entrado en este puerto el Precioso, bergantín es regimiento de las Ordenes militares, vindicándose de la pañol, procedente de laHavana, en 41 dias, con azúcar y acusación que habia hecho D. N. Eguaguirre; y también café.…</t>
  </si>
  <si>
    <t>Pueyo, Manuel</t>
  </si>
  <si>
    <t>Manuel Pueyo</t>
  </si>
  <si>
    <t>…de este último empleo, ha tenido á bien admitírsela, nombrando para que le sirva interinamente al di rector subinspector mas antiguo del cuerpo de ingenieros el mariscal de cam po D. Manuel Pueyo, cuyo general se halla en Barcelona; y entre tanto que se traslada á esta corte, para lo que se le ha comunicado ya la orden necesa ria es la voluntad de S. M. que se despachen por mí los negocios propios def destino de ingeniero general , dirigiéndose desde…</t>
  </si>
  <si>
    <t>Puig</t>
  </si>
  <si>
    <t>…ca castellana, -ortografía, geometría, urbanidad, cali ahora como Irasta aquí. grafía y doctrina cristiana; y fueron premiados los niños El Sr. Yandiola, después de dar gracias al Sr. Puig«n dos elaíes- blanch por sus buenos sentimientos, manifestó que el Go Madrid 2 ,9 de Julio* bierno trabajaba en uniformar aquellas provincias con las SS. A A.continúan sin la menor novedad en su impor demás de la Península, y que tenia por superflua la propo…</t>
  </si>
  <si>
    <t>Puig, Josef María</t>
  </si>
  <si>
    <t>Josef María Puig</t>
  </si>
  <si>
    <t>…tñarlas de 17 de Abril de 1-812, - y que se componga por ahora de los m^Blfos existentes en el día de los nombrados á consulta del Consejo de Estado de 14 de Mayo de 1812 , y son: D. Josef María Puig, D. Francisco López Lisperguer, D. Francisco Ibañez Leí va, Pon Manuel Antonio de la Bodega y Mollínedo, D. Jaime Alvaaez Mendieta, D. Andrés Oller , D. Diego. María Vadillos, y D. Ramón Lopej? Pelegrin , fis cal ; y no siendo, posible hasta la próxima reunió…</t>
  </si>
  <si>
    <t>Puig-</t>
  </si>
  <si>
    <t>…o con rio, no le era permitido suplir esta omisión en el curso del trarios á la aprobación de la indicación hecha por el señor Martínez de la Rosa en la sesión anterior ; y el del Sr. Puig- proceso; pero que en este caso era práctica constante que el mismo juez hiciese la pregunta. Se mandó pues entrar a blanch , contrario á lo resucito acerca de las índicacioues de Majocci. Este testigo insistió en decir que no habia visto á los Sres. Martel y…</t>
  </si>
  <si>
    <t>Puigbíanch</t>
  </si>
  <si>
    <t>…que tenia por superflua la propo tante salud- , ' sición referida , porque no podia entenderse que se restable CORTES. ciera el estanco donde nunca habia existido. Otra del mismo Sr. Puigbíanch para qué continuar# Sesión del 2 9 de Julio. suspendida toda profesión religiosa hasta que las Cortes - . Se íeyóLel acta de la. sesión anterior; y habiendo no adoptasen una' medida general sobre el clero regular, y que</t>
  </si>
  <si>
    <t>Puígbianch</t>
  </si>
  <si>
    <t>…25 á;las cuatro y cuarto de la tarde, donde fueron por él.citado decreto." . . recibidos con la mayor alegría y todas las ceremonias de - No se admitió á discusión una adición del Sr. Puígbianch estilo por la comunidad1 de aquel monasterio, con moti al art. 6.° del proy ecto de arreglo'de Fuerza armada aprO - vo de ser la-primera vez qué había ido á él S» M. la Reina, bado ayer, la que decía así: «Propongo se añadan al fin y con gran júbilo de todo e…</t>
  </si>
  <si>
    <t>Puigblanc</t>
  </si>
  <si>
    <t>…ulos que puedan presentarse. Esta fue también apro Otra adición se leyó después del Sr. Gaseo, que decía: bada. «li ego que cualquiera religiosa pidiere la secularización , sea El Sr. Puigblanc presentó después la siguiente indicación, extraída del convento por el Gefe político, y constituida en que fue aprobada: «deseando que no puedan impedirse depósito en una casa , á disposición del mismo Gefe." Se las peticiones de secularización por los prelad…</t>
  </si>
  <si>
    <t>…ante, Igualmente se pasó al Gobierno la exposición que exis y otro sobre patentes. tía en la comisión de Hacienda para sustituir al actual mé Se aprobó la siguiente indicación del Sr. Puigblanc: «Pi todo de cuenta y razón de las oficinas de este ramo el de do se nombre una comisión que se ocupe con urgencia en partida doble, que se usa en el comercio de Londres. las reformas del reglamento interior de Cortes, á fin de que, Las.Cortes recibieron con…</t>
  </si>
  <si>
    <t>Puigblanch</t>
  </si>
  <si>
    <t>…. El exposición de D. Pedro Real, como director de la imprenta Sr. Gaseo apoyó esto mismo, y aú se acordó. de Collado , ofreciéndose á imprimir el número de Diarios A petición del Sr. Puigblanch se convino en sustituir la de las mismas que se le señalara, á 10 mrs. pliego á todo palabra seglares á legos seculares en el artículo 6.° del coste , dando egemplares para los Sres. diputados' en papel citado decreto. florere, y á tenerlos prontos á las 9 de…</t>
  </si>
  <si>
    <t>…ales. Con lo que se declaró suficien recibirlo con agrado. temente discutido, y se aprobó. El Sr. Cepera hizo presente al Congreso que aquella Se leyó y admitió una indicación del Sr. Puigblanch, misma mañana se habia presentado á la secretaría el presi que decia: »en atención á que los capellanes de honor go dente de ia juma del Monte pío á entregar un oficio que zan una dotación competente, la cual sale de la ma«a gene habia recibido con cuatro lue…</t>
  </si>
  <si>
    <t>…Gonzalo Barcena,Arias , en virtud de un exhorto del juez de primera instan escribano del ayuntamiento de dicha‘Villa; en la inteligencia decia de Buítrago, se concedió licencia al Sr. Puigblanch que han de proveerse dichos partidos lo mus pronto que sea popara practicar ciertas diligencias en la causa que se sigue en sible, pára que los facultativos principien á servirlos en el dia •quel pueblo á algunos malhechores que le acometieron á su ap de Seti…</t>
  </si>
  <si>
    <t>…aber lugar á bilados y cesantes, y sobre el modo de promulgarse las le formarle causa. yes, y de una circular de dicho ministerio de Hacienda Se aprobó la fig iente indicación del Sr. Puigblanch: «pi acerca del uso de la moneda defectuosa. do se nombre una comisión que podrá llamarse de Redacción A la comisión especial de Hacienda se mandó pasar una de decretos, la cual, poniéndose de acuerdo con las demas instancia del oficial primero de la secretar…</t>
  </si>
  <si>
    <t>…que de llevar á efecto lo re artículo en estos términos: suelto en la sesión ordinaria de hoy, aprobando la indica 2.0 «Cada año las Cortes ratificarán ó rectificarán el ción del Sr. Puigblanch sobre nombramiento de una comi arancel de aduanas según convenga." sión de redacción de decretos, iba á resultar el retraso de Se aprobó el 3.0 conforme lo proponía la comisión, y todos los negocios de la misma secretaría , de los que la ma decía: yor parte s…</t>
  </si>
  <si>
    <t>…icas." hecho. porque estaba persuadido de que el artículo como Fue aprobada después de ampliarla su autor una adición se hftüaba aprobado seria causa de continuas discordias y del Sr. Puigblanch , puraque después de las palabras «pro disgustos. piedades de los extrangeros” se añadieran estas «sea que es Otras dos del Sr. Romero Alpuente: la 1.a para que s? tos residan en España ó fuera de ella.” : añadiesen a! art. 2.0 estas palabras: «Por ahora hast…</t>
  </si>
  <si>
    <t>…ioid ¡Elfo ccomisfon de Le Se ley ó el acta de la ordinaria de ayer, á la que se man gislación para que propu-iera el lCícato pie debiari dar las dó agregar el voto particular del Sr. Puigblanch, contrario Cortes para el efecto, ya fuese .ípmupueaa del Res- , ó por á no haberse votado por partes el dictamen de la comisión resolución de las Cortes. Por último,u„ &lt;»a msndd pasar á la sobre amnistía ; otro del Sr. Golfín, contrario á lo mismo , y comisi…</t>
  </si>
  <si>
    <t>…n de cesar inmediatamente. va libertad y proviríon civil y ordinaria. No hubo lucar á votar sobre dos adiciones que propuso El Sr. Óchoa era de dictamen que en este artículo po el Sr. Puigblanch al arr. i.°; una para que después de mo drían suprimirse las palabras curados, y la última ordina nacales se añadiera «de uno y otro sexo," y la otra para que ria ; pero habiendo hecho algunas observaciones el Sr. Lodespués de esta cláusula se pusiera «y los…</t>
  </si>
  <si>
    <t>…, que fue aprobado como estaba pro causa de que se advirtió que la comisión Eclesiástica estaba puesto , si embargo de haber pedido alguna variación el ocupándose en este asunto. Sr. Puigblanch, y decía asi: Se mandó pasar á la comisión de Poderes, ú que se en ■ 21. «Si de las comunidades religiosas de ambos sexos vió ayer otra indicación del Sr. Martínez de la Rosa, una que deben subsistir resultasen algunas con rentas superiores del Sr. Cortés, en…</t>
  </si>
  <si>
    <t>…dia el primer caso, bas la última palabra de dicho art;culo «y absuelto de costas.” taría decir «alguna ley," suprimiendo las palabras »ú auto No se admitieron á discu ion dos del Sr. Puigblanch, ridad legítima;" porque el que ataca á una autoridad como para que en el mismo art. 3.° después de la palabra delitos ral, ataca á las leyes. se pusiera faltas; y al fin se añadiera «también quedará Contentó el Sr. Muñoz Torrero, haciendo ver que la libre el…</t>
  </si>
  <si>
    <t>…de Ibañez, canónigo lectora! de Cá convenientes que esto traería, no se admitió á discusión. ; diz, manifestando, haber sido privado de su destino por Tampoco se admitió otra deí Sr. Puigblanch, que decia: adicto al sistema constitucional, y pidiendo se le reponga «Propongo que después dé' las palabras edicto ó escrito en él. oficial, se añádá 6 en el ministerio de la confesión.” Se mandó agregar al acta el voto de los Sres. Vi tortea Se mandaron pa…</t>
  </si>
  <si>
    <t>…antidad seis primeros artículos , retirando la comisión el 7.0 de mas de i0 rs. vn. y 20 en oro.” he mandó agregar al acta un voto del. Sr. Banquerí, En cuanto á la indicación del Sr. Puigblanch para que contrario á la resolución de que el algodón en rama de la se impusiera á los abanicos extrangeros el derecho que pa India pague 9 y 1 2 por ion; y otro de los Sres. Desprat gaban anteriormente, decía la comisión que era preferible el y Coroniinas, co…</t>
  </si>
  <si>
    <t>Puigblnnch</t>
  </si>
  <si>
    <t>…se añadiera «y las casas de misioneros de San Cádiz, vacante por nombramiento del teniente general de la Vicente de Paul. Armada D. Cayetano Valdés para secretario del Despacho El Sr. Puigblnnch pidió en otra adición, que no se ad de la Guerra,, al mariscal de campo D. Tomas O-Donojú. mitió A discusión , que en el art. 14 después de las pala bras «un convento de una misma orden” se pusiese «ni de Por providencia de 10 del corriente, dada por el juez…</t>
  </si>
  <si>
    <t>Puiggro</t>
  </si>
  <si>
    <t>…no ; y asi se ptras alhajas pequeñas de plata; dos Verónicas de madera, mandó. guarnecidas de plata, y tres temos, uno de terciopelo ne Se leyó por primera vez una proposición del Sr. Puiggro, y dos de seda, uno blanco y otro carmesí. hianch, en que haciendo presente el perjuicio que podría El maestro de’primeras letras ue la villa de Copons Don causar en las provincias vascongadas la resolución de lasFrancisco de Paula Tarrida y Tardá, de acuerdo…</t>
  </si>
  <si>
    <t>Pullas, Ignacio Ladrón de</t>
  </si>
  <si>
    <t>Ignacio Ladrón de Pullas</t>
  </si>
  <si>
    <t>400 de esta muy herbka villa , se cita , llama? y emplaza i D. Ignacio Ladrón de Pullas, como heredera de Doña María Josefa de Herrera y Retes; á sus hijos, herederos y sucesores; á ios de Brígida Alvarez; al administrador ó representante del concurso de D. Luis Montero del Carpió, y á todas y cualesquiera personas que se contem plen con derecho…</t>
  </si>
  <si>
    <t>Puya, Josef</t>
  </si>
  <si>
    <t>Josef Puya</t>
  </si>
  <si>
    <t>…provincia, que dependían por la recaudacimiento de la Constitución política de la monarquía,” re . cion de la dirección general y por la distribución del teso mitida por su autor D. Josef Puya , capiran de ege'rcito. rero , debían correr á cargo de este por su responsabilidad; A la comisión de Reforma de reculares se pasó una y 3.0 que el Gobierno debe pasar á las Cortes el reglamen exposición de Doña Agustina Ramona Seixas , en que pe to de la tes…</t>
  </si>
  <si>
    <t>Puyal, Atanario</t>
  </si>
  <si>
    <t>Atanario Puyal</t>
  </si>
  <si>
    <t>…árrocos del país vascongado , y aun para las familias, porque se explica en estas pláticas la doctrina cristiana con toda sencillez y claridad; y prácti camente informado el limo. Sr. D. Atanario Puyal, dignísimo obispo de Calahorra, del mérito de esta obra, ha mandado á los párrocos del país vascongado que se con tiene en su obispado que prediquen de él, lo que se egecuta: dos tomos en 4.0, su pre? cío 19 rs. á la rustica y 24 en pasta cada tomo. Se darán…</t>
  </si>
  <si>
    <t>Pyne, Juan</t>
  </si>
  <si>
    <t>Juan Pyne</t>
  </si>
  <si>
    <t>…Hamet Beggia, 160. D. Ambrosio Felipes , 40. D. Pascual tampa fina. Véndese en la librería de Rodríguez, y en Cádiz en la de Hortal y compañía. Francia, 40.D. Antonio Guaseo, 160. D. Juan Pyne, 60. Retrato de la Reina Católica Dona Isabel, grabado por el cuaD. Abram de J. Taurel, 80. Los jornaleros Josef Alonso, dro que se guarda en el palacio del Rey por D. Blas Ametller.Antonio Torrija, Antonio López, Josef García y un com Se vende en el despacho…</t>
  </si>
  <si>
    <t>QiiiLeída, Josef</t>
  </si>
  <si>
    <t>Josef QiiiLeída</t>
  </si>
  <si>
    <t>…fincas, con el fin de reedificar y com CORTES. poner su convento, arruinado por la invasión francesa. Sesión ordinaria de 5 de Noviembre. A la de Premios se pasó una solicitud de D. Josef QiiiLeída el acta de la sesión anterior, pidió el Sr. Varga# roga , cirujano de Villafranca delVierzo, manifestando sus Ponce que en el artículo que trambaide la exposición de la servicios , y pidiendo se le conceda el grado de ayudante. vida de Irun para construir un…</t>
  </si>
  <si>
    <t>Qiiiroca</t>
  </si>
  <si>
    <t>…te cierto derecho por cada fanega, y permitirle después de filosofía paitados en un solo año, sc-gun habia solicitado. vender libremente ti quien quisiere: y el segundo qne se El Sr. Qiiiroca, individuo de la comisión de Milicias ponía en un ca*o muy desigual A los salineros de! interior, nacionales, leyó el dictamen de esta, acerca de las dudas respecto de los de la costa; pero habiendo contestado los propuestas por varios Gefes políticos y diput…</t>
  </si>
  <si>
    <t>Qrihuela, Josef Calixto</t>
  </si>
  <si>
    <t>Josef Calixto Qrihuela</t>
  </si>
  <si>
    <t>…e Dios la según costumbre; advirtiendo que se puede guardar en Cabezudo , alístente general de la,orden de S. Agustín: para este estado el tiempo que se quiera. el del Cuzco á Fr. D. Josef Calixto Qrihuela , administrador de la misma mitra: para la dignidad de chantre de la pro cambios. Madrid y Diciembre 14 de 18a o. pia iglesia á D. Fernando Ortiz de Silva, canónigo de Lóndres...................... ............................... g8f ¿lia; para igual dignidad…</t>
  </si>
  <si>
    <t>Queipo, Abad y</t>
  </si>
  <si>
    <t>Abad y Queipo</t>
  </si>
  <si>
    <t>…oyeron con agrado. vincias de la Península. Se maridó pasar á la comisión de Se dió cuenta del dícramen de la comisión de Legisla Legislación. : ción, sobre haber representado el Sr. Abad y Queipo para Se leyeron por segunda vez las proposiciones del Sr. Navas, que se le exonerase del cargo de diputado por su falta de dirigidas A que no se pudieran admitir empleos de provisión oído; v resultando cierto lo que exponia dicho Sr., opinaba Real por los dip…</t>
  </si>
  <si>
    <t>Qúeipo, Josef</t>
  </si>
  <si>
    <t>Josef Qúeipo</t>
  </si>
  <si>
    <t>…Guillermo Montis de la de las islas Baleares; á D. Mi guel Escudero de la de Navarra; á D. Bernardo de. los Ríos de la de Palen— cía; á D. Francisco'Cantero de la de Salaipanca; á D. Josef Qúeipo de la de Segovia ; á D. Josef María Puente de la de Soria; á D. Antonio Leonardo de Letona de la de Vizcaya» y á D. Josef Pintón y Lorenzana de la de Za mora. Asimismo ha venido S. M.ven nombrar gefes políticos interinos al bri gadier D. Josef Marrón de la pr…</t>
  </si>
  <si>
    <t>Queipo, Manuel Abad y</t>
  </si>
  <si>
    <t>Manuel Abad y Queipo</t>
  </si>
  <si>
    <t>…n Cristo Padre Cardenal de Borbon, Arzobispo de Toledo, Presidente; el Teniente general D. Fran cisco Ballesteros j vice-Presídente; el Reverendo Obispo de Valladolid de Mechoacan D. Manuel Abad y Queipo, D. Ma nuel Lardizabal, D. Mateo Valdemoros, D. Vicente Sancho, Coronel de Ingenieros, Conde de Taboada, D. Francisco Gres?o de Tejada, D. Bernardo Tarrius, y D. Ignacio Pezuela. odas las providencias que emanen del Gobierno hasta la ins talación constitucion…</t>
  </si>
  <si>
    <t>…ón. Eri seguida el Srf cardenal recibió el juramentó á los Sres. vice-presidénte de la Junta el Excmo. Sr. D. Francisco Ballesteros &gt; á los demas vo cales de ella los limos. Sres. D. Manuel Abad y Queipo, obispo electo de Valladolid de Mechoacan., D.. Manuel de Lardizabal y conde de Taboada,; ■del Consejo y Gámara dé S. M., D. Matea Valdemoros, D. Vicente Sancho, D. Francisco Crespo de Tejada , D&gt;; Bernardo Tarrius y D. Ignacio Pezuela.. Presenciaron el acto…</t>
  </si>
  <si>
    <t>Quejpo, Francisco</t>
  </si>
  <si>
    <t>Francisco Quejpo</t>
  </si>
  <si>
    <t>…cionado á aquellos. Madrid $ de Muero, El dia 12 del pasado tuvieron la honra de felicitar á 5. M. por su augusto . enlace, ¡á nombre del cuerpo de maestrantes de Ronda* el Exorno Sr. Don Francisco Quejpo de. ldano, el marques de Casa-Madrid y el Sr. D. Domia. go -Ramírez Arellano; habiendo manifestado el primero, laalta satisfacción que . cabía á aquel distinguido cuerpo por tan fausto acontecimiento. S. M. lo oyó con $u afabilidad característica, mostrándose…</t>
  </si>
  <si>
    <t>Quelpo, Manuel Abad y</t>
  </si>
  <si>
    <t>Manuel Abad y Quelpo</t>
  </si>
  <si>
    <t>6 2 tiene en el día. En 1819 han muerto 1361 sacerdotes em sentación del Sr. D. Manuel Abad y Quelpo, obispo electo pleados, y se han ordenado 1401; pero de estos un gran de Mechoacan , diputado por Asturias, solicitando se le exo número no han sido aun colocados; de lo que resulta que nerase de este cargo por su falta de oido, y que le reeinsel déficit es s…</t>
  </si>
  <si>
    <t>Quf-</t>
  </si>
  <si>
    <t>…cas vinculadas. cumplimiento del deseo manifestado por el Sr. Sánchez Sal Se leyó el dictamen de la comisión de Hacienda sobre vador de que se diesen las licencias á la tropa: el Sr. Quf- la deuda de Holanda, y después de una larga discusión s» roga dijo que la guarnición había cumplido con sil deber, aprobó én los términos siguientes: de lo que debía resultarla una satisfacción íntima., y suscribió *&gt;La comisión de Hacienda ha visto con deten…</t>
  </si>
  <si>
    <t>Qui, Antonio</t>
  </si>
  <si>
    <t>Antonio Qui</t>
  </si>
  <si>
    <t>…como legítima la deuda que re nos que se deban asignar, asi como las cantidades en vir sulta contra ella por los intereses devengados de dicho ca tud del tenor de la proclama del general D. Antonio Qui pital , y no pagados hasta el dia de hoy. roga. g.:l Las Cortes autorizan al secretario del Despacho de «Entiende la comisión que estos premios, particulares Hacienda para que, poniéndose de acuerdo con los acreedo deben entenderse, sin perjuicio de lo que pu…</t>
  </si>
  <si>
    <t>Qui-</t>
  </si>
  <si>
    <t>…óximo; pero que que la proclamó estando de guarnición en Zaragoza; la que sin embargo debia tenerse presente que actualmente habia Á petición de dicho Sr. diputado, apoyada por el Sr. Qui- algunos ramos, cuyos fondos no entraban en la masa ge roga, se mandó pasar con recomendación al Gobierno. neral del tesoro, y eran aplicables al objeto en cuestión. La comisión primera de Leghlacion , habiendo exami El Sr. Corte's llamó la atención hacia los…</t>
  </si>
  <si>
    <t>Quiere, Cataian</t>
  </si>
  <si>
    <t>Cataian Quiere</t>
  </si>
  <si>
    <t>…mención, po tiene ninguna relación pon las causas de opiniones, sino con comprenqrao en-ia iista ae ¡os aeiatores m testigos por ’no ppesto ;.}y por efecto de esta declaración del Sr. Cataian Quiere con venir el Sr. de Salcedo en haber cesado el motivo que tuvo para tildarle de impostor. Y. lo rubrican. = Ovalle. = Juan Salcedo. = Josef María Cataian. = Alfonso Giraldo Bergaz. = Luis Fernando Mon. = Es copia. O va He. * —■ n ' ■■*■■■■ ' !——■wmmmmmmwmmm■—…</t>
  </si>
  <si>
    <t>Quijote</t>
  </si>
  <si>
    <t>…n 20 estampas nuevamente dibujadas y grabadas, que expresan aventuras ó asuntos diferentes á los publicados anteriormente en todas las ediciones. Acompaña un mapa de los viages de D. Quijote. Son cuatro tomos ers 8.°, y en el primero se ha colocado el análisis y pian cronológico de csJtc fábula, escritos i por el académico de número D. Vicente de los Ríos. En tomo separado, que. forma el quiiíto dei¡la obra , sale á la luz públi^ ca la nueva vida…</t>
  </si>
  <si>
    <t>Quilez, Blas</t>
  </si>
  <si>
    <t>Blas Quilez</t>
  </si>
  <si>
    <t>…ios militares c /ando se establezcan. diente para que le de mas instrucción y quedó asi apro Igualmente se aprobó el dictamen de la misma comisión, bada. relativo á la soücitnd de D. Blas Quilez, manifestando la No se aprobó la que sigue d-.'I Sr. Romero Alpuente: prisión de 3S meses, y demas perjuicios que sufrió por es «Que pase al Gobierno , para que oyendo al consejo de tar comprendido en el levantamiento intentado en Valen Estado, resuelva lo co…</t>
  </si>
  <si>
    <t>Quiñis, Jaime</t>
  </si>
  <si>
    <t>Jaime Quiñis</t>
  </si>
  <si>
    <t>…de que el máximum será división de provincias. de 40© rs. A la de nfracrioncs donde están los antecedentes una ^2." Los que han sido ministros efectivos de los Conse exposición de D. Jaime Quiñis, auditor de Guerra de Ga jos extinguidos gozarán 30© rs., 24© ios alcaldes de Casa licia, relativa ..i la queja dada por varios vecinos de la ciu y Corte y regentes-de las chancillerías y audiencias, y 16© dad de Tuv, incluyendo un testimonio de las Reates ór…</t>
  </si>
  <si>
    <t>Quintana</t>
  </si>
  <si>
    <t>…tucion al tados, cuando muchas veces dentro ael saion mismo no se cornejo de Estado', dos, ó cuando ineoos uñó, íue.en áme.oían estos. ■ rica nos. ■ - .’ • ■ ■ .' ; A petición del Sr. Quintana se mandó agregar laxomi- O :ra del Sr. Rodríguez de Ledesmá, relativa A venta de sion del. Diario á Urde Gobierno interior para uar el. dicta •algunas linca, del ■ siiio.de Aran juez";-de que.habla hablado men referido. . ' 1 - i - 1 ' ' el inini rro de Hacie…</t>
  </si>
  <si>
    <t>G'5 comunicado por la secretaría de ¡a Gobernación de que Él Sr. Quintana confirmó lo dicho por el Sr. Valle , res SS. MM. proseguían sin novedad. pecto de las circunstancias en que habian sido nombrados A la comisión de Legislación se mandó pasar un expe los individuos de la junta de Cataluña, añadiendo que no diente de D. Francis…</t>
  </si>
  <si>
    <t>…áles serán los derechos que percibí rán en los casos que es que dijo el Sr. Ledestua ser la misma del Sr. Villanueva. tán concedidos á los demás eclesiásticos? (Se continuará.) El Sr. Quintana presentó otra Indicación, que el señor preridente consideró como proposición, y se declaró leída por primera vez. ANUNCIOS. Ultimamente, manifestando el Sr. Subrié que en la se Memoria en que se prueba cuál es el mejor sistema de en cretaría no se habia podid…</t>
  </si>
  <si>
    <t>…ambos procedieron apoyados en dos leyes para salir de España, é ir á mandar esclavos en otro reino. diversas, y que declarándolo asi el Congreso, se sirvieran las Hablo después el Sr. Quintana , apoyando á :u preopi Cortes fijar los verdaderos límites de la libertad de imprenta nante, amplificando las mismas ideas, y añadiendo n-ras relativos á los militares. nuevas á las que quedan expuestas, y entre otras la reflexión Los Sres. Golfín y Valle tam…</t>
  </si>
  <si>
    <t>…contra ellos, á cuyo fin se les dejase libre su derecho de re Se leyó el acta de la anterior, á la que se mandó agre- petir contra quien les conviniese. ar el voto particular del Sr. Quintana, contrario al nom- Se leyó una adición del Sr. Cañedo para que el estable ramiento hecho por las Cortes para vocales de la junta de cimiento de jueces de hecho, pedido por el Sr. López (Don Censura de Cataluña. Marcial), en proposición hecha anteriormente, se…</t>
  </si>
  <si>
    <t>ú marineros casados , y en su defecto á soldados cumplidos el dictamen de la comisión, el cual pidió el Sr. Quintana casados, los terrenos de unas islas situadas al Este de Car se votase por partes; pero las Cortes lo aprobaron.en su to tagena. El autor de la proposición se extendió en manifes talidad. tar los fundamentos que habia tenido para hacerla. Se continuó la discus…</t>
  </si>
  <si>
    <t>…han: admitido no parece regular considerarlos en el mes que e-tamos habían sacado á la plaza mas de un como religioso?. millón en papel pa-a reducirlo, que anda en manos de los El Sr. Quintana, juzgando que el Congreso no debía corredores, quienes podrán decir de ello, y que los bienes ocupar largo tiempo en la discusión de este negocio, y que que poseen exceden en mucho á las temporalidades. daría lugar á la censura de ¡as demás naciones, opia ) q…</t>
  </si>
  <si>
    <t>…quieran poner; yen cuanto á esta, opinaba la dios de S. Isidro y otros de igual naturaleza, y el modo de comisión , por e! ínteres que debía resultar en los mismos verificarse. El Sr. Quintana pidió que se supendiera la dis empleados-, en atraer la voluntad de los consumidores:-que cusión de este asunto, hasta saber si el Ruy daba ó no la las Corres mientras subsistan los estancos debían determinar sanción al decreto de jesuítas; pero habiéndole op…</t>
  </si>
  <si>
    <t>…da represen* Península, islas adyacentes y provincias de Ultramar, y tacion con las dos indicaciones siguientes: que puedan gozarle sin que resulte perjuicio de tercero ni Una del Sr. Quintana, que decía asi; »Que informe la de la-vindicta publicaren su consecuencia ha resuelto: pri-</t>
  </si>
  <si>
    <t>…de varios militares, ; . diese insertarlo en el , puesto que el diario debia sufrir Se leyó la siguiente indicación del mismo Sr. Vargas: algún, retraso en su publicación. Dijo el Sr. Quintana que «Que se pida al Gobierno si existe la bula para erigir en ya se había adquirido mayor número de prensas ; y por fin Madrid una silla episcopal.” La que se mand í pasar á ,1a se aprobó que se imprimiese por separado. comisión Eclesiástica, con otra del Sr.…</t>
  </si>
  <si>
    <t>…s ascendió el conde del Abisbal, y quejándose de la gaciones. Por último no fue admitida á discusión la indica conducta de su coronel; de otra hecha á nombre de los freí- ción del Sr. Quintana. res de la orden militar de Santiago de las Casas de Ucles El Sr. Palarea presentó una memoria de D. Josef María y S. Marcos de León , pidiendo se declarase que los indivi de Urbina sobre organización de la caballería ligera , ia que . duos clérigos de la ref…</t>
  </si>
  <si>
    <t>…tado los mayorazgos, lo fuesen todavía cuando los con aquellos procesos para sentenciarle á muerte, desvanecién sideraba moribundo:, pues habian sido causa de que cansase dolo: el Sr. Quintana por lo tocante A la música, y el se á las Cortes con *u discurso. ñor Cepero por lo respectivo al alboroto de las galerías; Apoyó el Sr. Venino A su preopinante, manifestando lo pues con motivo de perienecer en aquella época .1 la comi injusto que es el estab…</t>
  </si>
  <si>
    <t>é igualmente que diese algunos informes, pedia se concedie representaciones y expedientes, á los que se dió el tur:o se permiso para ello á dicho Sr. Quintana, y asi se acordó. respectivo. En seguida se procedió á la discusión señalada para esta Se leyó después la siguiente indicación de los Sres. Gan- ' noche del proyecto presentado por las comisiones reunidas tero, La Riva, Govantes y Gaseo: «Que se diga al Gobie…</t>
  </si>
  <si>
    <t>…e se hallaron en la batalla de la Al el dictamen de la cotnition en el diario de Cortes y en la buhera. gaceta del Gobierno. Los Sres. Sánchez Salvador, Ezpeleta y Quiroga mani El Sr. Quintana hizo la siguiente indicación: «Queen la festaron que el añp de aumento solo se concedió á los mi impresión que ha de hacerse del. dictamen de la comisión so litares’de la clase de sargentos abajo , y por lo tanto pidieron bre los proyectos del coronel.Castill…</t>
  </si>
  <si>
    <t>…nto de la ciudad de Cartagena, tamen de la comisión de Hacienda por 49 votos contra 46. en que solicitaba, se permitiesen celebrar Jas jumas pairroNo se admitió una indicación del Sr. Quintana para que quiales, rio solo en la parroquia principal,-sin,0 en las cua lo resuelto fuese sin perjuicio de la primera resolucion.de las tro ayudas que tiene esta ers su población urbana y rural, Cortes, y se aprobó la siguiente del Sr. Diaz del Moral.: para fa…</t>
  </si>
  <si>
    <t>Quintana, Gines</t>
  </si>
  <si>
    <t>Gines Quintana</t>
  </si>
  <si>
    <t>4°*7 Había de nombrar un secretario de aquella ,' y quedó nombrado para este car go el Si*. D. Gines Quintana, abogado de esta audiencia territorial^ Señores: Gefe superior político, presidente. = El barón de Castelíet.=r Don Félix Torres Amat. = D. Benito de PlandoIit.=D. Antbnío’Támaró. sr Don Juan de Batlle. ==D.^ Manuel LassaJa=D. Maríapo Estévé. =z Antonio Buch,…</t>
  </si>
  <si>
    <t>Quintana, Manuei Josef</t>
  </si>
  <si>
    <t>Manuei Josef Quintana</t>
  </si>
  <si>
    <t>…das en 7 yí8dé este mes , fueron elegidos-para formar la Junta electoral de la provincia ios ciudadanosrcuyos nombres siguen: &lt; 'p •; Por.Madrid.: D. RampnrGiraldo de Afquelíada, D. Manuei Josef Quintana, D. Bernardo de Borjas y Tarrius &gt; D. Felipe Bausa , D. Miguel Anto nio Zumaíacarregui , ;D.. Juan Palárea, D. Eugenio de Tapia , D. Josef Ma ría Calatrava.,, D. .Vicente Sancho v D^Eugenio A rrieta, D. Ramón Trujillo. Pattido de Fuencarral. D. Isidro López,…</t>
  </si>
  <si>
    <t>Quintana, Manuel Josef</t>
  </si>
  <si>
    <t>Manuel Josef Quintana</t>
  </si>
  <si>
    <t>…os decretos de las mismas Cortes sobre este particular, reuniéndose inmediatamente para formar la junta suprema los mismos individuos que la componían cuando se disolvió; á saber, D. Manuel Josef Quintana, presidente, y ios vocales D. Felipe Bau*á, D. Martin Navas, Di Eugenio de Tapia, D. Pablo de la Llave, D. Vi cente Sancho-, D. Juan Acevedo, y D. Francisco Martínez de la Rosa, se*eretario; y previniendo que si algunos hubieren fallecido, sean reemplazados p…</t>
  </si>
  <si>
    <t>…rán documentos. Se hallará con los anteriores en la librería de Hur publicando varios pormenores de noticias curiosas ó inte tado y en la de Orea. resantes. Poesías patrióticas de D. Manuel Josef Quintana: segunda Tesorería general de la Nación. edición, corregida y aumentada con las demas composiciones1 Los sngeros que han reclamado en el departamento de líricas y elegiacas del autor: un tomo en 8.°, impreso con todo' los empréstitos nacionales de la tesorerí…</t>
  </si>
  <si>
    <t>Quiro-</t>
  </si>
  <si>
    <t>…que corresponde^ que se uniese á la exposición de López un extracto de su á cada compañía.” 2.a »Que„se fije el- tiempo que lia 'de causa verdaderamente original, hizo presente el Sr. Quiro- permanecer cada miliciano en el servicio.” , : ga los importantes servicios que desde que le libró de las No se admitieron dos del Sr. Alvarez de Sotqrnayor par cadenas de la Carraca habia hecho al ege'rcito de la Isla, re ra que se pagase de cándales de prop…</t>
  </si>
  <si>
    <t>Quiroga</t>
  </si>
  <si>
    <t>744</t>
  </si>
  <si>
    <t>…ian haberse restablecido en-, teramente en aquella ciudad la tranquilidad que por un momento se habla turbado. ESPAÑA. San Fernando 24 de Jimio. El dia 1 2 salió de esta ciudad el general Quiroga para Madrid, y antes de&gt; su par.tida dirigió á sus compañeros de armas la siguiente proclama: ,,Compañeros: Nombrado por los patriotas gallegos para ser su repre sentante en las próximas Cortes, no puedo eximirme de encargo tan honroso y delicado. Solo la voz…</t>
  </si>
  <si>
    <t>…ica Nación que las ha elegido. ” ron elegidos para ella los Sres. diputados el mismo conde de Toreno, Torrero, Martínez de la Rosa, Tapia, Te El Sr. presidente contestó: mes. y el general Quiroga; con lo que se concluyó tan so ,,Las Cortes han oido con singular satisfacción el sabio lemne acto del dia de la apertura de las Cortes. discurso en que V. M, ha manifestado sus nobles y gene MADRID EN LA IMPRENTA NACIONAL.</t>
  </si>
  <si>
    <t>…los pueblos, confiada á los en cuya lista se le había colocado,por equivocación-; é igual mismos interesados en su prosperidad, destruirá los inve mente que habiéndose excusado el Sr. Quiroga á concurrir</t>
  </si>
  <si>
    <t>…sunto. ocupar el trono. Al exponer la necesidad .que h. bo de echar Se leyó la proposición que en la sesión de ayer hizo el mano de un empre'stito de 40 millones de reales, sin em Sr. Quiroga, relativa á la causa Jei ate inato del" cuartel dé bargo de ser esta una de les Atribuciones del poder legisla Guardias, con la adición siguiente, para evitar la confu tivo, citó un oficio del tesorero general, que.leyó después sión de atribuciones de los pod…</t>
  </si>
  <si>
    <t>…Sr. Moreno Guerra, leyendo un artículo de la gaceta ñor Lagrava para que al tratarse de los premios ofrecidos de este dia, dijo que equivocaba totalmenre la discusión tiel por el general Quiroga á las tropas de la Isia se tuviesen anterior, pues suponía haberse dicho si la Constitución presentes las de la.guarnición de Zaragoza y paisanos arma ponía ó no trabas á la administración de justicia, pudién dos, que en unión de esta se levantaron'en 5 de Ma…</t>
  </si>
  <si>
    <t>…expresó que nada tenia que añadir á lo di Otra indicación hizo el Sr. Diaz Morales sobre que cho por el Sr. Vitorica. respecto á haber pedido el Sr. Florez Estrada que la comi El Sr. Quiroga creyó, contra la opinión del Sr. Vitori sión de Hacienda procediese solamente al informe sobre ca , que se debjan dar gracias á los indicados ministros, la conducra de los que concedieron las transaciones , se ex pues si no hubieran obrado asi , dijo, no esta…</t>
  </si>
  <si>
    <t>…z Estrada, individuos de la comi sentó el ministerio. ‘ sión , manifestando que no era proposición de esta la pre La importante y dilatada discusión sobre la ley del pre gunta del Sr. Quiroga, apoyándolos el Sr. conde deToreno, supuesto de gastos y arbitrios se ha terminado ya, quedan fundado en que si no hubiera sido para votar, estaría de mas do esta aprobada por 139 votos contra ó- la agregación, cuando todos Jos diputados tienen facultad de as…</t>
  </si>
  <si>
    <t>…ncontraba algún medio dé evi tense . con la que precen aba un egemplar de la edición de tar ectos males en lo suce ivo. la obra de agricult ra de Gabriel Alonso de Herrera. Las El Sr. Quiroga apoyó á su preopinante. Cortes oyeron con agrado la exposición, y recibieron la El Sr. Sierra Pnmbley, sin oponerle al dictamen del obra con el mi uno. Cornejo, ni ñ la- indicaciones del Sr. Villanueva, y cre Oyeron también con singular satúfaccion el parte c…</t>
  </si>
  <si>
    <t>…brará en el ción , añadiendo que deseaba se dijese cuáles eran los merca asunto con el debido acierto.” dos marítimos por los que se habia de regular el precio , y Leyó después el Sr. Quiroga un proyecto de reglamento que esto lo debía egecutar el Gobierno. El Sr. Freire opi provisional para la milicia nacional, presentado por la co nó que en la palabra granos debía entenderse trigo , y que misión respectiva, el cual después de algunas reflexiones…</t>
  </si>
  <si>
    <t>Quirogá</t>
  </si>
  <si>
    <t>…nal dentro de Ja mísmaí próvjncia, y pidió que na , Estepa y Moron. •e reformasen las últimas palabras del artículo. Guanalajara. Guadalajara , Molina, Sigiienza, AtienContestó el Sr. Quirogá que el único caso en que podía za, Brihuega, Cifuentes, Cogolludo, Pastrana, Medinacelí ser de interes la reunión de las dos fuerzas era solo el del sitio y Torrelaguna. de una plata j y ya sé ha dicho qué ¿ti este Caso debería es nota. En virtud de acuerdo d…</t>
  </si>
  <si>
    <t>…natovafe sobre se deliia deliberar sobre ello, sino pacarlo al Gobierno pasa perjuicios en la agregación de parrido. los fines conveniente'. El Sr. Díaz Morales advirtió que ya El Sr. Quiroga leyó el proyecto de reglamento de mi hablan recurrido al Gobierno , y' cteia por esto que debian licias nacionales, reformado en varios artículos, con arre pasar á la comisión de Infracciones de Constitución para glo á lo manifestado en la dvcu.ion de los día…</t>
  </si>
  <si>
    <t>…a fórmula. Por esto su opinión Madrid el despacho siguiente: era que se debía proponer un juramento mas sencillo. «Excnio. Sr.: Habiendo concedido el Rey permiso para Respondió el Sr. Quiroga que la cómision no habia he que puedan volver á sus dominios todos los individuos cho mas que arreglarse al artículo aprobado, y á las indica expatriados por causa de opinión, paso á V- E., en nom ciones que lo habian sido igualmente, y se mandaron pasar bre…</t>
  </si>
  <si>
    <t>…, porque habia en esto una especie de contrato. . va , solicitando que al hacerse efectivos los premios ofreci A las comisiones reunidas, que enrienden en el asunto de dos por el general Quiroga á las tropas de la Isla se tuvie diezmos se'mandó_pasar upa solicitud- del ayuntamiento ran presentes las.tropas de Zaragoza, y paisanos armados constitucional dé.lar Villa de Herreros:, que leyó el Sr. Diasc que se levantaron á principios de Marzo para resta…</t>
  </si>
  <si>
    <t>29° ello, y se veía precisado a buscar esta prueba de que care su informe al general Quiroga, y otra del Sr. Martínez para cía, por lo que había hecho su indicación; y por fin, que que se tengan en consideración ¡os dos caudillos del egérci en caso necesario se consíkuia el acusador de los secretarios to de Galicia D. Carlos Espinosa y D. Manuel Lacy…</t>
  </si>
  <si>
    <t>…ctamen igual á las de la Península, con algunas ron pasar á la comisión los siete artículos referidos, que de modificaciones; y se aprobó en su totalidad. cían asi: Se concedió al Sr. Quiroga el permiso que pedia para t-° «El pago de diezmos y primicias es una de las con seguir el juicio contra D. Marcos Nuñez de Abreu , capi tribuciones necesarias al Estado para mantener la iglesia y tán retirado , por el impreso que habia publicado con el tí sus…</t>
  </si>
  <si>
    <t>…n á su hijo D. Anto mentaba los gravámenes que anteriormente sufrían los pue nio , alférez del regimiento de Extremadura. blos, siendo solo ominoso el modo de exigirla. Calculó El Sr. Quiroga manifestó que por la intimidad que ha el orador con proporción á los datos expuestos que si de los bía tenido con esta familia le constaba lo mucho que había 300 millones resultaban.2; rs. por cada habitante, de los. sufrido , esperando de la benignidad del C…</t>
  </si>
  <si>
    <t>Quíroga</t>
  </si>
  <si>
    <t>…e estudios interinóle está imprimiendo; y su tomo 1. se hapor la misma comisión. llará de venta al principio del curso en la librería de Matute. No se admitió á discusión otra del Sr. Quíroga , en que mota. En la gaceta de ayer, col. ó.1, lía. 55, donde dice el, pedia que una comisión examinara la exposición de los di léase la. MADRID EN LA IMPRENTA NACIONAt,</t>
  </si>
  <si>
    <t>…o que nos ha estimulado á llamar su aten estaban también talando los arbolados. ción hacia este objeto. Nos ha parecido conveniente a vis-' Después de alguna discusión , en que el Sr. Quiroga,ex del peligro próximo, como avisa el centinela de la llegau» trañando esta conducta en la clase de personas de que se del enemigo. trataba, propuso que se les descontara de las pensiones que FRANCIA. debían gozar, se aprobó por último la siguiente indicación…</t>
  </si>
  <si>
    <t>…Gobierno se pasó una exposición de D. Sebastian cito le hablan pasado de los individuos comprendidos en Duran,en que manifestaba haber servido la plaza de escriba las promesas del general Quiroga en su proclama de Enero no de guerra en el segundo egcrcito en tiempo de la guerra de este año. de la independencia, y pidiendo se le dé el sueldo que le A la primera de Legislación, donde se hallaban los ante corresponde como cesante. cedentes , se pasó el e…</t>
  </si>
  <si>
    <t>…da ordinaria y de Guerra, hicieron exten Después de alguna dócusion fue aprobada. sivo A los individuos respectivos de milicias, cuando se ha Igualmente se aprobó la riguienre del Sr. Quiroga: llen sobre las armas, el aumento de sueldo concedido A Iás »»Oue se rengan presentes los oficiales que fueron compren clases inferiores del egército; declarando al mismo tiempo didos en la cauta del general Porlier, para que sean aten comprendidos en el expr…</t>
  </si>
  <si>
    <t>…se pasó la expodeion de un capitán de in Havana ig de Agosto. fantería comprendido en la causa de Porller, precit ada por El 18 del pasado ancló en este puerto el bergantín cor el Sr. Quiroga, manifestando sus servicios , v pidier.Jo s.- le reo nombrado Encantadora , procedente de Veracruz, y recomendase al Gobierno para poder recobrar su empleo. por él se supo que la Constitución estaba jurada en casi to A la comisión de Caminos y Canales se pasa…</t>
  </si>
  <si>
    <t>…ez de primera instancia de dicha capital D. Juan Manuelciones exactas de todos los individuos ú quienes comprenda de Moya, á pedimento de D. Alonso Joset León, por la proclama del general Quiroga de 11 de Enero de este quien se ha denunciado el artículo inserto en dicho número, año, y. la oferta hecha por el general Riego en Córdoba al y suscrito por el chismoso. La junta en su vista ha ob residuo de su división, compuesta de 280 hombres, confir serva…</t>
  </si>
  <si>
    <t>Quiroga'y, Antonio</t>
  </si>
  <si>
    <t>Antonio Quiroga'y</t>
  </si>
  <si>
    <t>…de campo * -los. tenientes ¿generales d&gt;. -Francisco ballesteros y marques dé Campoverde; D. Juan Ó- Dono jó &gt; D. Pedro Vil tacampa y D. Josef de Zayas; á los ma riscales de campo D. Antonio Quiroga'y D. Rafael del Riego ; y sin que en ningún caso pueda hacer-egemplar, -yen atención á sus muy particulares ser» -viciost al brigadier conde de A!modof.'3r, capitán- general del cgército y pro vincia da Valencia; los que ademasdeluniforme particular ,q«e en el reglamentoseles seña…</t>
  </si>
  <si>
    <t>Quiroga, Antonio</t>
  </si>
  <si>
    <t>Antonio Quiroga</t>
  </si>
  <si>
    <t>…sta fecha he expedido pasaporte al teniente coronel graduado Don Facundo Infantes para que pueda pasar á'esa corte á presentarse á S. M. y hacer presente varias cosas de parte del coronel D. Antonio Quiroga, pues asi lo ha solicitado el coronel D. Felipe de Arco Agüero,-que ha pasado á verme en él día de hoy con este motivo. ,,Es cuanto por ahora puedo noticiar á V. E. para que sé sirva, hacerlo presente á S. M. - ,, Dios guarde á V. E. muchos nos. Cuartel gener…</t>
  </si>
  <si>
    <t>…ncia militar de la provincia de Asturias al coronel D.\ Ramón de la Pola. El Rey, ejn consideración al distinguido mérito y particulares servicios que acaban de hacer á íá. nación D. Antonio Quiroga, t&gt;* Felipe. Arico Agiierp, D. Rafael Riego , D,. Demetrio OrDali y D. Miguel j-opez Baños, s¿ ha ser vido, conferirles los empiepSfde mariscales de campo de los egéjrcjtos; nacionales, ■ ' : ’ ' ■ ' i ‘ -v ’ : V, I • &gt; Gon el objeto de dar al comercio la pro…</t>
  </si>
  <si>
    <t>…do de Andalucía se forme-un solo cuerpo ele egército á las ór denes del capitán general interino de aquella provincia D. Juan O-Donojú, yibafo de.estas á las del mariscal de campo D. Antonio Quiroga, siendo gefe del estado mayor general el de igual clase D. Felipe de Arco Agüero. Señaladas ya por Reales órdenes' las fragatas de guerra nombradas Cons titución y Viva, aquella para pasar á Tenerife, Puerto-Rico, Havana y Veracruz, y esta-para trasladarse de…</t>
  </si>
  <si>
    <t>Quíroga, Antonio</t>
  </si>
  <si>
    <t>Antonio Quíroga</t>
  </si>
  <si>
    <t>…eyes. ' Manifiesto déí‘ coronel primer ayudante general del; estado mayor del primer égercito nácic^ial., y soldado de voluntarios de Cádiz D. Nicolás de, Santiago y Rótálde, á su general D. Antonio Quíroga de tqdolo ocurrido desde los primeros paáós que precedieron á' lá'corimocion intentada por dicho conorel el dia 24 de Enero dé; 18 20 en Cádiz hasta 'sü: presentación ¡en el cuartel general de la Isla de León. Vén dese a z-rs. y médio en la librería de'Rámire…</t>
  </si>
  <si>
    <t>…bración de la segunda junta preparatoria el dia i.° de Julio pró ximo á las 10 de ia mañana. Á las 8 de la mañana dél 23 deí corriente entró en esta' capital el maris cal de campo D. Antonio Quiroga. La noticia de la llegada de este beneméri to caudillo, que se ha grangeado la estimación de sus conciudadanos, no po día menos de excitar la curiosidad y admiración de los habitantes de Madrid. Miáronse desde luego llenas de un inmenso géntío todas las calle…</t>
  </si>
  <si>
    <t>…de 1820 y 1821; y han elegido para su Presidente ai Señor Don Josef de Espiga y Gadea, Arzobispo electo de Sevilla, Diputado por la provincia de Cataluña; para Vice-Presidente al Señor Don Antonio Quiroga, Diputado por la de Galicia; y para Secretarios á los infrascritos que lo somos respectivamen te por las de Murcia, Sevilla, Jaén y Aragón, según el orden de las firmas: lo que comunicamos á V. E. para su inteligencia, y á fin de que se sirva disponer que se…</t>
  </si>
  <si>
    <t>…en que manifestaba qne Sesión del jr de Octubre. habia sido nombrado cónsul constitucional de España en Leída y aprobada el acta de la sesión anterior, se dió Gibraltar por el Sr. general D. Antonio Quiroga, en cuyo cuenta de un oficio del Sr. secretario de Hacienda , en que destino había sido confirmado por la junta de Gobierno de remida uña cuarta exposición de la junta nacional del Cré S. Fernando; y pedia se le confirmase por el actual Go dito público sobre…</t>
  </si>
  <si>
    <t>Quirojga</t>
  </si>
  <si>
    <t>…desde el día-1»° de Enero dé este año; resolución, v pretendia que pidieran las Cortes al ministe indicación que apoyó enteramente el Sr. Golfín , y repitió rio su expediente. el Sr. Quirojga en otra, respecto de la ciudad da S- Fernan Juró y tomó asiento en el Congreso un Si*, diputado. do , en que se publicó la Constitución al principió del año. Se feyó y aprobó la indicación siguiente del Sr. Traver: El Sf. Yanaiola se opuso i la indicación del…</t>
  </si>
  <si>
    <t>Quirós, Josef María Padriñan y</t>
  </si>
  <si>
    <t>Josef María Padriñan y Quirós</t>
  </si>
  <si>
    <t>…ia D. Juan Corradi para que les señale el día en que deberán les, por el teniente coronel de egército y capitán de grana hacer Ja expresada prueba. deros provinciales de Mondoñedo D. Josef María Padriñan y Quirós. (Se continuará■) Un ciudadano español, vecino de esta corte, que ha re sidido en Londres y en Paris largo tiempo, y que ha exa minado los establecimientos mas importantes y útiles al bien público que existen en aquellas capitales, ha presenta ANUNCIOS. do al…</t>
  </si>
  <si>
    <t>Quirós, Julián</t>
  </si>
  <si>
    <t>Julián Quirós</t>
  </si>
  <si>
    <t>…primera clase á D. Dionisio Santos, D. Manuel del Cerro y D. Miguel Rojo. Los de segundad D. Manuel Hernández Alegre, D. Domingo Pleito y D. Francisco de Toro; y los de tercera á D. Julián Quirós, D. Saturnino Díaz y D- Eugenio Lázaro Carrasco. Concluyóse él acto con un breve discurso que pronunció su cura párro co el Lie. D.. Domingo de Buezo y Rojas, en que ademas de dar las gracias por su exactitud y zelo al maestro, manifestó cuan justas y piadosa…</t>
  </si>
  <si>
    <t>Quirosa</t>
  </si>
  <si>
    <t>…le dado declaraciones, se habra ese lihro, y se vuelva esa página. un castigo, como se ha querido snponer por algunos. El Sr. Moreno Guerra pidió que se hiciera la manifesra- ■ El Sr. Quirosa se levantó con el objeto de deshacer una clon de las providencias tomadas en las noches anteriores, equivocación de hecho, diciendo que la opinión del egér habiéndose dicho solo de la última, y siendo ya seis ó siete cito de la Isla no es la opinión de tres ó…</t>
  </si>
  <si>
    <t>Quirosición</t>
  </si>
  <si>
    <t>…aba encareci Mr. Benjamín Constant, individuo de la Cámara de los damente. ' Diputados, ha entregado al Sr. presidente de ella una expo Se leyó por primera vez una prbposición del Sr. Quirosición , pidiendo se sirva mandar que todas las órdenes de la ga , con motivo de lo ocurrido en el cuartelde Reales Guar dirección general de la policía del reino vayan firmadas por dias de la Persona del Rey , y muerte de uno de ellos que uno de los ministros, á fi…</t>
  </si>
  <si>
    <t>Quitos, Pedro Manuel Alvarez de</t>
  </si>
  <si>
    <t>Pedro Manuel Alvarez de Quitos</t>
  </si>
  <si>
    <t>…nque muy justa no podía tener lugar; por gislación , por el que opinaba se podía conceder la licencia que de lo que se había tratado era solo de aclarar el articulo que solicitaba D. Pedro Manuel Alvarez de Quitos, vecino 287 de la Constitución, y no del curso ulterior del suma de Alraendralejo de Extremadura , para enagenar algunas rio ; de las formalidades para el arresto de los delincuentes, tierras vinculadas: otro en que creía se debía también acce y la informació…</t>
  </si>
  <si>
    <t>R, F.</t>
  </si>
  <si>
    <t>F. R</t>
  </si>
  <si>
    <t>…ista de los sugetgs que han contribuido .enMadridpara so corro de los fneblos contagiados. * Número 742. El limo. Sr¿ obispo de Segorve 1© rs. Núm. 743. D. S. R. S. 100. Núm. 744. D. F. R. 20. Núm. 745. D. R. R. 30. Núm. 746. Don L J. S. i2o, Nym. 747. ElExcmo. Sr, duque de S. Cárlos 500: Núm. 748. D. -B. P. 40. Núm. 749¿ El limo. Sr. deán y cabildo de la santa iglesia me tropolitana de Zaragoza 2% Núm. 750. D. N¿, por segunda vez, 2oo. Nú mero…</t>
  </si>
  <si>
    <t>R, M. J. y</t>
  </si>
  <si>
    <t>M. J. y R</t>
  </si>
  <si>
    <t>…49¿ El limo. Sr. deán y cabildo de la santa iglesia me tropolitana de Zaragoza 2% Núm. 750. D. N¿, por segunda vez, 2oo. Nú mero 751. Doña A. M. M., por tercera vez, ib. Núm. 752. D. M. J. y R. 80. Núm. 753. D. J. A. un vale Real consolidado de 50 pesos que produjo 204 rs. Núm. 754. D. J. A. 80. Num. 755. Doña Antonia Sanz 20. Num. 756. Don Antonio Villar y Pinto, boticario de Salamanca, 200; Núm. 757. La vene rable universidad de priores y benefici…</t>
  </si>
  <si>
    <t>R, R.</t>
  </si>
  <si>
    <t>R. R</t>
  </si>
  <si>
    <t>…han contribuido .enMadridpara so corro de los fneblos contagiados. * Número 742. El limo. Sr¿ obispo de Segorve 1© rs. Núm. 743. D. S. R. S. 100. Núm. 744. D. F. R. 20. Núm. 745. D. R. R. 30. Núm. 746. Don L J. S. i2o, Nym. 747. ElExcmo. Sr, duque de S. Cárlos 500: Núm. 748. D. -B. P. 40. Núm. 749¿ El limo. Sr. deán y cabildo de la santa iglesia me tropolitana de Zaragoza 2% Núm. 750. D. N¿, por segunda vez, 2oo. Nú mero 751. Doña A. M. M., po…</t>
  </si>
  <si>
    <t>R, S. A.</t>
  </si>
  <si>
    <t>S. A. R</t>
  </si>
  <si>
    <t>…iente tas y tales pruebas han dado de su amor al Rey y al bien «general.” de la nación , no menos que al orden y á la tranquilidad. El dia i o se anunció al público i na carta del general S. A. R. el Duque de Calabria , su augusta Esposa y el Prín Pepe, manifestando á S. A. R. el Duque de Calabria que el cipe de Salerno acompañaban á todo el pueblo en el rego bien público exigia se aboliere el destino de capitán general, cijo que experimentaban: y pres…</t>
  </si>
  <si>
    <t>Ra</t>
  </si>
  <si>
    <t>…ntendente D. Josef Blanco González de la de Aragón; á D. Josef Somoza de la de Avila; al brigadier D. Josef del Castellar de la de Cataluña; á D. Pedro Lainez de la de Córdoba; al brigadier D. Ra món Losada de la de Galicia; á D. Joaquín Montesoro de la de Guadalajara; al brigadier D. Francisco de Paula Osorio de la de la Mancha; al mar ques del Villar de la de Murcia; al teniente general D. Juan O-Donojú de la de Sevilla; á D. Luis Castillo Barrantes…</t>
  </si>
  <si>
    <t>…rtud del Real decreto de 8 de Marzo; y en, mayor que gozaron antes.” . ... atención á q e la exponente ha pasado á segundas nupcias,, No se admitió á discusión otra indicación del Sr. Ra se conceda a sus do&gt; hijas la pensión correspondiente en el mírez Cid, en que pedia que los magistrados cesantes de* los monte pió. , suprimidos consejos que llevasen mas de' yo años de ser También se leyeron por segunda vez piros dos proyecto» vicio gozasen…</t>
  </si>
  <si>
    <t>…niente, compense á llería de la plaza de Santoña D. Hipólito del Corral. estos piadosos establecimientos: que se entreguen inmediata Ideas soore la administración de justicia, por D. Ra mente por el cokcror general de E-polios del caudal exis món Belmint Carmen, subteniente del regimiento de Murcia. tente en su tesorería 60® rs, para socorro efectivo y pron Memoria sobre la utilidad de los cuerpos de lanceros, to de dichos hospitales: que as…</t>
  </si>
  <si>
    <t>…ndado rescindir un contra Madrid 1.° de Setiembre. to del abasto de vino y aceite. SS. MM. y AA. siguen sin novedad en su importante A la comisión Eclesiástica unas reflexiones de D. Ra salud. fael María Contreras Cantero sobre la reforma del estado S. M. ha despachado hoy con los Sres. secretarios del regular, administración de sus bienes , v. otros puntos mas Despacho de Estado y de Hacienda. análogos , y dos discursos de D. Miguel María d…</t>
  </si>
  <si>
    <t>…extraordinaria. presente el Sr. Yandiola que estaba muy vago este artículo Se mandó pasar á la coinióon de Instrucción pública por Jas palabras de quien corresponda , contestó el Sr. Ra un oñclo del ministro de la Gobernación de la Península, mos Arispe que podría hacer la propuesta él mismo ó cual al que acompañaba un plan formado por el director que fue quiera otro diputado; y después de haber mostrado los se de los e.tedios de S. Isidro D…</t>
  </si>
  <si>
    <t>…n el concepto de que se rija el término de 60 dias, contados to interminable.desde esta fecha, y pasado este no se dará curso á instancia Vindicación de los extravíos imputados al general D. Ra alguna. Madrid 20 de Noviembre de 1820. fael del Riego el 7 de Setiembre en las Cortes. Véndese en Ja VARIEDADES. librería dé Ranz. Variacipnes para forte-piano sobre el tema de la cancioneta Sociedad de fomento en los Estados-Unidos de Amé vascongada Itzasor…</t>
  </si>
  <si>
    <t>Ra, Antonio</t>
  </si>
  <si>
    <t>Antonio Ra</t>
  </si>
  <si>
    <t>…itución de la Monarquía, se formaron las tres com riesgo de resfriarse. pañías del regimiento de Jaén que se hallan en ella acanto PORTUGAL. nadas, al mando del benemérito oficial D. Antonio Ra món de'Fasa, quien las dirigió t;n discurso análogo A las Lisboa 8 de Julio. circunstancias. En seguida pasaron A la parroquia de S. Pe En el mes de Junio entraron en este puerto 69 buques; dro, escoltando al ayuntamiento y demás convidados, y A saber : 8 sue…</t>
  </si>
  <si>
    <t>Rada, Matías García</t>
  </si>
  <si>
    <t>Matías García Rada</t>
  </si>
  <si>
    <t>…egunda de Legislación se mandó pasar dad de la corona y este honor de la nación han exigido el expediente dirigido por la secretaría de Gracia y Justicia, castigos. promovido por -D. Matías García Rada , sobre emancipa Sé muy bien que se han hecho proposiciones de aco ción de su hijo D. Tomas; v otro del mismo ministerio re modamiento; pero acompañadas de amenazas, que ha dis lativo á lo actuado sobre subrogación de un censo impuesto gustado que se hiciesen…</t>
  </si>
  <si>
    <t>Rafael</t>
  </si>
  <si>
    <t>…rebeldes que asesinaron fuera de ésta' demarcación al te niente coronel Palafox; y habiéndose acercado á ella la gavilla del cabecilla Resendis, marchó en su alcance el comandante capitán D. Rafael "Velazquez, y logró matar uno, hacer 2 prisioneros, y coger 4 carabinas, 2 sables, 10 caballos , entre ellos uno de los qué quitaron al referido gefe desgraciado, y 40 reses que habian robado á los indios del pueblo de S. Gerónimo, de quie nes mataron uno é h…</t>
  </si>
  <si>
    <t>…es ó patriotas que hubiesen muerto en defensa de la justa causa de la nación, ha cabido en suerte del primer extracto de la de este dia á Doña Carlota Robustiana Martínez, hija de D. Rafael, teniente del sexto batallón de Marina, muerto en el campo del honor. Los Metamorfóseos ó trasformaCiones de Ovidio, traducidos por D. Francisco Crivell, y adornados con 140 estampas y 11 Viñetas. Esta obra, que se publicó por suscripción , y se suspendió por…</t>
  </si>
  <si>
    <t>…uel país, exceptuando algunos qúe hacen al pueblo de Madrid los soldados de la Isla por puntos en que andaban salteadores. Se trataba de un cuer la salida á Oviedo de su dignísimo general D. Rafael del po de observación de 10© hombres entre Aversa, Capua Riego;” el cual, previo examen de la junta de Censura, por y Gaera. Mesina, Siracusa y Catana continuaban adictas al unanimidad se ha declarado tener los caracteres de suposi Gobierno de Ñapóles. ción,…</t>
  </si>
  <si>
    <t>…tán Parry ha inverna dura , Aragón y Castilla la Vieja á ios mariscales de cam do á 482 millas geográficas al Oeste del estrecho de Lancas po D. Antonio Cea, D. Manuel de Velasco, D. Rafael del ter, y á 280 millas al N. Oeste del rio de Copper-Mine. Riego , ayudante de campo de S. M., y D. Carlos Espi Este punto dista del cabo de Hielo (Giace), término de la nosa ; y gobernadores de las plazas de Malaga y Sanlúcar de navegación de Cook, 800 mill…</t>
  </si>
  <si>
    <t>Rafael, Juan</t>
  </si>
  <si>
    <t>Juan Rafael</t>
  </si>
  <si>
    <t>…a sufrido en su carrera, ciudad. le ha conferido el Rey la administración de la aduana de Otro en el callejón de Huertas, núm. 13, en la misma Veracruz , vacante por jubilación de D. Juan Rafael ciudad. de Ozta. Otra casa plazuela del Rubio, núm. 10, en aquella ciudad. En la mañana del 30 de Agosto próximo pasado han Otra idem en Puebla de Soto. dado la vela en la bahía de Cádiz la fragata Pronta y go Otra idem y corral, dos fanegas de tierra olivar,…</t>
  </si>
  <si>
    <t>Ramcnet, Ramón</t>
  </si>
  <si>
    <t>Ramón Ramcnet</t>
  </si>
  <si>
    <t>…de artillería, cqn un solemne la que habían sido elegidos los mismos que anteriormente; á TV Deurr, cantándose ademas himnos patriótico-religíosos. saber, D. Josef Ramirez y Cid, D. Ramón Ramcnet , Don El ayuntamiento ofreció 12 dotes de ¿50 ducados á Qtras Gabriel Ugarte y Alegría, y para suplente D. León Gil tantas doncellas sorteadas entre las aspirantes; y por la tar Muñoz, el segundo por unanimidad de votos, faltando á de leyó en la asamblea patr…</t>
  </si>
  <si>
    <t>Rami-, María</t>
  </si>
  <si>
    <t>María Rami-</t>
  </si>
  <si>
    <t>…ativa á la formación de dado por otro D. Sebastian Cordero Nevares de Santoyo, se códigos. La comisión era de parecer que convendria nom cretario que fue del Despacho universal, y Doña María Rami-, brar otras especiales del seno mismo del Congreso, que se rez de León, su muger, sobre la separación de dicho concurso ocupasen en la formación de los códigos civil, criminal y de los bienes raíces existentes en el despoblado de Vilches, in mercantil. Las Co…</t>
  </si>
  <si>
    <t>Ramoa</t>
  </si>
  <si>
    <t>…anot, fidelidad á -la Constitución de Marzo último. Sabida esta, Alvarez Sotomayor, Navarro (D. Fernando), .Martínez declaración, los diputados-no aguardaron á mas, y salieron' (- D. Ramoa ), Gaseo, Janer, Moreno Guerra. de Darmstadt para volverse ;á sus casas. INSTRUCCION PUBLICA. Los Sres.Muñoz Torrero, Vargas Ponce, Tapia, Na INGLATERRA. vas, Martínez déla Rosa, García Page, Navarro (D. An drés) , Cortés, Marrell. JL6ndres--&lt;iSde Junio. DE E…</t>
  </si>
  <si>
    <t>Ramón</t>
  </si>
  <si>
    <t>…,Catalanes, vuestro carácter y propensión á favorecer dia se anulase la elección de los Sres. García Galiano, y al desvalido os hacen acreedores á las mayores pruebas de Martines (D. Ramón) para diputados á Cortes por la pro gratitud. Los pobres bendicen ya vuestra piedad; y la Nación vincia de Guadalajara, en atención á tener causa pendiente entera , á la vista del artículo 6.° de la Constitución política de infracción de Constitución. Se acor…</t>
  </si>
  <si>
    <t>…en Ultramar; y el Sr. Freire dijo que ya dicha plaza el 31 del corriente. cuaba aprobada por el Congreso, y debía regir igualmente Los síndicos representantes de los acreedores de D. Ramón /ñnt'uúo Sierra han acordado, con anuencia de este, convocar en Am rica. á dichos acreedores á una junta general extrajudicial para el Aprobada el art. 79, y luego el 80 , el Sr. Torcno pro día 3 del próximo mes de Setiembre en el aula de gramática pino .i lo…</t>
  </si>
  <si>
    <t>…cuerpos ó por 117 : el conde de Taboada por 103 de 110 : D. Manuel Car las tesorerías de egercito de las provincias en que fijen su rillo por 78 de 126; y en clase de eclesiástico D. Ramón residencia, según mas les acomode.” •Cabrera por 94 de 120. Se aprobaron también los artículos 4.3.° y 6.° Se concedió al Sr. Magariño el permiso que pedia el ca 4.0 «Si el número de licencias que se pidan fuese mayor pitán general de esta provincia para que…</t>
  </si>
  <si>
    <t>…mo fue concebido y egediputado por la provincia de Extremadura; D. Josef de cutado desde el principio con tanto acierto, no ha sido Zayos, que !o es suplente por !a isla de Cuba ; D. Ramón preciso , ó álo menos nadie se ha empeñado en alterarle por Giraldo, diputado por la provincia de la Mancha; D. Ma espacio de tres siglos; y «i en estos últimos años se han he nuel de la Bodega, suplente por el vireínato del Perú;Don cho algunas tentativas, r…</t>
  </si>
  <si>
    <t>…gado y un macho cabrio igualmente de bronce , y dos me de Tortosa a! mariscal de campo D. Miguel de limo: Je la dallas de cobre de módulo pequeño, una que representa á de Mahon al brigadier D. Ramón l'o.o; y uc la de San la Emperatriz Severitia, inuger de Aureliano, y la otra la tander al coronel retirado del cuerpo de artillería D. Joa cabe/a del Emperador Probo. Como este labrador tiene es quín Vdarde. peranzas de hacer nuevos descubrimientos, ha deter…</t>
  </si>
  <si>
    <t>RamOn</t>
  </si>
  <si>
    <t>…el Austria curren á, recibir en ella,los:mas luminosos principios del deintentase contra el reino de las Dos Sicilias. Apenas creería rccíio público de boca del ilustrado patriota D. RamOn la posteridad una injusticia tan manifiesta y un atenrado Torra, es una, de las mayo.es pruebas_ que. acreditan ;¡ es tan violento contra lós derechos de las naciones; injusticia píritu que reina en ésta población. Gloria á la ¡ey sagrada y atentado tanto mas…</t>
  </si>
  <si>
    <t>…quedaban en Sans-Souci mas que sus guar D. Juan Arroyos, D. Josef Masip, D. Pedro García Cer dias de corps, sin serle posible ya reunir otro egército ni vino, D. Antonio Melgares, D. Ramón. Calvo y D. Jo huir, se tiró un pistoletazo al corazón. ’ sef Martínez. • Asi acabó su vida el hombre mas cruel, y que no tiene Concluido éste período, siguió él de pronunciar palabras, igual entre todos los tiranos. Hacia mucho tiempo que las en-que se demos…</t>
  </si>
  <si>
    <t>Ramona</t>
  </si>
  <si>
    <t>…o habia estado en la ciudad de Burdeos; y conforme á su solicitud ha mandado dicho señor se anuncie en qste. periódico para que si alguna persona tuviese noticia del paradero deja Doña Ramona se sirva darla al mismo señoreó en la c.itada escri banía, para lps efectos que en justicia correspondao fP la citada instancia heehapor el P. Miguel. Los suscriptores á la coleqcion de obras de Mistress Bennet, p historias de la he redera, del país de Gales…</t>
  </si>
  <si>
    <t>Ramoner</t>
  </si>
  <si>
    <t>…ón de los ordenados in sacris se extendiese á los tonsu plidos , está obligado al servicio de la milicia nacional.” rados que tengan ¡a obligación de asistir á la iglesia, como El Sr. Ramoner y el Sr. Romero Alpuente hicieron sucede con algunos. ver que el artículo i. del proyecto, en cuanto á la edad, No quería el Sr. Losada que se mudase en nada el ar había tenido presente cuál es la mas apta para el servicio. tículo. El Sr. Canabal pidió, con m…</t>
  </si>
  <si>
    <t>Ramonet</t>
  </si>
  <si>
    <t>…s el libre comercio, ó seguir el dictamen de ponerla en castellano; A otro que sé sustituyese otra ráenos la comisión. común, y que no fuese aplicable A todo como la presente. F.l Sr. Ramonet dijo que le parecía que se padecía una El Sr. Adargas expuso las razones que le habian movido á equivocación , poe to que, como se ha visto por repetidos preferir aquella entre otras que le habían sido presentadas. égemplos, el pabellón no asegura la carga. Q…</t>
  </si>
  <si>
    <t>…ecesitada acaso que el hospital, y conde de Toreno, apoyada por el Sr. Martínez de la Ro en el segundo deberia socorrerse con prontitud á la huma sa . no obstante la oposición del Sr. Ramonet, Lindada en nidad doliente. Respecto de lo indicado por el Sr. Martel, que no debían as Corres permitir se creyese que les habian dijo que la diputación provindal de Madrid , en virtud de causado susto aquellos ma vados, se acordó decir que habia decreto del…</t>
  </si>
  <si>
    <t>…artínez, teniente de tario la dedicatoria, se mandó decir que las Cortes habían infantería de marina. oido y aceptaban esta memoria con el mayor agrado. Habiendo hecho presente el Sr. Ramonet la necesidad . También se dió cuenta de una memoria, de que se re de que se eximiese de otras comisiones á los individuos de midan.200 egemplares á las Cortes, en que se manifestaban la referida organización de Fuerza armada, para que pu los perjuicios que re…</t>
  </si>
  <si>
    <t>2 tirela que fe hallase dormido. El Sr. Ramonet advirtió sin do la duda sobre la remisión á tribunal competente del ex embargo que podrían ponerfe dos centinelas en los casos, pediente, relativo á la formación de causa del marques de intere antes, puesto que era de tanta importancia la vigi Castelar; y se…</t>
  </si>
  <si>
    <t>…erno sabe que no se ha excedido en el uso de donde señala las voces de que debe usar el egército, se de-' su autoridad. hería decir siempre Viva el RrY constitucional, para qui El Sr. Ramonet dijo, limitándose ah suceso de la noche tar e! medio de que se han valido los facciosos. anterior j que indudablemente habia habido facciosos, por El Sr. pre-idente manifestó que se debían dar las mas que de todo se dijo viva , y luego elogió, á la heroica vi…</t>
  </si>
  <si>
    <t>…e mayorazgos, presentada por D. Jo^ef Perez de Después de una ligera dbcusion se aprobó este artículo Guzman el B teño, cadete de Reales Guardias de infantería. con la adición del Sr. Ramonet «i una persona de su con Se declaró no haber lugar á votar sobre una exposición fianza aunque no sea letrado.” de D. Francisco' Sánchez de Castro, del gremio y claustro Se dió cuenta de otro dictamen de la comisión primera de la universidad de Santiago, sobre…</t>
  </si>
  <si>
    <t>…ión del jo de Setiembre. votar sobre ella'. Se leyó el acta de la anterior, á la que se mandó agre Se dió cuenta de un oficio del ministerio de la Gober gar el voto particular del Sr. Ramonet, contrario á la reso nación de la Península , con el que remitía una instancia lución tomada acerca de la cria de ganado mular ; y' el de de doYTwrmanas del Dr. D. Miguel Pascual, víctima de su los Sres. Ugarte ( D. Gabriel), Lecumberri y Ramírez Cid zelo en…</t>
  </si>
  <si>
    <t>…las compañías á los llamados gitanos, á El Sr. Gutiérrez de Acuña manifestó que no podia ad quienes han recibido los demas con los brazos abiertos, aba mitirse lo propuesto por el Sr. Ramonet, porque estando tiendo asi ese muro de división entre ciudadanos y ciudada los sargentos segundos con los primeros en razón de cuatro nos. Esta es la única provincia que sepamos tenga milicia rural: á uno, resultarla un aumento considerable. en nuestros impor…</t>
  </si>
  <si>
    <t>…da, para que esta informase antes de deiiberar so Cuenca, en que manifestaba que por no estar concluida la bre ella. formación de su estadística , no podía disfrutar del perdón El Sr. Ramonet la apoyó, diciendo que se tuviese pre de la tercera parte de la contribución, concedido por las sente que las sesiones se iban á concluir pronto, y que era Cortes en el término fijado; por lo que pedia se la conce bueno dejar al Gobierno prevenido, pues siemp…</t>
  </si>
  <si>
    <t>…n igual caso. plan de enseñanza pública. Se leyeron y mandaron pasar á la comisión ordinaria de A la segunda de Legislación una exposición de D. Mar Hacienda seis indicaciones del Sr. Ramonet, dirigidas á celino' Portocarrero, manifestando que el año 14 se habia que los Sres. secretarios def Despacho presenten desde el</t>
  </si>
  <si>
    <t>…astornos que después bre Jos informantes. Núm. 5.° Inviolabilidad de los diputados han sucedido en la Nación. demostrada. Núm. 6.' Refutación individual de Jos informes. Guiado el Sr. Ramonet por los mismos principios , con Núm. 7." Extracto de la causa del fingido Audinot &amp;c. Cuader fesó que luchaban estos en su espíritu con la- expresión no 2.“ Se vende con el t.° en las librerías de Castillo y de Bar terminante de la ley f ndamenral, dentro de…</t>
  </si>
  <si>
    <t>…s de farmacia, pidiendo-se anulasen va no tener bienes propios no se hallan en el caso de poder ser rias contribuciones y gravámenes que sufren , y ofreciéndose multados." 2.a del Sr. Ramonet: «Que se delibere la medi á sostener los cuatro colegios de esta facultad , enublecidos da de represión que deba adoptarse cuando se predique en en Madrid, Barcelona, Sevilla y Santiago. Se mando pasar las calles ó plazas, como sucede en muchos lugares de á J…</t>
  </si>
  <si>
    <t>…ar á los magistrados de un 17.999,905. Juros...................................... 1260.521,565. punto á otro era privativa del Gobierno. 0.608,327. Alcabalas: 4 unos por 100 y El Sr. Ramonet manifestó, que la adición parecía mas servicio ordinario enagena- bien dirigirse á un artículo de la Constitución que á la adi dos....................................... 224.507,286. ción del Sr. Montoya; por lo que opinaba no debia apro 5.023,036. Recompensa…</t>
  </si>
  <si>
    <t>Ramónet</t>
  </si>
  <si>
    <t>…és de haberla oído fobre et .Vidasoa , cuyo coste regula en 2;o3 rs. con agrado las Cortes, una exposición presentada por el ; A la comisión de organización de Fuerza armada se pa Sr. Ramónet, del ciudadano D. Alejo Viqle , ofreciendo uré saron dos observac’ones hechas sobre retiros y viudedades compendio de las ordenanzas y reglamentos ingleses sobre militares por Qn tgnieqtedel regimiento de la Corona. los buques armados y desarmados. . ', No hu…</t>
  </si>
  <si>
    <t>Ramos</t>
  </si>
  <si>
    <t>…D. Pascual Ramos, ve que debía egecutar para que no pudiera imputarse e que cino , médico y regidor de Segura, contra el alcalde prime obraba arbitrariamente; y habiendo pedido el Sr. Ramos ro de la misma villa. Arispe la explicación de si la palabra pasage , que se conce A las de Agricultura y Comercio reunidas una repre día en el artículo, se cenia á dar lugar en el buque, ó sentación de varias ca*as de comercio de Barcelona, sobre comprendía…</t>
  </si>
  <si>
    <t>…n dei Esiado A ia que este adopte, pero no y leyendo la ley que se habia citado. hacer que e.ta sea ó no verdadera, lo cual depende de Después de otra objeción sobre l^nguage, del Sr. Ramos la esencia de la misma religión, no deben tampoco cas Arispe, á que saiistizo el Sr. Martínez de la Rosa, quedó tigar sino al que intente quitar aquel título ó la religión aprobado el artículo. como trastomador de una ley fundamental , pues la inspec Se leyó…</t>
  </si>
  <si>
    <t>…aba ya an to del expedido por las Cortes en 3 del propio, para que teriormente. los cesantes, jubilados y reformados deque trata acredi Después se leyó la indicación siguiente del Sr. Ramos ten con documento legítimo el número de años de servicio Arispe, sobre la que no hubo lugar a votar. Los monaca que tuvieren , como paso previo para la designación de los les ordenados in s.icris, los profesos sin. esta cualidad, y sueldos que les correspondi…</t>
  </si>
  <si>
    <t>…Cortes no fuesen ex ber lugar A votar sobre el dicamen de la comirion , y re tensivos A Ame'ricn, y manifestó que en México se habia aprobó en su lugar ta indicación s-guíente del Sr. Ramos dudado de si se habia de establecer ó no diputación provin Arispe: «Que el Go-iemo remita un testimonio del expe cial . por todo lo cua! era de opinión que se debía ex &gt;r«sar diente para^q- e vuelva á ia comirion.” ' por la1 Cortes que todo decre'o que no exc…</t>
  </si>
  <si>
    <t>Ramos, Pascual</t>
  </si>
  <si>
    <t>Pascual Ramos</t>
  </si>
  <si>
    <t>…pues aunque este deseaba darles mucho mas de lo que al provincia, cuya capital sea Orense. canzaban sus facultades, necesitaba saber exactamente lo A la de Infracción una queja de D. Pascual Ramos, ve que debía egecutar para que no pudiera imputarse e que cino , médico y regidor de Segura, contra el alcalde prime obraba arbitrariamente; y habiendo pedido el Sr. Ramos ro de la misma villa. Arispe la explicación de si la palabra pasage , que se conce A l…</t>
  </si>
  <si>
    <t>Rapp</t>
  </si>
  <si>
    <t>…una expo sición del capitán general de Navarra D. Francisco Espoz y París ij de Setiembre. .- ~ ■j Mipa v recomendando á los militares y paisanos que se le Se dice que el general conde Rapp, uno de los Pares : hafcáati reunido en i.° de Marzo., y contribuido al restable que componen la comisión de la Cámara, irá dentro de al cimiento del sistema constitucional. gunos dias al departamento del Alto-Rhin, en donde se A la comisión de Guerra una rep…</t>
  </si>
  <si>
    <t>Raras, Manuel López de</t>
  </si>
  <si>
    <t>Manuel López de Raras</t>
  </si>
  <si>
    <t>…iticlad de 312,024 rs. y 9 mrs. vn. El que quiera hacer postura á ella acuda al juzgado del nominado señor alcalde de Casa y Corte, y escribanía de provincia y «omTsionesprópTa de D. Manuel López de Raras; en inteligencia de que se halla se-</t>
  </si>
  <si>
    <t>Raya, Juan</t>
  </si>
  <si>
    <t>Juan Raya</t>
  </si>
  <si>
    <t>…hacer postura acuda ante el Sr. D. Angel Fernandez de los Ríos, del Consejo de S. M. , teniente corregidor dé esta muy heroica villa, por la escriba, nía de su número que egerce: D. Juan Raya; y está señalado para su remate el dia 1/ del corriente, álas 12, en la audiencia del mismo señor. , El R. P. procurador general de la religión de carmelitas descalzos de España é Indias ha ocurrido ante el Sr. D. Angel Fernandez de los Ríos, del Consejo de S…</t>
  </si>
  <si>
    <t>…En virtud de providencia del Sr. D. Angel Fernandez de los Ríos, del Consejo de S. M. , teniente corregidor de esta muy heroica villa, por la escribanía de su nú. mero que egerce D. Juan Raya, se vende una casa sita en esta corte, y su calle de la Concepción Gerónima, señalada con el núin. 33 de la manz. 158, que tiene de sitio en la planta baja 1 220^ pies, en la del piso principal 2355 , y en el segundo 2333 , tasada en 178,434 rs. vrj. ;• previ…</t>
  </si>
  <si>
    <t>…de la publicación de este anuncio ¿ a-cuda ante el Sr. J). Josef Martínez Mosceso, juez de primera instancia de esta muy heroica villa,,y por la Escribanía de su numero que egerce D. Juan Raya., á tratar dé la enunciada redención. El Constitucional, ó sea crónica científica, literaria y política * sale diariamente desde el lunes 13 del corriente. Constará este periódico de un pliego, y se suscribe 4 él en la librería"de Orea, calle de la Montera:¿s…</t>
  </si>
  <si>
    <t>…. D. Angel Fernandez de los Ríos,ministro togado, juez de pri mera instancia én esta muy heroica villa, ante el escribano de Dos bancales de tierra en idem, Vega Viator. su número D. Juan Raya, en.el dia 9 del corriente á las 8 en Idem idem de D. Miguel Méndez y Doña Catalina. la posada del mismo señor, sita en la calle y casa del Sacra Bascas. mento. Cinco casas pequeñas frente al hospital. nota. En la gaceta de ayer , pág. 307, Iín. 59; donde dic…</t>
  </si>
  <si>
    <t>Re, Francisco</t>
  </si>
  <si>
    <t>Francisco Re</t>
  </si>
  <si>
    <t>…s v han sufrido su inter han tenido de enseñanza , al tiempo que hicieron ver los co rogatorio, se habla de Mr. Lacombe, guardia de Corps de nocimientos, esmero y tino del maestro D. Francisco Re la compañía de Luxemburgo, que fue preso tres dias hace yes : la sociedad no pudo menos de manifestarles su aprecio, en S. Gc:;nan-en-Laye. concediendo á este el título de socio, y premiando á seis Avisan de Genova haber llegado al golfo de Espezia un de aque…</t>
  </si>
  <si>
    <t>Rea, Ledro</t>
  </si>
  <si>
    <t>Ledro Rea</t>
  </si>
  <si>
    <t>…á la extinción de la deuda nacional por decreto de La comition del Diario de Cortes presentó su dictamen Jas Cortes de _p del corriente, sancionado por S. M. sobre la propuesta de D. Ledro Rea!, diciendo que se ha bía hecho ya contrata con D. Diego Cuuipoy , a razón de MAESTRA ZOOS. 12 'maravedises el pliego: que este tenia ademas á su tavor el haber impreso el tomo i.” de Diarios y las actas de las De la contadurí t de Oca fia. Dos dehesas llamada…</t>
  </si>
  <si>
    <t>Real, Igna</t>
  </si>
  <si>
    <t>Igna Real</t>
  </si>
  <si>
    <t>…lene sus de Un reglamento de táctica para tropas ligeras, por el co beres j y que al usar de las facultades que concede la citada ronel agregado al regimiento infantería de Málaga D. Igna Real orden de 17 de Diciembre de 18x3 se proceda con cio Hacha. aquel tino, prudencia y circunspección que exige el con Un pro}recto muy detallado sobre Ja constitución y or ciliar la seguridad de los intereses de la Nación con la li ganización de un cuerpo de sal…</t>
  </si>
  <si>
    <t>Real, Pascual</t>
  </si>
  <si>
    <t>Pascual Real</t>
  </si>
  <si>
    <t>…ltado , según aparece del siguiente docu ción del juramento que prescribe la Constitución. mento , entregado por esta al mariscal de campo Povoas, El comandante general de Guanaro D. Pascual Real re comisionado al efecto por aquel Gobierno. mitió al Excmo. Sr. general en gefe con fecha de 7 de Ju „Habiéndose presentado á la junta provisional del Gobier nio el parte dado poErel comandante de dragones D. Ma no supremo del reino la carta que V. S-.ha ent…</t>
  </si>
  <si>
    <t>Real, Pedro</t>
  </si>
  <si>
    <t>Pedro Real</t>
  </si>
  <si>
    <t>…ciendo por consecuencia á la otra de las tres clases Se mandó pasar á la comi-ion del Diario de Corres una de decretos, esto es, á los que exigen la sanción Real. El exposición de D. Pedro Real, como director de la imprenta Sr. Gaseo apoyó esto mismo, y aú se acordó. de Collado , ofreciéndose á imprimir el número de Diarios A petición del Sr. Puigblanch se convino en sustituir la de las mismas que se le señalara, á 10 mrs. pliego á todo palabra segl…</t>
  </si>
  <si>
    <t>Rebolló, Josef</t>
  </si>
  <si>
    <t>Josef Rebolló</t>
  </si>
  <si>
    <t>…neas, de super ficies, planos, cuerpos terminados por planos y cuerpos redondos; siguiendo en esta parte, asi como en las otras de matemáticas, ei texto de Lacroix, tra ducción de D. Josef Rebolló. . En ei mismo dia los alumnos de la dase de comercio expusieron los prin cipios en que se funda el ingenioso método de partida doble, demostrando que por él se da á los asientos de los libros toda la exactitud , seguridad y claridad que se requiere, porque p…</t>
  </si>
  <si>
    <t>Reclusa, Pedio Juan de</t>
  </si>
  <si>
    <t>Pedio Juan de Reclusa</t>
  </si>
  <si>
    <t>…pesos y medidas de Marien de Arrospide.. Por providencia del Sr. D. Manuel Josef de- Arbizu, del' Consejo- de S. M., al calde de la Real Casa y Corte, juez de la testamentaría de D. Pedio Juan de Reclusa, se ha ¡-ervido convocar á junta general de acreedores de la rrdsrea testareenta'ría. y señalado para ella el domingo 27 del corriente , á l'as 10 de su* mañana , en sir posada, calle del Desengaño,, esquina á la del Barco, núm. r.°, cuarto principal; con;</t>
  </si>
  <si>
    <t>Recupero</t>
  </si>
  <si>
    <t>…d necesaria para ser consejeros de Estado. La comisión opinó por el contra Ndpoles 7/ de Octubre. rio que no se siguiese mas regla para la elección de conse En la sesión del 27 el diputado Recupero leyó en el Par jeros de Estado que sus talentos, su conducta, y los4ser lamento una carta de Catana , en que le hacían saber una re vicios que hubiesen hecho á su patria; y se aovobó este solución tomada por el senado de aquella ciudad. En ella se dictamen. P…</t>
  </si>
  <si>
    <t>Redesdale</t>
  </si>
  <si>
    <t>…iones le pare seguridad para lo futuro. cían sospechosísimas, y que el principio en que se fundaba el proceso era inconstitucional, por lo que votaba contra FRANCIA. v el bilí. El lord Redesdale expuso por el contrario las doctrinas París 13 de Noviembre, legales que justificaban la forma de enjuiciar adoptada, y Los últimos debates de la causa'ac la Reina presentan votó por el bilí. un hecho digno de que llame la atención de la Francia, El conde de…</t>
  </si>
  <si>
    <t>Réditos, Qui-</t>
  </si>
  <si>
    <t>Qui- Réditos</t>
  </si>
  <si>
    <t>…Se añada la de que puedan ser Deuda pública de España que ¿ana réditos. trasladados á otras audiencias ó tribunales de igual clase.” Habiendo sido admitida á discusión , opinó el Sr. Qui- Réditos. Artículos. Capitales. roga que fcrfacultad de trasladar á los magistrados de un 17.999,905. Juros...................................... 1260.521,565. punto á otro era privativa del Gobierno. 0.608,327. Alcabalas: 4 unos por 100 y El Sr. Ramonet manifestó, qu…</t>
  </si>
  <si>
    <t>Redondo, Francisco</t>
  </si>
  <si>
    <t>Francisco Redondo</t>
  </si>
  <si>
    <t>…rés Segó vía, D. Manuel 69 diputados de las Cortes ordinarias con fecha de 12 de Abril de 1814. presentada á S. M. en "Valencia de vuelta de su cau -Santurio, D. Anacleto Fagoaga, D. Francisco Redondo tividad por D. Bernardo Mozo Rosales: acompaña también di y D. Felipe Vázquez Canga; y para las fiscalías á D. Ma cho manifiesto con notas críticas. El estilo claro con que estaa nuel. de Echeverría y D. Antonio Martel. tratados muchos punros de política y de…</t>
  </si>
  <si>
    <t>Regereña, Juan Alonso</t>
  </si>
  <si>
    <t>Juan Alonso Regereña</t>
  </si>
  <si>
    <t>…en el valiente y modesto capitán de Mallorca Mu- Ha entrado en este puerto la goleta española nuestra ruiaga á uno de sus principales héroes: ai frente de un pe Señora del Carmen, capitán D. Juan Alonso Regereña, queño, aunque escogido número de valientes, enarbolando de Vigo, en 10 dias, con maíz; y dice este caphan que el estandarte de la libertad civil, tranquilo entre mil espa sobre el cabo de Sta. María le dió caza un bergantín-goleta das qne le amenazaban, y de…</t>
  </si>
  <si>
    <t>Reguera, Lorenzo Fernandez de</t>
  </si>
  <si>
    <t>Lorenzo Fernandez de Reguera</t>
  </si>
  <si>
    <t>…ovidencia alguna á que- este mal des Resolución de los problemas relativos al vestuario de in aparezca , ó al menos se disminuya en gran parte, haciendo fantería del egército, por D. Lorenzo Fernandez de Reguera. ios inas estrechos cargos al resguardo para que llene sus de Un reglamento de táctica para tropas ligeras, por el co beres j y que al usar de las facultades que concede la citada ronel agregado al regimiento infantería de Málaga D. Igna Real orden de 17 de D…</t>
  </si>
  <si>
    <t>Rehira</t>
  </si>
  <si>
    <t>…iese que comprendía tanto A Ultra nes de las Cortes D. Juan Corradi present í a -as mismas mar cr ino á la Península. para su biblioteca dos egempinres de su Prontuario crono - F! Sr. Rehira manifestó que no era necesaria e^ta expre lógico -Je la historia de España para instrucción de ia ju sión . por cuanto se sabia que ¡os decretos de las Cortes ventud, acompañado de un mapa histórico, en que de una eran comunes t ambos continentes, y que la co…</t>
  </si>
  <si>
    <t>REINO, Agustín NOTICIAS DEL</t>
  </si>
  <si>
    <t>Agustín NOTICIAS DEL REINO</t>
  </si>
  <si>
    <t>…26. C.uéntanse entre los muertos 376 por suici SECRETARIA DEL consejo DE estado,___Vacantes dios , 2jo hombres y 126 de mugeres. en Ultramar. Puebla de los Angeles. por ascenso de D. Agustín NOTICIAS DEL REINO, Rojano y Mudarra á una ración de la santa igleria de" Pue bla de los Angeles, ha resultado vacante la media ración Madrid 8 de 'Julio. que obtenía en la misma, cuya renta está regulada en 20 SS. MM. y AA. siguen sin novedad en su importante pesos; y para su…</t>
  </si>
  <si>
    <t>REINO, Anastasio García NOTICIAS DEL</t>
  </si>
  <si>
    <t>Anastasio García NOTICIAS DEL REINO</t>
  </si>
  <si>
    <t>…ados á tiñes por el marques de Villamejor, solicitando facultad para «de Agosto próximo." enagenav algunas fincas de sus respectivos mayorazgos. Se dió cuenta de una exposición de D. Anastasio García NOTICIAS DEL REINO. del Castillo, en que recordando la que habia hecho ante riormente ( véase la sesión del 2j) para que se pidiera al Barcelona ij de Julio. ministerio de Gracia y Justicia su expediente relativo á ser En las críticas circunstancias de nuestros días 110 debe vi…</t>
  </si>
  <si>
    <t>REINO, Angel Fernandez NOTICIAS DEL</t>
  </si>
  <si>
    <t>Angel Fernandez NOTICIAS DEL REINO</t>
  </si>
  <si>
    <t>…, que en cometido.” el día esten en disposición de servir , y se hallan en sus casas. Se concedió al Sr. Ochoa el permiso que solicitaba el juez de primera instancia de esta corte D. Angel Fernandez NOTICIAS DEL REINO. de los Ríos para que informara en las pruebas en que es taba entendiendo para recibirse uno de escribano. Madrid 2¡ de Octubre. Continuó después la discusión del proyecto de ley so Hoy á las 11 de la mañana salieron SS. MM. y A A. bre responsabilidad de los…</t>
  </si>
  <si>
    <t>REINO, NOTICIAS DEL</t>
  </si>
  <si>
    <t>NOTICIAS DEL REINO</t>
  </si>
  <si>
    <t>…rmedad, como se podía ver por la certifi semejante providencia; y se dice haberle traído ya á esta cación de su facultativo. capital. - Se concedió licencia al Sr. conde de Maulé, diputado NOTICIAS DEL REINO. por Chile , para salir de la corte durante la estación del in vierno , por serle perjudiciales los fríos de esta. Algeciras 14 de Octubre. Se mandó pasar á la comisión de Hacienda una exposi Según carras de Tánger del 2, todo el imperio está ya ción del envi…</t>
  </si>
  <si>
    <t>Rejas, Francisco</t>
  </si>
  <si>
    <t>Francisco Rejas</t>
  </si>
  <si>
    <t>…e No se admitió á discusión otra del Sr. Rodríguez de que se concediese carta de ciudadano á un aleman , y las Ledesma, concebida en estos términos: «Que se añada pro otras dos de D. Francisco Rejas, vecino de Carmona, y poniendo el Gobierno los arbitrios que fueren necesarios para D. Julián López , de Torrejon de Velasco , pidiendo licencia las obras.” para administra r sus bienes. Fue aprobada la de los Sres. Vadillo y Cortés, dirigida A la de Hacienda…</t>
  </si>
  <si>
    <t>ReJeJ.re</t>
  </si>
  <si>
    <t>…e pudiese en conciencia votar al obi pado de Nápoles; y la sabiduría del Parlamento de por ¡a clátoida de! divorcio. cidirá :i los obispados lian de dotarse con bienes raíces ó El lord ReJeJ.re dijo que el matrimonio era mas bien con renta pecuniaria: arréglese en todas ias administracio un contrato civil que un voto reücio'o; que le parecía que nes el numero de los empleados, que por ser excesivo causa este contrato no interesaba solamente á las pa…</t>
  </si>
  <si>
    <t>Relio</t>
  </si>
  <si>
    <t>…aración, se mandó comparecer á la cos tos .i prestar el juramento constitucional. Todos se han ne turera de que se habia hablado, llamada Marrina , la cual gado á ello, incluso el cardenal Relio, que se expone con dijo que conocía muv bien á la Dumont, y que se acordaba este acto á perder un beneficio de 53 ducados de renta. El de haberla visto en Mauge en Abril de ttft'D, que anieri &gt;rcaballero Cattaneo está esperando á su sucesor el Sr. de Ce mente…</t>
  </si>
  <si>
    <t>Reman, Miguel Yema</t>
  </si>
  <si>
    <t>Miguel Yema Reman</t>
  </si>
  <si>
    <t>…mudes en dicho campo, rió sucedería al tiempo de morir el actual poseedor, y no pre Galochcr, con 95 olivos. cisamente el que tenga ¡a especrativa cuando se publique Capellanía de D. Miguel Yema Reman. esta ley." Una pieza de 2 robos, 8 almudes en el Tablar de en El’Sr. presidente nombró para la comisión especial de medio de la Alhca. •Caminos y Canales á los Sres. Florez Estrada, Villa, Tor Capellanía de Margarita de Sesma. re Marin , Marín Tauste, Azaola…</t>
  </si>
  <si>
    <t>Renai, Juan Manuel</t>
  </si>
  <si>
    <t>Juan Manuel Renai</t>
  </si>
  <si>
    <t>…triotismo. Repique general dé fueron de las Cortes ordinarias D. Bonifacio To autos, Don campanas , funciones de iglesia , acciones de gracias al Dios Josef Zorrilla de la Rocha y Don Juan Manuel Renai ’o; de las misericordias, iluminación general, bendiciones diri pidiendo el primero el arcedianuto de Madrid , en virtud gidas á nuestro Rf.y y á su posteridad , deseos ardientes por del singular mérito q e contrajo en firmar la representación el acierto de l…</t>
  </si>
  <si>
    <t>Renovales, Mariano</t>
  </si>
  <si>
    <t>Mariano Renovales</t>
  </si>
  <si>
    <t>…l de campo D. Fran cisco Espoz y Mina, el de igual dase D. Juan Diaz Porlier.fiíel,teniente ge¿neral D. LuisLacy, el comisario de guerra D. Vicente Richard y el maris cal de campo D. Mariano Renovales, las formadas en Valencia en 1817 y 1819 , la de los acontecimientos del egército expedicionario d&amp;Ultramar en $ de Julio de 1819 , y demas de igual naturaleza, vuelvan al goce de todos sus honores y egercicio de sus empleos. Lo participo á V. de Real orden p…</t>
  </si>
  <si>
    <t>…digen estar ya puesta en practica V traer r.ieunas ventajas. cia por haber sido su difunto padre comprendido en la cau Se aprobó, igualmente el dictamen de ia o'tnbion secun ta de D. Mariano Renovales. da de Legislación para que se concediese carta de ciuda A la primera de Legislación una exposición de D. Pe dano á Martin de Rahot, vecino Je Arces de Mar. dro Vida!, del comercio de Barcelona , sobre la causa que Igualmente se aprobó, el de la misma comisió…</t>
  </si>
  <si>
    <t>Reque-, Francisco</t>
  </si>
  <si>
    <t>Francisco Reque-</t>
  </si>
  <si>
    <t>…Francisco Xavier Castaños; D. Josef Mariano Almanza, D- Pedro Cevallos , el marques de Piedrablanca, D. justo.Marta Ibar-Na^ai-* ro, D. Josef Aycinena, D. Antonio Ranz Romanillos, D. Francisco Reque-. na i D. Estéban Varea,' y de los secretarios D. Josef Luyan do y D. JuSnü Madrid Dávila. Asimismo he creído conveniente declarar que ios individuos, que han compuesto el Consejo de Estado hasta et di a 9 del presente tilesea&lt; que juré Yo la referida Constitu…</t>
  </si>
  <si>
    <t>Requens</t>
  </si>
  <si>
    <t>…r las armas. FRANCIA. El célebre padre Vallicchi, ex-coronel de los insurgentes de Palermo, acaba de llegar á Nápoles, é igualmente el ge Paris 13 de Noviembre. neral Rosnain , el coronel Requens, y mas de 1® soldados Por una carra de Nápoles de r.^ del corriente saltemos que fueron hechos prisioneros en Palermo. que cuando salía de Palermo el buque Capri se estaba ve rificando el nombramiento de diputados de aquella capital INGLATERRA. para el Parlam…</t>
  </si>
  <si>
    <t>Requera, Gaspar de</t>
  </si>
  <si>
    <t>Gaspar de Requera</t>
  </si>
  <si>
    <t>…az , antes bien son opresores del mismo á quien lla da por los referidos en el 23: curta de pago y recibo de dotéman su hermano, alarg índole la mano en señal de amis otorgada por D. Gaspar de Requera en 10 del mismo mes entad." Los delawares tienen no pocos motivos de prorum- favor de su esposa Doña Josefa Rodrigo: testamento de esta pir en tan amargas quejas: su nación está casi destruida, y otorgado en 7 de Abril del prenotado año; y la declaración de s…</t>
  </si>
  <si>
    <t>Requesens, Manuel</t>
  </si>
  <si>
    <t>Manuel Requesens</t>
  </si>
  <si>
    <t>…r militar de Palcrmo, el mariscal de campo D. Rogeno conservar sino la tropa de línea , y a despedir la. milicia ro Séttimo, los príncipes de Pandolfina y Torrebruna, el nacional. caballero D. Manuel Requesens, el duque de Comba, el B AVI ERA. Íresidenterado secretarioAlcudiD.:y Antonioel cónsulOquibena.de $. Mari;La yjuntaha sido-aorn-debe po - Rastadt 17 de Octubre. nerse en correspondencia con todas las autoridades de PáiSe había empezado en la última sesión de…</t>
  </si>
  <si>
    <t>…os; que se establezca una diferencia entre los dere gerio Séttimo, el príncipe de Pandolfina, el príncipe de chos del Gobierno y las leyes que deben someterse indis Torrebrima, el caballero D. Manuel Requesens, el duque de pensablemente á las discusiones de la Dieta ; y por último, Cumia, el presidente AlcudL, el cónsul de Sellar!, y Dr An que el alojamiento de las tropas se distribuya con mas tonio Ognibene, secretario. igualdad y justicia. ' 2.° «Dicha junta se p…</t>
  </si>
  <si>
    <t>Respecto, Joaquín Sán</t>
  </si>
  <si>
    <t>Joaquín Sán Respecto</t>
  </si>
  <si>
    <t>…rcera entrega, que será ser que su conducta posterior le hubiese hecho desmerecer cumplido con la mayor escrupulosidad. para conseguirlo. Invitación y prospecto que publica el Dr. D. Joaquín Sán Respecto ti que estos premios fueron creados para chez Aibelia , beneficiado de Ja parroquial de Sta. Catalina Mar—, dar mayor estímulo al soldado en aquella época en que la tir , de la ciudad de Valencia, relativo á la enseñanza de la Nación se hallaba empeñada en un…</t>
  </si>
  <si>
    <t>Retama, Julián de</t>
  </si>
  <si>
    <t>Julián de Retama</t>
  </si>
  <si>
    <t>…ba las solicitudes de tres extrangeros para que se que se recomendase al Gobierno al teniente retirado de ar les concediese carta de ciudadano , y la de otro para obtener tillería D. Julián de Retama, en atención.á sus servicios y la de naturaleza. demas que exponía en la representación que hizo al Congre A la comisión primera de Legislación se pasó otro ofi so , á fin de que se le repusiese en su destino. cio del mismo Sr. secretario acerca de una consul…</t>
  </si>
  <si>
    <t>Retamosa, Julián da</t>
  </si>
  <si>
    <t>Julián da Retamosa</t>
  </si>
  <si>
    <t>…arias en 3 dé Noviembre de dicho aqo de 1813 ; y ha nombrado para componerla en las clases de director y subdirector según sü antigüedad al teniente general de la ■armada nacional D. Julián da Retamosa, y al de igual clase del egército Don Josef Cienfuegos , ambos ministros cesantes del extinguido Consejo supremo •de la Guerra ; y para la de gobernadores al teniente general-de egército Don Manuel Zappino, al ministro togado, también cesante como esté y los…</t>
  </si>
  <si>
    <t>Retes, Manuel de</t>
  </si>
  <si>
    <t>Manuel de Retes</t>
  </si>
  <si>
    <t>…io próximo, á las n de la mañana, en la sala de juntas de la misma dirección: quien quisiere enterarse del pliego de condiciones acuda á la escribanía mayor de Rentas del cargo de D. Manuel de Retes. Los comisionados de las masas de las caSas de D. "Vicente Herreros de Tejada y D. Vicente García Diez, vecinos de esta corte, avisan 4 todos los acreedores de ellas concurran desde el 19 del corriente con los documentos justificativos á verifi car su liquida…</t>
  </si>
  <si>
    <t>Retes, María Josefa de Herrera y</t>
  </si>
  <si>
    <t>María Josefa de Herrera y Retes</t>
  </si>
  <si>
    <t>400 de esta muy herbka villa , se cita , llama? y emplaza i D. Ignacio Ladrón de Pullas, como heredera de Doña María Josefa de Herrera y Retes; á sus hijos, herederos y sucesores; á ios de Brígida Alvarez; al administrador ó representante del concurso de D. Luis Montero del Carpió, y á todas y cualesquiera personas que se contem plen con derecho ó acción á los bienes deja referida Doña María Josefa,…</t>
  </si>
  <si>
    <t>Revilla, Francisco Manuel</t>
  </si>
  <si>
    <t>Francisco Manuel Revilla</t>
  </si>
  <si>
    <t>…ó la Constitución, y varias felicitaciones. Logroño 15 de Agosto. Se mandaron unir al expediente de vinculaciones unas D. Fidel Roca, director de la academia de dibujo de ideas de D. Francisco Manuel Revilla sobre vínculos y ma Ja ciudad de Logroño, acaba de descubrir en el reino de yorazgos. Navarra una cantera de piedra litográfica. Este profesor ha A la comisión segunda de Legislación se mandó pasar hecho á sus expensas un viage á París , con el objeto de en e…</t>
  </si>
  <si>
    <t>Revilla, N.</t>
  </si>
  <si>
    <t>N. Revilla</t>
  </si>
  <si>
    <t>…uesta A muchos abusos, no se ra que se atiendan y remedien las necesidades de su casa pensaba, A pesar de estos, en privar de ella A los ciudada de expósitos, fundada y dotada por D. N. Revilla. nos; y concluyó pidiendo que volviese el dictamen A la A la de Organización de’fuerza armada una exposición comisión. de D. Francisco Caturla, para que A los tenientes coroneles En el mismo sentido se explicaron los Sres. Solana y La agregados en servicio ac…</t>
  </si>
  <si>
    <t>Revuelta, Hermenegildo</t>
  </si>
  <si>
    <t>Hermenegildo Revuelta</t>
  </si>
  <si>
    <t>…ipio á esta reforma desde fes acerca de varias acciones. el año de 1S21, en atención á que España no se halla yn la actualidad en estado de hacer gastos excesivos en convites y El coronel D. Hermenegildo Revuelta dió parte con fe funciones en las naciones extrangeras, sino que está pobre, cha de 16 de Enero desde Lagos de los remltados de su ex pobrísima, acoviada de una deuda de I4‘nS¡ millones. pedición, empezada en 29 de Diciembre Sus tentativas para Ei Sr. Ochoa ¡…</t>
  </si>
  <si>
    <t>Rey</t>
  </si>
  <si>
    <t>…o de. dose á que esta hablaba en el informe de que se había pedi-r su salud. do por muchas universidades la reposición del bárbaro; CORTES. plan de estudios de 1771 : manifestó el Sr. Rey que la dfc Cervera no solo no lo había pedido, sino que había conti—&gt; Sesión del a O de Julio. nuado dos años sin adoptarle,. hasta que se mandó expre Se leyó y aprobó el acta de la sesión anterior. En se samente. guida la lista de los individuos nombrados pa…</t>
  </si>
  <si>
    <t>…os,que es 4 rs. vn. los del pueblo,y 8 los de fuera,mensual No se admitieron á discusión otras dos indicaciones; mente. Se admiten memoriales por término de 40 dias, conta una del Sr. Rey, que decia: «Ningún empleado del Crédito dos desde el 10 di este mes, y se ha de proveer a oposición. público desde los directores hasta el último portero podrán Los memoriales sé presentarán en la secretaría de aquel ayun hacerse pago de los sueldos hasta qu…</t>
  </si>
  <si>
    <t>…añola de d(d Prado, para que sin embargo de lo prevenido en el art. 10 Carlos m. se les permita á los escolapios dar hábitos, en razón de su conocida utilidad; ni tampoco otra del Sr. Rey , para que S. M. ha nombrado capitán general de la provincia de en el arr. 18 se añadiera «y las casas de misioneros de San Cádiz, vacante por nombramiento del teniente general de la Vicente de Paul. Armada D. Cayetano Valdés para secretario del Despacho El S…</t>
  </si>
  <si>
    <t>…ura. ner gran fuerza el argumento de que no habían cometido Se mandó pasar á la comisión de Hacienda una indica abusos. Declarado el punto suficientemente discutido recor ción del Sr. Rey, pidiendo que las Cortes encargasen á esta dó el Sr. conde de Toreno, que se habian hecho por la co comisión que propusiera los medios y modos de reintegrar misión ó por algunos de sus individuos ciertas reformas, y á los acreedores al fondo de amortización y…</t>
  </si>
  <si>
    <t>…y á que habia de los derechos territoriales, con un proyecto de ley sobre señalado ya otros arbitrios para aquella operación, opinaba el mismo objeto; y habiendo anunciado que el Sr. Rey ha que úrúcámente se dijese A los monges que el sobrante de bia dado voto particular, dijo este que no podia leerle por sus pastos lo cediesen para aquel objeto. no llevarle consigo; pero que lo haría cuando se verificara la Las comisiones de Legislación, Hac…</t>
  </si>
  <si>
    <t>…su después de lo cual se aprobaron todos los artículóscomo se1, totalidad. proponían. La comisión ordinaria de Hacienda presentó reformados - También se aprobó esta indicación del Sr. Rey: «Que IÓs artículos sobre el papel sellado, cotí arreglo i lo expuesto se recomiende al Gobierno que en las contratas que haga en la discusión de este asunto por algunos Sres. diputados. para fabricación dé papel sellado se prevenga, que sea deiti' Proponía p…</t>
  </si>
  <si>
    <t>…des que no provenían de derechos feudales, que habian uno y otros verdaderas riquezas de un cambio mas fácil. sido abolidos. El Sr. conde de Toreno, conviniendo en la exactitud El Sr. Rey pidió que se hiciese extensivo lo propuesto de principios manifestada por el Sr. Cuesta, impugnó á los por la comisión respecto al patrimonio Real de Valencia, Sres. Martínez de la Rosa y Cano Manuel: al primero, por á los de Cataluña y Mallorca. que juzgaba…</t>
  </si>
  <si>
    <t>…comisión primera de Legislación una representación ria del producto de que se trataba. -del ayuntamiento de la ciudad de Tuy y 13 pueblos de su Después de haber hablado también el Sr. Rey acerca de distrito, quejándose del gravamen de los derechos del Poyo los principios generales, contestando al 5r. Martínez de la .que cobra el juez de primera instancia, presentada por el Rosa, se aprobó el artículo. ¿r. Bahamonde. Se leyó la indicación sigui…</t>
  </si>
  <si>
    <t>…guir el mismas en el expresado dia 9 de Mayo; reducido: x.° á fomento tan deseado y apetecido. que las cau.-as sobre robo no deben reputarse livianas, y si Impugnó--el dictamen el Sr. Rey, y le apoyó el señor continuarse hasta definitiva con arreglo .i la Constuocúm y Martínez de la Rosa, considerando el punto económica A las leyes.- 2.0 que no estando expresamente derogada la mente, v creyendo bajo este aspecto, que importaba mas práctica de…</t>
  </si>
  <si>
    <t>…ima de !a discordia. llenos del mayor entusiasmo á las casas consivortaies, don Quieren la Constitución actual, porque la ha dado el de su comandante D. Félix de Orne Fchevarría , teniente Rey. y la han jurado los Príncipes de su sangre, po'-que to retirado de los egéreitos nacionalec , que se presentó volun da la nación la desea, y porque habiendo cordura puede tario en esta milicia , aunque estaba exceptuado segur, regla hacer á la Francia fuerte…</t>
  </si>
  <si>
    <t>Rey, El</t>
  </si>
  <si>
    <t>El Rey</t>
  </si>
  <si>
    <t>…róximo á concluirse el matrimonio entre el Infante ARTICULO DE OFICIO. — D. Miguel, hijo segundo de S. M. Fidelísima, y la Infanta Doña Cristina, hija de nuestro Príncipe teniente-general El Rey ha expedido el decreto siguiente: del reino. Correspondiendo al Parlamento por los artículos Don Fernando vn por la gracia de Dios y por !a 208 y aró de la Constitución el aprobar este contrato, y Constitución de la Monarquía española, Rey de las Espaseñalar…</t>
  </si>
  <si>
    <t>Rey, Josef SinforiaEl</t>
  </si>
  <si>
    <t>Josef SinforiaEl Rey</t>
  </si>
  <si>
    <t>…dicha villa. Los aspirantes á la citada plaza ARTICULO DE OFICIO. dirigirán los memoriales, en el término de 40 dias, contados des de el de esta publicación , francos de poite, á D. Josef SinforiaEl Rey ha expedido el. decreto siguiente: no García Suelto, procurador síndico de dicha villa de Yepes; Dop femando vil por la gracia de Dios,, y por la y finalizado el plazo, se procederá á proveerla en el mas bene Constitución de la Monarquía española , Rey de ías…</t>
  </si>
  <si>
    <t>Reydefendiendo</t>
  </si>
  <si>
    <t>…ue se nom cuerpos, como tribunal supremo de Justicia, juntas de Cen brasen los 40 individuos en ¡as dos legislaturas. sura , depuraciones provinciales y ayuntamientos se les ha El Sr. Reydefendiendo el dictamen de la comisión, bla concedido. Dijo que los consejeros de Estado debían ds deseó se propusiera una medida-poli tica, nomo quería el se •considerarse como interinos, porque en las circunstancias ñor To reno, pues la comisión, después de muchas medi…</t>
  </si>
  <si>
    <t>Reyero, Josef Aivarez</t>
  </si>
  <si>
    <t>Josef Aivarez Reyero</t>
  </si>
  <si>
    <t>…Mariano García y Saleta , D. Josef Guerrero y Sedaño 3 Don Santiago Olloqui y Martínez, D. Manuel La-Cerda y Paiafcx, D. Juan Ló pez Larrainzar , D Francisco Cascajares y Bardnxí, D. Josef Aivarez Reyero , D. Cárlos Casaprin y González, D. Rafael Rodríguez Solís, D. Josef Canals y Mayéis, D. Rafael Galinno y Guillelmi, D. Francisco Rívadeneira y Acevedo, D. Mariano Navarro "y Avellañ, D. Juan Basco y Sarria; Den Ramón Nuñez de Haro, D. Josef Rulz del Burgo y…</t>
  </si>
  <si>
    <t>Reyes, Luis Morales</t>
  </si>
  <si>
    <t>Luis Morales Reyes</t>
  </si>
  <si>
    <t>…n esta capital. lisa en celebridad del juramento que han prestado su guarni ción , empleados y vecinos á la Constitución política déla Mo ARTICULO DE OFICIO. narquía española: por D. Luis Morales Reyes, farmacéutico de dicha ciudad. Véndese á real en la librería de Matute. Circular del tribunal especial de Guerra y Marina *» nota. El discurso canónico sobre los cabildos, del que en la gaceta del 6 de este mes, col. 4.", lín. 59, se dijo haber los capitanes…</t>
  </si>
  <si>
    <t>RiA, Agustín</t>
  </si>
  <si>
    <t>Agustín RiA</t>
  </si>
  <si>
    <t>…presente año fue un dia dos. Con este motivo recomienda Carnero en particular de extremo júbiio y alegría para la grande y heroica Nación al capitán interino y segundo del místico D. Agustín RiA que pertenecemos, se ha inundado de gozo y de ternura vas ; al de milicias de pardos y del esquife Domingo mi corazón y el de todos los oficiales y valientes soldados Sosa; A los marineros Juan Otero, Pedro Marcano , An ue componen el egárcito de mi mando , c…</t>
  </si>
  <si>
    <t>Ribas, Manuel López de</t>
  </si>
  <si>
    <t>Manuel López de Ribas</t>
  </si>
  <si>
    <t>…con solo el número de 1; o socios que se reclamación que se ha formado en dicho juzgado, por la escri aseguraron mutuamente por valor de 2f millones de fran banía de provincia de D. Manuel López de Ribas, á pedimento cos en fincas, y que en i.° de Junio de 1820 se habia au de D. Pedro Josef de Ibabe; en su consecuencia se les da este aviso; apercibidos que pasado dicho término sin haber compamentado el número de casas aseguradas hasta el de 12,613, recido por…</t>
  </si>
  <si>
    <t>Ribera</t>
  </si>
  <si>
    <t>…e dor. ¡Ojalá llegue algún dia á ser el heredero de las virtudes diputados suplentes de América. de sus abuelos y de las de su augusto padre! Juró y tomó asiento en el Congreso ei Sr. Ribera, di putado suplente por Asturias NOTICIAS DEL REINO. Se leyó por segunda vez un proyecto de ley del señor Serrallach dividido en 11 artículos, en que á fin de evitar la Cádiz G de Agosto. impunidad de los malhechores proponía el uso de pasapor Con fecha del 8…</t>
  </si>
  <si>
    <t>Ribera, Lorenzo</t>
  </si>
  <si>
    <t>Lorenzo Ribera</t>
  </si>
  <si>
    <t>…ndo se le exo número no han sido aun colocados; de lo que resulta que nerase de este cargo por su falta de oido, y que le reeinsel déficit es siempre el mismo. plazase el suplente D. Lorenzo Ribera , cuyo mérito , co Idem jo. nocimientos y amor al nuevo orden recomendaba encareci Mr. Benjamín Constant, individuo de la Cámara de los damente. ' Diputados, ha entregado al Sr. presidente de ella una expo Se leyó por primera vez una prbposición del Sr. Quiro…</t>
  </si>
  <si>
    <t>Ribera, Mariano</t>
  </si>
  <si>
    <t>Mariano Ribera</t>
  </si>
  <si>
    <t>…ución, y allí mataron á un indio, y á otros 2 los hirieron. Por nuestra parte no ha habido mas novedad que un caballo que salió herido de lsnz^* Recomiendo á vmd. al nuevo oficial D. Mariano Ribera, de la hacienda de Ixtapanr que en todas estas funciones me ha acompañado, y ruego á vmd. que tenga presente su despacho. __ - , . s . 0 , Dios guarde á vmd. muchos años. Hacienda ce la lorre Agosto 28 de iBiq = Rafael Velazquez. =Sr. teniente coronel y coman…</t>
  </si>
  <si>
    <t>Ribera, Pedro Díaz de</t>
  </si>
  <si>
    <t>Pedro Díaz de Ribera</t>
  </si>
  <si>
    <t>…il próximo pasado, se ha dignado reintegrar á D. Jacinto Nicolás de Alonso en el empleo de secretario del tribunal especial de Guerra y Marina que obtenía el año’de 1814, quedando D. Pedro Díaz de Ribera, de cuyo zelo y buen desempeño en el tiempo que le ha servido se halla satisfechq, en clase de cesante con los honores y sueldo que disfruta ínterin no se le confien otro destino. - . ■ Continuación de las contestaciones dadas por losCr abine tes extranjeros.…</t>
  </si>
  <si>
    <t>Ribera, Rodrigo de Herrera y</t>
  </si>
  <si>
    <t>Rodrigo de Herrera y Ribera</t>
  </si>
  <si>
    <t>…rio al autor de la obra premiada, y le entregará la meda A virtud de acuerdo de los patronos de las pías fundaciones lla á é! mismo, ó á la persona que ocurriere en su nombre, del Sr. D. Rodrigo de Herrera y Ribera y Doña Brianda de para cuyo caso deberán manifestar una copia con la misma Mendoza en el convento de S. Felipe el Real de esta corte, divisa que tuvieren las presentadas al examen. A los auto que se hallan radicadas en la escribanía de provincia vacante, res de las dos que…</t>
  </si>
  <si>
    <t>Ribera, Roque de Herrera y</t>
  </si>
  <si>
    <t>Roque de Herrera y Ribera</t>
  </si>
  <si>
    <t>…dicho término se procederá sin mas citarles ni emplazarles, y les parará el perjuicio que haya lugar. En virtud de acuerdo de los señores patronos de las memorias fundadas por el Sr. D. Roque de Herrera y Ribera, y las de Doña Brianda de Mendoza, eri el con vento de S. Felipe el Real de esta corte, de que son patronos el señor cura de la iglesia parroquial de S. Sebastian de esta muy heroica villa, el R. P. prior del insi nuado convento, y los señores marqueses de Au…</t>
  </si>
  <si>
    <t>Ricardos, Antonio</t>
  </si>
  <si>
    <t>Antonio Ricardos</t>
  </si>
  <si>
    <t>…S. M. Promovido á teniente general de los Reales egércrtosen 26 de Febrero de 1791 fue destinado, declarada la guerra á la Francia, al egército del Rose? BOn, al cargo del Excino^ Sr. D. Antonio Ricardos; y en la gloriosa campa ría de 1793 dio muy repetidas pruebas de su conocimiento y aptitud para 'el mando, y de aquel valor tranquilo y heroico, primera cualidad de los caudi llos militares: los campos de Nibs, de Pesiliá, de Peirestortas, Rivesaltes, •Bolo y…</t>
  </si>
  <si>
    <t>…so, establecidas delante de Bolou asistió de voluntario como muerto en el campo del honor. ayudante de campo del marques de las Amarillas, que man dó la acción. El general en gefe D. Antonio Ricardos , á ARTICULO DE OFICIO. quien sirvió de ayudante de campo en esta campaña, le Con fecha 19 de Noviembre desde el Real sirio de San confió las mas delicadas y arriesgadas comisiones, y entre Lorenzo dice el Sr. secretario de Marina a! Sr. secretario ellas la i…</t>
  </si>
  <si>
    <t>Rich, Josef</t>
  </si>
  <si>
    <t>Josef Rich</t>
  </si>
  <si>
    <t>…esta obra, bien conocida de los sabios, y que pue co; el capitán D. Rafael Casella; D. Ignacio Antonio Ca de ser de un beneficio incalculable para la Nación, Constará de lero ; el brigadier D. Josef Rich ; el mariscal de campo Don 2 tomos en 8.° de buen papel y letra, los que se hallan en prensa, Pedro Toséis Gamez ; ídem D. Josef Bucareli; ídem D. Jo y el primero se entregará muy en breve á los que gusten sus sef San Juan ; ídem otra del mismo; Ídem D. Vicen…</t>
  </si>
  <si>
    <t>Richard, Vicente</t>
  </si>
  <si>
    <t>Vicente Richard</t>
  </si>
  <si>
    <t>…prendidos en las causas formadas al mariscal de campo D. Fran cisco Espoz y Mina, el de igual dase D. Juan Diaz Porlier.fiíel,teniente ge¿neral D. LuisLacy, el comisario de guerra D. Vicente Richard y el maris cal de campo D. Mariano Renovales, las formadas en Valencia en 1817 y 1819 , la de los acontecimientos del egército expedicionario d&amp;Ultramar en $ de Julio de 1819 , y demas de igual naturaleza, vuelvan al goce de todos sus honores y egercicio de s…</t>
  </si>
  <si>
    <t>Rico, Juan González de</t>
  </si>
  <si>
    <t>Juan González de Rico</t>
  </si>
  <si>
    <t>…Puerto-Pico. y levantó la de este día. Por promoción de D. Josef Gutiérrez Arroyo á la dig nidad de arcediano de la santa iglesia catedral de PuertoEl cónsnl de S. M. en Gibraltar D. Juan González de Rico ha quedado vacante la de chantre de la misma, cuya Rivas ha puesto á disposición del Gefe político de la pro renta anual está regulada en i&gt;oo pesos fuertes. Y para su vincia de Mallorca la cantidad de 23,400 rs., producto de provisión se admiten memoriales d…</t>
  </si>
  <si>
    <t>Ricot, Juan</t>
  </si>
  <si>
    <t>Juan Ricot</t>
  </si>
  <si>
    <t>…i destruida, y otorgado en 7 de Abril del prenotado año; y la declaración de según dicen los viejos, no quedan de su antigua población pobre otorgada en 10 de Agosto siguiente por D. Juan Ricot; mas que otros tantos centenares de hombres cuantos eran en y que puestas las notas de habilitación que previene el capítulo tonces ¡os milbres. ■ 9 de la Real cédula de 19 de Febrero de 1 ¡11 c, se publicase Los indios creen, según sus principios religiosos,…</t>
  </si>
  <si>
    <t>Rie</t>
  </si>
  <si>
    <t>…a separarse ni bia presentarse en publica palestra á exigir esta responsa un ápice de las reglas prescritas en aquel libro sagrado, y bilidad. Después de esto hizo presente que el general Rie que el general Riego seria el primero en sostenerle y en dar go se ha mostrado hov no menos grande que en sus expe egemplo, respetando las résoluciones del mismo Congreso. diciones anreriores, pues que no se queja de que se hayan Creyó el Sr. Romero Alpuente…</t>
  </si>
  <si>
    <t>Riego</t>
  </si>
  <si>
    <t>…agradable necesidad de que se ventí del dia anterior. El Sr. Golfín hizo la observación de que lase el asunto en una disensión púijblica &amp;c.” al hablar de la denunciaTiecha por et Sr. Riego, solo .je ■ Sir F. Burdett apoyó esta enmienda, y después habló decía que era respectiva al abuso de la libertad de-imprenta, extensamente zahiriendo la conducta de los ministros. habiendo sido una delación del periódico titulado la Ley, Le contestó Mr. Carmi…</t>
  </si>
  <si>
    <t>…á Sacedon sin novedad. Las-Cortes quedaron entera A la misma comisión especial se mandó pasar una ex das ; como igualmente de otro del ministerio de la Guerra, posición del mismo general Riego, elogiando la conducta leal remitiendo 300 egemplares de la circular de 10 del corriente. y constante que había observado en su columna la parte sa A la comisión de Legislación se mandó-pasar un oficio na del batallón conocido con el nombre de Guias, y pi del…</t>
  </si>
  <si>
    <t>…na queja dada contra él, que se del primer egército nacional que se hallan en este cantón: leyó en la sesión de 17 del mes último, y otra de la dipu al concluir las evoluciones el general Riego, que las man tación provincial de Navarra sobre haber sido detenido en da, forma los cuerpos en batalla, y con un entusiasmo inex las puertas de Pamplona D. Bernabé de Artola. plicable victorean á la España libre, d ¿as Cortes y al A propuesta del Sr. Subrié…</t>
  </si>
  <si>
    <t>…la de Instrucción pública el miento de Cádiz , pidiendo la abolición de diezmos. proponer lo mas útil acerca de la biblioteca y estudios de A la de Premios una rcpre'enracion del general Riego, S. Isidro, por no existir en el expediente ningún documen en que hacia presente el mc'rho y servicios de los indivi to relativo á estos establecimientos. duos de su columna móvil que le habían seguido constan Se leyó en seguida un voto particular del Sr. con…</t>
  </si>
  <si>
    <t>…el duque de Ciudad-Rodri milicias provinciales. go cuando se pre ento en Cádiz, pidió que hallándose en A la de Agricultura una exposición de Antonio Campo, la corte et benemérito general Riego," se nombrara una co proponiendo introducir y generalizar en España un de-cu misión del seno del Congreso para felicitarle. El Sr. presi brimiento para ayudar á la fermentación del vino, que no dente le dijo que presentase la proposición por escrito, en solo…</t>
  </si>
  <si>
    <t>…de de ello. Grande, se procedió á la votación del dictamen por partes, El Sr. Moreno Guerra hizo presente al Congreso que á y se aprobó la primera. repetidas instancias del mismo general Riego y de varios Se aprobó igualmente la segunda, con la adición á ins diputados, cuyas opiniones respetaba mucho, se habia re tancia del Sr. Palarea nen el seno de las Cortes y asimismo suelto á retirar la proposición que habia anunciado en la se se aprobaron las…</t>
  </si>
  <si>
    <t>…tán tan enlazadas las importantes, y que á ella se debe el restablecimiento det personas; pero como no se trata de recompensar méritos sistema'constitucional, y particularmente al general Riego; que la Nación y sus representantes conocen. me es preciso mas que de ningún modo daría un paso que "no fue'e con considerarla también en abstracto. Pof lo mismo que esos forme á las leyes, y que el mismo Riego no podria apro dignos individuos son amantes de…</t>
  </si>
  <si>
    <t>…puente, A la de Infracciones una queja de Doña Francisca Gó previno el Sr. presidente que ni proponía ni pedia nada el mez de Meneses contra los alcalde; de la villa de Zafra, por general Riego , y que ti_ se quisiese hacer alguna proposi la prisión de sú marido D. Josef Ponce de León. ción, debia verificarse por escrito; con cuyo motivo el señor Se mandó pasar á la comisión ordinaria de Hacienda Gutiérrez de Acuña pasó á escribir una indicación, eg…</t>
  </si>
  <si>
    <t>…tres cuartas partes, y parecerá á la luna Se leyó otra indicación del Sr. Florez Estrada: »Pido cuando se presenta en un semicuarto o edad de rres dias y que la representación del general Riego pase A una comi medio, dirigiendo sus puntas una hácia Portugal y inar At sión , y que el dia que esta presente su dictamen asistan los lántico, y otra hácia el Mediterráneo. secretarios del Despacho á su discusión.” Se pasó á votar, Pasado este punto, irá po…</t>
  </si>
  <si>
    <t>…uatro meses sin comunica rio á la aprobación de la adición del Sr. conde de Toreno, ción y sin que declarasen unos españoles, prescindiendo de para que se pagase la exposición del general Riego á la co quiénes fuesen estos, y cuáles sus delitos; que no era el misión de Premios con solo este objeto. asunto el mismo que el de los 69; que no habia parecido A la comisión ordinaria de Hacienda se mandó pasar la orden ó resolución de S. M. que insinuaba e…</t>
  </si>
  <si>
    <t>…caiga hacen patrimonio del empleo, y dejarían gustosos de serlo, sobre la garganta del criminal; pero esa transacion que al pero por un medio legal. El peligro ha existido, y hay general Riego se le acrimina para con el Gobierno, no es motivos para creer que en el día existe aun mas: el Gobier una transacion que de manera, alguna pueda ser peligrosa no tiene tomadas sus medidas, y sabrá sepultarse bajo de</t>
  </si>
  <si>
    <t>…Travcr. = Silves. = Banqueri. = Yan- Quedó también aprobada esta última parte del dictamen diola. re’Tcmes. Cuesta. = Sierra Pambley. para que «se confirme la oferta que hizo (el general Riego) Se aprobó el artículo 17 del tercer proyecto dé la co en las inmediaciones de Córdoba al residuo de su división, misión encargada de proponer medios para el exterminio de consistente en 285 hombres, de 15 reales de gratificación al malhechores ( sesión del 5…</t>
  </si>
  <si>
    <t>…us destinos, privándose voluntariamente del goce se formase para recibir.con el escuadrón comprendido en la de ciertos derechos ; que la calidad de Tendencia no admi solicitud del general Riego el nombre de la Constitución tía dificultad, atendiendo al sentido literal de la palabra , y fuese el que agradara al Gobierno. . : que donde únicamente se presentaba era en la de vecindad, Se recordó por varios Sres. que en este concepto se ha la cual debía…</t>
  </si>
  <si>
    <t>…co-. dre general de la orden de capuchino?. misión sobre una solicitud de D. Josef María Gatel, capí- Concluida la lectura, el mismo Sr. Martel rebatió los. tan de la columna del general Riego. La comisión hacia re principios que en ella se hallaban esparcidos, graduándola ferencia de los servicios de este oficial, de los cargos que' de sediciosa y subversiva del orden público. habian resultado contra él en el tiempo que habia estado El Sr. Priego…</t>
  </si>
  <si>
    <t>…arbitrio primero, después de general del egército expedicionario de Ultramar qne siguie manifestar el Sr Sierra Pambley que la comisión conven ron á la columna móvil del mando del general Riego . y dría en la adición del Sr. Yandiola. que se lleve á efecto su organización según reglamento.'' Lo Se mandó también pasar á la comisión la indicación del que participo á V. de Real orden para su inteligencia Sr. Cavaleri, que quedó suspensa en la sesión de…</t>
  </si>
  <si>
    <t>…ento de D. Alonso Joset León, por la proclama del general Quiroga de 11 de Enero de este quien se ha denunciado el artículo inserto en dicho número, año, y. la oferta hecha por el general Riego en Córdoba al y suscrito por el chismoso. La junta en su vista ha ob residuo de su división, compuesta de 280 hombres, confir servado que el contexto del período que principia: iSabert mada por las Cortesen el art. 10 de dicho decreto; clasi vmds., á la lín.…</t>
  </si>
  <si>
    <t>…l Retiro............................................ 32,836-14 . día 3 de Setiembre con motivo de la Para gastos de fontanería........................ 34,815..24 : entrada.del Sr. general Riego en esta Para empedrados de las calles............. 4 í ,060.. 6*. í capital................................... ................ 5,219- a Para la limpieza de pozos y calles.—. 76,000 ' Por cuenta de los gastos que se causen Para la construcción de alcantarilla…</t>
  </si>
  <si>
    <t>Riego, Rafael</t>
  </si>
  <si>
    <t>Rafael Riego</t>
  </si>
  <si>
    <t>…onel D.\ Ramón de la Pola. El Rey, ejn consideración al distinguido mérito y particulares servicios que acaban de hacer á íá. nación D. Antonio Quiroga, t&gt;* Felipe. Arico Agiierp, D. Rafael Riego , D,. Demetrio OrDali y D. Miguel j-opez Baños, s¿ ha ser vido, conferirles los empiepSfde mariscales de campo de los egéjrcjtos; nacionales, ■ ' : ’ ' ■ ' i ‘ -v ’ : V, I • &gt; Gon el objeto de dar al comercio la protección que es debida ; ha dispuesto el Rey…</t>
  </si>
  <si>
    <t>…incia de D. Pe-1 dró «Ji&amp;ísef dé Ibabé ; dentro del término dejgodias,contados defdé esta publica ción?, 3Í6nde se admitirán las» que-se hicieren siendo-arregladas. ‘ W Retrato de D. Rafael Riego, mariscal de'campo, y:comandante general de la primera división del egército nacibnal, copiado dé'un'original remitido de Sevilla. Se hallará ¿pilas librerías de Barco,. calle de las «Carretas; en la de Brun , frente a las covachuelas, y en el almacén de pape…</t>
  </si>
  <si>
    <t>Riego, Rafael del</t>
  </si>
  <si>
    <t>Rafael del Riego</t>
  </si>
  <si>
    <t>…rzo, por el ciudadano D. Gaspar* Aguilera. Se vende á &lt;5 cuar tos en la librería de Orea, y su producto se invertirá en beneficio de las desgraciadas víctimas de Cádiz. Retrato de D. Rafael del Riego, comandante general de la primera división del egército nacional, sacado del original que se publicó en Cádiz. Se hallará á 2 rs. en la librería de Escantilla, calle de las Carretas. EN LA IMPRENTA NACXONAI*</t>
  </si>
  <si>
    <t>…ad de la im prenta y observaciones sobre, a ¡ganos,, artículos jdel decreto de las-Cortes generales y extraordinarias de, 10 de Noviembre, de 1810 , por el mismo autor. Retrato de D. Rafael del Riego/ adornado de, .trofeos militares y objetos alusi vas a ja Constitución, dibujado y grabado por D. Alejandro Blanco. Se hallará en la librería de,Sanz, calle de Jas'Carretas ,ly en el almacén de estampas de la calle der Arenal, a o rs. V/' 'eN la Imprenta naci…</t>
  </si>
  <si>
    <t>…resolver con acierto , quedase sobre la mesa el expediente; y diputado suplente por Goatemala. habiendo manifestado el Sr. Calatrava que se hallaba este Se leyó una exposición de D. Rafael del Riego y Don con la instrucción necesaria, se aprobó el dictamen. Felipe de Arco Agüero, en que por sí, y á nombre del La comisión de Gobierno interior presentó el suyo acer egército de su mando, felicitaban al Congreso, dando una ca de la proposición hecha por el Sr. Var…</t>
  </si>
  <si>
    <t>…eu y Zapata, que no se pudo oir: otras dos El Rey se ha servido nombrar capitán general de Ga del Sr. Carrasco »i.a pido que se declare que los monges y licia al marisca! de campo D. Rafael del Riego. demás regulares novicios y profesos que no están ordenados Asimismo se ha servido promover A mariscal de campó in sacris esten exceptuados del servicio de la milicia na de los egércitos nacionales al coronel D. Carlos Espinosa, cional. 2.a Que se declaren ex…</t>
  </si>
  <si>
    <t>…n el expediente relativo á su privilegio para introducir harinas varias evoluciones con la máy.or destreza. El Sr. general en la isla de Cuba, y sobre que ademas se le concedan 12 D. Rafael del Riego mandó estos egercícíos, circunstancia leguas cuadradas de tierra en la misma isla. que contribuyó á la alegría y entusiasmo que se advirtió Se mandáróp archivar 200 egemplares remitidos por el en la tropa y espectadores.' Todos tenían puestos los ojos ministe…</t>
  </si>
  <si>
    <t>…nes del úl timo empleo que obtuvo en el eg.reiro, y fuese anterior la Ayer noche entró en esta capital el mariscal de campa fecha de su P eaL despacho, tomará el mando, considerán D. Rafael del Riego, y hoy por la mañana ha tenido itz dose como vivo en aquella ocasión y asi lo acordaron las honra de presentarse .1 S..M., el cual je ha recibido con Cortes. aquella bondad propia de su carac.er. A su tránsito por las Reclamó el Sr. Ramos Arispe un artículo a…</t>
  </si>
  <si>
    <t>…dio resultarla muy perjudicada la Nación, y no se harían sado decreto previene, el escuadrón creado por -el general las ventas con mas prontitud que si se verificase la tasa , no D. Rafael del Riego, llamado Constitucional de Fernan se admitió á discusión. do VII.” Tampoco se admitieron las siguientes: una del Sr. Car Lo que de Real orden traslado á V. para su inte rasco: «Pido que las Cortes señalen el sueldo que han de ligencia, cumplimiento y demas ef…</t>
  </si>
  <si>
    <t>…asos atrevidos de ciertas personas para elección de sus respectivos gefes, nombraron por coman- destruir nuestras instituciones con pretexto de defender á la . dante del cuerpo al general D. Rafael del Riego. Reina; los ataques que se repiten diariamente contra el So Barcelona 8 ¡de Diciembre. berano, contra las costumbres, contra la religión, y que I a viuda del Excino. Sr. D. Andrés Pérez de Herrasti no tienen mas objeto que acarrear un trastorno, del cual se h…</t>
  </si>
  <si>
    <t>Righetti</t>
  </si>
  <si>
    <t>…con aire imperioso, y señalando con la mano á los perturbadores, dijo en alta y fuerte voz: orden Roma 28 de Octubre. allá bajo. En seguida hablaron lord Erskin y el marques de El Sr. Righetti, nuestro digno conciudadano, está muy lansdown votando contra el bill\ y se levantó la sesión. ocupado en los trabajos preparatorios para fundir una esta A las 1 2 del dia se anunció en la Cámara la venida de tua c dosal, que debe erigirse en Nápoles para hon…</t>
  </si>
  <si>
    <t>Rio, Andrés del</t>
  </si>
  <si>
    <t>Andrés del Rio</t>
  </si>
  <si>
    <t>…á de textp a) tratar de esta materia, que forma la parte mas interesante de la geognosia; al que se añadi rán los últimos descubrimientos, las observaciones hechas en. América por Don Andrés del Rio, y la sinonimia que lia propuesto el célebre Brongniart. No permitiendo, la enseñanza de otros ramos en el Real gabinete conti nuar las lecciones de orictognosia los dias señalados, se previene que estas se rán los lunes, martes y sábados á las 10 de la mañan…</t>
  </si>
  <si>
    <t>Rio, Francisco del</t>
  </si>
  <si>
    <t>Francisco del Rio</t>
  </si>
  <si>
    <t>…la tarde por la falda del cerro de Acahuala, é inmediatamente separé de mi partida 25 hombres con los mejores caballos, haciendo dos divisiones con ellos, una al mando dehalférez D. Francisco del Rio, y el resto conmigó, no separándo nos muy lejos por la corta fuerza: á todo escape registramos barrancas y cer ros y á póco tiempo tuvimos noticia que ya habian cogido el camino que nosotros habíamos traído ese día. Continuamos nuestra marcha mas precipi tada…</t>
  </si>
  <si>
    <t>Rio, Manuel Angel Martínez del</t>
  </si>
  <si>
    <t>Manuel Angel Martínez del Rio</t>
  </si>
  <si>
    <t>…á la de Aran juez, y que las posesiones que le per la Nación, á cuyo intento pronunció un elocuente discurso tenecían en aquella ciudad queden á beneficio del Crédito el bachiller D. Manuel Angel Martínez del Rio , condu3'en- público para pago- de la deuda nacional, manda (e verifique do toda la función con un solemne Te JDeum &amp;c. En la á la maj'or brevedad posible la traslación del ganado^ tarde se corrieron novillos, habiéndose repartido por ¡a ma pero sin perjuicio…</t>
  </si>
  <si>
    <t>Rio, Tomas del</t>
  </si>
  <si>
    <t>Tomas del Rio</t>
  </si>
  <si>
    <t>…ias religiosas de los hin Indicaciones hechas por el oficial mayor de la conta dous: sobre la religión y costumbres de los habitantes de la duría de egército de Casiilla la \ ieja D. Tomas del Rio isla de Ceylan: observaciones sobre los bazegaros. El autor sobre ajustes á los regimientos y empleados de hacienda mi de este artículo, que es David Richardson, trata de de litar, hospitales y provisiones, para dar solución aproxima mostrar que de este puebl…</t>
  </si>
  <si>
    <t>Rioli</t>
  </si>
  <si>
    <t>Núin. 184. £ 7 cuartos. 3 829 GACETA DEL GOBIERNO. MIERCOLES 27 DE DICIEMBRE DE 1820. NOTICIAS EXTRANGERAS. Ñápeles 2 7 de .Noviembre. En la sesión del ió leyó el diputado Rioli uti informe AUSTRIA. sobre los bienes de los conventos, en el cual expuso tos innumerables y escandalosos abusos que han causado las riquezas en las órdenes monásticas, cuya mayor parte se: Jnspruck i.° ¿fe Diciembre. ha separado del objeto de su instituto, y…</t>
  </si>
  <si>
    <t>Ríos, Angel Férnandez'de los</t>
  </si>
  <si>
    <t>Angel Férnandez'de los Ríos</t>
  </si>
  <si>
    <t>…nta general que’ ha de celebrarse ante S.S. el lunes, 27 del corriente, á las 10 de la mañana, en las salas consistoriales del Excmo ayun tamiento. *. En virtud de providencia dél Sr. D. Angel Férnandez'de los Ríos, del Consejo de S. M., teniente primero de Corregidor de esta muy heroica villa , juez que cono ce de la testamentaría del linio. Sr. marques de la Hinojosa, y por la escribanía del número de D. Donato Nuñez, se ha mandado sacar á pública subasta una hacienda…</t>
  </si>
  <si>
    <t>Ritssel, John</t>
  </si>
  <si>
    <t>John Ritssel</t>
  </si>
  <si>
    <t>…■ f j r :t n &gt;! • s., &lt;¡i , r • t -ir-r:.] •../ni Ti ib o.; ■ í-'y.í i db \.,-G K ; EiT-A ’H ¡A. • - • . • - í: f ' landres. i8. de Di^ienfir'?* En la sesión dél diá i 5: propuso lord John Ritssel una reforma parla mentaria, pronunciando al'rntenro un elocuente discurso, en que dijo entre otras cosas [lo siguientes. ¿yElí grande estadista Pite era dé sentir que' en nuestrd sistema existían alguods ¡vicie®*: esenciales dignos dé remedio^ y que estas for…</t>
  </si>
  <si>
    <t>Riva, La</t>
  </si>
  <si>
    <t>La Riva</t>
  </si>
  <si>
    <t>…ultas hechas que conti Moreno Guerra, Diaz Morales, Vadillo, Navarro (D. Fe nuaran presos hasta la instalación de aquellas. lipe), Desprat, Cepeda, Solanot, Cañedo y Romero Al- El Sr. La Riva, individuo de la coinióon, manifestó puente, contra la resolución de no haber admitido á discu que á esta le había ocurrido la dificultad de si debía mirar sión la indicación primera de este, y las de los Sres. Gu se el asunto política ó judicialmente; pero s…</t>
  </si>
  <si>
    <t>Rivas, Anselmo de</t>
  </si>
  <si>
    <t>Anselmo de Rivas</t>
  </si>
  <si>
    <t>…dos que solicita por el estudio de instituciones canó Las Cortes aprobaron el dictamen de la comisión de nicas que hizo durante las vacaciones. Hacienda acerca de la solicitud de D. Anselmo de Rivas, La comisión primera de Legislación , en vista de las dos ex-consejero de Estado, la cual opinaba que este interesa sentencias del extinguido consejo de Guerra en la causa se do estaba comprendido én la primera clase de que habla el guida entre D. Martin de E…</t>
  </si>
  <si>
    <t>Rivas, Antonio</t>
  </si>
  <si>
    <t>Antonio Rivas</t>
  </si>
  <si>
    <t>…de Hacienda una exposición de 14 pueblos de la provincia de Motril sobre no haber verificado el juicio conciliatorio cor» Toledo, presentada por el Sr. La Llave, manifestando los D. Antonio Rivas en un asunto judicial que seguia con es perjuicios que se Ies siguen del señorío territorial que eger— te el interesado. La comisión opinaba no habia lugar á la ce sobre ellos la ciudad de Toledo, imponiéndoles gravá formación de causa, por ser el asunto ante…</t>
  </si>
  <si>
    <t>Rivas, Manuel López de</t>
  </si>
  <si>
    <t>Manuel López de Rivas</t>
  </si>
  <si>
    <t>…la testamentaría del precitado señor mar ques, á fin de que dentro de él lo hagan constar, como corresponde, en el juzgadoí del nominado señor alcalde y escribanía de provincia de D. Manuel López de Rivas; con apercibimiento de que en su defecto, y pasado dicho término, les parará todo ol perjuicio que haya lugar en derecho. ; $e halla vacante el magisterio de primeras letras de la villa de Castro-Urdiales, una de las cuatro del mar Cantábrico, distante 5 legu…</t>
  </si>
  <si>
    <t>…se puede prometer mas discípulos. En virtud de providencia del señor alcalde de Casa y Corte D. Martin de Gaztañaga, refrendada del escribano de provincia y comisiones de la misma D. Manuel López de Rivas, se cita, llama y emplaza á todas las personas que por cualquiera causa ó motivo se creyesen con mejor derecho á los bienes de Doña Juana Zaldivar Caamaño, de estado viuda, que falleció abintestato en esta corte el 16 de Agoste del &lt;año próximo pasado, para q…</t>
  </si>
  <si>
    <t>…y llama á todos los acreedores é interesados en la testamentaría del Sr. D. Luis Melenfiez Bruna, marques que fue dé dicho título, radicada en la escribanía de provincia propia de D. Manuel López de Rivas, para que concurran á la junta general que ha de celebrarse el domingo 23 del corriente mes de Abril, £ las 9 en punto de la mañana , en la posada del nominado Sr. juez, que la tiene ea lá calle del Duque de Alba, num. 27, nunz. 143 , cuarto principal, para c…</t>
  </si>
  <si>
    <t>…ián de Sojo, magistrado honorario de la audiencia territorial de Castilla ia Nueva» juez letrado de primera instancia en esta muy he roica villa, por la escribanía de provincia de D. Manuel López de Rivas, acogién dose bajo la protección judicial, y haciendo dimisión formal á favor de los acreedo res á la misma compañía de todos sus bienes muebles y raíces, derechos y acciones comprendidos en el estado al efecto presentado, y pidiendo se haga saber dicha de te…</t>
  </si>
  <si>
    <t>…os en esta lista, propuso el Sr. presi do de primera instancia del Sr. D. Julián de Sojo, y escribanía dente, para simplificar.la discusión, que se tratara de cada de provincia de D. Manuel López de Rivas, se ha acordado por uno en particular; y acordado asi, se procedió en seguida dicho Sr., X instancia de los síndicos de aquella, citar, como se á leer el núm. i.° ele la lista, que fue aprobado, á excep cita y emplaza por último y perentorio término de tres m…</t>
  </si>
  <si>
    <t>Rive, Lorenzo</t>
  </si>
  <si>
    <t>Lorenzo Rive</t>
  </si>
  <si>
    <t>…, que era lo que había sucedido Conformándose las Cortes con el dictamen de la co con los jesuítas; en la exactitud de estos para la asistencia misión de Poderes, aprobaron el del Sr. D. Lorenzo Rive espiritual; en su utilidad para la enseñanza, citando como ra, diputado suplente por Asturias, que debe entrar en el egemplo ¡a escuela que tienen en Cádiz, á la que concurren Conpreso en lugar del Sr. obispo de Mechonean. mas de ,'co discípulos; y etilo much…</t>
  </si>
  <si>
    <t>Rivera, Andrés de</t>
  </si>
  <si>
    <t>Andrés de Rivera</t>
  </si>
  <si>
    <t>…nes que exponía para'fundar sus prdpósiciones” dos expedientes pasados por él ministerio de Gracia y Jus Jas palabras »!a religión...... que perdiendo de su antigua ticia., uno de D. Andrés de Rivera solicitando licencia para pureza”, se convino el Sr. Azuela en suprimirlas. -</t>
  </si>
  <si>
    <t>Rivero, Andrés del</t>
  </si>
  <si>
    <t>Andrés del Rivero</t>
  </si>
  <si>
    <t>…s de los Sres. Martínez de la Rota, Gol fin, Se dió cuenta del dictamen de la comisión de Legisla Vito rica y Torre Marin, se acordó, conviniendo antes en ción sobre la súplica de D. Andrés del Rivero, que ob ello la co mi-ion , que volviera á esta su dictamen con todas tuvo dispensa de edad para administrar sus bienes; y las las adiciones hechas. . Cortes determinaron que se le concediera. El Sr. Calatrava hizo la advertencia de que las instruc Luego se l…</t>
  </si>
  <si>
    <t>Rivero, Francisco Pérez del</t>
  </si>
  <si>
    <t>Francisco Pérez del Rivero</t>
  </si>
  <si>
    <t>…ad. pecto de las circunstancias en que habian sido nombrados A la comisión de Legislación se mandó pasar un expe los individuos de la junta de Cataluña, añadiendo que no diente de D. Francisco Pérez del Rivero sobre su rehabi habia podido instalarse con los vocales que la componían litación y confirmación de lo ya resuelto por el Gobierno. en el año de 1814 , porque habian muerto unos, otros se A la de Artes é Industria el expediente sobre invención hallaban establ…</t>
  </si>
  <si>
    <t>Rjpiglia</t>
  </si>
  <si>
    <t>…ue se abriese en el mismo Parlamento Cámara restablecido ya de su indisposición. Un registro de las ofertas voluntarias. -----La mayoría de los 28 que ha decidido de la segunda El Sr. Rjpiglia habló con energía sobre los premios que lectura'del bilí se compone de dos Príncipes de la sangre, merecen los promotores de la libertad nacional, é hizo el que disfrutan de grandes destinos amovibles á voluntad del debido elogio de Morelli, que ha querido ha…</t>
  </si>
  <si>
    <t>RMz'AlbiHps, D-Vicente</t>
  </si>
  <si>
    <t>D-Vicente RMz'AlbiHps</t>
  </si>
  <si>
    <t>…s dos mundos, que á imitación de sus predeceiwes el bien 4¡e la monarquía y consuelo de sus pueblos.” &lt; ■■ ■ ••! -,;r ; ' i- r"¿ V r“-ícb .1' -,r . , * •; . i : ;• . Í. JEl ílinp&gt; Sr. D-Vicente RMz'AlbiHps,&lt;arcédismo titular de la¡ santa igle sia catedral de Salamanca, auditor^de Ja Rota rornñna , y -el- Dr. i D; Antonio Galanía, cancSnigo de la misma iglesia , tuvieron la,honra de. besar la mano dé S. M. en la noche del 7 del corriente, y felicitarle p.or su d…</t>
  </si>
  <si>
    <t>Rnmonct</t>
  </si>
  <si>
    <t>…eglo á la Constitución , manifestó que en esta no se del dictamen de la comisión de Premios. Habiendo obser ¡halla ninguna exclusión de ios primeros-, que los militares no vado el Sr. Rnmonct alguna inexactitud respecto del segun están en el caso de los empleados civiles que toman por do artículo, hizo una indicación para que el regimiento que su gusto sus destinos, privándose voluntariamente del goce se formase para recibir.con el escuadrón compr…</t>
  </si>
  <si>
    <t>Ro</t>
  </si>
  <si>
    <t>…Marzo últi nen contra el voto uniforme de una Nación decidida. Ha mo los decretos de las ordinarias y extraordinarias publica biéndose por último pasado á votar la indicación del Sr. Ro dos por la Regencia, sin necesidad de que los ministros los mero Alpuente, no se admití &gt; á discusión. publiquen por separado como hasta aquí. A la comisión de Legislación se mand pasar otra pro Otra del Sr. Losada para que al lado de los nombres de posición…</t>
  </si>
  <si>
    <t>…a se mandó pasar un oficio su concesión están asignados estos caudales. del •ecretario de Hacienda, en que daba parte, con referen Admitido á discusión , se promovió esta entre el Sr. Ro cia á o:ro del Mayordomo mayor del Rey, de que S. M. mero Alpuente, que opinó se debía desechar el dictamen halda determinado reunir la yeguada de Córdoba á la de por tratar de un asunto ageno de las atribuciones de las Aran juez, dejando á beneficio de la Na…</t>
  </si>
  <si>
    <t>…Sr. Downie bre los aprobados por las Cortes extraordinarias, y haber cumplido lo que prometió al solicitar el privilegio; y se hablado acerca de la pena que se imponía en este el -Sr. Ro acordó no haber lugar á 'votar. mero Alpuente, que la conceptuaba excesiva , y los Sres. Cano Tampoco hubo lugar :i votar sobre el dictamen -de la Manuel y Cepero, que manifestaron la necesidad de evitar misma comisión en vista de la exposición de D. ¡Nicolás…</t>
  </si>
  <si>
    <t>Ro, Damian</t>
  </si>
  <si>
    <t>Damian Ro</t>
  </si>
  <si>
    <t>…o y pscribaní* principal del cargo de D. Custodio Henriquez, calle del Príncipe, que se admitirá siendo arreglada. Por muerte del alférez del regimiento de caballería del Príncipe D. Damian Ro dríguez se han formado autos de inventario y tasación de sus bienes por el juzgado de la capitanía general &lt;$g Castilla la Nueva, en los cuales se ha .mandado citar y emplazar, como se hace , á los que se consideren con derecho á estos bienes, para que en el…</t>
  </si>
  <si>
    <t>Ro, Josef París y</t>
  </si>
  <si>
    <t>Josef París y Ro</t>
  </si>
  <si>
    <t>…chos de ciudadano, disfruta de Mancha : para el partido de Ciudad-Real á D. Pedro An voz activa en todas las elecciones; pero de ningún modo tonio Moraleja : para él dé Almagro .i D. Josef París y Ro de la pasiva, si no concurren ademas en su persona las par mero : para el de Almodovar del Campo A D Fernando ticulares circunstancias y requisitos que expresamente se exi Navarro: para el cíe Manzanares A D. Alfonso Josef de gen para los casos que se voten.…</t>
  </si>
  <si>
    <t>Roa, María de Loreto García de</t>
  </si>
  <si>
    <t>María de Loreto García de Roa</t>
  </si>
  <si>
    <t>…obierna la ley. La sumisión los hace feliDios Trillo, D. Pedro López, D. Castor del Amo, el se «ces , porque en ella cifran su tranquilidad. Las pasiones, los ñor general Pnlafox, Doña María de Loreto García de Roa, «injustos caprichos, los ambiciosos y exceóvos deseos que D. Antonio Ruiz de Flores, D. Gerónimo Gambo», Doña «tos príncipes mezclan con el uso de la autoridad , lejos de María Antonia Niño, D. Vicente Fraile, D. Francisco de «extenderla, la debilitan. Se ha…</t>
  </si>
  <si>
    <t>Robert, Francisco de Paula</t>
  </si>
  <si>
    <t>Francisco de Paula Robert</t>
  </si>
  <si>
    <t>…misión donde están los antecedentes una exposi remitidas por el Sr. secretario de la Gobernación de la Penín ción de D. Juan B.enjumea sobre una queja que tiene dada sula , una de D. Francisco de Paula Robert, y otra de Don contra la villa de A rchena. Josef González Ytiste para que se les dispense un año que La comisión ordinaria de Hacienda presentó su dícrales falta para recibirse de abogados. men, relativo á las indicaciones de los Sres. Martínez (Don A la com…</t>
  </si>
  <si>
    <t>Robles, Juan Miguel de</t>
  </si>
  <si>
    <t>Juan Miguel de Robles</t>
  </si>
  <si>
    <t>…y emplaza por ultimo y perentorio término á D. Juan Antonio Cuevas, presbítero, y capellán de la capellanía fundada en la parroquia de S. Sebastian de esta muy heroica villa, y á D. Juan Miguel de Robles, capellán de la capellanía fundada en el convento de S. Felipe el Real de la referida muy heroi ca villa; cuyas fundaciones están hechas por D. Rodrigo de Herrera y Ribera y Dona Brianda de Mendoza, para que se presenten en el término preciso de 20 dias, cont…</t>
  </si>
  <si>
    <t>…dias, contados desda este anuncio, á D. Juan Antoniocqn la ímpre.ioa y publicación de sus escritos. Cuevas, presbítero, y capellán de la que se fundó en el referido convento, y á D. Juan Miguel de Robles, también capellán • Salían recibido periódicos de Nápoles, cuyas noticias de la fundada en la-parroquia de S. Sebastian de esta muy he roica villa , para que se presenten á cumplir las citadas capellaalcanzan hasta el 2?. Continuaba el Gobierno tomando las ní…</t>
  </si>
  <si>
    <t>Robrero, Manuel de</t>
  </si>
  <si>
    <t>Manuel de Robrero</t>
  </si>
  <si>
    <t>…que, D- Francisco Xa «perdiendo el amor de ‘lis súbditos.” vier de Aguilar, D. Juan Sánchez, D. Ramón de Pando y Apenas igualaron Demóstenes y Bossuet la elocuencia y de Otnmendi, D. Manuel de Robrero, D. Josef de Tejada energía del pasage siguiente de Masillon. y Ruiz, D. Matías Olivencia , D. Josef Melero, D. Fran «Los príncipes y los grandes no son sino los -hombres cisco de Bior, el Sr. marques de S. Martin, D. Pablo Ca del pueblo; 3’ ti lejos de ser l…</t>
  </si>
  <si>
    <t>Roca, Fidel</t>
  </si>
  <si>
    <t>Fidel Roca</t>
  </si>
  <si>
    <t>…Pamplona sobre lo ocurrido en aquella ciudad desde que se juró la Constitución, y varias felicitaciones. Logroño 15 de Agosto. Se mandaron unir al expediente de vinculaciones unas D. Fidel Roca, director de la academia de dibujo de ideas de D. Francisco Manuel Revilla sobre vínculos y ma Ja ciudad de Logroño, acaba de descubrir en el reino de yorazgos. Navarra una cantera de piedra litográfica. Este profesor ha A la comisión segunda de Legislación s…</t>
  </si>
  <si>
    <t>Rocafuerte, Vicente</t>
  </si>
  <si>
    <t>Vicente Rocafuerte</t>
  </si>
  <si>
    <t>…adas. Igual resolución recayró sobre otro dictamen de la comi Se mandó pasar á la comisión de Hacienda una instancia sión de Infracciones, que opinaba no haber lugar á la forma de D. Vicente Rocafuerte, vecino de Guayaquil, sobre que ción de causa contra el Gefe político de Salamanca y el al se lleve á efecto una providencia del intendente de la Hava- calde del Barco de Avila, como habia pedido Salvador Mo na, en que le concedió espera por seis meses para c…</t>
  </si>
  <si>
    <t>Rocafuerte, Vicetre</t>
  </si>
  <si>
    <t>Vicetre Rocafuerte</t>
  </si>
  <si>
    <t>…sentativo de la mien o interino de la contribución. nación. A las de Ma i na -i Industria reunidas un provecto pre Pocos dias hí que se andaba distribuyendo por los ca sentado por D. Vicetre Rocafuerte para e'tahlecer un bar fes una nueva no a diplomática del Emperador de Rusia co de vapor, que viaje desde Gttayaq ti. hasta el cabo de sobre los asuntos de E paña; y las librerías e.taban llenas Hornos, y pidiendo entre otras gracias patente por diez de ella.…</t>
  </si>
  <si>
    <t>Roccaromana</t>
  </si>
  <si>
    <t>…libertad que huyen de su bo ha nomhrado, por decreto de 18 de Julio, para la coman ca: no debo excitar ía recíproca desconfianza de los hom dancia de la quinta división militar al duque Roccaromana; bres para labrar con su debilidad el poder de un déspo-a: para la de la provincia del condado de Melisa al mariscal de no debo poblar de delatores mi gabinete secreto, haciendo campo duque de Civitelli, y para la de Aquila al mariscal llegar á mí la verdad p…</t>
  </si>
  <si>
    <t>Roco, Manuel</t>
  </si>
  <si>
    <t>Manuel Roco</t>
  </si>
  <si>
    <t>…oto popular, sufrirán la pena de muerte.” da de Legislación para que se concediese carta de ciudada El Sr. Martínez de la Rosa dijo que en su concepto no no: al capitán de fragata D. Manuel Roco, de nación napo se guardaba la propoicion que debia seguirse en roda ley litano. pena!. Convino en la razón con que se habia graduado en Se aprobaron los dictámenes sig: ¡entes de la comisión lo? artículos j." y 4.0 la mayor criminalidad del empleado especial…</t>
  </si>
  <si>
    <t>Roco, Miguel</t>
  </si>
  <si>
    <t>Miguel Roco</t>
  </si>
  <si>
    <t>…820. »&gt;Las Cortes, usando de la facultad que seles concede por la Constitución , y atendiendo á que en el capitán de fra El Rey, á instancia de la junta de gobierno de la com gata D. Miguel Roco, oficial cuarto de la secretaría del tri pañía de Filipinas, dirigida á S. M. en vista de la resolu bunal especial de Guerra y Marina, concurren las calidades ción de las Cortes cou fecha de 19 de Octubre último , se prevenidas en el artículo 20 de la misma C…</t>
  </si>
  <si>
    <t>Rodenas, Pascual Genaro</t>
  </si>
  <si>
    <t>Pascual Genaro Rodenas</t>
  </si>
  <si>
    <t>…nda pú blica , á D. Ramón Luis Escovedo, que la servia -durante la invasión enemi ga: para la de egército y provincia de Extremadura, vacante por jubilación de D. Andrés Ibañez, á D. Pascual Genaro Rodenas, oficial de la secretaría general de la Junta central, tesorero de egército de Andalucía, intendente de Soria, Guadalajara y Salamanca, y nombrado para la de Murcia: para la de Zamora á D. Juan Perez Bueno, gefe de mesa de tesorería general, oficial de ¡Ja se…</t>
  </si>
  <si>
    <t>Rodrí</t>
  </si>
  <si>
    <t>…á el pago de eStos 'haberes y erigir en Madrid un obispado. .. , . • .a sueldos sobre la tesorería 'de' ia provincia que mejor le pa * Se leyó por primera vez una proposicioji dél Sr. Rodrí reciese convenir al servicio, y los que-qviedeñ en la corte guez de Ledesma, dirigida á que no se admita á nadie á sobre tesorería' genera!, y de ninguna manera sobró'Cor examen de escribano hasta que sé determine los que seap reos , cruzada y demas de esta e…</t>
  </si>
  <si>
    <t>Rodrí, Evaristo</t>
  </si>
  <si>
    <t>Evaristo Rodrí</t>
  </si>
  <si>
    <t>…aprobó este dictamen. tores españoles. La misma comisión presentó su dictamen acerca de ,a La comisión de Hacienda presentó su dictamen acerca queja dada por Tomas Ximenez contra D. Evaristo Rodrí de lo expuesto por el Sr. secretario de Hacienda sobre la guez Maroto , alcalde de Vítlafranca de los Caballeros, con presentación de cuentas por el tribunal de Contaduría mayor. motivo de lo actuado en el expediente seguido entre el inLa comisión proponía: i…</t>
  </si>
  <si>
    <t>Rodrí, Francisco</t>
  </si>
  <si>
    <t>Francisco Rodrí</t>
  </si>
  <si>
    <t>…D. Juan Nepornuceno Fernandez sobre que París io de Agosto. se quite la pena de encorozadas. Por desgracia no es sino demasiado cierto que entre 9 y A la de Marina una memoria de D. Francisco Rodrí 10 de la noche del dia 2 prendieron fuego los incendiarlos guez de! Manzano sobre el apronto de una fuerza naval res á la casa de Mr. Ralet, que tiene el rótulo de Quinta de petable. Bercy j pero fue apagado al momento por las gentes de A la de Instrucción pú…</t>
  </si>
  <si>
    <t>Rodrí, Juan del Castillo y</t>
  </si>
  <si>
    <t>Juan del Castillo y Rodrí</t>
  </si>
  <si>
    <t>…20,371 rs. y 4, mrs. de exis tido A todoj Jps Sres., diputados una representncioir'firmada tencia, en la que están comprendidos 2576 ruSte y: 20 mrs.. por el.coronel de,caballería D. Juan del Castillo y Rodrí que se remitieron en vales á la tesorería general¿;.y 6894 rs.- guez., en la qu£ ofrecía librar d.« un golpe ;V la Nación da en un crédito de fletes de sal principiado á pagar. : todo -género de, contribuciones; poner á disposición del Madrid 5 de Octubre.ti…</t>
  </si>
  <si>
    <t>Rodrig, Faustino</t>
  </si>
  <si>
    <t>Faustino Rodrig</t>
  </si>
  <si>
    <t>…nes les hicieron varias preguntas. Quejáronse A la comi ion de Legislación se mand &gt; pasar un expe aquellos generalmente con respecto á sus raciones, y sobre diente instaurado por D. Faustino Rodrig 'ez sobre di-pentodo de que se les obligase a tornar cafe por desayuno, ha sa de edad, remitido por el ministerio de Gracia y Justicia. ciendo á cada individuo el descuento semanal de unos 56 Se mandaron archivar 12 egemplares de cada uno de los cuartos sobre…</t>
  </si>
  <si>
    <t>Rodrigo, Josefa</t>
  </si>
  <si>
    <t>Josefa Rodrigo</t>
  </si>
  <si>
    <t>…su hermano, alarg índole la mano en señal de amis otorgada por D. Gaspar de Requera en 10 del mismo mes entad." Los delawares tienen no pocos motivos de prorum- favor de su esposa Doña Josefa Rodrigo: testamento de esta pir en tan amargas quejas: su nación está casi destruida, y otorgado en 7 de Abril del prenotado año; y la declaración de según dicen los viejos, no quedan de su antigua población pobre otorgada en 10 de Agosto siguiente por D. Juan Ricot;…</t>
  </si>
  <si>
    <t>Rodrigue</t>
  </si>
  <si>
    <t>…las míricas militares y las canciones Se recibió con agrado, y se mandó pasar á la conmion patrióticas. El día 2&lt;s juró ia Constitución el gobernador de de Guerra una memoria del general Rodrigue/, de Unto, la plaza: el 27 la juraron los empicados y comunidades re- sobre qué fuerza armada corresponde á . la España respecto</t>
  </si>
  <si>
    <t>Rodrigue, Francisco</t>
  </si>
  <si>
    <t>Francisco Rodrigue</t>
  </si>
  <si>
    <t>…falsedad del privi legio en que se funda, é injusticiá^fie su exacción; y carta críticá al Dr. D. Pedro Antonio .Sánchez, canónigo de Santiago, sobre-el mismo asunto, por el Lie. Don Francisco Rodrigue?;de Ledesma, 'abogado del colegio, de esta corte. Se hallará en la¿ librerías de Rodríguez, calle de las Carretas; de Sancha, calle de la Concepción G,erónima£ y dp Castillo, freñteíá S. Felipe el Real. „■■■■ , . ú . Los cinco dias de Madrid ,.dedicado^ á U ;…</t>
  </si>
  <si>
    <t>Rodríguez</t>
  </si>
  <si>
    <t>…, sin que por dirección general de estudios zele muy particularmente sus ello se carezca de las referidas dispensas, y demas que en la progresos en aquellos países. A petición del Sr. Rodríguez actualidad concede solamente el romano Pontífice. deLedesmase mandó unir á la comisión especíal de Ultramar. A la comisión de Libertad dé imprenta se mandó pasar A las mismas de Regulares y Ultramar un expediente una representación de la junta suprema de Cens…</t>
  </si>
  <si>
    <t>Con este motivo hizo el Sr. Rodríguez de tedesma la que desde el movimiento de la Nación y restablecimiento indicación siguiente: «Que se añada al dictamen de la comi del orden constitucional hasta que habia presentado á las sión , tty para que sean abolidas todas las prestaciones de es Cortes, e…</t>
  </si>
  <si>
    <t>…te se ve A la primera de Legislación tres instancias remitidas rifique la destrucción.” por el ministerio de Gracia y Justicia; la una acerca de No se admitió á discusión otra del Sr. Rodríguez de que se concediese carta de ciudadano á un aleman , y las Ledesma, concebida en estos términos: «Que se añada pro otras dos de D. Francisco Rejas, vecino de Carmona, y poniendo el Gobierno los arbitrios que fueren necesarios para D. Julián López , de Torrej…</t>
  </si>
  <si>
    <t>…se siguientes: i.a deí Sr. Villanueva : «Que proponga la cosión de ayer sobre la indicación del Sr. conde de Toreno. mirion qué pena debe imponerse en este caso del art. 4.0 i El Sr. Rodríguez (D. Josef) presentó una exposición los prelados regulares de las órdenes mendicantes, que por de varios profesores de farmacia, pidiendo-se anulasen va no tener bienes propios no se hallan en el caso de poder ser rias contribuciones y gravámenes que sufren ,…</t>
  </si>
  <si>
    <t>Rodríguez', Diego</t>
  </si>
  <si>
    <t>Diego Rodríguez'</t>
  </si>
  <si>
    <t>…Quiénes son los verdaderos deudores á los fondoi para el partido de Alcántara á D. Josef Landero: para el púb líeos, y si están privados de la voz activa y pasiva. de Almendrado á D. Diego Rodríguez': pira ei de Badajoz Resolución. Que, como caudales públicos, deben re á ■ D. Manuel Novoa: para el de Coria'á D. Félix Erizo: putarse todos los que pertenezcan á los fondos de propios para el de Cáceres á D. Josef de Vírt : para el de Castuerx y arbitrios, pó…</t>
  </si>
  <si>
    <t>Rodríguez, Antonio</t>
  </si>
  <si>
    <t>Antonio Rodríguez</t>
  </si>
  <si>
    <t>…ales de .Otra landa en Mosquera y campo Cerezo,de ; robos, Avila; D. Mariano Becenil, teniente coronel graduado de jurisdicción de la referida ciudad de Tudela , en iQ rs. idein ; D. Antonio Rodríguez*^ teniente de idem ; D. Agus Otra heredad de árboles frutales, en Mosquera y sitio tín Santero, idem idem; D. Pío Ximenez de Muñana, del común , de 3 robos y 4 almudes, en la propia juris ídem idem; D. I-Ienrique Lefleer, comandante de aquel dicción, en 1950…</t>
  </si>
  <si>
    <t>Rodríguez, Esteban</t>
  </si>
  <si>
    <t>Esteban Rodríguez</t>
  </si>
  <si>
    <t>…el Rey del Pegú y de alguno de nuestros hacer pretensión deberán dirigirla al patronato de dichot hos Reyes de Europa nos recuerda io que dice el padre de la pitales, por medio de D. Esteban Rodríguez, escríbate» del fiinsofia francesa : que en el trono mas suntuoso del mundo número de la misma ciudad, quien les informará, si gustan-, de no se sienta ; n Rey sino como se sienta otro hombre en las condiciones; advirtiendo que en Zamora solo hay dos mé una s…</t>
  </si>
  <si>
    <t>Rodríguez, Faustino</t>
  </si>
  <si>
    <t>Faustino Rodríguez</t>
  </si>
  <si>
    <t>…ndo la cuestión el Sr. Martínez mitido por la misma secretaría de Gracia y Jus ida , sobre de lá Rosa , demostró que no podía ser incluido el decreto dispensa de 9 meses de edad á D. Faustino Rodríguez, pre de que se hablaba en el número de los peculiares de las Cor sentó su dictamen, que aprobaron las Cortes, y decía: .Ja tes, ni menos entre los que se expiden en virtud de pro comisión opina que las Cortes pueden concederle la dispen puesta del Gobierno, p…</t>
  </si>
  <si>
    <t>Rodríguez, Josef Serafín</t>
  </si>
  <si>
    <t>Josef Serafín Rodríguez</t>
  </si>
  <si>
    <t>…kenterí, negociante establecido en Constantino Guirado de una escritura hipotecaria, que como apoderada depla , ha hecho y publicado una elegante traducción en su difunto consorte D. Josef Serafín Rodríguez, otorgó en 18griego moderno de la novela de Voltaire intitulada Za- de Marzo de 1808 en el registro de dicha escribanía del propioaig; y también ha traducido el viage de Anterior, que va á tribunal, para percibir de la testamentaría de D. Juan Gómez dar á la…</t>
  </si>
  <si>
    <t>Rodríguez, Juan de Castilla</t>
  </si>
  <si>
    <t>Juan de Castilla Rodríguez</t>
  </si>
  <si>
    <t>…d en su importante calde de Leganiel; en lá provincia de Cuenca. salud. A la de Hacienda un proyecto del coronel de caballeríaS. M. ha despachado hoy con el Sr. secretario del Des D. Juan de Castilla Rodríguez para extinguir la deuda pú-‘ pacho de la Gobernación de la Península. bli'ca sin nuevas cargas del Estado, y otros puntos. A la segunda de Legislación dos expedientes remitidos; CORTES. por el ministro de Gracia y Justicia, uno de D Antonio Sesión del 19 de A…</t>
  </si>
  <si>
    <t>Rodríguez, Manuel</t>
  </si>
  <si>
    <t>Manuel Rodríguez</t>
  </si>
  <si>
    <t>…endie gubernativas de otras provincias. - se según sus méritos. . A la segunda de Legislación se mandó pasar una expo A la primera de Legislación una memoria téófico-prácsición de D. Manuel Rodríguez ó Ibañez, en solicitud de tica sobre las obligaciones de los alcaldes constitucionales. dispensa del tiempo que le falta para ser examinado de La comisión segunda de Legislación presentó su dicta médico. men acerca de la licencia que había solicitado Doña Ma…</t>
  </si>
  <si>
    <t>Rodríguez, Manuela Gregoria</t>
  </si>
  <si>
    <t>Manuela Gregoria Rodríguez</t>
  </si>
  <si>
    <t>…ones á una de las huérfanas de los militares ó patriotas que hubiesen muerto en defensa de la justa causa de la nación, ha cabido en suerte del primer extracto de ia de este dia á Doña Manuela Gregoria Rodríguez * hi ja de D. Matías, subteniente del escuadrón de Leones de la Mancha, muerto en el campo dei honor.</t>
  </si>
  <si>
    <t>Rogeno</t>
  </si>
  <si>
    <t>…ir particular^ príncipe de Paterno; y los otros individuos son "el gober basta que la permanencia del estado de paz le ha decidido 4 nador militar de Palcrmo, el mariscal de campo D. Rogeno conservar sino la tropa de línea , y a despedir la. milicia ro Séttimo, los príncipes de Pandolfina y Torrebruna, el nacional. caballero D. Manuel Requesens, el duque de Comba, el B AVI ERA. Íresidenterado secretarioAlcudiD.:y Antonioel cónsulOquibena.de $. M…</t>
  </si>
  <si>
    <t>Roger</t>
  </si>
  <si>
    <t>…Re ína con expresivas aclamaciones. Al tiempo de bajar de su carruage la dio el brazo el regidor Wood, y la coadujo á bordo del paquebote ingles el Príncipe Leopoldo, al mando del capitán Roger. S. M. durmió en el buque, T al segundo-día, á las seis de la mañana, el paquebote se hizo á la vela para Douvres, en donde estaba reunido el pueblo para conducirla en el coche, ca ma en efecto lo verificó. El día 2 presentó el fiscal del tribunal de la Cámar…</t>
  </si>
  <si>
    <t>Rojas, Antonio</t>
  </si>
  <si>
    <t>Antonio Rojas</t>
  </si>
  <si>
    <t>…igadier D. Francisco Serrano; D. Baltasar se imprimen las traducciones del derecho de gentes de Vattel y del espíritu de las leyes de Montesquieu , un amante de la fe Bautista; el coronel D. Antonio Rojas; el teniente coronel licidad nacional ha juzgado que también convenía imprimir laD. Miguel Ladrón de Guevara; el capitán D. Josef Velas- traducción’de esta obra, bien conocida de los sabios, y que pue co; el capitán D. Rafael Casella; D. Ignacio Antonio Ca de…</t>
  </si>
  <si>
    <t>Rojas, Atañasio</t>
  </si>
  <si>
    <t>Atañasio Rojas</t>
  </si>
  <si>
    <t>los Barroso ¿ que cargué"y perseguí por mas de dos leguas Oo'n una partida del re gimiento de S. Carlos, á las inmediatas ordenes del teniente graduado D. Atañasio Rojas, y otra de S. Luis á las del de la misma clase y graduadon D. Josef Ma* ría Castillo, que dieron muerte á 2 rebeldes, é hicieron prisioneros á 6, in cluso en este número el teniente de justicia .del expresado pueblo Agustín Cabeza de Vaca y otros dos empleado…</t>
  </si>
  <si>
    <t>Rojo, Andrés</t>
  </si>
  <si>
    <t>Andrés Rojo</t>
  </si>
  <si>
    <t>…legislatura á la si por la patria presentó su dictamen sobre los expedientes guiente. que se la habian pasado en solicitud de recompensas, y opi Se dió cuenta de una exposición de D. Andrés Rojo de naba que se deberían pasar al Gobierno ó á la comisión de Cañizares, en que manifestaba haberse extraviado su solici Premios del egéreito de S. Fernando. Se acordó que pasase tud anterior, en la que exponía los servicios que hizo en al Gobierno. tiempo del…</t>
  </si>
  <si>
    <t>Rojo, Domingo Vacas</t>
  </si>
  <si>
    <t>Domingo Vacas Rojo</t>
  </si>
  <si>
    <t>…o solo de dia, en el palacio del visir, donde cada uno Método de enseñar á leer á los niños desde que comienzan se ocupa de los negocios de su departamento. á parlar. Por el J.ic. D. Domingo Vacas Rojo, siendo procu rador síndico del ilustre ayuntamiento de la ciudad de Mediu* (i) No se presenta aquí la lista exacta de todos los emplea de Rioseco. Se vende en las librerías de Sojo y Montero. Diccionario de medicina y cirugía, ó biblioteca manual mé dos como…</t>
  </si>
  <si>
    <t>Rojo, Josef</t>
  </si>
  <si>
    <t>Josef Rojo</t>
  </si>
  <si>
    <t>…la reunión del Emperador de Rusia, del de Aus Por Real resolución de 22 de Febrero de 1820 se ha tria y del Rey de Prusia en Pest; y se aseguraba que el servido el Rey conceder á D. Josef Rojo, farmacéutico en Austria no admitiría al nuevo embajador de Nápoler. El Villafrechos, en Castilla laVieja, el fuero military uso de dia 6 habia presidido S. M. Cristianísima un consejo de uniforme de practicante de farmacia de egército, y admi ministros; se h…</t>
  </si>
  <si>
    <t>Rojo, N.</t>
  </si>
  <si>
    <t>N. Rojo</t>
  </si>
  <si>
    <t>…. Resentida esta del fuerte golpe , dejó la lu los premios del egérciio de S. Fernando, se mand 5 pasar cha con la perra , se arrojó furiosamente contra su perse una exposición de D. N. Rojo, vecino y del comercio de guidor, y poniéndole las manos sobre el hombro derecho, la Coruña, manifestando los servicios que habia prestado, le rasgó el vestido, causándole una herida leve: hízolo por tanto al general Portier, como posteriormente; de que había…</t>
  </si>
  <si>
    <t>Rollo, Miguel</t>
  </si>
  <si>
    <t>Miguel Rollo</t>
  </si>
  <si>
    <t>…para estallar. El Gobierno no podia ya dlíerirlo mas. contrarios a la resolución tontada, sobre la exposición del os que habían tomado parte en este criminal complot han teniente coronel D. Miguel Rollo , pidiendo la responsabili sido arrestados por la gendarmería. dad por haberle tenido prero el capitán general de Cataluña. «Parece que en el plan de los conjurados entraba apo A las comisiones reunidas de Guerra y Marina se mandó derarse de Vincennes, donde…</t>
  </si>
  <si>
    <t>Roma</t>
  </si>
  <si>
    <t>…slas Jónicas. Las islas Jónicas fueron declaradas independientes. ITALIA. En ellas empezó á egercerse poco después la Soberanía absoluta de la Gran Bretona, bajo el gobierno de un general Roma 12 de Noviembre. ingles, y con una Constitución ilusoria. Las tropas napolitanas que se hallan en nuestras fronte 4.0 Con relación d la Alemania. ras reciben continuos refuerzos; los oficiales anuncian que El reino de Saxonia quedó fuertemente mutilado: sus e…</t>
  </si>
  <si>
    <t>Romain</t>
  </si>
  <si>
    <t>…s, ya marcándoles-cn'la palma.deda rina de yuca y agua clara, y el miserable prest de i 2 cuar ■'mano paIabras,-'.qtie-luego profirieron. Se experimentó cómo tos. Ahora esperan al general Romain (duque de Limbo), entienden por el movimiento labial cuanto se Ies diga: he gobernador de S. Márcos, á quien corresponde el mando cho- probado-por sus respuestas. Coando hábiles, esperto* por &lt;vr el gefe mas antiguo. Nada hay de positivo todavía y diestros en…</t>
  </si>
  <si>
    <t>…eria molestado por llegado A aquella capital; y se decía haberte íormado en sus opiniones políticas. Propone que le acompañen cuatro in Haití una república bajo la presidencia del general Romain. dividuos; y que es necesario que en su ausencia no haga el Parlamento innovación alguna en los diferentes ramos» VARIEDADES. excepto en la organización del egército; y por último con¡firma A su augusto hijo el Duque de Calabria en el cargo de Enseñanza eleme…</t>
  </si>
  <si>
    <t>Román</t>
  </si>
  <si>
    <t>…man?.que tiene 2354 pies de sitio superficiales, y está lasada en 38942 rs vn * si alguno quisiere hacer postura acudirá á Ja escribanía de dicho juzgado privativo! cargo del Sr.. D. Román ¿Lorenzo Calvo. Está vacante la plaza de médico de la villa de Pedroso, provincia ds la Rioia dotada en 4$$ó rs.., casa Ubre y exención de contribuciones: tiene ademas 28 fane gas de trigo limpio, y puesto en su casa por el pueblo de Matute ; 3 2 idem por Ba…</t>
  </si>
  <si>
    <t>…las comunidades religiosas. A la.de Poderes se pasó el aviso que daba Dá Eugenio Las Cortes recibieron con agrado los egernpiares de una Martínez, noticiando la muerte de su padre D. Román obra de D. Ramón Martínez, contador del Crédito públi Mariano Martínez, diputado por Guadalaiara. co en Burgos , titulada Tratado de La circulación artifi Las Cortes oyeron con agrado las felicitaciones de la cial de la moneda por medio de un verdadero crédit…</t>
  </si>
  <si>
    <t>Romanillos, Antonio Ranz</t>
  </si>
  <si>
    <t>Antonio Ranz Romanillos</t>
  </si>
  <si>
    <t>…rcía + Don Martin Garay, D. Francisco Xavier Castaños; D. Josef Mariano Almanza, D- Pedro Cevallos , el marques de Piedrablanca, D. justo.Marta Ibar-Na^ai-* ro, D. Josef Aycinena, D. Antonio Ranz Romanillos, D. Francisco Reque-. na i D. Estéban Varea,' y de los secretarios D. Josef Luyan do y D. JuSnü Madrid Dávila. Asimismo he creído conveniente declarar que ios individuos, que han compuesto el Consejo de Estado hasta et di a 9 del presente tilesea&lt; que juré Yo…</t>
  </si>
  <si>
    <t>Romarate, Jacinto</t>
  </si>
  <si>
    <t>Jacinto Romarate</t>
  </si>
  <si>
    <t>…ovincia al mariscal de campo D. Juan Martin Diez el Empecinado. Asimismo se ha servido S. M. confirmar interinamente en el gobierno.de ía plaza de Santander al brigadier de marina D. Jacinto Romarate. f El dia 25 del mes pasado, estando juntos capitularmente el deán y cabildo de la santa iglesia de Toledo ¿ como también los dignidades", racioneros , ca pellanes de coro y demas ministros beneficiados de ella, congregados en la sala capitular, prestaron sol…</t>
  </si>
  <si>
    <t>Rome</t>
  </si>
  <si>
    <t>…a discutir uno y otro, bernativo, y no se introduzcan en lo contencioso. el primero á las 12 , con asistencia del mir.jstro, y el segun Se leyó por segunda vez una proposición del Sr. Rome do después del acta. ■ ‘ ro Alpuente, leida por primera en 19 de Julio, en que pe Se leyó en seguida, y no se admitió á discusión, una dia la suspensión de vsnos empleados, incluyendo en la mi indicación del Sr, Romero Alpuente , en que pedia se lla licia des…</t>
  </si>
  <si>
    <t>…- recomendase al do, cesantes, y q e pudiesen después concurrir á la com Gobierno para q:.e los tm iese en consideración, y q ¡e á pra de fincas; idea que quiso hacer extensiva cí Sr. Rome D. Máximo Elias se le reintegrase de sur gastos por las per ro A! puen te a las manos muertas; ye! Sr Sierra ,'ambiey, sonas qtíe lo hablan calumniado. individuo de ¡a comisión , contest &gt; que Hacia mucho tiem Despues-de alguna dheu-ion se declaró no haber lugar po que no &lt;e…</t>
  </si>
  <si>
    <t>Rome, Manuel</t>
  </si>
  <si>
    <t>Manuel Rome</t>
  </si>
  <si>
    <t>…con los principios gene Por el juzgado de primera instancia de la ciudad de Má rales que se habian sentado; á saber: que todo lo que fuese laga , y por ante el escribano de-número D. Manuel Rome auxiliar la libertad , facilitar á la nación medios de ilustrarse, ro de León, se ha formado expediente de oficio judicial con y evitar igualmente toda demasía de las autoridades, debia tra el autor de la letrilla titulada: Pugna al contratrágalo adoptarse, y…</t>
  </si>
  <si>
    <t>Romeo, Juan</t>
  </si>
  <si>
    <t>Juan Romeo</t>
  </si>
  <si>
    <t>…ampó dé los mismos; y los Sres. D. Jpséf Blanco González, intendente y corregidor de esta ciudad; él marques de Viilafranca de Ebro, I&gt;. Joaquín'Diez de Tejada , D. Pedro Car isa, D. Juan Romeo, D. Francis co Barber, D. Joaquín Gómez , D. Vicente Ibañez de*Aoiz , D. Andrés Ma? rin, el barón de Torrefiel y D. Pedro Vidal, regidores del ayuntamiento de la misma; D. Bernardo Segura y D. Pablo Treviño, diputados del común de ella, y-D¿ Agustín Conde, sí…</t>
  </si>
  <si>
    <t>Romero</t>
  </si>
  <si>
    <t>…por la deserción al campo de los Madrid Jp de Julio. moros, y las hostilidades de esto». SS. MM. y AA. siguen sin novedad en su importante Se leyó y declaró ser indicación una del Sr. Romero salud. Alpuente para que se pusiera sobre la mesa el expediente S. M. ha despachado hoy con los Sres. Secretarios del promovido sobre las dudas de si el decreto de las Cortes de Despacho de la Gobernación de la Pcnínsnla y de Ultramar. 6 de Agosto de 1811 ace…</t>
  </si>
  <si>
    <t>…e cada dia da nuevos testimonios pú Suelva deíinhivamenre el plan de estudios.” blicos de la sinceridad con que adopta las nuevas insti Se pasó á la discu don deb 2.0 articulo. El Sr. Romero tuciones. .. ..„ , Alpuenté opinó que debiendo saberse las leyes recopiladas, CAMINOS. ■ . . , por ser las que en la actualidad rigen, y siendo mas intere sante ahora conocer la legislación que el derecho natural, Conclusión del artículo inserto en ¡a gaceta…</t>
  </si>
  <si>
    <t>…echo con precipitación trae con niuy embarazoso á las Cortes-, y ya por otros motivos, sigo mucha piarte de violencia. Por esto hacia -presentes al Previa una discusión, en que el Sr. Romero ofreció pro gunas adiciones ó modificaciones que podrían sufrir varios bar cuanto se citaba en el recurso, se aprobó el dictamen artículos de los diez presentados por la comisión. de la comisión , no admitiéndose la adición «de por ahora” Concluidas ambas lec…</t>
  </si>
  <si>
    <t>…strucciones de este ramo de Sesión extraordinaria de 9 de Octubre. las rentas públicas.” Leída y aprobada el acta de la anterior, la comisión de En seguida se leyó un discurso del Sr. Romero, en el Milicias nacionales preíentó su dictamen acerca de la duda que hacia relación de los registros, sus causas, efectos y de propuesta por el Gefe político de Madrid sobre la exten más, manifestando su voto contrario al dictamen de Ja co sión de la palabra…</t>
  </si>
  <si>
    <t>…extrangeráá cientemente disentido ; y habiéndose' declarado que no , se 4-° ' «Las demas están ya en libertad de la manera que continuó la discusión. pueden es tarjo/1,. Opinó el Sr. Romero que no debian subsistir los están- ‘ ■ Se aprobaron el 1.’ y 2.a; se suspendió eí á petición eos bajo un Gobierno paternal; que debería subrogarse al es del Sr. Azaola hasta que las comisiones de Hacienda y Guer tanco del tabaco un impuesto, como apetecían al…</t>
  </si>
  <si>
    <t>…ubiesen hecho fuerza las. razones manifesta declaró no haber lugar á votar. das, que podrían reducirse á tres especies: una que anuncia Se leyó después la siguiente indicación del Sr. Romero ba cierta desconfianza de que los prestamistas pudiesen cum Alpuente: «El artículo de empleados se acordará en estos plir : otra las causas extraordinarias que. podrian compro términos: con los militares no se hará por ahora novedad, meter la seguridad del Es…</t>
  </si>
  <si>
    <t>…ausa; mas en este intervalo." Contestando su au'or i la oposición que ” no en cuanto á las demas resoluciones, pedimos que este nuesmanifestó á la última parte de su indicación el Sr. Romero » tro voto se agregue al acta.” MADRID EN LA IMPRENTA NACIONAL.</t>
  </si>
  <si>
    <t>…s de á Ja comisión de Instrucción pública. Castilla, y á cuyo acto no preside nadie.” Las comisiones da Hacienda y Guerra remudas presen No se admitió á discusión la siguienre del Sr. Romero taron su dictamen acerca de la indicación hecha en 12 de Alpaehte: «Entre las palabras público secretario pongase Setiembre por los Sres. Moscoso, Losada y Ouiroga , rela la partícula conjuntiva r.” tiva á que el aumento de sueldo y prest concedido á los Se l…</t>
  </si>
  <si>
    <t>…tar lo que sucedió reinando .Hentique vm. Se tra tan los ánimos de los incautos. taba del divorcio del Rey, y el defensor de la Reina pro Admitida á discusión , tomó la palabra el Sr. Romero bó con varios documentos auténticos , que leyó en el acto, Alpuente, manifestando que en su concepto no debía admi que había habido en aquella causa muchos testigos sobor tirse , pues acaso se aprovecharían los malévolos de esta mis nados. ma disposición de l…</t>
  </si>
  <si>
    <t>Romero, Emebio</t>
  </si>
  <si>
    <t>Emebio Romero</t>
  </si>
  <si>
    <t>…, en el citado término, en 489,0 rs». tillería; D. Angel Vargas, capitán de idem; D- Fernando Una lamia, en el término de lijo Matías y Estupiñana, Sta. Marina, teniente de idem ; D. Emebio Romero, alfé de 6 robos, jurisdicción de Tudela, en 840 rs. rez de idem; D. Domingo Pavía, teniente coronel gradua Orra en las Coronas, de 5 robos y 7 almudes, jurlsdic^ do de caballería de Borbon; D. Félix Isnedio, teniente de cion de Tudela , en 43 5 rs. idem ; D-…</t>
  </si>
  <si>
    <t>Romero, Joséf Olare</t>
  </si>
  <si>
    <t>Joséf Olare Romero</t>
  </si>
  <si>
    <t>…de infantería, por el músico del Real cuerpo de bastándoles llevar dinero para comprarlas. Guardias de la Persona de S. M. D. Josef Saldivia. Contestación á varios problemas, por D. Joséf Olare Romero , sargento mayor retirado. Memoria sobre la organización del egército, por el ciu ANUNCIOS. dadano D. Joaquín Morales, escrita en 1817. • Reflexiones acerca de algunas mejoras esenciales á la ca ballería , extendidas por el capitán D. Francisco de la Igle Por…</t>
  </si>
  <si>
    <t>Romero, Miguel Josef</t>
  </si>
  <si>
    <t>Miguel Josef Romero</t>
  </si>
  <si>
    <t>…eniente, por su augusta Esposa, por su joven primogénito de primera instancia de Lorca D. Josef Joaquín de Laso, Fernando, y por-el Príncipe de Salerno; los cuales recor y otra de D. Miguel Josef Romero, vecino de Villanueva riendo la línea, mostraban cuán conmovido se hallaba su de la Serena, sobre no habérsele dado la certificación de un ánimo al observar el regocijo público! juicio conciliatorio. Prestaron el juramento los generales en manos del gene A la…</t>
  </si>
  <si>
    <t>Romero-, Bartolomé</t>
  </si>
  <si>
    <t>Bartolomé Romero-</t>
  </si>
  <si>
    <t>…io ¿e la dirección general de la Hacienda pública, y los se del Cerro Portillo, compuesto de 124 olivos, linde otro» gundos en las del tesorero general ; y este, Jos contadores de D. Bartolomé Romero-, en 3475 r% .. generales, el colector general de espolio» y vacantes y el Otro ídem de la capellanía de D» AiUouÍj Camasho, al</t>
  </si>
  <si>
    <t>Romero-Alpuente</t>
  </si>
  <si>
    <t>…star á los extremos que abrazaban las indicaciones hechas corto estipendio, que aun no reciben completo. y que esto se verificase con urgencia. El Sr. Moreno Guer Se leyó otra del Sr. Romero-Alpuente, pidiendo se de ra, para prueba de la oposición de algunas personas de clárela suspensión de los empleados públicos que se hubie alto rango, leyó una contestación del obispo de Orihuela sen hecho sospechosos de aversión á las actuales institucio á la circular…</t>
  </si>
  <si>
    <t>Romo, Judas Josef</t>
  </si>
  <si>
    <t>Judas Josef Romo</t>
  </si>
  <si>
    <t>…1791 resolvió que los fondos necesarios para este es la materia: constará de un tomo en 8. mayor, y está traducida tablecimiento se sacasen de la tesorería. Por último por un por D. Judas Josef Romo, canónigo de Sigiienza , quien en ob decreto del Rey expedido en 1815 se puso bajo la direc sequio de los que desean egercitarse en el idioma ingles , que es ción del limosnero mayor de Francia el instituto de los hace siglos el de la libertad , se ha propues…</t>
  </si>
  <si>
    <t>Ronce, Vargas</t>
  </si>
  <si>
    <t>Vargas Ronce</t>
  </si>
  <si>
    <t>…cortinas, que ocultaban una hermosa lápida de la Constitu sef Madrazo (-erase la sesión del'iG de Julio), propuesto ción. La música marcial, lo numeroso del concurso, y las por el Sr. Vargas Ronce, se verificase por medio de un demostraciones de júbilo que se hicieron por la tarde y por concurso de artistas;-lo que apoyó el Sr. conde.de Toreno: la noche, dieron á esta fiesta todo el lucimiento que se po y habiéndole manifestado el Sr. Vargas Ponce que…</t>
  </si>
  <si>
    <t>Roquero, Joséf</t>
  </si>
  <si>
    <t>Joséf Roquero</t>
  </si>
  <si>
    <t>…ahder ;;én ^Eafíi^loná eii íá dé Litiga; en Málaga en léde Afilar; en"Va lencia éri la de Esfébañ; en Vitoria en la; de Barrio; en Bilbao en iá de García, yCádiz en la imprenta de D. Joséf Roquero. El precio de la suscripción será dé do ísv pbr ^líi añ^,-^í por stmestre, r8?por trimestre,y y cada numero suelto. h i jMéhíetria^fiiítóríca sobré cuál hí; isido* la opinión general de España acerca del teHmiiilleída,e** l¡a¡ áoadé/nia .de la Hisftoriai^nano…</t>
  </si>
  <si>
    <t>Ros, Francisco Tomas</t>
  </si>
  <si>
    <t>Francisco Tomas Ros</t>
  </si>
  <si>
    <t>…idencia. El nombra miento recayó en los sugetos siguientes: para la parroquia del Pino D. Josef •Anglasell; para la de S. Pedro D. Cayetano de Dou , abogado; para la de San Miguel D. Francisco Tomas Ros; para la de S. Jaime B. Prosperó Bofarull, archivero general de la corona de Aragón j para la de S* Cucufateel Sr. mar ques de Monistról ó D. Ignacio Palaudarias; para la de S. Justo D. Francisco Benús, juez interino de, cuartel , y para la de Sta. María D* F…</t>
  </si>
  <si>
    <t>Rosa, Martinez'de la</t>
  </si>
  <si>
    <t>Martinez'de la Rosa</t>
  </si>
  <si>
    <t>…eran estas leyes, y que zarse durante la presente y siguiente legislatura. Se manda era necesario explicado y hacerlas. ron también pasar á la comisión primera de Legislación. El Sr. Martinez'de la Rosa , oponiéndose á la adición que Seaprobo el dictamen de la comisión de Guerra, laque proponía el Sr. Romero Alpueme, manifestó que ella era el observando que en la memoria presentada por el ministro medio ñu- propio piara caer en la arbitrariedad que quería ev…</t>
  </si>
  <si>
    <t>Rosa, Martinez.de la</t>
  </si>
  <si>
    <t>Martinez.de la Rosa</t>
  </si>
  <si>
    <t>…an toda una provincia, tendría conocimiento mas exacto de los tes señalaba. sugetos capaces de desempeñar este encargo. Se manifestó en el curso'de la discusión, sostenida por El Sr. Martinez.de la Rosa, como individuo de la co-* los Sres. Rovira, Janer, Ezpeleta, Cepero, Puigblanch, misión, dijo: «La comisión ha tenido presente, primero: Vi tonca,-Marín Tauste, Gareli y Martínez de la Rosa, in que las diputaciones provinciales se componen solamente dividuo…</t>
  </si>
  <si>
    <t>Rosales, Bernardo Mozo</t>
  </si>
  <si>
    <t>Bernardo Mozo Rosales</t>
  </si>
  <si>
    <t>…dos de las Cortes ordinarias con fecha de 12 de Abril de 1814. presentada á S. M. en "Valencia de vuelta de su cau -Santurio, D. Anacleto Fagoaga, D. Francisco Redondo tividad por D. Bernardo Mozo Rosales: acompaña también di y D. Felipe Vázquez Canga; y para las fiscalías á D. Ma cho manifiesto con notas críticas. El estilo claro con que estaa nuel. de Echeverría y D. Antonio Martel. tratados muchos punros de política y de derecho, y lo necesa rio que es fa i…</t>
  </si>
  <si>
    <t>…e las causas civiles y criminales, prescribe terio de Hacienda, en el que con fecha de 24 de Setiembre que la formación de la sumaria pertenece al juzgado del de t'Ué habla neJidn D. Bernardo Mozo Rosales, diputa mismo cuerpo; ó si la de 1792. que en su artículo 14 co do que fue de las Cortes ordinarias, los honores ‘del Con mete este encargo al ayudante de semana, siendo induda sejo de Estado y título de Ca-tilla , alegando en-re oíros ble que hasta ahora se…</t>
  </si>
  <si>
    <t>…unida-,; y fuere tan urgente y perentoria hv.resolucion de al su re idencia, bajo las restricciones siguientes: gún caso grave , que no permita absolutamente detenerla hasta .2.- »D. Bernardo Mozo Rosales, autor, portador y que vuelva á reunirse, podrá el Gefe político determinar en expendedor del manifiesto, será excluido del beneficio que la misma forma, pasando.sin embargo el.expediente ó ex ofrece el artículo anterior. pedientes que haya resuelto á la dipu…</t>
  </si>
  <si>
    <t>Rosalía</t>
  </si>
  <si>
    <t>…in los egemplares con aprecio. forme del Gobierno ; promovidos uno por D. Ignacio Ma Continuó el Sr. Golfín elogiando á los cuerpos de la ría de Ortega, vecino de Ubeda^; otro por Doña Rosalía guarnición , especialmente por su conducta en los días 6 y 7; López de Cárdenas , vecina de Montoro; otro por D. Pe el Sr. Gaseo recordó la patriótica y virtuosa que observa dro Morales Cardara y Doña María de la Concepción Al ron en los dias 7,8 y 9 de Marzo…</t>
  </si>
  <si>
    <t>Roseberry</t>
  </si>
  <si>
    <t>…libertad y estos derechos deben prepararse á arrastrar las que se la presente por modelo á las mugeres de este reino. cadenas de la esclavitud , ó pedir perdón de lo pasado, y El lord Roseberry dijo que las declaraciones le pare seguridad para lo futuro. cían sospechosísimas, y que el principio en que se fundaba el proceso era inconstitucional, por lo que votaba contra FRANCIA. v el bilí. El lord Redesdale expuso por el contrario las doctrinas París…</t>
  </si>
  <si>
    <t>Rosique, Vicente</t>
  </si>
  <si>
    <t>Vicente Rosique</t>
  </si>
  <si>
    <t>…mbién* la Constitúeion en la1? plaza' de Ceuta' con el mayor, orden y. alegría , habiéndose encargado del mando^d^"^ por aclama ción de; lá guarnición el brigadier dé* Artillería1 D. Vicente Rosique , a quien: Se ha servido* confirmar interinaífiente en el referido5 gobierno; . AEGECIRAS. Del- mfsmo^ modo se hizola1 misma- publicación: en iguales términos en la ciudad de* Algeciras el dia 15; •; y el* Rey ha« reñido-*á- bien confirmar interin¿méñféréñél*…</t>
  </si>
  <si>
    <t>Rostopchin</t>
  </si>
  <si>
    <t>…o el populacho detuvo el coche en que iba preso, y lo puso en libertad. Los amotinados eran én número de unos 500 entre hombres , niugeres y niños. El antiguo-gobernador de Moscow conde Rostopchin se ha presentado al Rey en calidad de embajador de Rusia. El duque de S. Carlos, que acaba de cesar en las funciones de embajador de España cerca de nuestra corte, no trata de volver á su patria, y piensa re tirarse á una casa de campo próxima á esta capital,…</t>
  </si>
  <si>
    <t>Rothschi</t>
  </si>
  <si>
    <t>…interes tomó el piblico de París, y que ocasionaron tan base de un empréstito de too m'llone' d: ru'dor, que la ca funestas-escenas, no habiéndose aun tranquilizado entera sa del Sr. Rothschi d ha de hacer á la R :s‘a . y Je !•» '.a fJa mente los .mimos. . de una escuadri la argelina al cor'o en 1 : de Mn vo. De to París 14 de Junio.- do esto, y demas particularidades dignas de saberse, se La policía acaba de publicar un bando concerniente á irán…</t>
  </si>
  <si>
    <t>Rotta</t>
  </si>
  <si>
    <t>…secretarlo de defendidos por nuevos conscriptos sicilianos, fueron tomado1', Estado v ministro de Marina . habiéndole dado ¡a* oportu sacándose de ellos las armas y municiones. El teniente Rotta nas instrucciones y facultades necesarias para el gobierno de y el capitán Anfossi opusieron la mayor resistencia, á fin de aquella isla, conciliar los ánimos, y re rablecer el orden ; co que los presos no se escapasen. La misma suerte tuvo el tuerte mo tambi…</t>
  </si>
  <si>
    <t>Rovira</t>
  </si>
  <si>
    <t>…tas que naya en Se rtiandó pasar esta proposición del Sr. López enri otra del Sr. Cañedo, relativa á lo misino, á la comisión que detJltramar. No hubo lugar á votar sobre otra del Sr. Rovira des-- be formar los códigos. pues de algunas observaciones que hicieron sobre ella, en la Se leyeron también.por segunda vez las tres proposicio que pedia que los buques extrangeros que hau conseguido* nes de 1¿4 Sres. Zayas y Bcnítez, leidas por primera en l…</t>
  </si>
  <si>
    <t>…ridades de los pueblos contra los ciudadanos de que suele valerse la emulación. Por fiii , concillando la honrados. pronta administración de justicia con lá- justificación y de El Sr. Rovira pidió que no se destinasen á los arsenales fensa de los reos, creía indispensable que cuando menos se los sentenciados por vagos, según estaba mandado en Abril señalara el término de ocho días, y con esta petición con de 1816 y Noviembre de 818 ; á lo que con…</t>
  </si>
  <si>
    <t>…o en la sesión de ayer para proceder á la Se aprobaron sin discusión los siguientes hasta el artículo elección de un regidor en lugar de D. Agustín Goicoechea. 38 , al que hizo el Sr. Rovira la adición «después de recibi El Sr. López (D. Marcial) presentó dos exposiciones do su reemplazoy siguieron aprobándose los demas hasta de la diputación provincial de Aragón: una sobre la nece el 44, que después de algunas objeciones de los Sres. Diaz sidad…</t>
  </si>
  <si>
    <t>…reunidas una repre día en el artículo, se cenia á dar lugar en el buque, ó sentación de varias ca*as de comercio de Barcelona, sobre comprendía también los alimentos, contestó el Sr. Rovira que se exceptúen de la prohibición de introducir granos que propiamente se entendía solo el piso , y que para com extrangeros cinco buques que habían cargado anteriormen prender el alimento se usaba la palabra trasporte* te con desrino á Trieste, Constantinop…</t>
  </si>
  <si>
    <t>…viese presentes estas ae volver á adquirir, cuando salgan, los derechos de ciuda reflexiones si las juzgase oportunas. dano. Están en edificio separado, donde desde Junio se ha El Sr. Rovira fue del mismo parecer, y propuso que establecido ia enseñanza mutua por los sistemas reunidos de se comprendiesen todos los empleados, de cualquiera clase y Bell y Lancaster. Allí aprenden ¡a religión y la Constitu condición que fuesen. ción , y á leer, escri…</t>
  </si>
  <si>
    <t>…e algunas observaciones del cionado tít. 3.0, necesitándose á lo menos ocho votos para Sr. Zapata, contestadas por el Sr. Martínez de la Rosa, el calificar el escrito.” Propuso el Sr. Rovira que se exigiese la art. 50, que decía: «Procederá igualmente el juez á la ave unanimidad, y contestó el Sr. Martínez de la Rosa que es riguación de la persona que deba ser responsable, con arre to equivaldría á una impunidadi absoluta, demostrando al glo á lo…</t>
  </si>
  <si>
    <t>…, se podría aumentar el déficit que debe cubrir el Se aprobó igualmente la aplicación que la comisión pro^ empréstito. poniá de los productos de la imprenta Nacional, regulados El Sr. Rovira absteniéndose de reproducir lo que hablan en un miüon de reales después de satisfechos sueldos y gas dicho sus preopinantes, quienes en su concepto habían to tos , á los gastos del Estado. cado todas las objeciones, convino con ellos en que debian El Sr. pres…</t>
  </si>
  <si>
    <t>Rovíra</t>
  </si>
  <si>
    <t>…ganización del cuelas establecidas por la junta suprema de Caridad , y su, egercito. preferencia sobre todos los détnas de enseñanza , incluso el Después de apovar el d:ctamen del Sr. Rovíra , se a proís*. de Lancaster. Igualmente se aprobaron dos dictámenes de la comisión, Al Gobierno se pasó una representación del alcalde cons ordinaria de Hacienda, acerca de que se se.laie á lias mM!titucional de Vic.üvaro, maniiéstando que el Gefe político co…</t>
  </si>
  <si>
    <t>…por Los óres. Muñoz Torrero y Martinez de la Rosa manifes quien las diputaciones provinciales determinen.” Y esta otra taron que no habia inconveniente en que se adoptase esta del Sr. Rovira al art. 9.a: «Que la latitud que se da :í la indicación del Sr. Alpuente, por lo que se aprobó el artícu enseñanza se extienda á la geografía y elementos de historia.” lo , modificado con las expresiones del art. 366 de la Consti No se admitió á discusión la…</t>
  </si>
  <si>
    <t>…n un colegio no se podian tomar las medidas de prohibición impunemente, nacional. pues las naciones extrargeras las adoptarían recíprocamente Se aprobó la indicación siguiente dei Sr. Rovira: «Que respecto de nuestros efectos de extracción -, y descendiendo las Cortes para la mayor inteligencia de su resolución de á examinar algunos de los artículos en particular , conclu ayer acerca de hacer extensivo á ia marina el aumento de yó opinando que se…</t>
  </si>
  <si>
    <t>Rovíva</t>
  </si>
  <si>
    <t>…consi cuanto que según la generalidad del artículo no deberían te derarse proposición, y se tuvo por primera lectura. nerle únicamente en asuntos gubernativos, lo que solo ser El Sr. Rovíva hizo la siguiente adición para que corrie viría para entorpecer los negocios. se unida á la proposición anterior: «Que la proposición de Pidió el Sr. Romero Alpuente que volviera el artículo k los Sres. Sancho y Cepero se generalice y corresponda á los la com…</t>
  </si>
  <si>
    <t>Rovrra</t>
  </si>
  <si>
    <t>…que se trataba de cortar , te aprobó la personal y material, incluyendo.ademas 2.8; 1,117 rs co indicación. brantes que deberían emplearse en adquirir materiales para Retir,', el Sr. Rovrra otra que tenia hecha igual .1 la pre la construcción delinques; y habiendo encontrado inexactos cedente. En seguida se levó otra del Sr. Sierra IV.mhíev. que algunos de los particulares remitidos por los departamentos, decia asi: «Que aprobado, como e-tá , el…</t>
  </si>
  <si>
    <t>Rozas, Josef Antonio</t>
  </si>
  <si>
    <t>Josef Antonio Rozas</t>
  </si>
  <si>
    <t>…e sal. que-por circunstancias particulares crea el ¡tez que no es A las comisiones correspondientes una exposición de conveniente al bien público encargar al alcalde la evacuación D. Josef Antonio Rozas , en que trata de persuadir que de alguna diligencia en causa criminal, podrá hacer este en los diezmos recaen sobre los propietarios. cargo á una persona de su confianza, no obstante lo preve Se mandó unir al expediente de vinculaciones una me nido en el art…</t>
  </si>
  <si>
    <t>Rubalcava, Francisco Calvet y</t>
  </si>
  <si>
    <t>Francisco Calvet y Rubalcava</t>
  </si>
  <si>
    <t>…(á excepción ael teniente de Rey y .co mandante de Artillería), el cuerpo de Nobleza, , colegios y gremios por medio dé sus pro-hombres, asistiendo el alcalde mayor de Ja plaza y D. Francisco Calvet y Rubalcava, que fueron llamados en clase de consultores; y por pri mera diligencia me nombraron presidente de la junta, y por secretario ai ayu dante mayor de la plaza D. Josef García. En seguida resolvió la junta que se depusiese al gobernador del mando militar y polít…</t>
  </si>
  <si>
    <t>Rubí, Mateo Mas y</t>
  </si>
  <si>
    <t>Mateo Mas y Rubí</t>
  </si>
  <si>
    <t>…RETARIA DEL CONSEJO DE ESTADO.___Ultramar. dándose'siempre en el artículo citado , dijo que las provin cias de América se hallaban comprendidas actualmente en Por fallecimiento de D. Mateo Mas y Rubí, deán de la el espíritu de aquella ley, como lo había dado á entender el Sta. Iglesia catedral de Maracaibo, ha quedado vacante est» Sr. Muñoz Torrero, y que acaso el no tomar esto en consi dignidad; cuya renta anual está regulada en 4353 pesos deración podrí…</t>
  </si>
  <si>
    <t>Rubin</t>
  </si>
  <si>
    <t>…cualquiera otra carga del Esta gozado de cada extracción déla lotería primitiva. do el pago de los gastos del culto divino ; dotación y subsis Juró y tomó ademo en el Congreso el Sr. Rubin de tencia de sus ministros; que se fije el numero de eclesiásti Celis, diputado suplente por la provincia de Burgos. cos ; que se les señale renta competente , según sus gerar— Se mandaron archivar los egemplares correspondientes, quías, teniéndose considerac…</t>
  </si>
  <si>
    <t>Rubio</t>
  </si>
  <si>
    <t>…aban autorizados los sejo de Estado que hnva admitido desde el 4 de Mayo de jueces para reconvenir á los diputados por sus opiniones ó votos. Observaciones sobre el manifiesto del Sr. Rubio. Se hallará con814 hasta 9 de Marzo próximo alguna comisión contra los los números anteriores en las librerías de Hurtado y de Orea.patriotas constitucionales , ó sobre hechos de adhesión á la nota. En la gaceta del 15 del corriente, col. 6:', lín. 16,Constit…</t>
  </si>
  <si>
    <t>Rubio, Antonio Calvo</t>
  </si>
  <si>
    <t>Antonio Calvo Rubio</t>
  </si>
  <si>
    <t>…l el premio debido A los individuos que mas se hubiesen tamen de la comisión de Hacienda , señalaron Ala viuda del esforzado,.etv sostertqr la vacilante Constitución , ó solicitar diputado D. Antonio Calvo Rubio 63&gt; r&lt;¡. anuales sobre el que bajo la inspección del Gobierno , y sobre todo de las Estado, acordando que sus hijos fuesen recomendados al Cortes ;■ se determinase si debian ó no existir , y el modo ó Gobierno; y 4© también anuales á la viuda de D. Joaquín fo…</t>
  </si>
  <si>
    <t>Rubio, Joaquín</t>
  </si>
  <si>
    <t>Joaquín Rubio</t>
  </si>
  <si>
    <t>…heroica villa , y por la escribanía del número de D. Francisco Al-? cazar ,-ha cumplimentado un despacho requisitorio del señor juez civil de la ciudad de Cádiz, por el Oficio dé D. Joaquín Rubio, para notificar en esta corte, de donde dice son vecinos , á D. Jósef y Doña Josefa García Alanis, como herederos de Don Pedro García Alanis, los traslados que les ha conferido en 9 de Setiembre de 181;* y, 29 de Febrero último, en el pleito que en aquel juzg…</t>
  </si>
  <si>
    <t>Rubio, Josef</t>
  </si>
  <si>
    <t>Josef Rubio</t>
  </si>
  <si>
    <t>…petencia en derribar montañas de arena, bajo las cua Memoria sobre una nueva planta para la caballería, por les han quedado sepultadas por espacio de muchos siglos las el teniente coronel D. Josef Rubio, capitán retirado de la entradas de edificios de toda especie y galerías subterráneas. misma arma. Los árabes se han provisto de instrumentos groseros, con Apuntaciones sobre Constitución militar, formada por los cuales cavan la tierra hasta mucha profundidad…</t>
  </si>
  <si>
    <t>…ancisco Pablo en Zaragoza en la de Yagiie; en Sevilla en la de la viuda da de la Peña ; el teniente coronel D Bartolomé Amor; ídem Vázquez, y en Granada en la de Martínez Aguilar. D. Josef Rubio; los gefes y oficiales del regimiento déla Manifiesto de la junta provisional á las Cortes: papel inte Reina, segundo de ligeros; el brigadier D. Nicolás Cha resante, en que aquella corporación, verdaderamente patrió cón; el teniente coronel D. Ramón de Foja,…</t>
  </si>
  <si>
    <t>Rubio, Manuel Josef</t>
  </si>
  <si>
    <t>Manuel Josef Rubio</t>
  </si>
  <si>
    <t>…caso. Vivió como un perfecto religioso y obispo; y su falta ha sido llorada por sus familiares y por los extraños. ■ ' '■■■'' '"■■■■■' N'I/'F ■ ■ ■■ ' En virtud de providencia del Sr. D. Manuel Josef Rubio, del Consejo de S. y teniente de corregidor de esta muy heroica villa, refrendada de D. Jacinto Gaona y Loeches, se ha señalado para una junta general de acreedores á los bienes de Don Manuel Antonio Solana el día id de Enero próximo en casa de S. S. y hora d…</t>
  </si>
  <si>
    <t>28 En virtud de providencia del Sr. D. Manuel Josef Rubio, del Consejo de S. M,# su oidor honorario de la Real chanciilería de la ciudad de Valladolid, y teniente de corregidor de esta muy heroica villa» refrendada de D. Juan Antonio de Urraza, es cribano del número de la misma, y para pagó de acreedores, se saca H…</t>
  </si>
  <si>
    <t>…e en el año pasado de 1813 D. Francisco Manuel de la Hcrrau, vecino y del comercio de lienzos que fue en ella, se hallan pendientes los autos de su testamentaría en el juzgado del Sr. D. Manuel Josef Rubio, del .Consejo de S. M., teniente corregidor de esta muy heroica villa, por la escribanía del número de D. Antonio Villa y Fernandez, y á instancia de algunos de los acree dores de dicha testamentaría, se ha mandado por dicho señor juez citar á junta á to dos…</t>
  </si>
  <si>
    <t>…ndico procurador general, que se halla autoriza do para.recibirlos. Por D. Miguel del Castillo, vecino y del colegio de Farmacia de esta muy heroi ca villa , se ha acudido ante el Sr. D. Manuel Josef Rubio, del Consejo de S. M., te niente corregidor de la misma, y escribanía del número que egerce D. Antonio Villa y Fernandez, exponiendo que estando casado';con Doña Ramona Rubio, natural de la' ciudad de Avila, hija legítima de Manuel y Manuela Martin, difuntos,…</t>
  </si>
  <si>
    <t>…a cepa. Quien quisiere hacer postura acqda ante dicho sé nior juez y escribanía del citado Seco, que se.admitirán".¡-las que se hicieren rp¿encfc arregladas. _ .. . ’ ó T \ El Sr- D. Manuel Josef Rubio, del Consejo de S. M., teniente corregidor de es ta muy heroica villa., ha mandado cpnvocar á junta en su casa habitación &lt;et, domingo 30 del corriente á todos los acreedores é interesados en la dimisión rcf¿ bienes' hecha por Dona Ana de Mata, para que á las…</t>
  </si>
  <si>
    <t>Rubio, Manuel Joséf</t>
  </si>
  <si>
    <t>Manuel Joséf Rubio</t>
  </si>
  <si>
    <t>…u remate se ha de celebrar en ella el jueves 3 del próximo, rñes de Febrera,á las n de su mañana, en donde se manifes tarán las condiciones respectivas. Habiéndose acudido ante el Sr. D. Manuel Joséf Rubio, dél Consejo de S. M.t teniente corregidor de esta muy heroica villa, y escribanía del número de Di Anto nio Villa y Fernandez , por parte de Doña Isabel Verdejo y otros hermanos y sobri-nos de Doña Micaela Verdejo, de estado soltera, natural de esta corte, h…</t>
  </si>
  <si>
    <t>92 tuerta, dueña de una casa pequeña en esta corte, calle de Buenavista, niím. 7de I* manz. 33, se ha acudido ante el Sr. D. Manuel Josef Rubio , del Consejo de S. M., teniente corregidor de esta muy heroica villa, y escribanía del número que egerce D. Antonio Villa y Fernandez, ofreciendo-la reducción de un censo perpetuo de 8 rs. de renta ai ano, que^con derecho de licencia, tanteo y veintena se im…</t>
  </si>
  <si>
    <t>…o á eieo^ tuar el nombramiento en la persona que entre los que se hubiesen presentado se juzgase rnas digno y benemérito , con arreglo á la fundación. En virtud de providencia del Sr. D. Manuel Josef Rubio, del Consejo cíe S. M.r teniente de corregidor de esta muy heroica villa , refrendada del escribano de su nú mero D. Anselmo Ordonez, dada á instancia del Excmo. Sr. marques de Villafraa-</t>
  </si>
  <si>
    <t>…a comisión. Para la junta de acreedores de los bienes que pertenecían á las testamentarías de D. Pedro López Martínez y Doña Paula Feliciana de Arenzana, su muger, ha se ñalado ei Sr. D. Manuel Josef Rubio, del Consejo de S. M., teniente coi-regid -r de esta muy heroica villa, el dia 20 del corriente, á las nueve de su mañana en su po sada; lo que se hace saber á dichos acreedores para que concurran por sí ó persona á su nombre, con suficiente poder; en intelig…</t>
  </si>
  <si>
    <t>…á su derecho vieren convenirles; coa apercibimiento de que pasado dicho término sin hacerlo se sustanciará el juicio, y les para á el perjuicio que haya lugar. Por providencia del Sr. D. Manuel Josef Rubio , del Consejo de S. M., y te jiente de corregidor de esta muy heroica villa, refrendada de su escribano del nu mero D. Jacinto Gaoná’y. Loecnes ^ sei há máridado^sacar á publica subasta una casa sita en está corte, y su calle c(e Alcalá,. señalada doh el núme…</t>
  </si>
  <si>
    <t>…sef Rosendo Fernandez en* Lugo , - ó &lt;á -D/ Santiago de5 ArambufUj del éomercío de droguería en la calle*Imperial'dé Madrid, donde ; existen de venta. En virtud de providencia del Sr. D. Manuel Josef Rubio, del Consejo de S. M., teniente de corregidor de ésta muy heroica villa, refrendada dé D. Donato Nunez, escribano del n,ííme(ro deda misma, se ha señalado.paradla celebración de una juntageneral de acreedores.de D. Esteban Catarineu, vecino y del coilVércid'é…</t>
  </si>
  <si>
    <t>212 69o rs. Quien quisiere hacer postura acuda ante dicho seriar juez y citada escribanía. A voluntad de sus dueños, y en virtud de providencia del Sr. D. Manuel Josef Rubio, del Consejo de S. M., teniente corregidor de esta muy heroica villa, refren dada del escribano de S. M. y del numero de la misma D. Tomas María Manrique, se ha mandado sacar á pública subasta por término de 15 dias, contados desde el 2i del corriente, una ca…</t>
  </si>
  <si>
    <t>…rs. en el despacho de la im prenta Real. Se suscribe en dicho despacho, y en las provincias en todas las admi nistraciones principales y agregadas de correos. Por providencia del Sr. D. Manuel Josef Rubio, del Consejo de S M,, tenien te de corregidor de esta muy heroica villa, por la escribanía de su número que egerce D Juan Raya, se venden una tierra, de caber dos fanegas, en término del lugar de Ambroz al camino de Cosladá á Madrid, tasada en 19 rs.: otra en…</t>
  </si>
  <si>
    <t>Rubio, Ramona</t>
  </si>
  <si>
    <t>Ramona Rubio</t>
  </si>
  <si>
    <t>…D. Manuel Josef Rubio, del Consejo de S. M., te niente corregidor de la misma, y escribanía del número que egerce D. Antonio Villa y Fernandez, exponiendo que estando casado';con Doña Ramona Rubio, natural de la' ciudad de Avila, hija legítima de Manuel y Manuela Martin, difuntos, vecino* qiie fueron de la misma ciudad Cri él año pasado de 1812,' se habia desaparecido aquella de esta corte sin qué hubiese tenido noticia dé; su paradero si no es en el p…</t>
  </si>
  <si>
    <t>Rudhiradliyaya, Josef</t>
  </si>
  <si>
    <t>Josef Rudhiradliyaya</t>
  </si>
  <si>
    <t>…rias de los mismos. un batallón de infantería, su división en paz y en guerra, En el tomo 5.“: enumeración de las clases; indias: el numero de plazas en uno y otro- caso Ce. , por D. Josef Rudhiradliyaya, ó capítulo de sangre, traducido del Call Antonio Manchefio, teniente coronel retirado. ea pourana. Plan para el transito, de las tropas y electos militares, En el tomo 6.°: sobre la religión y la literatura de los v para el alojamiento de las gentes de guerr…</t>
  </si>
  <si>
    <t>Rudo</t>
  </si>
  <si>
    <t>…er ju- gos y clamores de estos los dejaron venir con el buque, rom rasnemo á la Constitución. piéndole antes todos ios papeles ; pero no se lo llevaron al pa «La desobediencia del príncipe Rudo á las órdenes del recer por considerar de poco valor su coste : todo esto* se Gobierno, y mas todavía la aversión del Gabinete de Vie sabe por la noticia que han dado los individuos de la junta na á las nuevas instituciones, aumentada en el caso presen -de sa…</t>
  </si>
  <si>
    <t>Ruffo</t>
  </si>
  <si>
    <t>…ongan el visto bueno, trascurrir ya mas tiempo sin que se terminase este negoció. y que consideren tales pasaportes como ilegales y nulos. Se ve por los periódicos alemanes que el príncipe Ruffo, FRANCIA. considerándose todavía en ei egercicio de las funciones de embajador de Nápoles en Viena, sigue en su corresponden París 24 de Noviembre. cia diplomática; y aun se decia fuese admitido'en la? con La gaceta de Sanidad del 15 refiere el siguiente hefe…</t>
  </si>
  <si>
    <t>…del sistema representativo quedar contentos, vien bramiento del* d.uqde dé Gallo para la embajada de V iena do en este código el fundamentó de la prosperidad general, en lugar de! príncipe Ruffo, que, por haber desobedecido á y cumplidos los deseos de cuantos están persuadidos que l*í órdenes;1 del Gobierno, había ^desmerecido la confianza únicamente estriba el bien de .las naciones en la perfecta ar de su Soberanoi y de la nación. La comisión del du…</t>
  </si>
  <si>
    <t>Rufo</t>
  </si>
  <si>
    <t>…rfú del 29 de Agosto sabemos con cer teza que el 28 se rindió la fortaleza'de Prevesa después de Vierta 6 di Setiembre. dos días de combare; y que-Veli-Bajá, hijo de Alt, se en El príncipe Rufo, que ha sido embajador del Rey de tregó espontáneamente al comandante de la escuadra tur las Dos Sieilias, continúa residiendo en esta capital, aun- ca. La famosa roca de Suli también ha cedido y reconocido ue recibió órdenes de su corte, para retirarse, por…</t>
  </si>
  <si>
    <t>Rügiero</t>
  </si>
  <si>
    <t>…incipios con respecto á S. M.-el-Rey, pidiéndole que.pague los gastos de la casa de la-Reina de su dotación Concluye la sesión del Parlamento del 4 de Noviembre., particular. ‘ El Sr. Rügiero «seguró que la comidon dé que es in __ be ha dicho que d príncipe de Esterhazy había reci dividuo había pedido cuenta al ministro de lo Interior de bido en estos dias sus primeros pliegos de? Troppau ; é inla circular, contra la cual se quejan todas las diput…</t>
  </si>
  <si>
    <t>Ruífo, Antonio</t>
  </si>
  <si>
    <t>Antonio Ruífo</t>
  </si>
  <si>
    <t>…cer regulador de las acciones de mi vida. Permitidme, tío mío, ca de la corte de Francia con el sueldo de 2oS¡ ducados el que le imite, suplicando á V- M. que se sirva conceder 1&gt; Sr. D. Antonio Ruífo, principe de Scaletta, el cual conti .gracia de la vida á estos dos infelices. nuará en su destino de lugar-teniente general en biciliu has „E1 augusto egetnpio del Rey nos ha acostumbrado á ta que le releve su sucesor, y vuelva de París el mariscal de Ja cle…</t>
  </si>
  <si>
    <t>Ruigiero-</t>
  </si>
  <si>
    <t>…na audiencia particular del Rey Carlos Juan, en. la El Sr. Borrelli salió elegido presidente en el tercer es que dio parte á S. M. de los desposorios del Infante de crutinio, y el Sr. Ruigiero- vice-presidente. Fue asimismo laica con vona Princesa de Cerdeña. nombrado secrerario ei Sr. Dragoneen en lugar del que aca baba de cumplir el egercicio de sus funciones. ¡POLONIA. Un Sr. diputado propuso la abolición de las órdenes re ligiosas en Sicilia , y…</t>
  </si>
  <si>
    <t>Ruil'o</t>
  </si>
  <si>
    <t>…n.e general mediatamente á los individuos del consejo , y que se han pata el Emperador de Austria, y con una orden pa;a que dado las disposiciones neceíaiias para.su egecucion. el príncipe Ruil'o se restituyese a Ñapóles á car cuenta de El número de correos que han ¡do A nuestra' provincias su conducta ; pero esta misión no tuvo m-q’or resultado que de Italia de ocho dias A esta parte es excesivo. Se cree que la precedente. El ministro austríaco reusó…</t>
  </si>
  <si>
    <t>Ruiz</t>
  </si>
  <si>
    <t>…u el presupuesto formado por la secretaría; conviniendo todos gar á votar. en el Ínteres que resultaba á la Nación deque no se tratasen Se leyó por primera vez una proposición del Sr. Ruiz mezquinamente los objetos comprendidos en este presupuesto. Prado sobre las ventas de bienes raices hechas judicialmente Defendieron el dictamen el Sr. Sierra Pamblev, indivi en pública subasta. duo de la comisión . y el Sr. presidente, que había perte Se apr…</t>
  </si>
  <si>
    <t>Ruiz, Joaquirí</t>
  </si>
  <si>
    <t>Joaquirí Ruiz</t>
  </si>
  <si>
    <t>…n $. M. nombrar al marques de Santa Cruz para desempeñar aquel destino. S. M. ha tenido á bien confirmar Interinamente en el gobierno de la plaza de Barcelona al mariscal de campo D. Joaquirí Ruiz. de Porras; en el^le la cindadela de la misma plaza al coronel D. Fermín Escaléra; en el deLéastillo díé Monjuich al coronel D. Josef Ortega , y enél- de la plaza de Gerona al -brigadier D. Gmllélmo Minad; -•&gt; t ■ Asimísmo ha confirmado S. M. -interinamente e…</t>
  </si>
  <si>
    <t>Rúiz, Mariano</t>
  </si>
  <si>
    <t>Mariano Rúiz</t>
  </si>
  <si>
    <t>…stá esencialmente enlazada con los adelanta Marco, auditores de Rota españoles , residentes en Roma, co mientos de la razón humana , formando de este modo una mo testamentarios de D. Mariano Rúiz, español, natural de especie de estadística literaria de los diversos paise» del orbe Valencia', guardajoyas de S. M. el Sr. D. Carlos iv, hacen sa civilizado. Daremos principio por los ber que en dicha ciudad á 4 de Abril del corriente año murió está&amp;os-un'i…</t>
  </si>
  <si>
    <t>Ruiz, Pantaleon</t>
  </si>
  <si>
    <t>Pantaleon Ruiz</t>
  </si>
  <si>
    <t>…María Manrique, se cita, llama y emplaza por término de 15 dias á D. Próspero XínieHallándose vacante una plaza de medico de la Real Fa nez , D. Miguel de Corres, D. Josef Calvo , D. Pantaleon Ruiz, milia por fallecimiento de D. Pedro Irigoyen , y teniendo y demas últimos tenedores é interesados en 5 vales Beales, resuelto S. M. que los citados destinos se provean por opo los tres de 300 pesos, creación de x.° de Setiembre de 1808, sición , se convoca p…</t>
  </si>
  <si>
    <t>Ruiz, Vicente</t>
  </si>
  <si>
    <t>Vicente Ruiz</t>
  </si>
  <si>
    <t>…rballo; Pedro Leite Pereira de Mello; Joaquín Pedro Gó cular , de D. Miguel de Saavedra. mez de Oliveira ; Francisco Sousa Cirne de Madureiraj , 'A la de Guerra otra exposición de D. Vicente Ruiz, Juan da Cunha Sotomayor; "el bachiller Francisco de Le- manifestando que hallándose de alférez de Almansa, le ha mos Bitancoort; Luis Monteiro ; Felipe Ferreira de Arau- blan destinado con un piquete para la prisión de D. Luis jo y Castro; el bachiller Josef…</t>
  </si>
  <si>
    <t>Rull, Juan</t>
  </si>
  <si>
    <t>Juan Rull</t>
  </si>
  <si>
    <t>…Túnez tiene 9 jabeques mil construidos y peor armados; sea comisión, compuesta de los ciudadanos D. Erasmo.de 16 cañoneras, y'varias galeras y cañoneras viejas; pero sin Goninma, D. Juan Rull, D. Jaime Bosch, D. Serapio San— gefes ni marinería. Tiene ademas unas 30 embarcaciones mer gertnan, D. Francisco Cortés, D. Juan Pons, D. Manuel cantes , y muchos barcos pequeños de cabotage. Forner, D. Francisco Coima , D. Ignacio Torres GolobarMarruecos se…</t>
  </si>
  <si>
    <t>…necesitan ceñirse á justas proporciones, tanto en ro , se ha mandado citar, llamar y emplazar, como por el pre1sus escritos como en su carácter. sente se cita, llama y emplaza, a D. Juan Rull y D. Ramón Esta colección de las obras de Mirabeau es la mas com Torrcnts, tenedores que han sido de un vale real de 600 pesos pleta de cuantas se han publicado basta ahora, pues no sola de t.° de Setiembre de 1815, núm. 5084, que salió■ encabeza mente contiene los discursos…</t>
  </si>
  <si>
    <t>Ruño</t>
  </si>
  <si>
    <t>…ias de Ñapóles. los ministros les estaba permitida la entrada en el Parlamen Viena 4 de Noviembre. to. Sin embargo, habiendo hecho presente el diputado PoeSe ba notado aqui que el príncipe Ruño, embajador que rio el egemplo de las Cortes de España, que admiten en su era de Ñapóles, visitaba todos los días á la Emperatriz an seno á las diputaciones de todos los cuerpos, se decretó qua tes que S. M. partiese para Troppau. se lá recibiese. No cesan de…</t>
  </si>
  <si>
    <t>Rus</t>
  </si>
  <si>
    <t>…imo inconveniente que re El Sr. secretario hizo presente que existia en la secreta sultaría por los muchos años que pasarían sin liquidarse la ría una proposición hecha por el Sr. diputado Rus. y apro deuda ; .1 lo que ahora re agolparían no solo aquellos que no bada ya por las Cortes , dirigida á que se uniformase en las hubieran podido efectuarlo antes , sino todos los demás, los provincias de Aragón y de Castilla el cobro de t i por 100 cuales p…</t>
  </si>
  <si>
    <t>Russel</t>
  </si>
  <si>
    <t>…y se- resol vió examinarla en una comisión al día siguiente. * ( Asimismo se leyó, por tercera vez la ley sobre la aprehensión de las armas* y se aprobó.. Anteayer noche presentó lord Russel en la Cámara de los Pares la pro- ; puesta de una ley, á fin de privar del derecho de elección al pueblo de Gram—. pound que nombraba dos vocales para el Parlamento, y transferir esta prerogaUTA. á la ciudad: de Leeds,, que carece de representante. Leída por,…</t>
  </si>
  <si>
    <t>…, y de los consejeros de Estado conde Lagerbrink y Mr. Skoeldebrand. Los suplentes son los con» Lóndres 18 dejuíioi lejeros de Estado conde Fíeinming y Mr. Mocrner. Habiendo hecho lord Russel en la Cáriiárá dé ios Cóttiunes la propuesta de que se presentase al Rey una peti Alemania. ción para que se dignara acortar el arresto impueno á sir Manasses Lopes, por haber procurado cohechar á los elec Manheim 7 deJulio. tores, después de haber pagado ant…</t>
  </si>
  <si>
    <t>Russel, John</t>
  </si>
  <si>
    <t>John Russel</t>
  </si>
  <si>
    <t>…des sobre la agricultura y el comercio , adop tó el proyecto de ley sobre la lista civil, cuya tercera lectura-se hübis corcluido. La segunda del proyecto de ley presentado por el lord John Russel para trasladad á la ciudad no representaaa de Leads el derecho de elección que gozaba la villa de Grampound, excitó discusiones muy largas y muy acaloradas. , El lord Castlereagh manifestó deseos de que la franquicia electiva que perdía esta villa fuese trasl…</t>
  </si>
  <si>
    <t>Russo, Juan</t>
  </si>
  <si>
    <t>Juan Russo</t>
  </si>
  <si>
    <t>…lico testimonio de ella ¡Sol Ñapóles D. Angelo Abbatemarco.=Al coronel D. Fernan idados! Cuando no es el Ínteres, sino la gloria la que tiene do visconti.=AI coronel de caballería D. Juan Russo, «por objeto alguna empresa, y cuando la moderación y la napolitanosAl teniente general Fardelia. = AI principe «disciplina acompañan a esta, entonces no pueden menos de Camporeale.= Al capitán de navio Statti, sicilianos. «de conseguiré los grandes objetos á…</t>
  </si>
  <si>
    <t>Ruste</t>
  </si>
  <si>
    <t>…ra mía geográfica. Son mucho mas grue*os que los de Con— abolir en favor de las mugéres la pena de azotes. ere ve, y se elevan á una altura prodigiosa. Cuando llegan Ayer pidió el lord Ruste! en la Cámara de los Comu al punto mas alto revientan , y esparcen una luz tan viva, nes que se presentare la quéja dada por los habitantes de que la claridad se advierte á distancia de 30 leguas. Púso Parga -al Gobierno británico , como también los extractos…</t>
  </si>
  <si>
    <t>Rutfo</t>
  </si>
  <si>
    <t>…este vecindario , viniendo de M ilagá, •podía dar lugar á interpretaciones. Iba encargado de iris- fue abordado en las aguas de la pun.a de ¡a Testa de Cabo de .trutr al embajador príncipe Rutfo de los motivos que habla Gata por un bote todo de blanco, con 24 indivt Jilos, arma tenido S. M. para condescender con los deseos del pueblo, dos cada uno con un par de pistolas, un trabuco v :n sable; adoptando la Constitución de España , é inculcarle las ór…</t>
  </si>
  <si>
    <t>S'ewnrr.-</t>
  </si>
  <si>
    <t>…a Lon que quiera , y decir lo que opina, v q"e el historiador dres un correo extraordinario despachado desde Troppau mas liberal de la antigüedad celebró bajo ei imperio de Nerpor lord S'ewnrr.- va y de Tra ano, la vemos realizada entre no-orros bajo el El E mperador de Austria ha invi taco al de Rusia y i reinado paternal de Hernando, asegurados ademas para lo nuestro Monarca á que paven á su corte cuando »e concluya venidero en el alma grande de su…</t>
  </si>
  <si>
    <t>S, L J.</t>
  </si>
  <si>
    <t>L J. S</t>
  </si>
  <si>
    <t>…ridpara so corro de los fneblos contagiados. * Número 742. El limo. Sr¿ obispo de Segorve 1© rs. Núm. 743. D. S. R. S. 100. Núm. 744. D. F. R. 20. Núm. 745. D. R. R. 30. Núm. 746. Don L J. S. i2o, Nym. 747. ElExcmo. Sr, duque de S. Cárlos 500: Núm. 748. D. -B. P. 40. Núm. 749¿ El limo. Sr. deán y cabildo de la santa iglesia me tropolitana de Zaragoza 2% Núm. 750. D. N¿, por segunda vez, 2oo. Nú mero 751. Doña A. M. M., por tercera vez, ib. Núm. 75…</t>
  </si>
  <si>
    <t>S, M. Ai</t>
  </si>
  <si>
    <t>M. Ai S</t>
  </si>
  <si>
    <t>…s. Se vende en la librería de Hurtado, calle de las Carretas^ 4 5 rs.&lt; ! uz Manifiesto, al pueblo español con motivo de la instalación de las* Cortesel dia 9 de Julio de 1820: por D. M. Ai S.JD. Véndese en la librería de Francés ,\callc de las Carretas, y en la dé Castillo, frente á las gradas de S. Felipe. A los españoles: verdades sin ton ni sofi; pfro llaman la atención. Ppr D. Juan Martin Cortés, soldado nacional. Se vendé á.3 rs. en las libre…</t>
  </si>
  <si>
    <t>S, S. R.</t>
  </si>
  <si>
    <t>S. R. S</t>
  </si>
  <si>
    <t>…tros deseos.” Continúa la lista de los sugetgs que han contribuido .enMadridpara so corro de los fneblos contagiados. * Número 742. El limo. Sr¿ obispo de Segorve 1© rs. Núm. 743. D. S. R. S. 100. Núm. 744. D. F. R. 20. Núm. 745. D. R. R. 30. Núm. 746. Don L J. S. i2o, Nym. 747. ElExcmo. Sr, duque de S. Cárlos 500: Núm. 748. D. -B. P. 40. Núm. 749¿ El limo. Sr. deán y cabildo de la santa iglesia me tropolitana de Zaragoza 2% Núm. 750. D. N¿, por s…</t>
  </si>
  <si>
    <t>Sa</t>
  </si>
  <si>
    <t>…vigilan para que se traiga.á la audiencia territorial de Madrid un cia ios seguirá en medio de su tenebrosa perfidia, y dercu- pleito que diene pendiente en la'de Sevilla: otra de D. Sa brirá sus atentados: ios hipócritas constitucionales confiarán turnino Antonio de Salazar y la Cuadra, vecino de Portuen vano en sus artificiosos ardides: la buena causa estará galete , pidiendo permiso para permutar varías lineas de un siempre asegurada. La…</t>
  </si>
  <si>
    <t>Saavedra, Miguel de</t>
  </si>
  <si>
    <t>Miguel de Saavedra</t>
  </si>
  <si>
    <t>…s. Pedro de Andrade Brederode; Manuel Vicente Teíjeira de A la Eclesiástica un proyecto de reforma del clero se Carballo; Pedro Leite Pereira de Mello; Joaquín Pedro Gó cular , de D. Miguel de Saavedra. mez de Oliveira ; Francisco Sousa Cirne de Madureiraj , 'A la de Guerra otra exposición de D. Vicente Ruiz, Juan da Cunha Sotomayor; "el bachiller Francisco de Le- manifestando que hallándose de alférez de Almansa, le ha mos Bitancoort; Luis Monteiro ; Felip…</t>
  </si>
  <si>
    <t>Sabercase</t>
  </si>
  <si>
    <t>…e, todo lo taba claro el asunto, de cuyo dictamen fueron los seño cual fue aprobado. res Toreno, Cano Manuel y Giraldo , por lo respectivo al Juró y tomó asiento en el Congreso el Sr. Sabercase!. goce que debían tener en el monte pió; pues en cuanto al Las Cortes oyeron con particular satisfacción que S. M. señalamiento de sueldos 110 parecía justo que la Nación se continúa con aprovechamiento el uso de las aguas, según cargase con el pago de obvenc…</t>
  </si>
  <si>
    <t>Sacara</t>
  </si>
  <si>
    <t>…rzo para una losa en que deberá inscribirse: «aquí yace la marina libertar el mar de los piratas que lo infestan. española.” El Sr. conde de Toreno pidió la palabra como indivi El Sr. Sacara se conformó con la comisión, juzgando duo de la comi ion para ' «decir que habría deseado que los juicioso y sensaro su dictamen, fundándose ademas en que secretarios del Despacho se hubieran puesto de acuerdo an el consejo de Estado había opinado lo-mismo, y…</t>
  </si>
  <si>
    <t>Sacara, Josef</t>
  </si>
  <si>
    <t>Josef Sacara</t>
  </si>
  <si>
    <t>…, aprobaron los de los señores di S. M. putados suplentes electos D. Manuel de |a Bodega y Don Otra del Sr. Vargas Ponce para que se repartan ciertos Antonio de Moya, por el Perú; D. Josef Sacara, por Goaterrenos, divididos en suertes, á los marineros casados y sol temala, y D. Francisco Carabaño, por Venezuela; y no ad eados retirados, bajo la condición de hacer algunos plantíos mitieron la excusa dada por el Sr. D. Francisco Magariño, de árboles &amp;cc…</t>
  </si>
  <si>
    <t>Sacasa</t>
  </si>
  <si>
    <t>…al manifestaba solo á las diputaciones, y too mas para los ayuntamientos. en su informe q ’e no era fácil dar dictaman sobre el asun Asi lo acordaron [as Cortes. Habiendo dicho el Sr. Sacasa to; que era nececario~ sistematizar e;ta cla'e de estableci que los ayuntamientos no podrían poner en Madrid el im mientos ; y estando por la Constitución los hospitales al cargo porte de las suscripciones, por lo que deberia entregarle en de las diputaciones…</t>
  </si>
  <si>
    <t>…tiempo dedicar me .que el Gobierno hiciera se cumpliese el artículo 17 del re dia hora á la decisión de este negocio. glamento del consejo de Estado para que se fijen los dere El Sr. Sacasa creyó' que el dictamen de la comisión de chos de expedición de títulos y sellos , y la pasasen á la se bia dividirse en dos partes: i.a la enque propone se adop cretaría de las Cortes. A esto el Sr. Subrié contestó que le te para las religiosas el decreto de…</t>
  </si>
  <si>
    <t>…Lobato «que se declaren exentos de la milicia los estudian gobierno de la plaza de Tortosa. . tes que lo están con arreglo á la última ordenanza sobre alis tamientos;” y otra del Sr. Sacasa para que no se admitiesen En el pueblo de Cantalapiedra , provincia de Casti al servicio de la milicia los que debieran perder ó tener sus lla la Vieja , dio muerte con arma blanca Manuel García pensos los derechos de ciudadano. Casado A Vicente Galan en la m…</t>
  </si>
  <si>
    <t>Sacasa, Josef</t>
  </si>
  <si>
    <t>Josef Sacasa</t>
  </si>
  <si>
    <t>…un expediente instruido sobre los mismos males respecto de narios. salitres y pólvora. El Sr. Traver pidió que para enterarse los diputados, y Juró y*tomó asiento en el Congreso' D. Josef Sacasa, resolver con acierto , quedase sobre la mesa el expediente; y diputado suplente por Goatemala. habiendo manifestado el Sr. Calatrava que se hallaba este Se leyó una exposición de D. Rafael del Riego y Don con la instrucción necesaria, se aprobó el dictamen.…</t>
  </si>
  <si>
    <t>Sacchi, Francisco</t>
  </si>
  <si>
    <t>Francisco Sacchi</t>
  </si>
  <si>
    <t>…ce saber que en el dia 27 de Agosto del mismo ano de 1816 falleció el Sr. D. Cristóbal Brentano Bovára bajo la disposición testamentaria, que otorgó en 15 de Enero de 1813 ante el doctor Francisco Sacchi , escribano público de dicha ¡ciudad de Como, por la cual lega 30© libras italianas á favor de los descendientes de Josef Bovára , natural de Paré; otras 30© libras de la misma moneda á favor de los descendientes de Joaquin Bovára , natural de Lecca, y otra i…</t>
  </si>
  <si>
    <t>Sacehi, Francisco</t>
  </si>
  <si>
    <t>Francisco Sacehi</t>
  </si>
  <si>
    <t>…es -qúe •érinel. dia,27 de AgostO)del.misirioáño de i^ió/aÜeet(&gt;..el:Sr. D. Cristóbal Brentano Bovám'bajo laidisposiciomtestamentafiat,c que Otorgó en 15 ,de Enero de 1813 ante ef doctor Francisco Sacehi, escribano público de dicha ciudad de ■Como, por la cual lega 30® libras italianas á-favor de los descendientes de JoséfBováray natural de Paíé; otras 30® libras dé la misma' moneda á- favor dé ■ ‘ * - » 1 - - -• ' •- ' - * * 1 *1 V- '*.■ i « .V "■ t ;./i h ,…</t>
  </si>
  <si>
    <t>Sacgsa</t>
  </si>
  <si>
    <t>…os, con su anejo Treguajantes, pagados de los fondos públi vela que se hiciese mérito de una indicación aprobada del cos por teicios Je año; siéndole permitido al profesor la asis Sr. Sacgsa, relativa a que extendiéndose á U¡tramar estas tencia i los pueblos que hasta aquí han estado agregados, al par medidas, se lijara un término mas largo para aquellas pro tido, y cuto salario convencional será en aumento de dicha vincias. El Sr. Zayas manifest…</t>
  </si>
  <si>
    <t>Sadispensado, Antonio</t>
  </si>
  <si>
    <t>Antonio Sadispensado</t>
  </si>
  <si>
    <t>…el honor dia en tres actos, y en verso, por él ciudadano Le-Gouvé;,'tra con que la ha distiñauído, y por la alta confianza que la ha ducida del francés al castellano por ef mismo D. Antonio Sadispensado,.satisfecha de haber llenado .sus deberes en tan biñon.— La palabra f onstitucion: .pieza en un acto en prosa, ardua crisis, s¡ no con toda la plenitud de la capacidad y rpor D. G. Z. y Z- Se hallarán en la librería de la viuda de ■ del talento, con toda la l…</t>
  </si>
  <si>
    <t>Sadlíer</t>
  </si>
  <si>
    <t>…una fragata de «guerra de 46 cañones , denoininadít patam, que reúne á la solidez de la construcción todas las proporciones con ducentes á darle la mayor velocidad. Por cartas del capitán Sadlíer, que hace algunos meses salió diputado por el Gobierno supremo-para el campo de Ibrahiimbajá , comandante d,e las tro pas turcas que sometieron á ios wechabitas en Arabia , y que ocupaban las orillas del golfo Pérsico, se sabia en Bombay la llegada deli menci…</t>
  </si>
  <si>
    <t>Safl</t>
  </si>
  <si>
    <t>55(5 conminar á los acreedores del Estado á que presenten sns No se admitió á discusión una indicación del Sr. Safl créditos, se conmine á las oficinas de liquidación A que las Juan , dirigida á que mandasen las Cortes que no se conti efectúen en el término mas breve posible." Habiendo pro nuase pagando por los eclesiásticos la anualidad personal, puesto el Sr. conde de To…</t>
  </si>
  <si>
    <t>Sagasta, León de</t>
  </si>
  <si>
    <t>León de Sagasta</t>
  </si>
  <si>
    <t>…Francisco Chavert y Dona Margarita Daschouts sil franceses, qué estuvieron avencidados en esta capital hasta et año de 1812, seguían pleito por el juzgado*que entoñees deSpádhaba D. León de Sagasta, y escribanía numeraria de Don Francisco Xa-res Maldonado., sobre pago de una cantidad que Jes debía D. Francisco Villagrasa; y en parte de satisfacción de ella se les adjudicó una-cava en Ja calle de ia Paloma, señalada con el num.i.° de la matiz. 109. Ahora…</t>
  </si>
  <si>
    <t>…ias de la heredera del pais de Gales , y Rosa ó la Villa, ocurrido en el año de 1807, se instauraron autos an Niña mendiga, acudir :n á recoger el tomo 13 , y pagar el impor te el Sr. D. León de Sagasta, teniente de corregidor de es te del 14, y último de la colección , á las librerías de Escantilla y ta muy heroica villa, por la escribanía del número que ser de Amposta, donde se seguirá admitiendo suscripciones hasta r.° via D. Ramón de Milla Cuellar, á los…</t>
  </si>
  <si>
    <t>Sagredo, Josef Gil de</t>
  </si>
  <si>
    <t>Josef Gil de Sagredo</t>
  </si>
  <si>
    <t>…y para su remate se ha señalado el día 5 de Abril, á las x 2 en punto de sh mañana, en la audiencia de S. S. Ordinario de la misa, en latín y castellano, traducido nuevamente por D. Josef Gil de Sagredo, arcipreste de Alcaráz, con mn pequeño egercicio cotidiano y ora ciones para recibir dignamente Los santos sacramentos de la penitencia y de la euca ristía: un tomo en 16 mayor adornado con trece estampas finas- Todo cuanto puede desearse en esta clase dé lib…</t>
  </si>
  <si>
    <t>…nada sej ha omitido para que salgan superiores á las que hasta ahora se banjmesto en esta cla se de libros. Este devocionario es igual en tamaño al nuevo ordinario de la misa por D. Josef Gil de Sagredo, arcipreste de Alcaráz; de modo que estas dos obras forman una completa colección de todas las devociones necesarias para llenar la vida del cristiano. Se hallará en la librería de Orea,'calle de la Montera, á 11 rs. en pasta, y en papel fino á 12 en pasta re…</t>
  </si>
  <si>
    <t>Saiázar, Luis María de</t>
  </si>
  <si>
    <t>Luis María de Saiázar</t>
  </si>
  <si>
    <t>…u cumplimiento.. = Está rnbricado. =r Palacio 3 de LAbril de 1820.=?Á D., Juan Jábate . 2.0 ,,En atención á ios distinguidos méritos y servicios dé mi consejero de Estado jubilado D. Luis María de Saiázar, tuve á bien nombrarle mi Secreta rio interino de Estado y del Despacho de'Marina ; mas habiéndome represen tado desde luego que el .estado de su salud no le permitía desempeñar este en cargo,, y repetido io mismo posteriormente, he venido en aceptar lár deja…</t>
  </si>
  <si>
    <t>Saícédp, Juan</t>
  </si>
  <si>
    <t>Juan Saícédp</t>
  </si>
  <si>
    <t>…ía, y pi dió se le diese permiso para insertar el articuló que 'acómpáñó‘ eii el Diario y * eh el mismo Constitucional para dejar á cubiertó sii'éxpolsicion: Habténdo !comparecido D. Juan Saícédp, asociado de D. Luis de Monden igiial con cepto de hómbré buena, manifestó rectificarse én lo expuesto fen dicho artículo Comunicado, puesto que no habiendo sido 'testigo ni declarante en ninguna dedas causas seguidas á los diputados, V.'pbf !o rhismo siendo…</t>
  </si>
  <si>
    <t>Sala, Manuel de Santurio García</t>
  </si>
  <si>
    <t>Manuel de Santurio García Sala</t>
  </si>
  <si>
    <t>…on y Moreno.= ja , nombrando capitán general de la expresada provincia de D. Manuel de Villafañe. = D. Juan Andrés de Segovia. = C ;diz a! gobernador de la misma plaza el teniente general D. Manuel de Santurio García Sala. = D. Anacleto-deFaD. C ayetano Valdás ; y 'debiendo quedar ambos mandos en goaga y Dutari. = Madrid 1 7 de Agosto de 1820. el ser y csrado en que se hallaban cuando en el año de 1314 AGRICULTURA. se reunió la capitanía general de la provincia de Cádiz á la M…</t>
  </si>
  <si>
    <t>Salas, Fulgencio</t>
  </si>
  <si>
    <t>Fulgencio Salas</t>
  </si>
  <si>
    <t>…l de la.plaza de Ceuta, los Sres. D. Juan Pire^, brigadier director del cuezpo nacional de ingenieros, * D. Joaquín de la Cflt? » coronel graduado, y teniente coronel del mismo» y D. Fulgencio Salas, teniente coronel, y capitán del re^tóiento infantería del Infante D. Antonio; dirigiendo el primero á S. M, las, s^uientei^palabras : , „Señor; El acto espontáneo"y memorable con que Y hf. ha satisfecho los justos-deseos del pueblo español, jurando el Código…</t>
  </si>
  <si>
    <t>Salcedo, Antonio</t>
  </si>
  <si>
    <t>Antonio Salcedo</t>
  </si>
  <si>
    <t>…de,D. Ju,an Campicn, calle de ^ercud^res ;,en Murcia e:n £Ja de D., domingo Areco, calle de la. Platería; en Alicante en j'a de D. Josef -Silvent, calle Mayor, yen Avila en la de D. Antonio Salcedo ,, boticario; pe» fro el depósito general se ha establecido en esta corre casa del autor , calle de -Hortaleza, núm. 15 , cuarto principal, junto á las cuatro esquinas, el qqe ¿contestará á las cónsul tas que le dirijan tanto los profesores comojos enfer^«mds…</t>
  </si>
  <si>
    <t>Salcedo, Juan</t>
  </si>
  <si>
    <t>Juan Salcedo</t>
  </si>
  <si>
    <t>íimdonal de esta villa, entre e! brigadier D. Juan Salcedo, capitón del pri mer regimiento de Reales jGitardías de infantería, y D, Josef María Cataian, oficial mayor de la tesorería general del Crédito público, sobre haber este co locado a-I primero,como testigo én una, y como testigo citado en otra en el f ^ f vece…</t>
  </si>
  <si>
    <t>Salcedo, Juan Antonio</t>
  </si>
  <si>
    <t>Juan Antonio Salcedo</t>
  </si>
  <si>
    <t>…los inspectores, teniendo en consideración para ello las viduos del Excmo. ayuntamiento constitucional; de los necesidades del servicio y la conveniencia de los propios ge- Sres. D. Juan Antonio Salcedo y D. Fermín Nafarrondo, fes , que deberán pasar revista en los estados mayores de las vocales de la junta suprema de Caridad; y para secretario provincias, cobrar su sueldo , y ser ajustados en las tesorerías el Sr. D. Francisco Fernandez de Ibarra, que lo es del de ejército de las…</t>
  </si>
  <si>
    <t>Salcedo, Ramón Falcon de</t>
  </si>
  <si>
    <t>Ramón Falcon de Salcedo</t>
  </si>
  <si>
    <t>…ujos que como fruto de la aplicación de sus discípulos presentó el maestro encargado interinamente de esta enseñanza, y la generosidad con que su digno director el Excmo. é* Ilmbi Sr. D. Ramón Falcon de Salcedo, obispo deesta diócesis, ofreció en ei acto costear sei¡&gt; premios para otros tantos jÓTícnes los. mas,adelantados y sobresalientes, acordó que concillando la asignar</t>
  </si>
  <si>
    <t>Saldias, Juan Francisco</t>
  </si>
  <si>
    <t>Juan Francisco Saldias</t>
  </si>
  <si>
    <t>…s sobre el arresto de los vocales de Cortes. Nú ni. 4.0 Los alcaldes constitucionales de la ciudad de Alcalá de Abnegación de los jueces de policía. Renuncia no admitida'. Henares D. Juan Francisco Saldias y D. Josef Antonio Ra Representación de los presos no contestada. Conversación de tin yón se Han grangeado cierinmenre mi particular aprecio juez con dos diputados. Consulta de 6 de Julio de 1814. Su por el importante 'ervicio que desempeñaron con la mayor análisis. Observacion…</t>
  </si>
  <si>
    <t>Saldivia, Josef</t>
  </si>
  <si>
    <t>Josef Saldivia</t>
  </si>
  <si>
    <t>…í mismos excavaciones en. busca de antigüedades, cuerpos de infantería, por el músico del Real cuerpo de bastándoles llevar dinero para comprarlas. Guardias de la Persona de S. M. D. Josef Saldivia. Contestación á varios problemas, por D. Joséf Olare Romero , sargento mayor retirado. Memoria sobre la organización del egército, por el ciu ANUNCIOS. dadano D. Joaquín Morales, escrita en 1817. • Reflexiones acerca de algunas mejoras esenciales á la ca ball…</t>
  </si>
  <si>
    <t>…ntrabando , tanto por tabaco, como por lovgéneros de por el director y junta auxiliar de la misma. ilícito comercio que generalmente circulan, y dicta los me Plan de egército, por D. Josef Saldivia, músico del dios para que el resguardo pueda contenerlos por las reglas cuerpo de Guardias de la Persona del Rey. , que tiene acordadas el Gobierno , yo debo llamar la aten Solución al problema 7 3 de los publicados por el Go ción de V. S. á la actividad en e…</t>
  </si>
  <si>
    <t>Saleta, Mariano García y</t>
  </si>
  <si>
    <t>Mariano García y Saleta</t>
  </si>
  <si>
    <t>…íradó los caballeros ca detes dei Real cuerpo de Artillería D. Joaquín Pavía y W-erminghan, Don Ramón Ruiz de Labastida, D. Joaquín Cabañíes y Fuster, D. Jesualdo Pé rez de Lema , D. Mariano García y Saleta , D. Josef Guerrero y Sedaño 3 Don Santiago Olloqui y Martínez, D. Manuel La-Cerda y Paiafcx, D. Juan Ló pez Larrainzar , D Francisco Cascajares y Bardnxí, D. Josef Aivarez Reyero , D. Cárlos Casaprin y González, D. Rafael Rodríguez Solís, D. Josef Canals y M…</t>
  </si>
  <si>
    <t>Salinas</t>
  </si>
  <si>
    <t>…mayores daños. ,, El oía 7 á las ocho de la mañana llegó á Huacho la división de infante* ría-, y al instante zamparon el Inchiman y la corbeta, y se dirigieron,para el norte. El coronel Salinas marchó para Huaura á reunir caballerías que condu jesen alguna tropa del Infante, que había quedado;en Ghancay; y ;el teniente coronel Cucalón debía marchar también á las cuatro de la tarde con el obje to de informarse de la conducta, que parece ser tan depra…</t>
  </si>
  <si>
    <t>Salmón</t>
  </si>
  <si>
    <t>…ciudad cayó un lir de su cuarto para ir al de Bérgami; y que S. A. le habia rayo en la casa que se le habia destinado. mirado al pasar , y creyéndolo profundamente dormido, ha El caballero Salmón, enviado extraordinario y ministro bía seguido su camino. A presencia de Mr. Brougham con plenipotenciario de S. M. Católica cerca de nuestra corte, fesó que estaba muy despierto , y que habia visto á la Prin llegó aqui el día 7. cesa con toda claridad; pero…</t>
  </si>
  <si>
    <t>…pueblos, pues según aparecía de la me quedó aprobada. moria del secretario del Despacho de Hacienda, manifestan Se leyó á instancia del Sr. Bahamonde una exposición do á S. M. el Sr. Salmón, antecesor de! actual, el enado de la hermana del general Lacy, en la que manifestaba las de la Hacienda, habia dicho, justificándolo, que la contri persecuciones que había sufrido, y pedia la tuviese el Con bución general ni excedía á las fuerzas de la Nació…</t>
  </si>
  <si>
    <t>Salmón, Antonio</t>
  </si>
  <si>
    <t>Antonio Salmón</t>
  </si>
  <si>
    <t>…la Península. Tendreislo entendido, y disondreis lo necesario á su cumplimiento. =. Está rubricado. = A f&gt;. Josef García de la Torre.” 2*0 ,,En? atención á la quebrantada salud de D. Antonio Salmón, y á las reiteradas instancias que me ha hecho para que le releve del ministerio de Hacienda y del de la Gobernación de Ultramar, que interinamente desempeña , he venido en nombrar Secretario de Estado y del Despacho de Hacienda á D. Josef Canga Arguelles, de…</t>
  </si>
  <si>
    <t>Salmón, Antonio González</t>
  </si>
  <si>
    <t>Antonio González Salmón</t>
  </si>
  <si>
    <t>…establecer estos dos ministerios, y en encargar inte rinamente el Despacho del primero al Secretario interino de Gracia y Justi cia D. Josef García de la Torre, y el del segundo á D. Antonio González Salmón, Secretario del pespapfcpfdp ^n^rejlsfo entendido, y-dis-</t>
  </si>
  <si>
    <t>…conforme al bien estar y félicidadí de la Monarquía. Tehdréislo en tendido, y dispondréis lo necesario á su cumplimiento; =±Está rubricado. =: En Fajado i 20 de Marzo de1820. tr A D. Antonio González Salmón/’</t>
  </si>
  <si>
    <t>…r impor tancia para presentarlos en las próximas Cortes. Tendrei.slo entendido, y dis pondréis su puntual cumplimiento. = Rubricado de S. Mi =En Palacio á 2b de Marzo de 1820.=: A D. Antonio González Salmón.” 3.0 „Para que no sufran el menor entorpecimiento los asuntos contención sos de lá Hacienda pública, he venido en mandar, de acuerdo con la Junta provisional, que se ponga desde luego en planta el decreto de 13 de Setiem bre de 1813 , en el que , con el fin…</t>
  </si>
  <si>
    <t>…citado artículo 25 debe principiar á servir la tesorería. Tendreislo entendido, y dispondréis su pun túa]) cumplimiento* =jEstá rubricado. asEn Palacio á 24 de Marzo de 1820. sr A D. Antonio González Salmón.” Circular del ministerio de Hacienda. El decreto del Rey, de ayer, que incluyo á V. tiene por objeto., co»mo en el mismo se manifiesta, la reunión en un solo punto y bajo una sola mano de todos los fondos que en cualquiera jeoncepto pertenezcan á la Hacienda…</t>
  </si>
  <si>
    <t>Salmón, Manuel González</t>
  </si>
  <si>
    <t>Manuel González Salmón</t>
  </si>
  <si>
    <t>…en el de D. Pedro Labrador á D. Luis de Onís: para él ministerio de Berlín al conde deToreno en lugar de -D. Pascual Vallejo : para el de Rusia en sustitución deD. Luis de Onís á Don Manuel González Salmón: en la de este para Dresde á D. Joaquín Campuzano; y á D. Josef María de Pando, encargado de negocios en Lisboa. El Rey ha repuesto interinamente en los destinos que obtuvieron de gefes políticos á D. Manuel María de Acevedo, que lo fue de la provincia de As…</t>
  </si>
  <si>
    <t>…no se le confien otro destino. - . ■ Continuación de las contestaciones dadas por losCr abine tes extranjeros. Copia de la carta que con fecha de 6 de Abril dirigió al Excmo. Sr, Don Manuel González Salmón, ministro dc S.^M. C. cerca de la corte de Dresde, el Excmo. Sr. conde de Einsíedel, ministro de Negocios extrarigeros del Rey 4de Saxóniá. Y * , „Ininediatamenfe presenté al Rey mi augusto.amo la nota en que me par ticipasteis haberse decidido S. M. C. .á ju…</t>
  </si>
  <si>
    <t>Salmoru, Anjqpio González</t>
  </si>
  <si>
    <t>Anjqpio González Salmoru</t>
  </si>
  <si>
    <t>…las ape laciones á las Audiencias territoriales , cesando en él los subdelegados de ren tas. Tendreislo entendido, y dispondréis su cumplimiento. Palacio 20 de Mar zo de 1820. = A D. Anjqpio González Salmoru” r Por el ministerio de Gracia y Justicia se dijo al secretario del Consejo de Estado D. Juan de Madrid Dávila, con fecha,de 20 de este mes, ser la vo luntad de S. M. que el dia siguiente 21 á las diez y media de su mañana se re uniesen todos los consejaros d…</t>
  </si>
  <si>
    <t>Salva</t>
  </si>
  <si>
    <t>…o de sus funda 23 de Mayo sobre la organización del egército, cuyo autor dores » y en cuanto ella lo permita atender al socorro per es el ayudante agregado al provincial de Málaga D. Salva petuo de esto* hospitales y de los demas establecimientos dor Guerrero. piadosos de esta corte: y últimamente, que por ahora no se Memoria presentada por el comisario de guerra Don consigne cantidad alguna sobre el fondo pió beneficial, ni Francisco Antonio d…</t>
  </si>
  <si>
    <t>Salva, Sánchez</t>
  </si>
  <si>
    <t>Sánchez Salva</t>
  </si>
  <si>
    <t>…a muy bien que la co bre ganado lanar trashumante, presentada en la sesión del misión preparase estos trabajos para presentarlos A la deli 2 2 del pasado . con una proposición del Sr. Sánchez Salva beración de las Cortes ; pero no le parecía oportuno proceder dor sobre el mismo objeto. á la aprobación de cada artículo en particular, hasta ranto A la de Hacienda un proyecto de aranceles de D. Ma que concluido el examen de todos los que tienen A su cargo…</t>
  </si>
  <si>
    <t>…respondió á la del señor Se leyó el acta de la sesicn ordinaria de ayer, á la que Romero Al puente que aquella habia querido comprender en »e mandó agregar el voto particular del Sr. Sánchez Salva el artículo los fideicomisos perpetuos: reprodujo, respecto dor, contrario á lo resuelto en la sesión extraordinaria de del Sr. Silves, las reflexiones del Sr. Calatrava; satisfizo á lo anoche, relativo al reemplazo de los oficiales que gocen de expuesto por…</t>
  </si>
  <si>
    <t>Salvador</t>
  </si>
  <si>
    <t>…los. deseos del Reí. Sírvase V. E. hacerlo así presente J. S. M., como que diariamente daré parte de ios progresos que se hagan en dicha causa des de que empiece á recibir los del general Salvador, á quien prevengo me los remita con puntualidad. Dios guarde á V. E. muchos años. Sevilla 25 Marzo de 1820. i= Excmo. Sr. =Juan O-Donojú. — Excmo. Sr. Secretario de Estado y del Despacho de la Guerra.” El mismo general en la propia fecha del 25 dice lo que si…</t>
  </si>
  <si>
    <t>…ó que se le dijera al Gobierno, pues la comunicación mania , según el principio establecido en el acta federal. de decretos era propia del poder egt’cuiívo, á lo q..e con testó el Sr. Salvador que pertenecía al legislativo deliberar ITALIA. que fuesen gratis. _ • Se encargó por el Sr. secretario que los Src*. diputados Roma 5 de Julio. que no habían aun dejado señas de su casa en ia secretaria, S. E. el caballero de Onís, embajador de S. M. Católi…</t>
  </si>
  <si>
    <t>…e de 1792 , la Memoria robre la adiYiínístracion de salinas, por el admi sumaria sóbrela ocurrencia en el cuartel de Guardias la no nistrador cesante de las de Prado, en Cataluña, D. Salvador che del 8 al 9 de! corriente; y que «1 cumplimiento de lo Reguart. dispuesto por S. M. por punto general respecto de la re Un cuaderno de proyectos tácticos, por D. Miguel novación de los decretos de Corees, debe el ministerio de Porcel. Guerra mandar que se…</t>
  </si>
  <si>
    <t>…muchos oficiales, que se verían privados de mensual, y el segundo de un real diario. ¡os ascensos que les correspondiesen. El Sr. Ramonet opinó que debía darse mas dotación al El Sr. Salvador declaro que el objeto era evitar de que sargento segundo, atendiendo á su clase, y disminuirse la se dieran los ascensos á personas que no los merecieran, ó del primero., para lo que juzgó bastarla que los 58 rs. se por el contrario se prívase de ellos á otra…</t>
  </si>
  <si>
    <t>…, haciendo ver que la libre el que , pusiere de manifiesto la falta de aptitud de una’ misma Constitución manda obedecer á las leyes y á las au persona para un empleo;” y otra del Sr. Salvador igual á toridades constituidas; á lo que añadió el Sr. Tapia que se la primera del Sr. Puigblanch. trataba.de corregir dos abusos; uno dirigido á enervarla Se aprobaron después el 10 y ti, que decían asi: fuerza de la ley, y otro á desautorizar á los magistra…</t>
  </si>
  <si>
    <t>…ya hasta-la discusión de! &amp; comisión .de-Hacienda sobre el no debia permitirse la existencia de los regimientos suizos Crédito público. ; . ■ &lt;• por ser muy costosos; añadiendo el Sr. Salvador que no :y. Se. dió cuenta &lt;$el dictamen de la comisión de Hacien habia cumplido el cuerpo helvético la contrata hecha con da acerca del presupuesto de este raimo;, en el que presen nuestro Gobierno, que era de-1.2© hombres, pues solo ha taba^ modificadas algu…</t>
  </si>
  <si>
    <t>…naturaleza de sil instituto .ejtá consa ser mandó pasar á la comisión para que explicara esto. grada á procurar por todos-loí medios imaginables los pro Se aprobó una adición del Sr. Salvador á la declaración gresos de las artes y.demas ramos productivos, ha recono primera, en que pedia que después de los propios y pósi cido el primoroso trabajo de dicho artista; y. queriendo tos de la Monarquía se dijera: «Y á los cuerpos-militares alentarle á qu…</t>
  </si>
  <si>
    <t>Salvador, Antonio Fernandez</t>
  </si>
  <si>
    <t>Antonio Fernandez Salvador</t>
  </si>
  <si>
    <t>…hacerse en la cárcel, y esto es testamentaría y concurso de acreedores á los bienes que han tanto mas preciso en las aldeas y lugares pequeños, cuanto quedado por fallecimiento de D. Antonio Fernandez Salvador, que no hay cuerpos de guardia ni otro modo de atender á la vecino que fue de la misma villa: los que presuman tener de seguridad. El Sr. Cañedo amplió e'tas mismas razones, ex recho á ellos, Jo deducirán en debida forma en el término de poniendo ser bien cla…</t>
  </si>
  <si>
    <t>Salvador, Estanislao Sánchez</t>
  </si>
  <si>
    <t>Estanislao Sánchez Salvador</t>
  </si>
  <si>
    <t>…, Egército reunido de Andalucía. Excmo. Sr.: Consiguiente á la orden de S. M., que con fecha de 21 de! corriente se sirvió V. E. dirigirme, oficio en este dia ai mariscal de campo D. Estanislao Sánchez Salvador, comisionán dole para la formación de la causa sobre la desgraciada ocurrencia de la plaza de Cádiz: en este general concurren las circunstancias que son necesarias para realizar los. deseos del Reí. Sírvase V. E. hacerlo así presente J. S. M., como que diari…</t>
  </si>
  <si>
    <t>…m po de Gibraltar al mariscal de campo D. Demetrio O-Dali, en virtud de las facultades que le estaban concedidas. Igualmente, á causa del mal estado de salud del mariscal de campo Don Estanislao Sánchez Salvador, ha nombrado para la formación de la causa de Cádiz al coronel del regimiento de infantería de España D. Ramón Sán chez Salvador, que habiendo recibido sus instrucciones, daba principio in mediatamente al desempeño de su comisión. El Rey ha visto con singular…</t>
  </si>
  <si>
    <t>Salvador, Ramón Sánchez</t>
  </si>
  <si>
    <t>Ramón Sánchez Salvador</t>
  </si>
  <si>
    <t>…nombre, yublicápdose en la gaceta para su satisfacción. ;" Elcapitangénerai ínterino dé Ándaíucía avisa aíSr.. Secretario,del Despa-. cho de la Gueirjrá,quf ségvin los parteé de.,D. Ramón Sánchez Salvador, coro nel del regí quent o• de infantería de España, y fiscaljde,tla¿causa,que ^ forman sqBre Cádi^en ia Marzo: íáltUb i^’^sgraci^das.'qcurmnci^,plaza.deroo,, .quei;liegan¿|taftg4eí.d$A MTÚpn&amp;a,h?bja oficiad^,referidofisdal 4 lia*-» autoridades militares del…</t>
  </si>
  <si>
    <t>Salvador, Sánchez</t>
  </si>
  <si>
    <t>Sánchez Salvador</t>
  </si>
  <si>
    <t>…ue no se pro cediese á hacer comparecer en la barra, sino después de ¡a París 3 de Jtilio. calificación correspondiente. Anuncian las cartas de Puerto-Cabello de fecha del 2 de El Sr. Sánchez Salvador,, refiriéndose. 4b. pxpediente de Mayo que el Congreso de Angostura había enviado dos di bagages , mandado pasar á la comision'de Hacienda , expre putados al general español Arana, haciéndole saber que lue- só tenia entendido que en el ministerio habia un exp…</t>
  </si>
  <si>
    <t>…estos términos: «Siendo conveniente que las un oficio de hipotecas, sobre lo cual se abstiene de hablarla Cortes cumplan todo lo ofrecido por. ios gefes del egérciio comisión. EL Sr. Sánchez Salvador hizo presente que habia de la ^s¡a á sus soldados, pido que estas reconozcan”}- le un decreto dc-S. M. para que se colocaran en las audiencias gitimen las promesas „. previniendo que se lleven .1 efecto á los militares , y se le contestó que esto pertenecía a…</t>
  </si>
  <si>
    <t>…lo que pudieran, pues Yo no veo, Señor, que después que S. M. ha tenido.,á bien no estaban precisados á decirló'todo. jurar-la Constitución solemnemente en el salón de las Cor El Sr. Sánchez Salvador añadió á lo manifestado por el tes, pueda dejar de haber producido un efecto moral tan ministro de la Guerra que la causa de Cádiz se seguia por singular, que no estamos en caso de apreciarle; los sínto trámites militares, y no por los de la Constitución, por…</t>
  </si>
  <si>
    <t>…ue el articulo de de Gracia y Justicia por qué habiéndose mandado por las Cortes no es de oficio en la gaceta. -• 1 Cortés suspender la provisión de prebendas , ha provisto las El Sr. Sánchez Salvador vesiijtiendose de que se hubie de que hace mérito en su memoria. Otra del Sr. Lope2 sen puesto bajo su nombre aquellas expresiones, y deseando (D. Marcial), para que se establezcan jueces de hecho. Otra que no apareciesen con tacha en la opinión publica, pidi…</t>
  </si>
  <si>
    <t>…ra Pambley respondió que el de 13 de Setiembre naba que el decreto de S. M. para la secularización de ios de 1813. reculares debia ser extensivo igualmente a las religiosas. ma El Sr. Sánchez Salvador hizo una indicación para que se tul-estando al mismo tiempo que convendría excitar el zc-lo procediera con la mayor actividad al ajuste de los cuerpos tic los RR. arzohi-pos, RR. obbpos, Gefes político4 y al desde el año de 1808 al de 181; inclusive, la q :e…</t>
  </si>
  <si>
    <t>…es de la libertad de imprenta; y que el art. 2, trat. 2, gocios. Se acordó nombrar la comisión pedida. tí:. 7 de la ordenanza que en su representación reclama, no Se leyó otra del Sr. Sánchez Salvador, pidiendo que se es aplicable en juicio de las comisiones al caso de la liber excite al Gobierno para que se remitan inmediatamente i tad de imprenta, y está en oposición con las citadas leyes. los gefes de ios cuerpos, gratis y francos de porte de correo, Po…</t>
  </si>
  <si>
    <t>…ste interes. De guiente no tiene cabida la exclusión de los que tengan sus fendiendo el artículo propuesto por la comisión, como in pensos los derechos de tal. dividuo de ella, el Sr. Sánchez Salvador, dijo que si no se Dijo ademas que es inuy fácil hacer una deuda á los expresaba asi, es porque no todo español es ciudadano, ne fondos públicos en corta cantidad , con lo cual queda exi cesitándose para ello estar avencidaao y tener casa; lo que mido del ser…</t>
  </si>
  <si>
    <t>…habian oido con agrado. campo ni que mirar á las banderas como punto de reunión, Se volvió á entrar en la discusión con la lectura de otra no neccritaban de ellas. indicación del Sr. Sánchez Salvador, en la que con motivo Luego el Sr. Balaren creyó que e'taba ecte artículo en de haberse determinado en la sesión pública de ayer se per Oposición con lo que se aprob 5 ayer para admitir volun mitiese á los exceptuados de la milicia nacional servir en ella tar…</t>
  </si>
  <si>
    <t>…ándose de señalar dia para la discusión, dijo Sr. Cepero, quería se tratase del premio efectivo , no de la el Sr. presidente que cuando se hubiese impreso y reparti viudedad; y el Sr. Sánchez Salvador que pedia tuviera de do el dictamen á los Sres. diputados, entonces se podría recho la viuda a todos los ascensos que correspondiesen á su señalar día. marido. Ei Sr. Ochoa redamó la propo'icion hecha por el señor Esto dio origen á las siguientes indicaciones…</t>
  </si>
  <si>
    <t>…ue no se trabajan en España: que no se habían re mido aun las dos comí-iones de M:;ic*as y mande observar lo misino en el palacio y por toda su servi de Fuerza armada: A lo que el Sr. Sánchez Salvador dijo dumbre; v que mande también que el vestuario del egército que no era o:ro el motivo sino el de que teniendo muy ade sea en adelante de ropas nacionales. Propongo igualmente lantados *us trabajos la segunda, resultaría arralo en ellos, que todos los «eñor…</t>
  </si>
  <si>
    <t>…ura la libertad y los derechos de los ciudadanos en los casos y sobre la memoria de D. Baltasar Zapata, presentada por el reglas que sabiamente determina; mas también es justo con Sr. Sánchez Salvador, dirigida al fomento de las lanas y ga tener en los límites del deber las operaciones de los que for nado trashumante; y en el que ofrecía un proyecto de de mando una misma familia, tratan de desconocer cuanto de creto dividido en seis artículos, que se mandó…</t>
  </si>
  <si>
    <t>…rios de las Cor Cádiz habia dirigido en este último correo á las Cortes una tes lo que sigue: exposición pidiendo lo mismo. «Habiendo procedido las Cortes á la renovación de su El Sr. Sánchez Salvador hizo la observación que de re presidente . vice-presidertte . V del mas antiguo délos se mitas de la invasión de los franceses se habian vendido mu cretarios el Sr. D. Manuel López Cepero , han sido elegi chos baldíos; cuya indicación seria conveniente que se…</t>
  </si>
  <si>
    <t>…de sueldo á los oficiales subalternos del varias autoridades suscribirse al diario de Cortes. egercito, se haga extensivo á las mismas clases de la marina Con este motivo hizo el Sr. Sánchez Salvador ¡a indica- militar.” jeion siguiente: «que se suscriban también á los diarios de No se admitió á discusión otra del Sr. Ramonet, que Cortes los cuerpos militares del egercito permanente, abo decía: «En el segundo cómputo de proporción de haberes nándolos del…</t>
  </si>
  <si>
    <t>…anera que los que disfruten licencia no sufran jamas nin huérfanas de poseedores de vínculos. gún perjuicio, ni para ser reemplazados en clase de efecti Se leyó una indicación del Sr. Sánchez Salvador, dirigi vos , ni mucho menos para ser atendidos cuando les cor da á que el Gobierno informe acerca del estado de la negó-' responda.” -ciacion abierta sobre reclamaciones de deudas de particula y.° «El oficial que no se presente en el término perento res cont…</t>
  </si>
  <si>
    <t>…ocaba en siempre á salvo el derecho de tercero.” primer lugar á los que murieron en el cndal o. Muchos Sres. diputados pidieron la palabra para '-ablar Se opu’o á la indicación el Sr. Sánchez Salvador, en el en esta discusión. El primero á quien se ie concedió fue al conceprode que la inscripción en el salón de Cortes no debía Sr. García Page, que conviniendo en la primera parte con pasar de los geles ó cabezas de las empresa' sin generalizar el dictamen d…</t>
  </si>
  <si>
    <t>…ándara. resultaría en su concepto un considerable ahorro. Catón el censor. Nñm. a.“, reducido á variedades políticas sobre los males que experimenta la madre Patria, y sobre la El Sr. Sánchez Salvador pidió que se discutiera el dic provisión de empleos y piezas eclesiásticas, con un discurso so tamen por parte?. bre el origen de los diezmos en España, lo mucho que se inte El Sr. Valle echó de menos en el presupuesto la parti resa en ellos, y los perjuicios…</t>
  </si>
  <si>
    <t>…empréstito se destinen exclusivamente al pago de las obli que nada se resolvió por no haberse fijado indicación alguna. gaciones que vencieren posteriormente á su ingreso en la El Sr. Sánchez Salvador hizo otras dos indicaciones, ert 'tesorería, y de ningún modo al de las ya contraidas, las que pedia que^ no se rebajara la octava parte por vía de su cuales se deberán satisfacer con los productos de las rentas ministros de la contribución general, y que se…</t>
  </si>
  <si>
    <t>…los prestamis Tampoco se admitieron á discusión las indicaciones si tas, y medios de hacer la emisión de cédulas, se trataba de guientes : destruir el dictamen de la comisión. Del Sr. Sánchez Salvador: «Que se autorice al Gobierno Dice el Sr. Romero Alpuente , continuó , que sin per ,á hacer las reformas que juzgue necesarias, quedando los in juicio del honor de los prestamistas, puede haber circuns dividuos empleados en la Hacienda pública ó en cualquier…</t>
  </si>
  <si>
    <t>…enido, pues siempre se dijo que diese un mes de próroga. Después de una ligera discusión hombre prevenido nunca es vencido. entre los Sres. Sancho, Hoscoso, García Page y Marín El Sr. Sánchez Salvador opinó que no debía aprobarse, Tauste, se acordó que pasase á la comisión ordinaria de por cuanto en caso de necesidad el Gobierno Mamaria á Cor Hacienda. tes extraordinarias, como se prevenia en la Constitución A la de Instrucción pública se pasó una exposici…</t>
  </si>
  <si>
    <t>…empleos militares, no solo a los individuos que le compo contestaciones acaloradas se acardo que no se abriese nue nían, sino á otros sugetos que citaba. vamente la discusión. El Sr. Sánchez Salvador dijo que pcrtenecian al Gobier-</t>
  </si>
  <si>
    <t>…l coronel Luna y á todos los de pasara el curso, conviniendo además sustancíalmente, y am mas citados oficiales se les reponga en sus.empleos, sueldos, pliando lo propuesto por el Sr. Sánchez Salvador. ascensos y honores que les hubiesen correspondido, y de que En seguida se puso á votación por parles el dictamen,* hubiesen sido privados por ia formación de esta causa, ha y se aprobó únicamente la primera, relativa á que se pasara ciendo saber al egército…</t>
  </si>
  <si>
    <t>…e, pidiendo se moderen los arbitrios señalados para la • Se mandó, pasar á la cotnbion de Guerra v Hacienda ¡a in continuación del canal Imperial de Tauste. dicación siguiente del Sr. Sánchez Salvador: nRe-pccto a que A la dé'Organizacion de fuerza armada un reglamentó, se Ira-resuelto aumentar el site! Jo .1 ios médicos cirujanos de presentado por los ayudantes de cii-upía mititar.de esta pla la armada, pudó que sea extensivo a los del en ircito, re za pa…</t>
  </si>
  <si>
    <t>…al. mnnga, la Paz , Sta. Cruz de la Sierra y Puno, en el Perú. Después de alguna discusión, en que se opuso al dicraNo se admitió otra del Sr. Diaz Morales para que en Fili men el Sr. Sánchez Salvador, y le apoyaron los Sres. Re pinas se establezcan tres universidades en vez de una sola. vira, Quiroga y Giraldo, fundados no solo en la antigüe Se leyó el art. 20, que decia: dad de la asignación de los sueldos actuales , sino en la re 20* »En tpdas las unive…</t>
  </si>
  <si>
    <t>…de libertad de imprenta , no debía El Sr. conde de Toreno advirtió que este reglamento ó tampoco tener fuerza ahora. instrucción no era una ley, ni objeto de aprobación de las El Sr. Sánchez Salvador recordó que el caso citado por Cortea, sino una especie de modelo formado por la comi el Sr. Zapata era precisamente en el que no presentándo sión para auxiliar con sus luces al Gobierno en el asunto á se el militar ni el eclesiástico sino como simples ciudad…</t>
  </si>
  <si>
    <t>…os ricos y á los mandones, tiranos convencidas por una pacte de la necesidad que proponia el de los pobres infelices. secretario del Despacho, y por otra del estado del erario, El Sr. Sánchez Salvador apoyó el parecer del Sr. Mo sometía á la aprobación de las Cortes los artículos si reno Guerra , fundado en los muchos abusos de que habia guientes: ■ -•- :ri sido testigo, cometidos por los ayuntamientos en el ramo i.° «Las Cortes, conformándose con Iá propu…</t>
  </si>
  <si>
    <t>…su muerte en la peste de Cádiz el año de 1819 , por no es de k palabra racimes las de y gratificaciones, á propues tar incorporados los empleados de! Cre'dito público en el ta del Sr. Sánchez Salvador. monte pió de oficinas. La comisión proponia se la señalase Se aprobó después el artículo 9.a, que decia: una pensión competente de los fondos de espolies, va 9.0 «La brigada de Carabineros hará desde ahora el miscantes, monte pió beneficial, ó cualquiera otr…</t>
  </si>
  <si>
    <t>…uientes . todos, y- deci\tdadan$s los saba iá presencia de toda la Real familia , iluminando pri gefes," ' . - - morosamente-el patio llamado de los Reres, la cúpula - Ni Otra del Sr. Sánchez Salvador,, dirigida á que se, y fachada principal del templo; y habiéndose dignado mandase abolir la contribución impuesta para gastos-del SS. MM. presenciarla desdé los balcones de la biblioteca, cordon de sanidad,.por Jiaher .manifestada.'eLSr, mipistrp fueron victo…</t>
  </si>
  <si>
    <t>…secretario de Hacienda dijo que la comisión ha Después de algunas reflexiones no se admitió á discusión bia valuado esta deuda en el mínimo posible; y que podia una indicación del Sr. Sánchez Salvador, en que pedia que muy bien suceder que luego que se hubiese liquidado resul nó se entendiese el art. 7.0 con los cuerpos militares no ajus tase mucho mayor. tados desde 1808, y que se autorizase ai Gobierno para Declarado el punto suficientemente discutido, q…</t>
  </si>
  <si>
    <t>…jor administración y régimen de los di que el relerido D. Félix Janer podía obtener la cátedra. versos ramos del egéfcíto.” A la comisión ordinaria de Hacienda se pasó una expo EL Sr. Sánchez Salvador en un voto particular se oponía</t>
  </si>
  <si>
    <t>…blos de ¡os delitos de D. Juan Eontela ,■ manifestando haber sido comprendido- que se ‘comerte en en res t írmlnos.' en la.cau-a»del general Portier, y úrtimamente h tber sido- El-Sr. Sánchez Salvador manifestó que en todos tiempos uno dedos que leívantafon ei grit-- de la libertad en Galicia;’ habia habido rhu~!'ns malhechores, y que el Gobierno te por lo que pedia qué se declarase que sus servicios hablar» nia facultades suficientes para exterminarlo"-.…</t>
  </si>
  <si>
    <t>…seguían disfrutando de perfecta salud túan tes maquinas é instrumentos finos de artes!” en el Real sitio de S. Lorenzo. Previa-a!puna discusión entre los Sres. Vadillo, Priego, El Sr. Sánchez Salvador presentó la siguiente indicación: Oliver y Cuesta, individuos de las comisiones reunidas, se «Siendo conveniente autorizar al Gobierno para conceder re aprobó este artículo; y. también sin discutirse el 7.1, cuyo tiros á los oficiales del egército , dando una…</t>
  </si>
  <si>
    <t>Salvador, Serchez</t>
  </si>
  <si>
    <t>Serchez Salvador</t>
  </si>
  <si>
    <t>…rito, bastando que consta al Rey en la crisis tan delicada en .que habían egercido sus sen en la secretaría, y que se imprimiesen en el diario las funciones. que lo mereciesen. El Sr. Serchez Salvador manifestó que habia dejado en Se hizo proposición por un diputado de Toro para que la secretaría una propuesta relativa á este objeto', pidiendo se procediese por los electores de aquella provincia á com se declarasen beneméritos de la patria á los vocales de…</t>
  </si>
  <si>
    <t>Same, Ramón</t>
  </si>
  <si>
    <t>Ramón Same</t>
  </si>
  <si>
    <t>…y provisional mente; á los anagistrados qu^ ténia al,-tiempo de sucesaciqnvá saber , D. Josef Navia Bo4 ¿años;, regente j D. V icen je María Caveto,, P» francisco Cándido de Baz* Don Ramón Same, D. Ramón Macía Líeopar.t, D..Francisco Mateo ^Marchamalo, D. Miguel Antonio 2üumalacarregui y X). Juan,Remeto. Alpuente, $in perjui cio de atenderse después cuaj,;Correspond^, los .honores que cada uno tiene y debe.conservar; y para las pjazasque resu 1 tan…</t>
  </si>
  <si>
    <t>Sán</t>
  </si>
  <si>
    <t>…Francfort 7 de Julio. Corres ordinarias de ¿os años de 1813 y 14 que se había Se dice que el Gobierno del ducado de Ánhalt-Goethen formado ya por la secreC3ría. Con este motivo el Sr. Sán ha publicado un aviso de oficio, según el cual los ministros chez Salvador pidió que para evitar muchos errores de ig diemanes que componían el Congreso de Viena decretaron norancia, inmediatamente se pasaran á los cuerpos militares antes de separarse, que si…</t>
  </si>
  <si>
    <t>San</t>
  </si>
  <si>
    <t>…ponían las comi número de compañías; á lo q iC le con eraron los señores siones un proyecto de decreto, dividido en i o artículos O iroga y Pala rea ; y despees de haber hablado d Sr. San para la extinción total de los jesuítas, y reinstalación del cho, se aprobó el oráculo, poniendo á consec encía de su citado cabildo. Habiendo señalado el Sr. presidente para su ob'ervacion en la plana mayor donde dice «un ayudante” discusión el jueves próxim…</t>
  </si>
  <si>
    <t>…e, ó á las mente tenían que dectdlr en im 'a&amp;unti» tan desagradable y de misericordia, hospicios, arsenales, © cualesquiera otros delicado, lo pudieran verificar con seguridad. El Sr. San establecimientos en que puedan trabajar sin hacerse peores Miguel, individuo de la comisión, explico mas ampliamen ni ser gravosos ai Estado, excluyéndose los presidios de te lo que opinaba esta , y que no había podido menos de Africa. También podrán ser dest…</t>
  </si>
  <si>
    <t>…ando emana de ella ; la Doña Ana Diaz, Doña Matilde Pertuza, D. Joset Benitez, «autoridad no es 3’a un yugo para tos súbditos , sino D. Gerónimo Colinas, el Sr. Conde de Motezuma, D. San «una regla que los dirige. Los hombres se reputan libres tiago Martin, D. Tadeo Sánchez de Escanden, D. Juan de «cuando solo los gobierna la ley. La sumisión los hace feliDios Trillo, D. Pedro López, D. Castor del Amo, el se «ces , porque en ella cifran su tr…</t>
  </si>
  <si>
    <t>…con casi todas las potencias de Eu Las curaciones hechas con IaiSeñorita Vivier de Sainrropa para la abolición de los derechos de a!binario y Miltiel, de edad de 16 años, y con el Sr. San os, hijo nal otros, conocidos con los nombres de jas albhtagií, jas de adjunto de Han-Sur-Méuse, de edad de 23 , han sido tan trae iits ,gabella haereditaria, et censas emigradmis. completas como admirables. La- primera , que hace ya" mas «Pasando ahora de la…</t>
  </si>
  <si>
    <t>San, Domingo de</t>
  </si>
  <si>
    <t>Domingo de San</t>
  </si>
  <si>
    <t>…médica, y se cele de los motivos que ha habido para que haya influido en ella elbrarán en el estudio de clínica. El primero consistirá en descubrimiento de las Américas &amp;c. : por D. Domingo de San una oración latina sobre el punto que el candidato elija de Martin , juez interino de primera instancia de la villa de Haro. los tres que le salgan por suerte cu los Comentarios del Se hallará á 4 rs. en las librerías de Paz y de Hermoso. doctor Valles á las…</t>
  </si>
  <si>
    <t>Sán, Estanislao</t>
  </si>
  <si>
    <t>Estanislao Sán</t>
  </si>
  <si>
    <t>…n el propio dia. También se presentaron en el cuarrel general del Puerto de Santa María á las nueve de la noche del 20, procedentes de la Carraca, los generales conde de Calderón, D. Estanislao Sán chez Salvador, y D. Blas de Fournás. Con igual fecha había dispuesto el general en gefe del egéreito D. Manuel Freíre que el mariscal de campo D. Francisco Ferraz y el brigadier D. Manuel de Jáuregui pasasen á Cádiz á relevar el primero al mariscal de campo D…</t>
  </si>
  <si>
    <t>San, La</t>
  </si>
  <si>
    <t>La San</t>
  </si>
  <si>
    <t>…tomar posesión los provistos en las prebendas de Real pa men en su totalidad. tronato, cuyas vacantes estaban aplicadas por dos años, en También lo fue la siguiente indicación del Sr. La San virtud de concesión de la Sede apostólica, aL Crédito públi ta: «Que se diga al Gobierno que sin perjuicio de lo apro co, proponía los artículos siguientes: bado , antes de establecer los contraregistros en los puntos 1. ° »Que el derecho de post mortem y dem…</t>
  </si>
  <si>
    <t>Sán, Ramón</t>
  </si>
  <si>
    <t>Ramón Sán</t>
  </si>
  <si>
    <t>…del mal estado de salud del mariscal de campo Don Estanislao Sánchez Salvador, ha nombrado para la formación de la causa de Cádiz al coronel del regimiento de infantería de España D. Ramón Sán chez Salvador, que habiendo recibido sus instrucciones, daba principio in mediatamente al desempeño de su comisión. El Rey ha visto con singular satisfacción los partes antecedentes del geseraí D. Juan O-Donojú, y se ha servido aprobar todas sus providencias.…</t>
  </si>
  <si>
    <t>San, Serapio</t>
  </si>
  <si>
    <t>Serapio San</t>
  </si>
  <si>
    <t>…nstruidos y peor armados; sea comisión, compuesta de los ciudadanos D. Erasmo.de 16 cañoneras, y'varias galeras y cañoneras viejas; pero sin Goninma, D. Juan Rull, D. Jaime Bosch, D. Serapio San— gefes ni marinería. Tiene ademas unas 30 embarcaciones mer gertnan, D. Francisco Cortés, D. Juan Pons, D. Manuel cantes , y muchos barcos pequeños de cabotage. Forner, D. Francisco Coima , D. Ignacio Torres GolobarMarruecos se halla actualmente sin marina. d…</t>
  </si>
  <si>
    <t>Sancha</t>
  </si>
  <si>
    <t>…liz. El sabio Mr. fin de Febrero, el tercero en Marzo, y el cuarto en Abril. Se Suard, secretario perpetuo de la academia francesa, se explica imprime en la acreditada oficina del Sr. Sancha. Se suscribe asi en su prólogo á su traducción de la incomparable historia hasta mediados de Diciembre en la librería de Dávila, calle de del Emperador Cirios v en i/óp, escrita en ingles por Mr, las Carretas, y en las administraciones de correos de las capi…</t>
  </si>
  <si>
    <t>Sancha, Tomas de</t>
  </si>
  <si>
    <t>Tomas de Sancha</t>
  </si>
  <si>
    <t>…ente para celebrar su remate el día 7 del mes próximo de Abril á las 12 en el juzgado del Sr. D. Manuel Fernandez Gamboa, juez de primera instancia, por la escribanía de número de D. Tomas de Sancha* y Prado , se ;hace notorio para que quién quisiere hacer postura*á las tres dichas Casas y méjóra á la del húm;- 5 , por la que ofrecen el vafor de-sú tasa, á pagar en^tres plazos iguales de á ttes meses cada uno_, pueda con currir á diaho juzgado y escriban…</t>
  </si>
  <si>
    <t>Sánchez</t>
  </si>
  <si>
    <t>…anecer alíi , y destaqué tres partidas de caballería por diferentes yumbos en busca de ganados, las que se me reunieron por la noche trayendo la una, que iba ai cargo del teniente coronel Sánchez , 7 cabezas de ganado; menor , y la del eapitan de Rioverde D. Felipe Castillo 11 de la misma! especie, 14 reses, 4 rebeldes prisioneros, y 10 mugeres y chiquillos; •. . ; . -m ; ,, Repartido el ganado á la tropa, dispuse quetmarcharad 29 el citado te niente…</t>
  </si>
  <si>
    <t>…Cor es; añadiendo el Sr. préndente que mente se convino á variar el Sr. Toreno suprimiendo ha , había quedado reservado para cuando las circunstancias lo blar de este tratado. El Sr. Sánchez bal vado r pro pin o</t>
  </si>
  <si>
    <t>Sánchez, Dos Epitacio</t>
  </si>
  <si>
    <t>Dos Epitacio Sánchez</t>
  </si>
  <si>
    <t>…o la tropa , y el deseo que todos» en general han manifestado por el¡ mejor servicio del Re y, me obligan de jus-: ticia á recomendarlos á V. S., y con particularidad al 'teniente coronel Dos Epitacio Sánchez, á D. Josef de la Luz Nolasco, y al capitán de realistas de Rioverde D. Felipe Castillo. ■ J • • - ,, Dios guarde á V. S. muchos anos. Xichú Julio 30 de 1819 á las cua-, tro de la mañana del 31. = Josef Cristóbal Villaseñor. = Sr. brigadier y co-, mandante ge…</t>
  </si>
  <si>
    <t>Sánchez, Epitacio</t>
  </si>
  <si>
    <t>Epitacio Sánchez</t>
  </si>
  <si>
    <t>…iendo caer á la hacienda de Jalpa, y de allí por el Varal al punto del * Potrero. Con el teniente coronel Villaseñor fue el de igual clase D. Pablo María Mouliaa y el de realistas Don Epitacio Sánchez y el indultado D. Marcelo González ; con la del capitán Ja bera no fue nadie por ser e&lt;te práctico dei Terreno; con la del capitán Nogue^rol fue el indultado D. Patricio GonzaLez y el prisionero hecho en Santa</t>
  </si>
  <si>
    <t>…secciones; y no habiendo observado huella ninguna, me resolví á hacer mi marcha el 26 hácia ál cerro del Oro, á cuya inmediación me adelanté con él teniente co ronel de realistas D. Epitacio Sánchez, animado del deseo de hacer algún prisionero que me informara de cuanto deseaba saber para dirigir mis opera ciones t llevaría tres cuartos de legua de distancia avanzado de las secciones cuando logré mi deseo cogiendo na toldado de la gavilla de Megía, y est…</t>
  </si>
  <si>
    <t>…ro al dar vista al rio logré la ventaja de apresar otra remonta de tnas de 50 caballos y muías, dar muerte á uno de los que la escoltaban, habiendo per seguido el bizarro teniente coronel D. Epitacio Sánchez, acompañado de Don Josef de la Luz Nolasco y un realista de la partida del último, á otros 5 de los remonteros hasta obligarlos á precipitarse por uña barranca incapaz de po derse transitar. Allí pasamos la noche; y habiendo destruido al otro día por medio de…</t>
  </si>
  <si>
    <t>…á las de mi ayu dante el teniente D. Manuel de Lara, que estaba situado en S. Josef Zamar-ripa, 'con cuyas fuerzas, ün piquete de dragones'de-España, y la caballería del teniente coronel D. Epitacio Sánchez,-marché en aquella misma noche á . situarme en la hacienda de la Cebada para adquirir-al 1 i mejores noticias, y en espera de que se me reuniese-el- citado teniente'Cañas con 6o caballos del re gimiento de Sierragorda y compañía de D. Patricio González; y hab…</t>
  </si>
  <si>
    <t>Sánchez, Estanislao</t>
  </si>
  <si>
    <t>Estanislao Sánchez</t>
  </si>
  <si>
    <t>…de la Nación con la li ganización de un cuerpo de salvaguardias para la seguridad bertad individual de sus ciudadanos; sirviéndose y. S. dis territorial, por el mariscal de campo D. Estanislao Sánchez poner lo conveniente para que se publique en el diario de Salvador, individuo de la junta consultiva. esta capital y gaceta del Gobierno, á fin de que enterados Otro proyecto sobre el mismo asunto, por el mariscal todos, no se alegue ignorancia en los casos q…</t>
  </si>
  <si>
    <t>Sánchez, Francisco Xavier</t>
  </si>
  <si>
    <t>Francisco Xavier Sánchez</t>
  </si>
  <si>
    <t>…gército y marina. diese curso á la causa principiada contra S. M., porque es A la comisión ordinaria de Hacienda se mandaron pasar contraria á la regia potestad. una exposición de D. Francisco Xavier Sánchez , sobre idea El proceso de la Reina atraerá á Londres muchos Pa de una lotería de vales á favor del Crédito público; un res y otras personas distinguidas. Con este motivo los tea estado de productos yr cargas de una finca agregada ai Cré tros y los mercaderes…</t>
  </si>
  <si>
    <t>Sánchez, Josef-Serrano</t>
  </si>
  <si>
    <t>Josef-Serrano Sánchez</t>
  </si>
  <si>
    <t>…s- deliberación de las Cortes, creyó, mas conducente refundir tncii ne- que &gt;e abonan a varias autoridades militares y civi le en otro, compuesto de 2 1 artículos. les , y otra de D. Josef-Serrano Sánchez sobre aclaración del Comprende el modo de formar las lista? de las hereda art. del decreto de 6 de Agosto de iíln , y otro?. des y posesiones: de anunciar al público su enagenacion: de A la Eclesi’stica una exposición de D. Miguel María de hacer la subasta: q…</t>
  </si>
  <si>
    <t>Sánchez, Josefa</t>
  </si>
  <si>
    <t>Josefa Sánchez</t>
  </si>
  <si>
    <t>…o, y por providencia de dicho señor juez, de 19 del mismo, se ha mandado citar, como por el presente se cita, llama y emplaza á los parientes y he rederos abintestato de ia propia Doña Josefa Sánchez, para que en el preciso y pe rentorio término de 30 dias, contados desde el 25 del corriente, comparezcan ante S. S. y escribanía citada ¿justificar y acreditar el mejor parentesco y derecho que les asista d los bienes que han quedado por muerte de la expresa…</t>
  </si>
  <si>
    <t>Sánchez, Juan</t>
  </si>
  <si>
    <t>Juan Sánchez</t>
  </si>
  <si>
    <t>…o, D. An «quieren &lt;er superiores á las leves , y pierden su poderío drés Montalvo , el Sr. duque del Parque, D- Francisco Xa «perdiendo el amor de ‘lis súbditos.” vier de Aguilar, D. Juan Sánchez, D. Ramón de Pando y Apenas igualaron Demóstenes y Bossuet la elocuencia y de Otnmendi, D. Manuel de Robrero, D. Josef de Tejada energía del pasage siguiente de Masillon. y Ruiz, D. Matías Olivencia , D. Josef Melero, D. Fran «Los príncipes y los grandes no s…</t>
  </si>
  <si>
    <t>Sánchez, Juan Francisco</t>
  </si>
  <si>
    <t>Juan Francisco Sánchez</t>
  </si>
  <si>
    <t>…á la comisión, para que teniendo presen e lo del colegio de S. Cárlos de esta corte, para ¡a que había expue'to en la discusión, presentara nuevamente su dictamen. sido propuesto D. Juan Francisco Sánchez; la comisión En este momento regresó la dipumeion que habia opinaba, en vista de Lo que resultaba, que convendria dis ido á palacio; y el Sr. Moscoso, presidente de ella, dijo pensasen las Cortes los artículos correspondientes de la or que habia esta cumplido…</t>
  </si>
  <si>
    <t>Sánchez, Pedro</t>
  </si>
  <si>
    <t>Pedro Sánchez</t>
  </si>
  <si>
    <t>…en 3110 rs. Madrid 24 de Diciembre. Otro idem de la misma capellanía al misino sitió . com ;SS. MM. y ÁA. continúan sin novedad en su impor puesto de 12T olivos, linde con los de D. Pedro Sánchez tante salud. Canela y otros, en 31; c rs. , S. M. ha despachado hoy con el Sr. secretario del Otro idem de la dicha capellanía, al-sitio de la Ooia, Despacho de Gracia.y Justicia. compuesto de:- a 3 olivos’, l'nde con el arroyo de Capillos; y otros de D. Dieg…</t>
  </si>
  <si>
    <t>Sánchez, Tomas</t>
  </si>
  <si>
    <t>Tomas Sánchez</t>
  </si>
  <si>
    <t>…téoros y del rayo. De contribuido al adelanto de los trabajos de ella; y finalmen las auroras boreales. De los volcanes. De los vegetales y te al primer contramaestre de aquel rio D. Tomas Sánchez, animales venenosos. Admirable previsión de la naturaleza. por cuanto á sus muchos conocimientos prácticos se debe Tomo 4.° La visión que tuvo el autor en un sueño, ó que el buque no haya padecido lo mas mínimo en faena tan el delirio poético. Del rocío y del…</t>
  </si>
  <si>
    <t>Sancho</t>
  </si>
  <si>
    <t>…r el Gefepolítico, para que se devolviesen á sus dueños los terrenos de pro pios ; se mandó pasar á la comisión de Infracciones de Constinicion. Se leyó un proyecto de decreto del Sr. Sancho, en que ANUNCIOS. atendiendo á las repetidas instancias de los regulares, á las urgencias del Estado, y necesidad de echar mano de sus bienes para ocurrir á ellas, considerando igualmente el esta Se desea saber el paradero de Josef López, hijo de Juan y de do…</t>
  </si>
  <si>
    <t>…rdó ex— de Batiera á los Srer. Berkheim, ministro de Estado, y Gai- iresar solamente en el acta que no se habia leído por haber ling, gran mariscal de la corte. {techo presente el Sr. Sancho que se estaba imprimiendo para Se ha publicado en Stuttgardt con la misma fecha el repartir á los Sres. diputados. artículo de oficio siguiente, relativo al viage de S. M.: A la comisión de Legislación se mandaron pasar dos ex «El Rey ha salido esta mañana co…</t>
  </si>
  <si>
    <t>…idades del mo del Rey que en los conventos de religiosos no se admiran mento de los hospitales General y de la IVion. novicios, ni se den profesiones á los que están admitidos, El Sr. Sancho pidió) que so señalara dia para la discu le parecía que esta decisión debia extenderse igualmente á sión de un objeto de tanta trascendencia, sin permitir que los de religiosas. las Cortes pasa-en á discutirlo con demudada premura. El Se preguntó si estaba su…</t>
  </si>
  <si>
    <t>…os á ios Hizo otra Indicación el Sr. Martínez de la Rosa, redu de uno que á los de otro sexo; pero habiendo observado el cida á que la comisión Eclesiástica, en conformidad de las Sr. Sancho que esto no era tan general, puesto que habia benéficas ideas que ha manifestado , proponga á las Cortes dado lugar a la solicitud de estas monjas, se aprobó la las medidas que juzgue mas convenientes para obviar los adición del Sr. Calatrava. obstáculos que…</t>
  </si>
  <si>
    <t>…a se inspira la libertad, aun á ios hombres ñas ignorantes, cuan sión de 26 de Julio se mandaron suspender á petición del do se les hace conocer su precio inestimable. Es de creer Sr. Sancho hasta que estuviese impreso, lo que ya se había que todos los gefes militares sigan egemplo tan laudable. verificado. • . T Se leyó la siguiente indicación de los Sres. Desprat, Díaz Puerto de Santa María Id de Agosto. Morales, Florez Estrada, Gaseo, Romero A…</t>
  </si>
  <si>
    <t>…eros y marineros.” Que también nados de menores, que no solo no los conocía con semejan se leyó. tes obligaciones, sino que bien sabido es cuánto abusan de A este artículo puso el Sr. Sancho la objeción siguiente: su ministerio, y con cuánta frecuencia faltan á las suyas los Muchos son los e pañoles que á la edad de 18 años no han ordenados in sacris ; y concluyó recordando que nuestros obtenido los derechos de ciudadano, y no tos han podido jorn…</t>
  </si>
  <si>
    <t>…ándose A la sazón el miliciano del provin vuelva á la comisión para que lo extienda conforme á la idea cial de Salamanca Juan Josef Hernández , desarmó al agre ya expresada por el Sr. Sancho, que ha admitido el Congre sor , aprehendiéndole y presentándole A la justicia del pue so indicación que se mandó pasar á la comisión con las blo ; y S. M. , enterado de este hecho de valor y honradez, demás aprobadas. se ha dignado resolver se den gracias en…</t>
  </si>
  <si>
    <t>…esión pública de ayer se per Oposición con lo que se aprob 5 ayer para admitir volun mitiese á los exceptuados de la milicia nacional servir en ella tarios; á lo que respondí &gt; el Sr. Sancho, que la voz de vo voluntariamente, sin designarse si ha de ser indefinidamente luntarios recae sobre el c erpo , no sobre ios individuos. ó con igual plazo , pedia que se fijara es e del modo que se Las Cortes no admitieron á dheurion ni la adición que estima…</t>
  </si>
  <si>
    <t>…por esta vez á la solicitud referida, nacional en las funciones á'que concurra con las tropas de y que en consecuencia sirva el curso para ios fines que con continuo servicio." El Sr. Sancho confirmó la necesidad de venga al catedrático y discíprfos, concurriendo en estos las esta declaración, citando la duda ocurrida en la formación calidades de aprovechamiento , previo examen , y la de asis del dia 9 de Julio próximo; y opinó que debia formar c…</t>
  </si>
  <si>
    <t>…tinción de roalhecnoves ; el primero para esto, y el se ra Pambley en su apoyo, y haber deshecho este último las gundo para disminuir el número de vagos. Considerados co dudas del Sr. Sancho, sobre los dependientes de los admi mo proyectos de ley se tuvo por primera esta lectura, 6 nistradores que disfrutan sueldo ó están á un tanto por igualmente del voto particular de los Sres. Cañedo y Ramí ciento. rez Cid , contrario á uno de los artículos. S…</t>
  </si>
  <si>
    <t>…eso. A la comisión de Infracciones una evposicion del ayun Se levó por segunda vez la proposición y proy-ecto de tamiento de Lorca sobre la conducta criminal de D. Fer decrero ¿el Sr. Sancho sobre regulares, que se vio por pri mín Campillo, adminbrrndor cesan e de Salitres. mera en la sesión de 2 3 de Tullo. Se levanto el Sr. Sancho, no A la ordinaria de Hacienda una razón del estado del para defender su provecto, que sabia bien no era la cuestió…</t>
  </si>
  <si>
    <t>…entas, conoció al lin que no podía conti El Sr. Cortés advirtió que la comisión no tendría incon nuar de este modo. veniente en que se estableciera esta cátedra, puesto que has El Sr. Sancho dijo que no mudaba en nada su proyecto, ta el año que viene no se podrá poner en planta el nuevo y que la comisión y las Cortes podrian desecharle si lo plan ; por lo que se aprobó la siguiente indicación del se creían conveniente. ñor Navarro : «Que se resta…</t>
  </si>
  <si>
    <t>…ón uso de las facu! ades que les concedía la Constitución sus del Sr. Ramos Arispe (después de algunas observaciones del pendieran las formalidades prescritas por la misma para la Sr. Sancho sobre la dificultad de cumplir lo que se pedia, administración de justicia en el 3rt. 287; respuesta muy con contestadas por los Sres. Zayas, Romero Alpuente y Ra forme á lo que ahora propone la comisión , que es, que de mos A rispe ) : «Que el reglamento de…</t>
  </si>
  <si>
    <t>…enca, distante cinco legua» de Molina de por afectos al sistema constitucional aun no hubiesen sido Aragón,_pueblo de 150 vecinos: su dotación es de 200 hns= repuestos; y otra del Sr. Sancho que decía: »oi aigun em gas de trigo, con inclusión de lo que pagan dos anejos á distan pleado cesante ó reformado capitalizase el sueldo de su em cia de una legua, casa de balde, y ademas lo que deban satis pleo, no podrá disfrutar, en caso de volver á ser e…</t>
  </si>
  <si>
    <t>…pago de Córdoba la Vieja, término de á las leyes que rigen en otros cuando reina una completa esta ciudad. tranquilidad. Una parte del cortijo ó dehesa de Guardamelenas , en el El Sr. Sancho dijo que en esta última parte era entera término de la villa de Hornachuelos. mente de la opinión de su preopinante, siendo igualmente Capellanía fundada por Doña María Guerrero y sus del mismo parecer que habia manifestado en su dictamen la hermanos en la pa…</t>
  </si>
  <si>
    <t>…con cuyo motivo, des el Sr. Vitorica el dictamen de la comisión especial, nom pués de una breve discusión, sobre cuál debería ser la ver brada para examinar las proposiciones del Sr. Sancho sobre dadera significación de la palabra b.itiííis , se admitió la in reforma de regulares, en el que se incLia un proyecto de de dicación que presentó el Sr. Martínez de la Rosa , para que creto de 26 artículos, proponiendo la extinción de monaca oidas las r…</t>
  </si>
  <si>
    <t>…iese oportuno, y universidad de Huesca, para que se tenga presente cuando para que adquiriesen los conocimientos necesarios. se trate del plan general de estudios. - Manifestó- el Sr. Sancho que lá privación de ser elecídos A la de Marina una exposición de D. Diego Escandon, para diputados los consejeros de Estado y otros funciona Tesorero principal de rentas de Málaga, sobre las ventajas de rios públicos se dirigía á conservar una independencia…</t>
  </si>
  <si>
    <t>…acerla para después que hubiere sido aprobado ei artículo. decer con sus calumnias ó prevaricaciones.'’ El Sr. Silves, después de convenir en la necesidad de Habiéndose opuesto el Sr. Sancho porque en su concep hacer una reforma en esta piarte, observó que convendría to era parcial esta medida, y debía tomarse otra que fuera examinar con la mayor madurez si se estaba en el caso de general, para lo que debía empezarse por el expediente de ella ; y…</t>
  </si>
  <si>
    <t>…gundo 5, sobre todo que se dejara su organización al Gobierno ó al y el soldado 3 reales y 18 maravedís.” inspector general. Los Sres. Zapata y el obispo Castrillo conceptuaron El Sr. Sancho dijo que por evitar un escollo se caería muy mezquino el aumento que se proponía paTa el soldado, en otro mayor, pues seria una injusticia evidentísima la y pidieron, el primero que fuese á lo menos de medio duro que se baria á muchos oficiales, que se verían…</t>
  </si>
  <si>
    <t>…tículo del proyecto relativo á vinculaciones. milicias provinciales en sus respectivas clases;” y se aprobó El Sr. ministro de Gracia y Justicia , para evitar equivo esta otra del Sr. Sancho : «Que se publique este decreto co caciones acerca de la opinión del Gobierno , que apenas habia mo lo ha propuesto la comisión, sin perjuicio de que infor podido insinuar ayer , manifestó que esta era la de esrabiecer me esta sobre las adiciones que se han a…</t>
  </si>
  <si>
    <t>…ntruso de Josef Mapoleen . sobre los cuales para ¡a discusión de estos dic turnes. era la comiríon de dictamen «que dtben tr marte medidas Fue aprobada la siguiente indicación del Sr. Sancho: de paz . unión , concordia y reconciliación universa!, por »Oue se pregun e al Gobierno si convendri en tiempo de rec'nmarlo asi la humanidad , ia razón y la conveniencia paz dar en metálico á los cuerpos del egército la ración de pública. En consecuencia op…</t>
  </si>
  <si>
    <t>…giosas que existan contribuyan á la felicidad de los pue de Roma, la cual nunca se negaría á una cosa colno-esta. ' blos, ó al menos no aumenten sus desgracias. Habiendo pedido el Sr. Sancho que los Sres. secretarios Tres puntos fueron los que trató, por ser sobre los que del Despacho explicasen el estado de las contestaciones corí principalmente versa el dictamen de la comisión; á saber: la la Sede apostólica, tomó la palabra el Sr. ministro de…</t>
  </si>
  <si>
    <t>…en necesidades del Gobierno y de los acreedores de la Penín te discutido , no hubo lugar á votar. sula y Ultramar comprendidos en la época que designaba. Se aprobó una adición del Sr. Sancho para «que en hl Se dió cuenta de una exposición , en que presentaba la stiprerion de las casas religiosas de que trata el primer artí junta suprema de Caridad una obra de D. Josef Antonio culo se incluyan todos los canónigos y clérigos regulares Piquer, médic…</t>
  </si>
  <si>
    <t>…roducidos por su trabajo;' A la misma y la de Guerra reunidas una contestación y que por esta'causa debian pasar á láNácipn, dedujo que del ministerio acerca de la proposición del Sr. Sancho sobre se habian declarado estos como inhábiles para las adqui si convendría dar en metálico la cantidad que se da á las siciones , lo que equivalía á un abintestato por anulación tropas en especie; lo que juzgaba conveniente el Gobierno, de testamentó ; por l…</t>
  </si>
  <si>
    <t>…la autoridad eclesiástica, pudiese Demostró su autor la necesidad de que se lomase en valerse de ella para adoptar las providencias oportunas. consideración; y habiendo pedido el Sr. Sancho que no se El Sr. Calatrava preguntó si habría inconveniente en que entorpeciese la dúcusion del proyecto de que se trataba, por la comisión fijase la proporción que debe-guardar el número no estar íntimamente unida con él la indicación , aunque de religiosos…</t>
  </si>
  <si>
    <t>…Estrada que no hallaba eco administre justicia.” Sobre !a cual después de una breve dis nomía en quitar de lo necesario; y el Sr. ministro de Har cusión , en que hizo presente el Sr. Sancho, que estaban cien Ja, que no le parecía exorbitante la cantidad pedida en puestos en libertad algunos de los interesados, no hubo lu el presupuesto formado por la secretaría; conviniendo todos gar á votar. en el Ínteres que resultaba á la Nación deque no se t…</t>
  </si>
  <si>
    <t>…nimada del mejor zelo habia eco deseando el .primero que se habiiita-en -los regulares para nomizado todo lo posible. proveerlos ep ellos; y añadiendo el segundo que habia sido El Sr. Sancho deshizo una equivocación padecida por dicha falta una de [as causas que estimularon á la comisión el Sr. Banqueó en una de las bases que había sentado para á proponer la subsistencia dé los mendicantes. deducir la diminución del presupuesto, la cual provenía…</t>
  </si>
  <si>
    <t>…discusión pendiente sobre presupuesto cedido á segundo nombramiento de diputación provincial del ministro de la Guerra. de Valladolid por haberse anulado el primero con motivo El Sr. Sancho, individuo de la comisión de Guerra re de los varios vicios y nulidades cometidos en él, habian sa unida á la de Hacienda, dijo que,estas proponían se discu lido electos los mismos sucetos que anteriormente, á excep tiese separadamente cada parte dél presupue…</t>
  </si>
  <si>
    <t>…e entonces hasta y que no debían permanecer sirviendo los soldados cum 12 de Agosto 5879, que componían la suma de 12,122, plidos. apenas quedaban 800 en el dia sin. despachar. El Sr. Sancho expresó que los deseos del Sr. Zapata es El Sr. presidente recordó que se debia votar sobre el taban conformes con lo que proponía la comisión ahora, y presupuesto, pudiéndose hacer indicaciones acerca de la con lo que propondría mas adelante; pero que la fue…</t>
  </si>
  <si>
    <t>…emitirá un testimonio á la re mestre una razón exacta de todas ellas. 5.a Cuidar de que te dacción de dicho periódico.” publiquen en la gaceta del Gobierno con la debida puntua El Sr. Sancho opinó que no solo se publicase en la ga- lidad las sentencias dadas en todas las provincias del reino eeta del Gobierno, sino también en las de todas las pro sobre abusos de libertad de imprenta, con arreglo al art. 66 vincia'. de esta ley. El Sr. Martínez de…</t>
  </si>
  <si>
    <t>…s medias anatas de los empleados. Votado por cando el Sr. Calatrava 43 votos, el Sr. Cano Manuel 19 , el. partes este dictamen, quedó aprobado en su totalidad. Sr. Ciscar 60, y el Sr. Sancho 12; y no habiendo ■ reunido El Sr. Ezpeleta hizo las dos indicaciones siguientes: ninguno de ellos la mitad mas uno, se procedió á segunda 1. a «Que el Gobierno no pueda obligar á la saca de tí votación , y salió nombrado presidente el Sr. Calatrava con tulos…</t>
  </si>
  <si>
    <t>…la tercera que no solo es ni en ia suspensión del máximum , ni en el descuento de tas causas extraordinarias, sinoaun las comunes hacían ne sus sueldos.” Después de haber dicho el Sr. Sancho que tres cesario aprobar la indicación. Le parecía, dijo , que no po individuos de la comisión le habian expresado que no habia día darse cos3 mas peligrosa ni mas perjudicial, después de querido esta comprender á los militares, confirmándolo el . haberse apr…</t>
  </si>
  <si>
    <t>…er observar la ley. se supriman sus privilegios, remitida por el Sr. secretario Después de hablar el Sr. Yandiola en el. mismo sentido de Hacienda. que él Sr. Toreno, manifestó el Sr. Sancho su deseo de que A la de Infracciones de Constitución se pasó una expo dijese expresamente el Gobierno si conceptuaba de precisa sición, del alcalde de. Oropesa, vindicándose de una queja necesidad que la administración de justicia se confiase á su- dada contr…</t>
  </si>
  <si>
    <t>…ención al tiempo en que se egecutó el delito, Sesión extraordinaria del r8 de Octubre. y demas circunstancias que le antecedieron y siguieron, de Leída el acta, tomó la palabra el Sr. Sancho con el ob bía declararse, no que no habia lugar i la formación de jeto de exponer que estaba señalada para la discusión del' causa, sino que se les relevaba de ella, como proponía la proyecto de arancel general la sesión del día siguiente; y comisión. que sie…</t>
  </si>
  <si>
    <t>…s para poder anoche ( véase esta), la que volvió á leerse. jamas obtener empleo alguno.” El Sr. Martel, conociendo el doloroso conflicto en que Se leyeron igualmente otras dos del Sr. Sancho , que de se veían las Cortes, tratándose de castigar á españoles des cían asi :• graciados , confesó por otra parte que era muy halaguen*? t.a «Que la privación de empleos, condecoraciones y para el Congreso usar de la indulgencia, término necesario honores s…</t>
  </si>
  <si>
    <t>…evilla los habia puesto en libertad, com 30 rs. en papel, á 33 á la rústica, y en pasta á 40.prendiéndolos en un indulto. Memoria de la diputación provincial de Salamanca sobre El Sr. Sancho , individuo de la comisión especial de abolición de dos tercios decimales, y establecimiento de tina Fuerza armada, leyó el proyecto de organización general treintena, dirigida á las Cortes en 23 de Agosto de 1820. Se ó ley constitutiva del egército. El Sr. G…</t>
  </si>
  <si>
    <t>…re prohibición de in tar de esta prerogativa. troducir ciertos géneros presentaba reformado lá comisión, La comisión segunda de Hacienda presentó su dictamen de Comercio, pidió el Sr. Sancho que se imprimiese, con ■cerca de la exposición de los comisionados de la policía y expresión de los artículos que proponía el Gobierno; y asi .del ayuntamiento de la dudad de Murcia para que se les se acordó. ' ' diesen 446 varas de terreno que tenía una casa…</t>
  </si>
  <si>
    <t>…os con'olldados, en cuan A petición del Sr. Ramos Aríspe se presentó el dicta to quepan en el impone de cada remate.” men de las comisiones de Diputaciones provinciales y Ultra El Sr. Sancho, bajo el concepto de que las bases del Cré mar reunidas sobre las proposiciones hechas por el misino dito público debian ser dos, buena fe, v medios para cum Sr. Arispe y el Sr. Michelena para el es abiecimiemo de plir lo prometido , creyó que con el primer a…</t>
  </si>
  <si>
    <t>Después de manifestar el Sr. Sancho qne le hablan mo conociendo y pagando puntualmente á los poseedores acmo vido á formar esta indicación las reflexiones expresadas an les mientras vivan el producto iiquido de estos bienes tn teriormente, dijo el Sr. Oliver qi:e no se debian perder de cada año…</t>
  </si>
  <si>
    <t>de la vacante ocurrida por muerte de D. Felipe Váz Se leyó por primera vez una proposición de los seño quez Canga. res Ramos Arispe, Fagoaga , Michelena y Cortazar sobre El Sr. Sancho opinó que no debía haber la menor duda establecimiento y organización de intendencias , contadurías en este asunto ; pues el artículo i &gt;9 de la Constitución pro y tesorerías de provincia en Méjico. hibía expresamente á los diputados el admirir durante su Se…</t>
  </si>
  <si>
    <t>Sancho, Vicente</t>
  </si>
  <si>
    <t>Vicente Sancho</t>
  </si>
  <si>
    <t>…l Teniente general D. Fran cisco Ballesteros j vice-Presídente; el Reverendo Obispo de Valladolid de Mechoacan D. Manuel Abad y Queipo, D. Ma nuel Lardizabal, D. Mateo Valdemoros, D. Vicente Sancho, Coronel de Ingenieros, Conde de Taboada, D. Francisco Gres?o de Tejada, D. Bernardo Tarrius, y D. Ignacio Pezuela. odas las providencias que emanen del Gobierno hasta la ins talación constitucional de las Cortes serán consultadas con esta Junta, y se publica…</t>
  </si>
  <si>
    <t>…limos. Sres. D. Manuel Abad y Queipo, obispo electo de Valladolid de Mechoacan., D.. Manuel de Lardizabal y conde de Taboada,; ■del Consejo y Gámara dé S. M., D. Matea Valdemoros, D. Vicente Sancho, D. Francisco Crespo de Tejada , D&gt;; Bernardo Tarrius y D. Ignacio Pezuela.. Presenciaron el acto el Excmo. Sr. D. Manuel Gáyoso, señor de la casa de</t>
  </si>
  <si>
    <t>…á D. Diego lindros, ó rodetes de una composición desconocióla, distri Muñoz Torrero, diputado por Extremadura, y por secre buyen con su movimiento Ja tinta en los moldes. tario á D. Vicente Sancho, que lo es por Valencia; lo La máquina ocupa menos espacio que la prensa antigua, cual ponemos en noticia de V. E., A fin de que se sirva y todo el esfuerzo de pane del hombre queda reducido á elevarlo á la de S. M. para los efectos consiguientes, fir mover u…</t>
  </si>
  <si>
    <t>Sandino</t>
  </si>
  <si>
    <t>…a manifestó en una memoria el aspecto que presentaban las re llarse algo indispuesto, se habia sustituido en su lugar al laciones de la Nación con las potencias extrangeras, todas Sr. Sandino. _ amistosas, excepto algunas diferencias con los portusueses El Sr. Victorica juzgó inoportuna la lectura íntegra en por la toma de Montevideo, y con los Estados-Unidos por el acta de las proposiciones que se hiciesen; pero el Sr. pre el tratado de las Flori…</t>
  </si>
  <si>
    <t>…es beu , leida en la sesión del 11 , para que en el calendario se los reglamentos que se observen en este punto. añada en el dia en que juró el Rey la Constitución en lqs Otra del Sr. Sandino para que se nombre del seno de Cortes un recuerdo de este memorable suceso. las Cortes una comisión compuesta de militares y eclesiás Se mandaron pasar á las comisiones reunidas de Guerra ticos , que averigüe los productos y caudales procedentes y Hacienda do…</t>
  </si>
  <si>
    <t>…raza de los gitanos, contra quienes de muy anti-^ dida de tiempo, y pidió se pasase á otra cosa. guo había tomado medidas el Gobierno, sin haber logrado Se leyó una indicación del Sr. Sandino, relativa á que su extinción absoluta ; y concluyó excitando los desvelos el informe de la comisión de Legislación, que á consecuen del Congreso para crear profesiones útiles, fuentes verdade cia del expediente que se le pasó ayer debe dar acerca de ras de ri…</t>
  </si>
  <si>
    <t>…a por el Sr. Cortés. ■«por cualquiera persona.” Puesto á votación por partes el artículo, quedó aproba Se mandó pasar á la comisión la siguiente indicación do en su totalidad. del Sr. Sandino: «Que se añada al art. 3c3 que del mismo El Sr. Zapata hizo la siguiente adición: »Que declaren modo queda libre el autor de un papel contra algún parti las Cortes si las s itiras ó invectivas de que se habla en esta cular cuando egerza función pública, como…</t>
  </si>
  <si>
    <t>…s1 inmediaciones de Lisboa era una medida absolutamente Se leyó) en seguida la minuta de decreto sobre arancele?. necesaria en las presente* circunstancias para facilitarles ra El Sr. Sandino hizo una indicación, pidiendo licencia al ciones; y que rojamente eivrarían en la capital aquellas que Congreso para poder seguir la instancia pendienrc .cn el su de común acuerdo se tuviese por conveniente que acompa premo tribunal de Justicia contra D. Leon…</t>
  </si>
  <si>
    <t>Sandíno</t>
  </si>
  <si>
    <t>…dos pudie jpodria adoptarse el medio de nombrar seis jueces el acusado y ran aumentar los insre'os del erario. otros seis ei fiscal , si la comisión encontraba medio de ocurrir El Sr. Sandíno hizo presente que se habia leido ya por al inconveniente de quién habia de nombrar el tercer número en primera vez una proposición suya relativa á este objeto; y caso de discordia. MADRID EN LA IMPRENTA NACIONAL.</t>
  </si>
  <si>
    <t>Sandoval, Joaquín</t>
  </si>
  <si>
    <t>Joaquín Sandoval</t>
  </si>
  <si>
    <t>…. Pedro Jt&gt;sefdte lbabe que despacha la vacante que sirVíÓ'ialtunamente D.- Julián' Alonso y Estrada, se vuelve á citar, llamar y- emplazar á todos los acreedores á los bienes' de,D. Joaquín Sandoval,,quet falleció abintestato.en esta corte, para que dentro del preciso y perentorio término de indias, contados desde esta publicación, compa rezcan á legitimar sus créditos y personas ante dicho sérfór juez y citada escribanía vacante A donde ¿te halla radica…</t>
  </si>
  <si>
    <t>Sandoval, Juan</t>
  </si>
  <si>
    <t>Juan Sandoval</t>
  </si>
  <si>
    <t>…él mencionado anuncio se refería á una carta remitida por D. Juan SandovaÜ la redacción de este periódico; y no habiendo podido averiguarse el paradero y re sidencia del referido D. Juan Sandoval se repite este anuncio, á fin de que llegando á noticia de é^te segeto la existencia de lá interesada, se sirva entenderse con el pres bítero D; Ramón ■ fbañez, vicario de lá parroquial de S. Saturnino en' Pamploníj cuyo sugeto está encargado de avisar á dich…</t>
  </si>
  <si>
    <t>SandovaÜ, Juan</t>
  </si>
  <si>
    <t>Juan SandovaÜ</t>
  </si>
  <si>
    <t>…ica. La interesada, residente en-1» actualidad en esta corte, tomó razón en dicha Real imprenta, donde se le hizo ver que él mencionado anuncio se refería á una carta remitida por D. Juan SandovaÜ la redacción de este periódico; y no habiendo podido averiguarse el paradero y re sidencia del referido D. Juan Sandoval se repite este anuncio, á fin de que llegando á noticia de é^te segeto la existencia de lá interesada, se sirva entenderse con el pres bít…</t>
  </si>
  <si>
    <t>Sanentre, Joaquin Manuel</t>
  </si>
  <si>
    <t>Joaquin Manuel Sanentre</t>
  </si>
  <si>
    <t>…sociedades patrióticas como útiles para propagar la ilus SECRETARIA DEL CONSEJO DE ESTADO. tración , sino también la comunicación recíproca de aquellas Puerto-Rico. Por ascenso de D. Joaquin Manuel Sanentre sí como el medio mas á propósito para difundir por taella á canónigo de la santa iglesia catedral de Puerto-Rico, todas parres y hacer circular las luces. y renuncia de D. Francisco de Paula Portuondo, han que Tonió la palabra el Sr. ministro de la Gobernació…</t>
  </si>
  <si>
    <t>Santa, La</t>
  </si>
  <si>
    <t>La Santa</t>
  </si>
  <si>
    <t>…mití &gt; á discusión. publiquen por separado como hasta aquí. A la comisión de Legislación se mand pasar otra pro Otra del Sr. Losada para que al lado de los nombres de posición del Sr. La Santa, leida por primera vez en ia se los ilustres Daoiz, Velarde y Alvarez se inscriban los de sión del iA . relativa á que se nombre una comisión que re los dignísimos Porlier, Laci y Acevedo, para perperua me coja y examíne los trabajos hecho-, por las que nombr…</t>
  </si>
  <si>
    <t>…ra, y seguir las huellas mar A la comisión de Legislación se pasó una exposición de cadas por sus padres. la diputación provincial de Guipúzcoa, manifestando que le A petición del Sr. La Santa se mandaron pasar á la mis corresponde nombrar un segundo diputado en Cortes; y ma comisión especial todas las proposiciones hechas cu los una competencia del alcalde primero de Hinojosa de la Se dias anteriores , relativas al egército de S. Fernando. rena y…</t>
  </si>
  <si>
    <t>Santa, Lá</t>
  </si>
  <si>
    <t>Lá Santa</t>
  </si>
  <si>
    <t>…Sr. Vilianueva, dirigida á forme al reglamento','se empezasen las sesiones á las 10 de la mejorar la suerte de los delincuenxs en las prisiones, susti 'Mañana: (ion este motivo el Sr. Lá Santa propuso que se ce tuyendo encierros sanos y ventilados á lo.- ca-abozo-. obscuros lebrara una sesión extraordinaria para aclarar algunos artícuv enfermos, v dotar compeiernemente ios alcaides de las los 'del reglamento interior. El Sr. presidente manifestó qu…</t>
  </si>
  <si>
    <t>…ota la diminución de ingresos en el tesoro público, por Banqueó , que tenia dadas repetidas providencias el Gobierno. el abuso de vender libre y públicamente el tabaco, salitre El Sr. La Santa hizo algunas observaciones sobre este y pólvora, en particular respecto del primer ramo en Má misino punto , á que conte1 tó el Sr. Banqueó. laga y Madrid ; abusos que, según el informe de la dirección En seguida se leyeron dos adiciones de los Sres. Oúver de…</t>
  </si>
  <si>
    <t>…a por el ponía en su noticia que SS. MM.y A A. seguian disfrutan Sr. Martínez de la Rosa en la sesión de ayer (fíase). do de completa salud , según lo participaba desde el Esco El Sr. La Santa dijo que tanto por las razones legales rial el Sr. secretario de Marina. "que se presentaban , como por las de conveniencia púhfica, La comisión primera de Legislación presentó su dicta se debía hacer distinción entre los tribunales que debieron men acerca de…</t>
  </si>
  <si>
    <t>Santa, Tomasa</t>
  </si>
  <si>
    <t>Tomasa Santa</t>
  </si>
  <si>
    <t>…. 8, cuarto 2 c=z FI. de Don F. mand-' y L)oña Isabel Manjon de Cevaflos, hermanos, é hijos de otro D. Fer nando v natural d-l valle de Toranzo, en las montañas de Santander, y de Doña Tomasa Santa», que lo fue de. esta corte. Hay que comunicarles asuntos muyarn-</t>
  </si>
  <si>
    <t>Santander</t>
  </si>
  <si>
    <t>…de Legislación, donde se hallaban los ante corresponde como cesante. cedentes , se pasó el expediente de división de partidos, de Igualmente se pasó al Gobierno otra exposición de Don Santander, remitido por el Sr. secretario de la Gobernación Manuel Villosca, en que pedia se le oyese en un tribunal de la Península. de guerra para ser juzgado. Las Cortes quedaron enteradas de un oficio del Sr. se Las Cortes oyeron con agrado una exposición de • Don…</t>
  </si>
  <si>
    <t>Santayana, Nicolás Ruiz</t>
  </si>
  <si>
    <t>Nicolás Ruiz Santayana</t>
  </si>
  <si>
    <t>…, y re dernos se publicarán traducidos según vayan saliendo. ducida á mandar que pasase á auxiliar los trabajos de ella Joan. Gottlieb Heineccíi Elementa juris naturae et gentíum D. Nicolás Ruiz Santayana, oficial cesante de Provisiones, castigatíonibus ex catholicorum doctrina et juris historia ancla ab disfrutando de su sueldo íntegro en lugar de las dos terce Joachiino Marín et Mendoza, J. N. et G. in Regio Matrit. Jvras partes que percibía. Pero deseando S…</t>
  </si>
  <si>
    <t>Santia</t>
  </si>
  <si>
    <t>…de Legislación presentó su dicta men para que se accediese á las exposiciones que los extran Sesión extraordinaria de z.° de Noviembre. geros D. Salvador Fonran , D. Juan Betudno, D. Santia En atención á haberse leído en sesión secreta el acta de go Artembusch y D. Alejandro Lanti tenian hedías en so la última extraordinaria pública , se dio principio á la elec licitud de carta de ciudadano. Las Cortes aprobaron este ción de los señores que han de…</t>
  </si>
  <si>
    <t>…ue no este aviso , se presenten por sí , ó por medio de procurador tenia igual, el gran Luis hizo guerra á toda la Europa, que con poder bastante, en dicho juzgado y escribanía de D. Santia mó ei PalatinaJo , despobló la Francia , y arruinó á sus súb go Manuel de Albóniga á deducir la acción que les competa; ditos. i Por qué no &gt;e contentaba como el pacífico Rey del pues de lo contrario les parará el perjuicio que haya luear. Pegú con permitir á…</t>
  </si>
  <si>
    <t>Santiago, Josef María</t>
  </si>
  <si>
    <t>Josef María Santiago</t>
  </si>
  <si>
    <t>…en que pedia la resolución de las Corres sobre cinco nado la solicitud que en 6 de Agosto presentó el grabador cuestiones, con el objeo de poder pre entar los presupues de Cámara D. Josef María Santiago para que se le conce tos de gastos de los ministerios, que dito el Sr conde de diera permiso para publicar una edición de la Constitución Toreno se hallaban adelantados en términos que la comi política, y de haberlo visto desempeñada con exquisito gusto, sión…</t>
  </si>
  <si>
    <t>Santiago, Josef María de</t>
  </si>
  <si>
    <t>Josef María de Santiago</t>
  </si>
  <si>
    <t>…estaba pidiendo «que la comisión de Hacienda examine sí conven en el mismo expediente otra exposición igual del mismo. drá fijar un plazo prudencial en que puedan verificarse las D. Josef María de Santiago , grabador de Cámara, ex expediciones ya empezadas en virtud de privilegios conce ponía á las Cortes que no obstante las diferentes impresio didos por S. M. , y dentro de cuyo breve plazo se extienda nes hechas hasta ahora de la Constitución , no hay todavía…</t>
  </si>
  <si>
    <t>Santiago, Nicolás de</t>
  </si>
  <si>
    <t>Nicolás de Santiago</t>
  </si>
  <si>
    <t>…Marzo de 1820 á las 10 y media. = Excmo. S»*ariJiosie£ Medina?* •*.. .-i &lt;• o/.F 5.0 ,, Acaban de llegar á este navio como parlamentarios de las tropas que ocupan á S.^Fernando él coronel D. Nicolás de Santiago y él alférez defragata=D;¡Pablo- Cagigao, los cuales me han hecho presente de parte de su gefé qne reclama los tres sugetos‘que bajo lá garantía de la palabra del Excmo. Se ñor general en gefe vinieron ayer á Cádiz, y les he contestado que se están buscando,…</t>
  </si>
  <si>
    <t>Santín, Tomas Aparicio</t>
  </si>
  <si>
    <t>Tomas Aparicio Santín</t>
  </si>
  <si>
    <t>….... En ídem. 2991.......................... 1000 ídem.......... En ídem. * ARTICULO D E O F I C I O. El Rey ha expedido el decreto siguiente: ,, En atención á la avanzada edad de D. Tomas Aparicio Santín , colector</t>
  </si>
  <si>
    <t>Santocildes, Josef María</t>
  </si>
  <si>
    <t>Josef María Santocildes</t>
  </si>
  <si>
    <t>…n los partes antecedentes del geseraí D. Juan O-Donojú, y se ha servido aprobar todas sus providencias. El Rey ha tenido á bien nombrar capitán general de Extremadura al te niente general D. Josef María Santocildes, y comandante general de las Can Orrlfiv.í í uv v i uau«nrincnanas aloí mariscal»V» 0*MCr&gt;0 I ílpde f-Jcaíaloiv. T'n"i 7'# T Asimismo ha conferido S. M. interinamente el gobierno militarle la plaza de Jaca al mariscal de campo D. Felipe Perena ; ehde la de To…</t>
  </si>
  <si>
    <t>Santos, Dionisio</t>
  </si>
  <si>
    <t>Dionisio Santos</t>
  </si>
  <si>
    <t>…s meses que han estado bajo la enseñanza del referido maestro. ' En seguida se adjudicaron premios según el mérito de los aspirantes por el orden siguiente: los de primera clase á D. Dionisio Santos, D. Manuel del Cerro y D. Miguel Rojo. Los de segundad D. Manuel Hernández Alegre, D. Domingo Pleito y D. Francisco de Toro; y los de tercera á D. Julián Quirós, D. Saturnino Díaz y D- Eugenio Lázaro Carrasco. Concluyóse él acto con un breve discurso que pron…</t>
  </si>
  <si>
    <t>Santos, Josef</t>
  </si>
  <si>
    <t>Josef Santos</t>
  </si>
  <si>
    <t>…ascendía á 1.368,23, reales, destinados á los gastos de la la causa de la patria, secretaría del Despacho y sueldos del ministro, archivo ge A la de Legislación una exposición de D. Josef Santos neral de Indias, que exhte en Sevilla, y oficinas del extin Macho de Qeevedo, quejándose de otra de D. Josef María guido Consejo de Indias, misiones de Ultramar, y hospi Bárona, en que le acusaba de infractor de la Cons iiucion. cio del Puerto de Sta. María.…</t>
  </si>
  <si>
    <t>Santoyo, Sebastian Cordero Nevares de</t>
  </si>
  <si>
    <t>Sebastian Cordero Nevares de Santoyo</t>
  </si>
  <si>
    <t>…Cortes en la sesión del 11 de este mes sobre siendo poseedor actual del mayorazgo titulado de Santoyo, fun la proposición del Sr. Lasanta, relativa á la formación de dado por otro D. Sebastian Cordero Nevares de Santoyo, se códigos. La comisión era de parecer que convendria nom cretario que fue del Despacho universal, y Doña María Rami-, brar otras especiales del seno mismo del Congreso, que se rez de León, su muger, sobre la separación de dicho concurso ocupasen en la forma…</t>
  </si>
  <si>
    <t>Santoyo, Sebastian Nevares de</t>
  </si>
  <si>
    <t>Sebastian Nevares de Santoyo</t>
  </si>
  <si>
    <t>…ue la anterior. plimiento.” Y la dirección la ¡nema á V- S. para los pro Rcta. Se advierte á los acreedores á los bienes de D. Fran pios fines. Madrid 14 de Agosto de 1820 cisco y D. Sebastian Nevares de Santoyo, emplazados para ante el juzgado del Sr. D. Josef Martinez Moscoso, juez de primera: tribunales. instancia de esta corte, seguh consta en la gaceta del 16 , que Por los señores magistrados de la sala i.'1 criminal de la pasado el término prefijado en dicho an…</t>
  </si>
  <si>
    <t>Sanz, Antonia</t>
  </si>
  <si>
    <t>Antonia Sanz</t>
  </si>
  <si>
    <t>…o 751. Doña A. M. M., por tercera vez, ib. Núm. 752. D. M. J. y R. 80. Núm. 753. D. J. A. un vale Real consolidado de 50 pesos que produjo 204 rs. Núm. 754. D. J. A. 80. Num. 755. Doña Antonia Sanz 20. Num. 756. Don Antonio Villar y Pinto, boticario de Salamanca, 200; Núm. 757. La vene rable universidad de priores y beneficiados de Jaén 300. Num. 7 58. El cabildo de la iglesia colegial de Ubeda un vale de 150 pesos. Núm. 759. Los señores alcaldes y veci…</t>
  </si>
  <si>
    <t>Sanz, Claudio</t>
  </si>
  <si>
    <t>Claudio Sanz</t>
  </si>
  <si>
    <t>…de Febrero último, ha acordado «1 Sr. D. Julián de Sojo, juez de primera instancia de esta muy heroica villa, que se anuncie al público la subasta por 10 dias mas; previniendo que D. Claudio Sanz, es cribano de número, enterará individualmente álas personas licitadoras de dichas fin cas de sus respectivas tasaciones, precio y modo en que están egecutados los citados remates, y admitirá las pujas y mejoras que se hagan sobre ellos, procediendo á la cel…</t>
  </si>
  <si>
    <t>…aciones principales y agregadas de correos. Con la competente facultad, yá virtud de providencias del Sr. D. Julián de Sojo, juez de primera instancia de esta vida, refrendadas de D. Claudio Sanz, escribano propietario del numero de ella^se venden cinco casas» sitas la usía en esta corte e» lá plazuela de la Cebada, distinguida con el número 12 , manzana 147, que tiene de superficie 1554-J pies , tasada, con deducción de las obras que indispensablemen…</t>
  </si>
  <si>
    <t>…istro togado honorario, y juez de pri mera instancia de esta muy heroica villa, por la escribanía nueva.... Jamas conseguirá nada el preceptor, si no está bien de número propia de D. Claudio Sanz, dentro del preciso tér persuadido de que el ciego siente las cosas de diverso mo mino de 30 dias, contados desde 17 del mes de Junio, preve do que nosotros." nidas que pasados, sin mas citarlas ni emplazarlas, se procede El primer asilo' abierto por la benef…</t>
  </si>
  <si>
    <t>…e se les señaló en el año de norario , y juez de primera instancia, por providencia dp 1767, se restituirán á los pueblos que elijan de la Penínsu 6 del corriente , refrendada por D. Claudio Sanz , escribano la, con aprobación del Gobierno, donde vivirán en la clase de número, ha mandado que inmediatamente sean recogi de clérigos seculares, sujetos á los respectivos ordinarios, dos todos los egemplares de dicho periódico , y que las per y con prohibic…</t>
  </si>
  <si>
    <t>…ercio de la Grecia ; y mas adelante los audiencia de Valladolid, se pres mará .inmediatamente en la genoveses, mercaderes y guerreros á un mismo tiempo, le escribanía de número ue D. Claudio Sanz ; pues de no hacerlo, vantaban en Catl’a les baluartes de una potencia que domi pasado tercero dia después de esta publicación , se dará el cur naba en la Crimea, y los venecianos hacian de la anti so correspondiente al asunto, y le parará el perjuicio que ha…</t>
  </si>
  <si>
    <t>Saponara</t>
  </si>
  <si>
    <t>…cual expusiese al mismo tiempo los mé timación. ritos de cada uno de ellos, en virtud de los cuales merecie ITALIA. sen ocupar aquel puesto. Se leyó una carta recibida por ei Sr. diputado Saponara, Fásoles de Octubre. en que_se manifestaba el grande entusiasmo que reinaba en PARLAMENTO NACfONAL.-___Sesión dil 6y Sí. tre los veteranos y las legiones de la provincia de Bari, y Se leyó el informe de la comisión sobre la formación los progresos de estas-en…</t>
  </si>
  <si>
    <t>…pacio de dos ho ras en su cuarto particular sin entraren la sala de los Pares. Nápoles 2 y de Octubre. -----Sesión del 21. __ Anuncian las cartas de Madras que la tempestad que El Sr. Saponara leyó una exposición de lo que consta se sufrió en aquella costa el 8 de Mayo último fue violen por los papeles rembidos á la comisión de Legislación , re tísima y terrible por sus resultados. Naufragaron sin excep lativamente á la conducta de los generales Na…</t>
  </si>
  <si>
    <t>…ebida en escos términos: nSe resuelve que se dirija al Rey los sobrantes se despidieran , según el método indicado. una reverente exposición , suplicándole con el mayor respeto El Sr. Saponara propuso que no teniendo ya cabida los se digne acordar una mudanza de hombres y de medios, cumplidos en el-egército permanente se destinaran á la guar y desterrar para siempre de sus contejos y de su presencia dia nacional; con cuyo motivo preguntó el 5r. pre…</t>
  </si>
  <si>
    <t>Saracho, Josef Hurtado de</t>
  </si>
  <si>
    <t>Josef Hurtado de Saracho</t>
  </si>
  <si>
    <t>…RIA DEL -CONSEJO UE ESTADO.____Ultramar. si las monjas no pudieran secularizarse sino después de es tar demostrado que la autoridad eclesiástica no habia cam- Por fallecimiento de D. Josef Hurtado de Saracho, me piído con su deber , nunca llegarla el caso de verificarlo, dio racionero de la santa igle-ia metropolitana de Manila, por cuanro estas siempre están bajo dicha autoridad estando ha quedado vacante esta prebenda, cuya renta anual está en sus conventos. Po…</t>
  </si>
  <si>
    <t>Saracho, Severino</t>
  </si>
  <si>
    <t>Severino Saracho</t>
  </si>
  <si>
    <t>…goleta Encantadora, correo de la armada D. Pablo Larios, 3 20. D. Juan y D. Guillermo Douguid, 80. nacional, que salió de Cádiz el i.° de Marzo último para D. Pedro Trouguet, 40. D. Severino Saracho, 40. D. Juan Ultramar, ha entrado de regreso en el citado puerto el dia Giró, 8o. D. Agustín Lagrave, 160. D. Luis Monteiro, 80. 6 de este mes, conduciendo Correspondencias de oficio y D. Antonio Breciano,8o. D. Bartolomé Scotto, 2®. Don pública de Filipinas,…</t>
  </si>
  <si>
    <t>Sarria, Juan Basco y</t>
  </si>
  <si>
    <t>Juan Basco y Sarria</t>
  </si>
  <si>
    <t>…Cárlos Casaprin y González, D. Rafael Rodríguez Solís, D. Josef Canals y Mayéis, D. Rafael Galinno y Guillelmi, D. Francisco Rívadeneira y Acevedo, D. Mariano Navarro "y Avellañ, D. Juan Basco y Sarria; Den Ramón Nuñez de Haro, D. Josef Rulz del Burgo y Basabrú, D. Benito Osma y Osma, y el soldado distinguido de la misma arma D. Benito de XJrrutia y Franco, que han concluido el curso general de estudios, ha tenido á bien promoverlos á subtenientes efectivos…</t>
  </si>
  <si>
    <t>SáTcédomp, Juáh</t>
  </si>
  <si>
    <t>Juáh SáTcédomp</t>
  </si>
  <si>
    <t>…ciudadano , ía' conmocion que* había á las puertas tíérédifícib^dél Cón^re^o , y en unión con los Sres. diputados: y' pbrV táni^deplafa ’Di Jpfeef ^aría.Cataian qu.é el briga dier D. Juáh SáTcédomp ha deciarádíp en las causas formadas á ios, Sres. dipu tados de Qór tes en IVfo de i 814: que la declaración, que dio,, y de que va hecha mención, po tiene ninguna relación pon las causas de opiniones, sino con comprenqrao en-ia iista ae ¡os aeiatores m testi…</t>
  </si>
  <si>
    <t>Satini, Juan</t>
  </si>
  <si>
    <t>Juan Satini</t>
  </si>
  <si>
    <t>…cia de jos’ interesados españoles militares y empleados civiles que estuvieron refugiados en Francia, y á quienes el Gobierno francés debra atrasos de. sus sueldos,á socorros) que D. Juan Satini, comisario que fue de policía en Madrid, ha cobrado en Tobosa la suma de 12® francos por cuenta de dichos débitos, y, en virtud de poder de varios interesados; quienes pueden dirigirse para recla mar su deuda al gefe. de batallón, co ma n dan te-de] depósito…</t>
  </si>
  <si>
    <t>Satue, Francisco Antonio</t>
  </si>
  <si>
    <t>Francisco Antonio Satue</t>
  </si>
  <si>
    <t>…ALi^arez de Castro, gobernador de Gerona, dibujado por el teniente D. Miguel Goli, y grabado por D. Domingo Estruc; de dicado al Kxcrno. Sr. duque del Infantado., por ei teniente coronel D. Francisco Antonio Satue y del Cos. Se hallará á 6 rs. en la librería de Higuera, gradas de San Felipe el ReaT. ía estampa de su cenotafio á 4; y la relación de su pompa y oracíon fúnebre á 3. ' EN LA IMPRENTA NACIONAL. "</t>
  </si>
  <si>
    <t>Sausset</t>
  </si>
  <si>
    <t>…es para que sean pasado por aqui- para ir á .Varsovia; y se cree que el prin eonducidos A París. „ cipe se verá en la precisión de detenerse en el camino por lia sido arrestado el coronel Sausset en virtud de orden falta de este requisito.</t>
  </si>
  <si>
    <t>…an si Londres JJ de Setiembre. do nombrados para asistir en clase de testigos al parto de S. A. R. Madama la Duq -.esa de Berry. CAMARA DE los lores.—Sesión del 5 de Setiembre. El coronel Sausset ha sufrido esta mañana un interroga Se mandó comparecer en la barra á José! Sacchi de torio de tres horas á presencia dei procurador general; con Guichiinmo, que habla sido correo de la Princesa. Este tes cluido este. f.:e-conducido de nuevo á su pri-ion. tig…</t>
  </si>
  <si>
    <t>Saxonia, María Josefa Amalia de</t>
  </si>
  <si>
    <t>María Josefa Amalia de Saxonia</t>
  </si>
  <si>
    <t>…Ma nuel María de Junco, del supremo Consejo de Indias , tuvo el honor de besar la Real mano de S. M. el dia 12 del pasado, y felicitarle por su efectuado matrimonio con la Señora Doña María Josefa Amalia de Saxonia, ha biendo arengado á S. M. el primero en los términos siguientes: ,, Señor: Vuestra N. y M. L. ciudad de Valladolid, que tiene el honor por medio de sus comisionados de felicitar á V. M. por su augusto enlace con la Reina nuestra Señora Doña María Josefa Ama…</t>
  </si>
  <si>
    <t>Saxonía, María Josefa Amalia de</t>
  </si>
  <si>
    <t>María Josefa Amalia de Saxonía</t>
  </si>
  <si>
    <t>…comisión para expresar en la presencia de V. M. la completa satisfacción que Ies cabe por el incomparable enlace con qué el cielo ha unido á V- M. con Ja ínclita y augusta Señora Doña María Josefa Amalia de Saxonía, dándoles en ella una tierna y amorosa madre, que adornada de las mas excelsas virtudes y gracias será sin duda el complemento déla felicidad de toda la monarquía española. ,,Esperamos, Señor *que acepte V. M. benignamente estos sinceros y tíer-</t>
  </si>
  <si>
    <t>Sáxónia, María Josefa Amalia de</t>
  </si>
  <si>
    <t>María Josefa Amalia de Sáxónia</t>
  </si>
  <si>
    <t>…d y gloria de sus pueblos.” t . ' El día del mismo tuvieron la honra de presentarse al Rey nuestro Señor para felicitar' á S. M. por su feliz enlace eoif'lá jR£ína nuésYra- Señora Doña María Josefa Amalia de Sáxónia , á nombre, de la ciudad ^de Tortosa en el principado de Cataluña, el coronel e intendente de egército Don, Ionacio Garciny, ministro jubilado del Consejo Real de. las Ordenes, y el mariscal de campo D. Juan García Conde, comandante del tercer batallón, del p…</t>
  </si>
  <si>
    <t>…a* _ ESPAÑA. Madrid 21 de Junio. El dia 18 del corriente tuvo el honor el Excmo. Sr. D. Jose-f de Aycinena de felicitar á S. M. por su dichoso enlace con la augusta Reina y Señora Doña María Josefa Amalia de Saxonia, á nombre del Excmo. ayunta miento de Goatemala; y dijo: . Señor : La ciudad de Goatemala, esclarecida por su religión y piedad notoria distinguida por su fidelidad á roda prueba, y ennoblecida con el in nato amor á V. M/, que continuamente arde en las aras d…</t>
  </si>
  <si>
    <t>Scaletta, Alvaro- RuíTo de</t>
  </si>
  <si>
    <t>Alvaro- RuíTo de Scaletta</t>
  </si>
  <si>
    <t>…dijo, de su casa , y debía' marcharme reino. á la mañana siguiente. Bérgami entró en mi ciiarto, y me Idem ix. dijo que 5. A. R. quería despedir también á mi hermana; Habiendo el príncipe D. Alvaro- RuíTo de Scaletta , em cosa que sentí mucho, porque esta no tenia con que mante bajador de nuestra corte cerca de la de Austria, 'rehusado nerse, y así supliqué á Bérgami- que hablase por ella i obedecer á la orden que se le envió para que viniese á S. A. R. Me dió palabra de…</t>
  </si>
  <si>
    <t>Schukmacher</t>
  </si>
  <si>
    <t>…tablecimiento de un consejo de Estado. Escriben de Copenhague que el Gobierno hannoveriano ha consentido en qué la medición del meridiano,"qué ha to INGLATERRA. mado á su cargo el profesor Schukmacher por orden del * v . ■ * -Rey de Dinamarca,se continúe atravesando los Estados de , Londres 20 de Junto. "t j Haqpover. Mr. Schukmacher esta para partir de la capital El conde de Liverpool y lord Castlereagh presentaron de Dinamarca con dirección al ducado de…</t>
  </si>
  <si>
    <t>Schwager, Antonio</t>
  </si>
  <si>
    <t>Antonio Schwager</t>
  </si>
  <si>
    <t>…servar pronto y con exactitud , que caracterizan al El sabio en la soledad , por el célebre Eduardo Young , tra corto número de talentos, que parece haber formado expre ducido por D. Antonio Schwager, capitán i.° del regimiento samente la naturaleza para cultivar con utilidad las ciencias suizo de Rcding, núm. z.'\ aumentado con la oda de la ma exactas. A estas cualidades añade el conocimiento particular ñana, que escribió en aleman Mr. Haller, y la devoc…</t>
  </si>
  <si>
    <t>Schwart</t>
  </si>
  <si>
    <t>…a que ama á su pueblo, Escriben de. Petersburgo que el Emperador ha dado or y a quien este idolatra. El primer efecto qt/e ha producido den para que se forme consejo de .guerra al coronel Schwart en los corazones de todos la expresión de los sentimientos y á los individuos mas culpados de su regimiento ; y que de V. M., no ha podido ser otro que el agradecimiento este se disuelva, y se incorporen ¡os oficiales y soldados en nías respetuoso y mas vivo…</t>
  </si>
  <si>
    <t>Schwartz</t>
  </si>
  <si>
    <t>…el regimiento favorito deS. M. el minas. Emperador de Rusia; tanto que cuando le nombraba decia Escriben del Piamonte qué la guarnición de Alejandría mi regimiento. Parece que el coronel Schwartz, deseoso dé llega va á i S3 hombres, y que ha sido provista de víveres agradar al Emperador que gusta de que el regimiento esté para un año. práctico en las maniobras militares, le ha hecho trabajar con Se d'ce que el egército austríaco en Lombardía asciende…</t>
  </si>
  <si>
    <t>Scilla, Príncipe de</t>
  </si>
  <si>
    <t>Príncipe de Scilla</t>
  </si>
  <si>
    <t>…óles 2$ gión con las armas en la mano; lo que después apoyó y de Julio de 1820. = Firmado. = El duque de Campochia amplificó el Sr. Navas, diciendo que seria dar una idea de ro. = Sr. Príncipe de Scilla. = Madrid ” que volvíamos al siglo ix ó x, porque la religión no se defien Lo que se hace saber á todos los interesados que pue de con las armas, sino las personas que la profesan ; y que tan dan hallarse en las Españas, á instancia del expresado se difícil s…</t>
  </si>
  <si>
    <t>Scotto, Bartolomé</t>
  </si>
  <si>
    <t>Bartolomé Scotto</t>
  </si>
  <si>
    <t>…rado de regreso en el citado puerto el dia Giró, 8o. D. Agustín Lagrave, 160. D. Luis Monteiro, 80. 6 de este mes, conduciendo Correspondencias de oficio y D. Antonio Breciano,8o. D. Bartolomé Scotto, 2®. Don pública de Filipinas, Nueva-España, Ha vana y Puerto-Rico. Josef Comitre, 1®. D. Manuel Caballero, 2200. D. Ma nuel de los Ríos, 80. D. Josef Playas, 160. D. Diego Baro, 80. D. J. B. Canepa, 80. La Sra. viuda de Hernán Deseando complacer al público e…</t>
  </si>
  <si>
    <t>Scrrallach</t>
  </si>
  <si>
    <t>…tras, sobre lo A la comisión de Fuerza armada se mandó pasar un plan cual se hicieron las siguientes indicaciones. que presentó O. Pedro Rodríguez sobre la organización de Una del Sr. Scrrallach , pidiendo que fuese una sola la co la caballería. misión de Guerra con los mas individuos posibles, valiéndo Una exposición de la junta provincial de la ciudad de se de las personas de fuera del Congreso que juzgase nece S. Fernando, en que pedia se le conce…</t>
  </si>
  <si>
    <t>Se, Angel Sagaceta</t>
  </si>
  <si>
    <t>Angel Sagaceta Se</t>
  </si>
  <si>
    <t>…esantes A los al tiempo de su Introducción puedan exponer, los -prelados empleados del antiguo.Gobierno. Igualmente se pasó á la diocesanos. miSma comisión, otra representación de D. Angel Sagaceta Se mando pasar al Gobierno., como opinába la combion y D. Florencio García, para que se les declare como ce de Hacienda, la representación de los sexmeros de- Sepulsantes. . . ■ veda, para la abolición de un.derecho que pagan;por-equi A la de Infracciones de Con…</t>
  </si>
  <si>
    <t>Se, F. A.</t>
  </si>
  <si>
    <t>F. A. Se</t>
  </si>
  <si>
    <t>…iento. narquía española en p de Julio de 1820. Por lo que Memoria económica-políuca sobre el derecho de propiedad . hace á la tercera la había retirado su autor. Que en cuanto por D. F. A. Se vende en la librería de Collado. á la quinta ya acordaron las Cortes que se acuñara la me nota. Enría gaceta de ayer col. 3.*, lín. 15, dice-. París dalla. Como en la cuarta proponía que se erigiera un mo 1 a: léase París sti. MADRID EN LA IMPRENTA NACIONAL.</t>
  </si>
  <si>
    <t>Se, Felipe Váz</t>
  </si>
  <si>
    <t>Felipe Váz Se</t>
  </si>
  <si>
    <t>de la vacante ocurrida por muerte de D. Felipe Váz Se leyó por primera vez una proposición de los seño quez Canga. res Ramos Arispe, Fagoaga , Michelena y Cortazar sobre El Sr. Sancho opinó que no debía haber la menor duda establecimiento y organización de intendencias , contadurías en este asunto ; pues el artí…</t>
  </si>
  <si>
    <t>Se, Fran</t>
  </si>
  <si>
    <t>Fran Se</t>
  </si>
  <si>
    <t>…o hasta el xo por 100 con hi recibirla con agrado, una estadística de la provincia de Gra poteca , ó como estipulen las partes.” nada , remitida por el ministerio, y trabajada por D. Fran Se leyó por primera vez esta del Sr. Navas : «Que se cisco Dalinau. El Sr. mini-tro de la Gobernación de Ultra declare nula la ley 22 del título i.°, libro 10 de la Novísi mar la recomendó como un modelo. ma Recopilación , por la cual se exige el juramento de! d…</t>
  </si>
  <si>
    <t>Se, G. Z. y Z-</t>
  </si>
  <si>
    <t>G. Z. y Z- Se</t>
  </si>
  <si>
    <t>…sado,.satisfecha de haber llenado .sus deberes en tan biñon.— La palabra f onstitucion: .pieza en un acto en prosa, ardua crisis, s¡ no con toda la plenitud de la capacidad y rpor D. G. Z. y Z- Se hallarán en la librería de la viuda de ■ del talento, con toda la lealtad del zelo .y la buena fe, se Quiroga, calle de las Carretas. • retira de las gradas del solio adonde fue llamada por V. M., España libre:'poema épico-moral á la restauración de .Cortes,…</t>
  </si>
  <si>
    <t>Se, Gil Gutiér</t>
  </si>
  <si>
    <t>Gil Gutiér Se</t>
  </si>
  <si>
    <t>…de Granada , sobre intereses, por una junta de letrados, juicios sufridos á causa de su persecución. como se habian convenido las dos partes. Al Gobierno se pasó una exposición de D. Gil Gutiér Se leyó el dictamen de la comisión segunda de Hacien rez , comandante del escuadrón de cazadores de Cuenca, da acerca de la exposición de D. Juan Downie para que manifestando sus servicios en la guerra última, y pidiendo se le permitiesen introducir 30 fanegas d…</t>
  </si>
  <si>
    <t>Se, Gui</t>
  </si>
  <si>
    <t>Gui Se</t>
  </si>
  <si>
    <t>…e Vizcaya , remitido por el señor como ciudadano y como militar se puede obtener en el secretario de la Gobernación de la Península. campo de batalla. = Ñapóles Scc. = El tenieqte general Gui Se presentó el dictamen de las comisiones de Legislación llermo Pepé.” y Hacienda reunidas sobre la representación de la dipute-</t>
  </si>
  <si>
    <t>Se, J. T. B.</t>
  </si>
  <si>
    <t>J. T. B. Se</t>
  </si>
  <si>
    <t>…tribunal de la Inquisi y resolvieron que no. ción, y de la contrariedad en sus operaciones á la doctrina de El Sr. Tapia propuso, y la escribió el Sr. conde de To Jesucristo, por D. J. T. B. Se hallará á 3 rs. en las librerías; reno, otra indicación , que fie aprobada, á saber: «que se de Kanz y de Vizcaíno. agregue á las comisiones de Legislación y Hacienda la de nota. En la sesión de Cortes del 27, col. 4, lín 34, don de dice: » En vista de una re…</t>
  </si>
  <si>
    <t>Se, Ma</t>
  </si>
  <si>
    <t>Ma Se</t>
  </si>
  <si>
    <t>…casa para sordomudos, recibiendo después públicamente y por pri vivir, y lo que produzca la asistencia de los Sres. eclesiásticos. mera vez la sagrada Eucaristía. Sus nombres son D. Ma Se dirigirán los memoriales al alcalde constitucional de di cha villa. nuel Pardo , de edad de 19 años, que lleva 3 y medio de Está vacante el magisterio de primeras letras de la villa de escuela; D. Manuel Martin, de 17 años y medio, y cinco Orusco, con la dota…</t>
  </si>
  <si>
    <t>Se, Mariano</t>
  </si>
  <si>
    <t>Mariano Se</t>
  </si>
  <si>
    <t>…a este reformado desde ei principio de la le la comisión que entiende en el negocio de señoríos , una. gislatura del próximo año de 1S21. memoria sobre este asunto, presentada por D. Mariano Se pasó en seguida á la discusión del dictamen de la co Amador. misión de Premios acerca de los que proponia la junta de Se aprobó una indicación de los Sres. Golfín , Cepeda y Asturias para varios individuos que se decidieron anres del Gutiérrez Acuña, dirigida…</t>
  </si>
  <si>
    <t>Se, Mo</t>
  </si>
  <si>
    <t>Mo Se</t>
  </si>
  <si>
    <t>…á las de Guerra y Hacienda , para informar creto , aunque por las razones expuestas no puedo en con en el expediente de bagages. ciencia cumplimentarle;” pretexto con que, dijo el Sr. Mo Se leyó otra proposición del Sr. Diaz Morales para que reno Guerra, sembró en otra época un obispo el germen fe •e preguntase al secretario de la Gobernación qué medidas cundo que destruyó el sistema. El Sr. Navas, notó que en se habían tomado para llevar á efec…</t>
  </si>
  <si>
    <t>Se, Montoya</t>
  </si>
  <si>
    <t>Montoya Se</t>
  </si>
  <si>
    <t>…créditos con interes y su valor aproximado terminación de interinos.” con los que resultan de lá lista núm. 1.® Se leyó la siguiente del Sr. Silves: «Que á la adición aprobada del Sr. Montoya Se añada la de que puedan ser Deuda pública de España que ¿ana réditos. trasladados á otras audiencias ó tribunales de igual clase.” Habiendo sido admitida á discusión , opinó el Sr. Qui- Réditos. Artículos. Capitales. roga que fcrfacultad de trasladar á los mag…</t>
  </si>
  <si>
    <t>Se, Moreno Guer</t>
  </si>
  <si>
    <t>Moreno Guer Se</t>
  </si>
  <si>
    <t>…a clase de su trabajo y por su testar á los extremos que abrazaban las indicaciones hechas corto estipendio, que aun no reciben completo. y que esto se verificase con urgencia. El Sr. Moreno Guer Se leyó otra del Sr. Romero-Alpuente, pidiendo se de ra, para prueba de la oposición de algunas personas de clárela suspensión de los empleados públicos que se hubie alto rango, leyó una contestación del obispo de Orihuela sen hecho sospechosos de aversión á las…</t>
  </si>
  <si>
    <t>Se, Navarro</t>
  </si>
  <si>
    <t>Navarro Se</t>
  </si>
  <si>
    <t>…indicó que el ayun to; y se levantó Ja sesión. tamiento de Valencia se habia abrogado facultades que no Sesión del 27 de Setiembre. le correspondían ; lo que trató de impugnar el Sr. Navarro Se leyó el acta de la ordinaria de ayer, á la que se (D. Felipe), y probó después el Sr. ministro. Por último mandaron agregar los votos particulares de los Sres. Y usté, no hubo lugar á votar sobre la indicación. Ochoa, Gaseo, Vadillo y Manescau, contrarios á l…</t>
  </si>
  <si>
    <t>Se, Pedro Ignacio</t>
  </si>
  <si>
    <t>Pedro Ignacio Se</t>
  </si>
  <si>
    <t>…primera instancia de di de prohibir las‘Cortes la importación de granos extrangecha ciudad. fos; y en-seguida se declaró no haber lugar á votar. A la de Premios una exposición de D. Pedro Ignacio Se leyó por tercera vez el proyecto de decreto sobro de N., cura de Garnica. en Vizcaya, en que hada presen responsábilidad de los infractores de la Constitución. tes sus méritos y servicios, y pedia se le recompensase. El Sr. presidente señaló para empezar la d…</t>
  </si>
  <si>
    <t>Se, Sánchez Sal</t>
  </si>
  <si>
    <t>Sánchez Sal Se</t>
  </si>
  <si>
    <t>…cio sus Andújar; lodos sobre enagenacion y subrogaciones de fin servicios: el Sr. Yandiola anunció que llegaría pronto el cas vinculadas. cumplimiento del deseo manifestado por el Sr. Sánchez Sal Se leyó el dictamen de la comisión de Hacienda sobre vador de que se diesen las licencias á la tropa: el Sr. Quf- la deuda de Holanda, y después de una larga discusión s» roga dijo que la guarnición había cumplido con sil deber, aprobó én los términos siguientes…</t>
  </si>
  <si>
    <t>Se, Várgas</t>
  </si>
  <si>
    <t>Várgas Se</t>
  </si>
  <si>
    <t>…cobran los clérigos de S. Cayetano, para men el arquitecto y personas inteligentes en la materia.” invertir su producto en obras públicas. Admitida ,á discusión fue apoyada por el Sr. Várgas Se dio cuenta de un oficio del Sr. secretario de Haden- Ponce; y el Sr. Giraldo manifestó que lo mejor era tardar</t>
  </si>
  <si>
    <t>Sebastian</t>
  </si>
  <si>
    <t>…abiduría Concluido este acto entre repetidas voces de viva la. Cons ha sabido dársela. tituciónviva el Rey, viva la Nación española , y después Se ha recibido el parte dado por el coronel D. Sebastian de haber tirado al pueblo una gran cantidad de dinero, y de la Calzada al Sr. presidente de Quito en Panamá á &gt;4 de haber dado principio una salva de artillería, continuó de Enero, el cual contiene la brillante victoria conseguida su marcha la comitiva hasta…</t>
  </si>
  <si>
    <t>…cial) y Villa: «Que se suprima en Ara gón la contribución de un millón de reales que hasta ahora Caracas 17 de Junio. ha pagado y paga anualmente para las obras del canal de la El coronel D. Sebastian de la Calzada remitió al Si*, pres- misma provincia.” sidenre de Quito con fecha de 24 de Enero el parte de la' Se dió cuenta de otra minuta de decreto, en que la co entrada de su división en Popayan en la mañana de dicho misión de Hacienda redactaba el proye…</t>
  </si>
  <si>
    <t>…ario de la Guerra , remitiendo las listas que los inspec clarase eri libertad. tores y directores generales de las diferentes armas del egér- Al Gobierno se pasó una exposición de D. Sebastian cito le hablan pasado de los individuos comprendidos en Duran,en que manifestaba haber servido la plaza de escriba las promesas del general Quiroga en su proclama de Enero no de guerra en el segundo egcrcito en tiempo de la guerra de este año. de la independe…</t>
  </si>
  <si>
    <t>Sebastiani</t>
  </si>
  <si>
    <t>724</t>
  </si>
  <si>
    <t>…rminó ya su larga discusión acerca de la nueva .ley de elecciones, que Tüef aprobada, con ¡varias, enmienda?, El 13 debía empezarse la discusión deT presupuesto de hacienda., y el general Sebastiani trataba de presentar un informe sobre el proyecto de ley relativo al pago ín* tegro de las pensiones de la legión de Honor. ¡PORTUGAL. ' ' . ' : . . Lisboa 10 de Junio, , , . Extractó de una carta particular. En celebridad del cumpleaños de S. M. Fidelísima e…</t>
  </si>
  <si>
    <t>Seco, Pascual</t>
  </si>
  <si>
    <t>Pascual Seco</t>
  </si>
  <si>
    <t>…ngel Fernandez de los Ríos, del Consejo de $. M., 4¡dor honorario de la Real chancillería de Valladolid, y teniente primero de corre gidor de esta muy heroica villa, refrendada de D. Pascual Seco, escribano de S. M. y del número de la.misma, se ha señalado para junta de todos los acreedores á la tes tamentaría de D. Pedro Benito Mantilla el dia 21 del presente mes en su posada, y hora de las nueve de su mañana, lo que se hace saber por medio de este p…</t>
  </si>
  <si>
    <t>…ñora, cuya testamen taría está radicada en dicho juzgado. En virtud de providencia dél Sr. D. Julián de Sojo, juez letrado de primera ins tancia de esta M. H. villa, refrendada de D. Pascual Seco, escribano del número de ¿lilla, se han mandado sacar á publica subasta por término de 30 días dos tierras, si tas una en término del lugar de Fuencarrai, donde dicen Valdelobós, de cabida dos fanegas y media , que linda á oriente y mediodía con, heredades de…</t>
  </si>
  <si>
    <t>…s no reciben ninguna espe y juez de primera instancia de esra muy heroica villa, por la cie de sueldo ó emolumen:o, y las Memorias q' e dan á luz escribanía de número del cargo de D. Pascual Seco, se ha se con el título de Transacciones contienen cuanto se presenta ñalado para junta general de todos los acreedores al concurso por los socios digno de la atención publica. de D. Pascual de las Fuentes el dia 16 del corriente, á las 8 La soi it dad Seal d…</t>
  </si>
  <si>
    <t>Secre</t>
  </si>
  <si>
    <t>….7;° El sistir la escuadra llamada de Valls,en Cataluña , sé incluya Gobierno comunicará orden á los Gefes políticos de las pro* su coste en el presupuesto general formado por el Sr. Secre vincias en donde sehubieren restablecido-los jesuítas,'para tario del f&gt;e: pacho de la Guerra.” que ocupen inmediatamente las bibliotecas .y cualesquiera Conformándose las Cortes con el dictamen de la comi otros efectos pertenecientes á la; enseñanza que exis…</t>
  </si>
  <si>
    <t>Secreta</t>
  </si>
  <si>
    <t>…. . ‘ ' % * í -j. I id i.* i ./ - . r .... ; ;...• ArniG\í%0zmMmo: -j iV.. ;:j,; {;„ t ■ ■*&lt;***■ ♦ -'••• *- V : ■** El Rey se ha servido dirigir con fecha de i 2 del corriente al Sr. Secreta rio interinó dél Despacho tímvérSál de laGuernret ’ ¡decreto •íigoieme&gt;. A „ Gón arreglo ál artióufk) 278d^láGóíísf5tn£Í&amp;bftflítiia ¿te la monarquía, f al decreto dé las Górtes ^ñéfales y %3ítrá0rdtfiafíai^&lt;fe} déojunio dé iÜ'’ ‘ * “ *'¿ T‘ ‘ JJl ÉV—aci ¿ *■…</t>
  </si>
  <si>
    <t>…como comisiones. los problemas insertbs'de Real orden en la sacera cíe 24 de Mayo último robre la Organización y arreglo de! 'egército, Con igual fecha, y por decreto dirigido al Sr. Secreta remitiendo'sus ideas á la Junta , ha acordado esta que para rio del Despacho de la Guerra, han sido restablecidas las satisfacción dé sus aurores se publique fa noticia sig dente de disposiciones de las Cortes jasadas, comprendidas en los todas ellas , según…</t>
  </si>
  <si>
    <t>Secretario</t>
  </si>
  <si>
    <t>…iembre.................................. 28 14. a en 18 de Diciembre................................... 28 ARTICULO D E OFICIO. E! teniente general D. Pablo Morillo dice al Excmo. Sr. Secretario interi no del Despacho de la Guerra lo que sigue: ,, Excmo. Sr.: Por las adjuntas copias de los partes que me ha dirigido el coronel D. Josef Pereira, comandante del segundo batallón del regimiento in fantería de Valencey , se enterará V. E. de la bizarría co…</t>
  </si>
  <si>
    <t>…adjunta que tengo el honor de incluir a V. E. „Dios guarde á V. E. muchos años. Navio Numancia en la bahía de Cá diz 15 de Marzo de 1820.= Excmo. Sr.= Juan Villav¡cencio.= Excmo. Sr. Secretario interino de Estado y del Despacho de Marina.’* Oficio que se cita en el anterior. „Habiendo recibido esta mañana tres Reales órdenes, cuyas'copias acom paño á V. S., he pasado otras iguales al comandante de las tropas que ocupan á S. Fernando por medio de un…</t>
  </si>
  <si>
    <t>Ndm» 55* (2 cuartos.) 351 GACETA EXTRAORDINARIA DE MADRID DEL LUNES 27 DE MARZO DE 1820. ARTICULO DE OFICIO. El'Sr. Secretario interino del Despacho de Guerra ha recibido el parte si guiente: _ ' ,, Exento. Sr.: Según manifesté á V- E. en mi oficio de ayer han pasado esta mañana á la plaza de Cádiz el mariscal de campo D. Francisco Ferraz y el brigadier D. Manuel de Jáuregui con el o…</t>
  </si>
  <si>
    <t>499</t>
  </si>
  <si>
    <t>…ón de ios expresados distintivos. De Real orden lo comunico á V. para su inteligencia y cumplimiento. Palacio 24 de Abril de 18 ¿o.” Circulares del ministerio de Hacienda. 1. a El Sr. Secretario interino del despacho de la Gobernación de la Pe nínsula con fecha 12 del actual me dice lo que,sigue: Considerando el Rey que el empleo de superintendente general de cor reos y caminos con las ^facultades que tenia concedidas por ordenanza gene ral del año d…</t>
  </si>
  <si>
    <t>…de mi cargo, tendrá la facultad de expedir los diplomas en los mismos térmiaos que lo hacia el extinguido Consejo de Guerra. El comandante del apostadero del Callao ha dirigido al Sr. Secretario del despacho-deíMarina el parte siguiente: / Wv^Ycmo; Sr" : El bergantín mercante ingles el Speculator, que salió de Valparaíso el 13 de Junio último*, fue quien trajo las últimas noticias de la entrada en aquel puerto de la escuadra enemiga, y composición en…</t>
  </si>
  <si>
    <t>…den lo , comunicóla V. ' para 'su Inteligencia'.'y.cumplimiento? ene la; parte que le cor responde.. Madrid; de Mayo de 1820.” Al Sr. Secretario del Despacho dé* la Guerra dice el Sr. Secretario interino dél. Despacho de Estado* con fecha n de Mayo lo siguiente: ,, Atendiendo el Rey á las instancias que le ha hecho el embajador de* S;. M;. Cristianísima, y queriendo ademas señalar la- fausta época del resta blecimiento' del régimen constitucional con…</t>
  </si>
  <si>
    <t>…do para su mas . pronto y exacto cumplimiento,ssz Rubricado de la Real mano.s^En Palacio á 14 de Junio de 1820. A D. Agustín Arguélles,’* N Circular del ministerio de Guerra. ) Al Sr. Secretario dél Despacho de Hacienda digo con esta fecha lo siguiente: Exento. Sr.: Noticioso $. M¿ de los excesos y desórdenes cometidos en algunos pueblos por los soldados cumplidos licenciadosy que estos pueden provenir en parte de los pocos auxilios que recibeñ para…</t>
  </si>
  <si>
    <t>…novedad en su importante facturar toda clase de ropas: los bordados, dice, y las la Salud. bores caladas sorprenden por su igualdad y hermosura. Sin S. M. ha despachado hoy con el Sr. Secretario del Des embargo de esta sing dar aptitud , parece que la industria pacho de la Gobernación de la Península. en aquellos paises no está todavía bastante generalizada, v menos sólidamente sentada sobre sus verdaderas bases. El Circular del ministerio de Hacienda. autor…</t>
  </si>
  <si>
    <t>…vedad en su importante intendente, 3' pasando á fin de cada - ames á este ministerio salud. ¡relación circunstanciada y por duplicado, de las que hu S. M. ha despachado hoy con el-Sr. Secretario del Des biesen concedido para conocimiento de S. M., dirigiéndose pacho de Gracia y Justicia. desde luego con esreobjeto a dichos capitanes generales las solicitudes, pendientes en el ministerio. Circular del ministerio de Hacienda. 4.0 ,,Que los oficiales retirados…</t>
  </si>
  <si>
    <t>…in novedad en su importante ha resuelto el Rey que para manifestar á aquel Soberano salud. . la parte que S. M. toma en tan funesto acaecimiento, se S. M. ha despachado hoy con el Sr. Secretario del Des vista la corte de luto dos semanas consecutivas, que empe pacho de la Guerra. zarán á contarse desde el día 5 del corriente. s El Rey ha expedido el decreto siguiente; »* Lleno del mas vivo dolor por los estragos que causa en Se han recibido periódicos exrran…</t>
  </si>
  <si>
    <t>…n novedad en su importante pesos; y para su provisión se admi en memoriales por tér salud. mino de t; dias á sugetos q' e no pretendieron la ración» S. M. ha despachado hoy con el Sr. Secretario del Des pues á los que lo hicieron se les tendrá presentes, pacho de la Gobernación de la Península. Durango. En iguales términos y por el mismo tiem po se publica la ración que ha vacado en la de Duranso EL GEFE EOLITICO DE ESTA PROVINCIA A LOS HABITANTES por promoc…</t>
  </si>
  <si>
    <t>…novedad en su importante tropas en las diferentes proposiciones relativas á este asunta. salud. El ministro de la Guerra ofreció en su memoria el es S. M. ha despachado hoy con el Sr. Secretario del Des pectáculo doloroso que presenta el estado mili ar, recomen pachó de la Gobernación de !a Península. dando á la consideración de las Cortes la penosa suerte de los defensores de la Nación. Comparó la tuerza actual del CORTES. egército con la de todas las época…</t>
  </si>
  <si>
    <t>…edad en su importante la inscripción que expresase el día,del juramento: 3.a Que, salud. se auxiliase el proyecto del pintor de cámara Madrázo, re-, S. M. ha despachado boy con el Sr. Secretario del Des ducido á pintar el salón con los concurrentes á la augusta, pacho de Gracia y Justicia. y sagrada ceremonia: 4.a Que se levantasen en la plazuela de las Cortes dos columnas pareadas del orden jónico, que, CORTES. denotaien la fuerza 6 igualdad de los poderes,…</t>
  </si>
  <si>
    <t>…novedad en su importante interino de la Real capilla. 3.üO:ro promovido por ei con salud. de de Puñonrostto sobre devolución a sus bienes de las fin S. M. ha despachado hoy con el Sr. Secretario de 1» cas usurpadas por e! Gobierno intruso. Guerra. La comisión de Legislación presentó un dictamen acerca CORTES. de la proposición del tsf. Muñoz Torrero, relativa á que por haber cesado las circunstancia-, que obligaron a las Cor Sesión del jj de Julio. t…</t>
  </si>
  <si>
    <t>…las bulas de Cruzada SS. MM. y AA. siguen sin novedad en su importante de todas sus clases. salud. Otra del Sr. Rodríguez de Ledesma para que el Go S. M. ha despachado hoy con el Sr. Secretario del Des bierno mande á los Gefes políticos que formen un plan de pacho de Gracia y Justicia. los puntos en que se deberán tiiár los mercados, sin embar go de que se'Concedan en particular á los pueblos que lo CORTES. pidan. Otras dos del Sr. Romero Alpnente, una para…</t>
  </si>
  <si>
    <t>…ayudante; pero que con' arreglo al decreto :Julio de 1820." de las Cortesde % &lt;¡ de Mayo de 18 tj, debía pasarse la cau sa al j.izgado del cuerpo para que por él se continuase. El Sr. Secretario dd Despacho de Gracia.y Justicia ha Después de una larga discusión, sostenida por los Sres. Gi- comunicado al de Estado el oficio siguiente:</t>
  </si>
  <si>
    <t>…cción de granos ex- Con fecha 23 de Julio , desde la villa de Sacedon , dice trangeros en los puertos de la Península, mientras que la -el Sr. Secretario del Despacho de Estado al Sr. Secretario de fanega de trigo ó el quintal de grano no exceda del precio la Gobernación de la Península lo que sigue: de 70 reales; pero que esta medida no debe durar mas que ,, S. M. continúa con buen efecto el uso de las aguas, y hasta la próxima reunión de Cortes, en…</t>
  </si>
  <si>
    <t>…n provincial de Mur Con fecha 24 de Julio, desde la villa de Sacedon, dice cia, en que pide se declare si los ciudadanos deben acredi-* el Sr. Secretario del Despacho de Estado al Sr. Secretario de tar tener hecho el juramento prevenido en la Constitución la Gobernación de la Península lo que sigue: antes de entrar á votar en las juntas de parroquia, y si los »SS. MM. siguen con buena salud , y el Rey continúa electores de partido deben hacerle en el…</t>
  </si>
  <si>
    <t>124 bre esto, y efectivamente el encabezamiento del expediente U Sr. Secretario del Despacho de Estado al Sr. Secretario de que anres te habia leido decía a;i: «índice de los privilegios * Gobernación de la Península lo que sigue: concedidos para introducir harinas extrangeras en buques »S. M. prosigue con buen efecto el uso de las aguas, y extrangeros en los puertos de Ultrama…</t>
  </si>
  <si>
    <t>…especie de documen Con fecha 26 de Julio, desde la villa de Saccdon, dice tos originales, sino copias debidamente legalizadas, las que el Sr. Secretarlo del Despacho de Estado al Sr. Secretario de por ningún pretexto ni en tiempo alg .no podrán separarse la Gobernación de la Península lo que íigue: de los expedientes en que obran, y que se dé A esta Real ,,SS. MM. siguen con buena salud, aprovechando al Rey determinación toca la publicidad posible p…</t>
  </si>
  <si>
    <t>…mientras no íe arregle un Con fecha 27 de Julio, desde la villa de Sacedon, dice plan de Hacienda. Hacia presente que parecía muy ridí el Sr. Secretario del Despacho de Estado al Sr. Secretario de culo á los ojos de toda la Europa que habiéndose presen la Gobernación de la Penínsuia [o que sigue: tado una proposición de esta especie en ei Congreso de Es «SS. MM. prosiguen sin la menor novedad en su im paña , no hubieran querido ni aun admitirla a di…</t>
  </si>
  <si>
    <t>…a se pudieran poner des Con fecha 28 de Julio desde la villa de Sacedon dice el de luego en. egecucion los medios de asegurar el comercio; Sr. Secretario del Despacho de Estado ai Sr. Secretario de la pero le parecía entre tanto lo mas á propósito el expedir Gobernación de la Península lo que sigue: patentes de corso y mercancía. »&gt;S. M. ha tomado hoy el segundo baño, de que expe Habló en seguida el Sr. Cuesta, é hizo observar que el rimenta buen efe…</t>
  </si>
  <si>
    <t>. . ... 139algunos con circunstancias horrorosas, egec’utadós en las ej Sr. Secretario del Despacho de Estado al Sr. Secretario de inmediaciones de la corte, y en las provincias de Aragón, la Gobernación de la Península lo que sigue: "Valencia y otras, reclamó la necesidad de atender á la se «El Rey sigue tomando los baños con beneficio, disfrux guridad pública con urgencia, y la de i…</t>
  </si>
  <si>
    <t>…fectos deberán sepaCon fecha de 30 de Julio, desde la villa de Sacedon , dice rarse los individuos de este cuerpo que no se conceptúen el Sr. Secretario del Despacho de .Estado al Sr. Secretario de útiles, ó se crean perjudiciales en él? {Se continuará.) la Gobernación de la Península lo que sigue: «S. M. continúa felizmente los Daños, y con. la Reina El colegio de Santiago, que se titulaba de Bilbao, por disfruta perfecta talud.” que el ayuntamiento…</t>
  </si>
  <si>
    <t>…a el hospital anualmente. Con fecha 31 de Julio, desde la villa de Sacedon, dice Con motivo de la discusión que se citaba, ofreció otro e! Sr. Secretario del Despacho de Estado al Sr. Secretario de señor diputado presentar en la sesión próxima un plan ge la Gobernación de la Península lo que sigue: neral que tenia trabajado acerca de los establecimientos de «S. M. continúa felizmente los baños, y sigue con per que se trataba. fecta «alud con su augus…</t>
  </si>
  <si>
    <t>…ad en su importante por estas causas dirigirán bajo su palabra de honor al lord salud. canciller una declaración de los motivos que les impiden asis S. M. ha despachado hoy con el Sr. Secretario del Des tir. El lord canciller enviará con anticipación una convoca pacho de Gracia y Justicia. toria á todos los Pares, á fin de que concurran á la Guiña ra el 17 de Agosto á las 10 de la mañana. CORTES. Se reunieron ayer en un banquete que dieron1 el conde • f y la…</t>
  </si>
  <si>
    <t>…mismo tiempo se. recomendase al Gobierno ¡a alumno del colegio np.cipnal de Santo Tomas de esta Córte, conclusión del mapa general de España, para el &lt;}»,a¡. sabia remitida por el Sr. Secretario de la: Gobernación de la Pe que se hallaban muchos trabajos en el depósito- de hidro nínsula, A fin de que se le habilite el curso de filosofía mo grafía. Se aprobó éste dictamen como pedia e! Sr. Vargas. . ral que ha seguido en. dicho colegio, para poder ir…</t>
  </si>
  <si>
    <t>…na expo nía mas allá de lo aprobado esta mañana en otra del mis sición de la diputación provincial de Zamora, remitida por mo Sr. Romero Alpuente; pues no podian exigirse de to el-Sr. Secretario de la Gobernación de la Península, pidien dos los hombres acciones heroicas, habiendo ademas en do la supresión de un derecho particular que se pagaba en tre los consejeros algunos que. habían manifestado su pa aquella provincia. triotismo. . A las de Organiz…</t>
  </si>
  <si>
    <t>…o entendido para su cum ConTecha 17 de Noviembre desde el Real sirio de San plimiento, y dispondréis se imprima , publique y circule. = Lorenzo dice el Sr. Secretario de Marina al Sr. Secretario de ' Rubricado de la Real mano. =En S Lorenzo a 12 de No la Gobernación de la Península lo que sigue: viembre de 1820.=A D. Antonio Remon Zarco del Valic. »SS. MM. y AA. continúan en este Real sitio sin no Circular del ministeri&gt; de Lt Criterra. vedad en su i…</t>
  </si>
  <si>
    <t>…nias, sátiras, elogios, y hasta la vir sidente. = Marcial Antonio López, diputado secretario. = tud , la religión y la patria, todo se moverá, y de todo se Antonio Díaz del Moral, diputado Secretario.” abusará para facilitar el triunfo de los mas reconcentrados Por tanto mandamos á todos los tribunales, justicias, intereses. Por poco ascendiente que tenga cualquiera en gefes, gobernadores y demas autoridades, asi civiles como vuestro espíritu ó en vuestro…</t>
  </si>
  <si>
    <t>Sécrétarip</t>
  </si>
  <si>
    <t>…rigadier y comandante' general D. Melchor Alvarez.” ¡ . , . . , Madrid 2iSdf Febrero-, El capitán general de la provincia de: Yucatán, ireino de Nueva-Es paña, ha co'inqnicado a'í Sr. Sécrétarip interinó dé Estado íy del Despacho de Guerra ’ un estado que manifi^, ja 'el en; la ciudad de' Campe che eji.todq el año. de -18 t^.pqr’^elciru|'anqTp. .Cípnáp.flanco , qué ascierí.de 4.164.1 hiáos españoles,findios,^mestizos;, pardos-y ^negros. Del mismo es-…</t>
  </si>
  <si>
    <t>Sedaño, Josef Guerrero y</t>
  </si>
  <si>
    <t>Josef Guerrero y Sedaño</t>
  </si>
  <si>
    <t>…dei Real cuerpo de Artillería D. Joaquín Pavía y W-erminghan, Don Ramón Ruiz de Labastida, D. Joaquín Cabañíes y Fuster, D. Jesualdo Pé rez de Lema , D. Mariano García y Saleta , D. Josef Guerrero y Sedaño 3 Don Santiago Olloqui y Martínez, D. Manuel La-Cerda y Paiafcx, D. Juan Ló pez Larrainzar , D Francisco Cascajares y Bardnxí, D. Josef Aivarez Reyero , D. Cárlos Casaprin y González, D. Rafael Rodríguez Solís, D. Josef Canals y Mayéis, D. Rafael Galinno y Gu…</t>
  </si>
  <si>
    <t>Segó, Juan Andrés</t>
  </si>
  <si>
    <t>Juan Andrés Segó</t>
  </si>
  <si>
    <t>…ion y Mo proveerá dicha plaza el 24 del corrientereno, D. Manuel Estrada, D. Manuel Villafañe, D. Lo- Impugnación y observaciones al manifiesto que firmaron los •renzo Vilianueva, D. Juan Andrés Segó vía, D. Manuel 69 diputados de las Cortes ordinarias con fecha de 12 de Abril de 1814. presentada á S. M. en "Valencia de vuelta de su cau -Santurio, D. Anacleto Fagoaga, D. Francisco Redondo tividad por D. Bernardo Mozo Rosales: acompaña también di y D. Feli…</t>
  </si>
  <si>
    <t>Segovia, Antonio María</t>
  </si>
  <si>
    <t>Antonio María Segovia</t>
  </si>
  <si>
    <t>…cha agua, que Apuntes sobre el arresto de ios vocales de Cortes. Número envié al secretario para satisfacer su deseo, é impedir fuese 7.0 Juicio del memorial de cargos formado por D. Antonio María Segovia, calumnias, necedades y otras lástimas, queengañado por el hombre, quien, por evitar el trabajo de arroja de sí este documento, elevadas al último grado de desubir al cráter, tal vez le hubiera traído agua de un pozo mostración. Ligeras observaciones sobre ca…</t>
  </si>
  <si>
    <t>Segovia, Juan Andrés de</t>
  </si>
  <si>
    <t>Juan Andrés de Segovia</t>
  </si>
  <si>
    <t>…de la de Andalucía, á que ha estado ane mandamos y firmamos. = D. Joaquín Carrion y Moreno.= ja , nombrando capitán general de la expresada provincia de D. Manuel de Villafañe. = D. Juan Andrés de Segovia. = C ;diz a! gobernador de la misma plaza el teniente general D. Manuel de Santurio García Sala. = D. Anacleto-deFaD. C ayetano Valdás ; y 'debiendo quedar ambos mandos en goaga y Dutari. = Madrid 1 7 de Agosto de 1820. el ser y csrado en que se hallaban cuan…</t>
  </si>
  <si>
    <t>Seguí, Felipe</t>
  </si>
  <si>
    <t>Felipe Seguí</t>
  </si>
  <si>
    <t>…sq.; Joseph Hume, esq.; Jhon C. maestra. ■ Hobhouse, e^q.; Chas. Calvert , esq.; Edr. Ellice, esq.; Cádiz 2 de Noviembre. tnajor I. Williams, aidermanThorp, Mr. Scherifs Waithman. D. Felipe Seguí, vecino de Maracaibo, animado de sus »N. B. Todos los amigos de la gloriosa revolución de constantes sentimientos por la justa causa que defendemos, España, de Portugal , de Nápoles y de Sicilia, y de la li ha dado en donativo 2,99; pesos 6 reales y medio de…</t>
  </si>
  <si>
    <t>Segura, Bernardo</t>
  </si>
  <si>
    <t>Bernardo Segura</t>
  </si>
  <si>
    <t>…Juan Romeo, D. Francis co Barber, D. Joaquín Gómez , D. Vicente Ibañez de*Aoiz , D. Andrés Ma? rin, el barón de Torrefiel y D. Pedro Vidal, regidores del ayuntamiento de la misma; D. Bernardo Segura y D. Pablo Treviño, diputados del común de ella, y-D¿ Agustín Conde, síndico procurador general en nombre de esta ca pital. Concluido este solemne acto pror.umpió.,el numeroso concurso en ale gres y repetidos vivas al Rey .y la Constitución^ .y quedo proclamado por'el pueblo y…</t>
  </si>
  <si>
    <t>Seie, Baltasar de Antequera y</t>
  </si>
  <si>
    <t>Baltasar de Antequera y Seie</t>
  </si>
  <si>
    <t>…la prisión que sufria, y pidiendo se le forme sistiendo en que se tomara alguna resolución, se declaró no el correspondiente sumario. haber lugar á votar. Se dió cuenta de otra de D. Baltasar de Antequera y Seie leyeron las tres proposiciones siguientes del Sr. Za— García, vecino de Infantes, en la Mancha, protestando las pata : 1. según los artículos 287, 290, 300, 301 , 304 y elecciones de diputados en Cortes por aquella provincia, 306 de la Constitución política d…</t>
  </si>
  <si>
    <t>Seíton</t>
  </si>
  <si>
    <t>…especto de los cuerpos, compañías ó individuos lord Castlereagh, y por parte de la Reina al conde Firz-i, en quienes egercen estas funciones, dirigirán á este ministe William y al lord Seíton. Añaden haber rehusado este úl rio Una relación sencilla con solo las ciases, nombres y ape timo semejante encargo. llidos de los individuos, años de servicio, achaque ó inuti-‘ Hoy se han presentado en casa del Sr. duque de Frías lidad que padecen y retiro á…</t>
  </si>
  <si>
    <t>Seixas, Agustina Ramona</t>
  </si>
  <si>
    <t>Agustina Ramona Seixas</t>
  </si>
  <si>
    <t>…o , debían correr á cargo de este por su responsabilidad; A la comisión de Reforma de reculares se pasó una y 3.0 que el Gobierno debe pasar á las Cortes el reglamen exposición de Doña Agustina Ramona Seixas , en que pe to de la tesorería general para la aprobación del número de dia qae por haber entrado en un convento de Ciudad - Real empleados. á la edad de 1 2 años, y por las demas razones que exponía, Se mandó pasar á la comisión de Reforma de regulares se le…</t>
  </si>
  <si>
    <t>Sémola</t>
  </si>
  <si>
    <t>…sentado en el trono de otro estado á un Soberano El Sr diputado Pepe apoyó la proposición, y ofreció altado y amigo de la Gran - Bretaña, cuyo origen no es mas su cuota; luego el Sr. Sémola, y luego todos á una voz; ilustre que el de Bérgami; y estos egempíares justifican aca de manera que la proposición quedó aprobada antes q e so la rápida sucesión de favores con que la Reina distin otros diputados , que se dirigían apresuradamente á la tribu…</t>
  </si>
  <si>
    <t>Sentmanat, Antoníno de</t>
  </si>
  <si>
    <t>Antoníno de Sentmanat</t>
  </si>
  <si>
    <t>…ue la egeréró D. Josef del Castillo'en 16 de Diciembre de • 1781 por muerte del cardenal Délgado, y que el mismo Olivan lo ha veriíi- cádo en 7- de Abril de 1806' en lá vacante de D. Antoníno de Sentmanat, y en * las posteriores qué han ocurrido. Lo que de Real orden comunicó á V. par-a su inteligencia y gobierno. Palacio 12 de Febrero de 1820. El 17 dé Octubre del año próximo pasado ,, á las io.de la noche, falleció tn Sevilla, á los 78 años, 4 meses y te día…</t>
  </si>
  <si>
    <t>Sepúlvcda, Juan</t>
  </si>
  <si>
    <t>Juan Sepúlvcda</t>
  </si>
  <si>
    <t>…jurisdicción de las villas de Albaran comprendáis que la Constitución autoriza desórdenes ni ex y Tiesa. cesos. Todas las leyes tienen por objeto el refrenar las pa Idem idem por D. Juan Sepúlvcda. siones, y hacer reinar la justicia y el orden. Observad vo Una casa , núm. 20, calle de Herradura , en aquella sotros esta, y os haréis dignos de gozarla. Bendigamos á ciudad. Dios, como primer autor de tan grande obra, y después Idem idem por Doña Bernarda…</t>
  </si>
  <si>
    <t>Ser, Rogelio</t>
  </si>
  <si>
    <t>Rogelio Ser</t>
  </si>
  <si>
    <t>…eseado Fue asaltado el fuerte S.tnii.í venirse á Nápole*. S. A. R. ha nombraJo para lugar-tenien y el de Castellniato, los cíales, cogidos de improviso, y te general de Sicilia al Sr. D. Rogelio Ser rimo, secretarlo de defendidos por nuevos conscriptos sicilianos, fueron tomado1', Estado v ministro de Marina . habiéndole dado ¡a* oportu sacándose de ellos las armas y municiones. El teniente Rotta nas instrucciones y facultades necesarias para el gobierno…</t>
  </si>
  <si>
    <t>Ser-</t>
  </si>
  <si>
    <t>…tro- que han capitula-jo c-m loe cura' párroco', da el dia 3c del corriente. como pudieran hacerlo con un dependí :nre. Que no le queda Se leyó por segunda vez una proposición del Sr. Ser- duda que si los diezmos no se pagan , y los p ebtos se re raÜneh sobre arrecio urgente de milicias nacionales, cuya traen do ello, queda un de-icií que deberá gravitar sobre primera lectura se hizo en la sesión del tá: se hizo presente ellos; y que cuando el…</t>
  </si>
  <si>
    <t>Ser-, Rogero</t>
  </si>
  <si>
    <t>Rogero Ser-</t>
  </si>
  <si>
    <t>…erior y la rranqirlidad. Se para apacig ar los ánimos exaltados; y se nombraron para ha confirmado provisionalmente la junta creada en Palermo ella al príncipe de Villafranca , al mariscal D. Rogero Ser- con aprobación del lugar-teniente, y S. A R. ha ofrecido timo, al príncipe D. Cayetano Bounanni, al prepósito una amnistía general por lo* desórdenes actuales. con ral que P. Palenno, al marques Radusa, al coronel D. Manuel los extraviados vuelvan á la subord…</t>
  </si>
  <si>
    <t>Serantes, Josef Antonio</t>
  </si>
  <si>
    <t>Josef Antonio Serantes</t>
  </si>
  <si>
    <t>…edia que las monjas solo tuvieran expedito el recur dia á Doña María Florentina, hija del subteniente de infan so á !a autoridad civil, en el caso de poder justificar que la tería D. Josef Antonio Serantes, muerto en el campo del eciesi iSiica se habia opuesto á que pidieran, su seculari honor. zación. ARTICULO un OFICIO. El autor de la indicación, el Sr. Gaseo, recordó al Con Con fecha de 2 de Agosto , desdeña villa de Sacedon , dice greso que el dia anterior,…</t>
  </si>
  <si>
    <t>Sermllach</t>
  </si>
  <si>
    <t>…a de parecer se le reco sura sin recusación ; mientras que en los jurado' propues mendare a! Gobierno; y asi se acordó. tos ahora no habia acepción de dases ; se debía hacer la El Sr. Sermllach prerentó una indicación para qre, según elección por las autoridades mas populares, e«ro es, los el art. ;6o de la Constitución. se sirvieren las Corres esta ayuntamientos, y por suerte: su duración se limt aba a un blecer colegios milirares para enseñanza de…</t>
  </si>
  <si>
    <t>Serrallac</t>
  </si>
  <si>
    <t>…esta variedad de opiniones Málaga será tíempre la ciu Ceuta, relativos al estado de aquel regimiento, presentados dad mas adicta al aernal sistema, y mas afecta al Congrero por el Sr. Serrallac, y un plan del administrador jubilado y á su Rey constitucional, bien persuadida de que las dis- de correos de Oviedo, para la formación de un cuerpo res poticiones generales no pueden menos de ser en perjuicio petable de infantería cou el menor coste del Est…</t>
  </si>
  <si>
    <t>Serrallach</t>
  </si>
  <si>
    <t>…rse, á no pertenecer á individuos de un Ignórase todavía cuando cesara en su» sesiones el Parla egército invasor. mento; y es recular que esto penda de las medidas que po Otra del Sr. Serrallach para que con urgencia se proce drá atraer el intorme de la comisión secreta de lá Cámara da por la comisión de Milicias nacionales á arreglar el nú de los Pares. mero y forma de las que deben ponerse en pie sin pérdida Parece que el número de documentos entre…</t>
  </si>
  <si>
    <t>…200 toneladas , sino los que no pasen de 60; estos presentar un reglamento interino; añadiendo que deseaba hacen feliz al comercio, y la casa qne pierde uno de aquella saber ri el Sr. Serrallach , agregado en el día anrerior á aque clase queda arruinada: es necesario pues que vuelva la lla como autor de nna proposición , debia asistir á ella marina ; mercante á los buques menores, y-entonces todos con voto ó sin éj, debiendo salir en el primer caso u…</t>
  </si>
  <si>
    <t>…a poco ventajosa para aquella lucha, y al pa gimiento nombrado de la Constitución de la Patria, con recer endeble. = Da fe de la verdad de este hecho el alcalde uaa exposición del Sr. Serrallach relativa al asunto^ constitucional de Al mansa D. Nicolás Ochoa en certifica A la comisión- respectiva se mandó pasar una solicitud ción firmada de su puño, y legalizada por dos escríbanos. de la diputación provincial de Soria , presentada por el se Cádiz 7 d…</t>
  </si>
  <si>
    <t>…y de las de su augusto padre! Juró y tomó asiento en el Congreso ei Sr. Ribera, di putado suplente por Asturias NOTICIAS DEL REINO. Se leyó por segunda vez un proyecto de ley del señor Serrallach dividido en 11 artículos, en que á fin de evitar la Cádiz G de Agosto. impunidad de los malhechores proponía el uso de pasapor Con fecha del 8 de Junio escriben de la Guaira haberse tes , el establecimiento de varias compañías en las provincias, proclamado al…</t>
  </si>
  <si>
    <t>Serrano, Francisco</t>
  </si>
  <si>
    <t>Francisco Serrano</t>
  </si>
  <si>
    <t>…a arma. ra le parará el perjuicio que haya lugar. Sus autores son los siguientes: El coronel D. Nicolás Orden natural y eseíicial de las sociedades políticas. Cuando del Campo; el brigadier D. Francisco Serrano; D. Baltasar se imprimen las traducciones del derecho de gentes de Vattel y del espíritu de las leyes de Montesquieu , un amante de la fe Bautista; el coronel D. Antonio Rojas; el teniente coronel licidad nacional ha juzgado que también convenía imprimir laD.…</t>
  </si>
  <si>
    <t>Serrano, Tomas Juan</t>
  </si>
  <si>
    <t>Tomas Juan Serrano</t>
  </si>
  <si>
    <t>…Rofriero; en Valencia en lá dé Cabrerizo; en Zaragoza en la de Sánchez; en Logroño en la de Olozaga; en Málaga en la de Aguilar; en Pamplona en la de Tongas; en Murcia en casa de D. Tomas Juan Serrano; en la Carolina en la administración de correos; en Salamanca en casa de D. Francisco Prieto de Torres, y en Granada en la de Don Antonio Josef González y Aguilera, en el Zacatín. Visitas ai Santísimo Sacramento y á María Santísima para todos los dias del mes…</t>
  </si>
  <si>
    <t>Servacapriola, Nicolás de</t>
  </si>
  <si>
    <t>Nicolás de Servacapriola</t>
  </si>
  <si>
    <t>…pedido por el príncipe de Metternich al feId-mariscal &gt;tl’oco de-p es , es decir á principios de Agosto, fue en conde de Bellegarae, presidente del consejo Áulico de Guer viado el duque Nicolás de Servacapriola con cartas confi ra (ministro de Guerra); que este las ha comunicado in denciales del Rey, y del Principe lugar-tenien.e general mediatamente á los individuos del consejo , y que se han pata el Emperador de Austria, y con una orden pa;a que dado las disposici…</t>
  </si>
  <si>
    <t>Setiembre</t>
  </si>
  <si>
    <t>…cianos, pues citud de D. Josef Gazon, de nación francés , para que se le «olo el batallón de Avelino, al que pasé revista en 27 dé conceda carta de ciudadano , remitida por el Sr. secretario Setiembre último', me presentó 3200 legionarios. Las Ca de Gracia y Justicia. labrias están impacientes de llamar por tercera vez !a aten Las Cortes accedieron á la solicitud de D. Josef Orte ción de la Europa, y las otras cuatro divisiones compi ga , sustituto de ofic…</t>
  </si>
  <si>
    <t>Sevilla, Joaquín Sanz de Men'de</t>
  </si>
  <si>
    <t>Joaquín Sanz de Men'de Sevilla</t>
  </si>
  <si>
    <t>…secretario acerca de una consulta del tri La comisión de Premios presentó su dictamen acerca bunal supremo de Justicia sobre la duda de la audiencia de la exposición del ayudante D. Joaquín Sanz de Men'de Sevilla, relativa á si debería imponer á Pedro Villarta, diondo, en que manifestaba haber sido comprendido y pre individuo de la cuadrilla de salteadores , conocida por los so por la causa del general Porlier; y que habiendo logra Niños de Ecija, la pena señalada ant…</t>
  </si>
  <si>
    <t>Sevilla, Josef Julián</t>
  </si>
  <si>
    <t>Josef Julián Sevilla</t>
  </si>
  <si>
    <t>…........................ 16 p Lorenzo Renden , doctoral de la de Sto. Domingo : para la Cádiz........................................ íj .cánongía penitenciaria de la de Charcas á D. Josef Julián Sevilla............................................................ tí Mál iga..¿....................................................... iUrreta : para una canongía de la de Guadalajara á PT Alejo Granada.........................................................de la…</t>
  </si>
  <si>
    <t>Sg, Benito</t>
  </si>
  <si>
    <t>Benito Sg</t>
  </si>
  <si>
    <t>…en todas sus partes lo dispues nal especial de Guerra y M trina. «e haga p-, blíca ia ino to en la ley de i í de Octubre próximo sobre supresión de cencia del auditor de ce ierra D. Benito Sg irías en |..&lt;s mis monacales, reducción del número deconventos de religiosos, mos términos que te lilao pública ia separa.ion ,;el destiro y deinas que en ella se expresa. Con este objeto dije en 28 que obtenía, levantándole ¡a confinación para que r-c. da vi…</t>
  </si>
  <si>
    <t>Sggroso, Antonio</t>
  </si>
  <si>
    <t>Antonio Sggroso</t>
  </si>
  <si>
    <t>…liar lealmente ’á V. M. en la, ardua y magnánima em- ha de proveer. ... " ’ preta de realizar tranquila y pacíficamente el tránsito peli Roma libre: ‘ tragedia en ciñió actos, por D. Antonio Sggroso desde el antiguo al nuevo régimen, le-mira ya conse biñón, representada1 en él teatro' de’^-'duren ocasión 'de ceiíguido con indecible gozo suyo en ia instalación de las Cor - tirar los profesores cómicos la, publicación ’dela ’«ueva"&lt;'onsTÍtes españolas. Ya…</t>
  </si>
  <si>
    <t>Shafrerbury</t>
  </si>
  <si>
    <t>…confiscaciones por todos los medios que esten en su con las comunidades contemplativas, que son absolutamen poder. te inútiles, porque según las intenciones positivas de S. M., El lord Shafrerbury presentó un segundo informe de la no sólo no pueden aumentarse, sino que se irán extinguien comisión de que es individuo, relativo á las medidas de or do progresivamente. den que será necesario adoptar durante el proceso de I* Reina. ALEMANIA. La Cámara cerró…</t>
  </si>
  <si>
    <t>Shau, Juan</t>
  </si>
  <si>
    <t>Juan Shau</t>
  </si>
  <si>
    <t>…arlos S. Middleton, 8o. D. Joaquín Bobadilla, 160. D. Diego Terry, 80. DI Jacinto Isnardy, 320. El heroísmo del amor filial. Isabel, ó los desterrados de SíD. Carlos Williams, 80. D. Juan Shau, 32c. D. Pedro beria. Historia verdadera del presente siglo: por Madama Cottin, Enaguila, presbírero, 40. D. Judah Benoliel, 320. Don traducida libremente por S. H. T.: un tomo en 8.°, con una es Hamet Beggia, 160. D. Ambrosio Felipes , 40. D. Pascual tampa f…</t>
  </si>
  <si>
    <t>Sidmouth</t>
  </si>
  <si>
    <t>…wn á efecto de que el fiscal pase i la Cámara una noticia de las acusacio nes hechas en los años de t8t8y 1819 contra cualesquiera editores de escri tos sediciosos y blasfemos. El vizconde Sidmouth pidió que se leyeran por segunda vez el proyecto de ley contra los que instruyen á los paisanos en el manejo de las armas y! ejercicios militares, y el de la ley para autorizar la iudagacion de los depó»</t>
  </si>
  <si>
    <t>…, en el cual hizo prestar puevo juramento á todos los consejeros privados, á quiénes ha dejado en sus empleos. Ayer mañana habían remitido sus nombramientos todos los ministros al vizconde Sidmouth, quien los presentó á S. M., de cuyas manos recibieron nuevos títulos. El lord canciller entregó al Rey los sellos dél Estado , y se los devolvió inmediatamente , restableciéndole en todos los derechos y.privilegios de su empleo. . FRANCIA. París J de Febrero…</t>
  </si>
  <si>
    <t>…a ceremonia que acababa de celebrarse^ ser un supuesto partidario del Gobierno, hubiera sido un y de las demostraciones de amor que había recibido de su apóstol de la libertad , y lord Sidmouth h biese expedido pueb;o; sus Hijos y su augusta Nuera gozaban del placer la orden que se le pedia, Mr. Hume hubiera censurado en de ver al Rey lleno de satisfacciones: S. M., con urw efu tonces la conducta de este lord , á quien vitupera ahora por sión de alm…</t>
  </si>
  <si>
    <t>Siendo</t>
  </si>
  <si>
    <t>…átedras, y su elección ha recaído en sulacio 1." de Julio de 1820.” getos griegos del mayor mérito. Ninguno ha favorecido con mas eficacia las intenciones de lord Guilford. que el señor Siendo poco compatible con el régimen constitucional cohde de Capo de.Istria, natural de Corfú, que no ha el que por las dos contadurías generales de Ultramar sé lle encontrado.modo mas digno de-pagar á su patria la deuda ve la tercera parte de los derechos que marc…</t>
  </si>
  <si>
    <t>Sierra</t>
  </si>
  <si>
    <t>…ha hecho en este ramo de industria, dos sombreros primo la Gobernación para que propusiesen medios de extinguir la rosamente bordados, uno de oro y otro de plata, con el deuda. El Sr. Sierra l’arnbley pidió que se pasara á la co objeto de que se sirviese de alguno ae ellos en el dia memo misión de Hacienda. A petición del Sr. Cano Manuel se rable de la apertura de las Cortes; y salió con efecto para lejro; y habiendo indicado el Sr. Oliver que se…</t>
  </si>
  <si>
    <t>…iendo á la Nación en un abismo de cuando se tratase de discutir entonces se podría hablar de males, cuyo fruto acaso estarían en el dia disfrutando, pi ello ; mas como insistía el Sr. Sierra en que la indicación ha-? dió se decidiera inmediatamente sobre el punto de nulida biaba de penas que habia enunciado verbalmente al Congreso, des , y se imprimiera y circulara á la Nación para que pro se hacia preciso determinar cuáles eran estas; á lo que c…</t>
  </si>
  <si>
    <t>…rubricado de la Real mano. — En Palacio A chas islas de lo que se propone en el primer artículo del 19 de Julio de 1820. A D. Manuel García Herreros.” dictamen de la comisión.” El Sr. Sierra amplió su indicación, y dijo que la mayor parte del grano con que se alimentan Circulares del ministerio de Hacienda. lo adquieren de los Estados-Unidos; y que si efectivamente r.a « Enterado el Rey de que una parte muy considerable no se hacia esta excepción…</t>
  </si>
  <si>
    <t>…epción ninguna-á par A la comisión de Hacienda se mandó pasar la solicitud ticulares ni corporaciones. de dos vednos de Cádiz sobre que se les descostase el ca Apoyó esto mismo el Sr. Sierra, diciendo que á esto se</t>
  </si>
  <si>
    <t>…n que no había lugar á votar. no dijo que la comisión de Hacienda había dado ya su in Se leyó la otra indicación del Sr. Martínez de la Rosa, forme sobre esta materia, y añadió el Sr. Sierra que estaba pidiendo «que la comisión de Hacienda examine sí conven en el mismo expediente otra exposición igual del mismo. drá fijar un plazo prudencial en que puedan verificarse las D. Josef María de Santiago , grabador de Cámara, ex expediciones ya empezada…</t>
  </si>
  <si>
    <t>…ueron examinaran el dictamen de las comí:iones, á las que había leyendo. parecido el mas arreglado á justicia, pues que á los orde Se procedió á la lectura del artículo ic.°, y el Sr. Sierra nados in sacris les señalaban una c ngrua acaso ¡a mayor Pambloy dijo que en el mes de Junio los ¡esuitas han sacado que se conoce en las diócesis de España, y á los muchos de ia Península, y remitido fuera del reino 40© duros, y novicios que han: admitido no…</t>
  </si>
  <si>
    <t>…sentado á las Cortes, pia naturaleza, y hacer un mal á los verdaderos acreedores acerca del cual juzgaba que debía quedar suspenso, ó como dé ellas. mejor estimase el Gobierno. El Sr. Sierra dijo que las Cortes ordinarias habían de Se mandaron archivar los 12 egemplares de la carta con cretado el que se empleara esta tercera parte de las rentas que el Sr. ministro de la Gobernación de Ultramar remite de las mitras en recompensar á los que se inut…</t>
  </si>
  <si>
    <t>…se aprobó. de Navalcarnero , de 32 años, por la muerte violenta dada Se mandó también pasar á la comisión esta indicación en la mañana del 13 de Mayo próximo pasado á Lorenza del Sr. Sierra : «Que las'consignaciones que habia sobre ren Jareño, su muger , también ciega, en el cuarto de su ha tas eclesiásticas á favor de la capilla Real . entren en teso bitación , calle-dei Estudio, á la morería vieja, casa nombra rería desde i.° de Junio de este…</t>
  </si>
  <si>
    <t>…os de servicio', pues mayor , Rojas Clemcnre y Peñafiel: y se levantó la sesión. no era justo que tuviesen una prerogativa de que no gozan las demás clases. ARTICVtO DB OFICIO. El Sr. Sierra dijo que la comisión había tenido presente que esta es Una clase de empleados que necesita hacer grandes secretaria de hacienda.___ Vacantes. ' gastos- para sus estudios antes de obtener sus destinos. Se hallan vacantes la tesorería de la provincia de la Man…</t>
  </si>
  <si>
    <t>…es de la revolución. Este sipCsoro-^pturtmente político, totalidad. que dió&gt; á la discusión el Sr. Do|¡tr.-»ra., uta -solo el que seguía, No se admitió á discusión una adición del Sr. Sierra prescindiendo de las facultades^i;B!-ti»iE Isa Nación, y que Pambley, en que demarcaba los pastos que debían exceptuar tan sabiamente habian demostr¡jo&lt;r)Qtr,'«s q ’te 1 tí precedieron. se del aprovechamiento de los ganados trashumantes. El Sr. Navas fijó su…</t>
  </si>
  <si>
    <t>…ión de Comercio. pública , y otro a la biblioteca , de un pian de e‘tab¡eciinienA la ordinaria de Hacienda un expediente remitido por to de universidades, presentados ambos por el Sr. Sierra el mismo ministerio acerca de que se le perdonara á cierto Pambley. sugeto que había sido empleado en el tribunal extinguido Se aprobó el dictamen de la comisión de Premios, en de Justicia la cantidad de 42,500 rs., invertidos en , varios, el que habiendo rec…</t>
  </si>
  <si>
    <t>…da la seguridad del~Estado, había un medio cons .dijo su autor que si era cierto el nuevo, déficit presentado titucional, esto es , la reunión ■ de Cortes extraordinarias, .por el Sr. Sierra, debían tas Cortes ocurrir á él; pero si no, de que no podría desentenderse el Gobierno, no solo por convenia dejar tranquilizado el espíritu público, que no potener su fundamento en la Constitución y en las per .dia menos de admirarse de que al dia siguiente…</t>
  </si>
  <si>
    <t>…100 de réditos deberían últimamente quedó aprobado el artículo. también reducirse al 5; á lo que respondió afirmativamente 3*° «Los créditos que no ganan ínteres están compren el Sr. Sierra, aunque ignoraba los hubiese de esta ciase; des didos bajo las denominaciones y cálculos aproximados, de pués de lo cuaL se aprobó el articulo. que informa la lista núm. 2.’ Decía el 5.0: ’■ «A este fin y el de purificar la deuda , descargarlaImporte de la de…</t>
  </si>
  <si>
    <t>Silva, Fernando Ortiz de</t>
  </si>
  <si>
    <t>Fernando Ortiz de Silva</t>
  </si>
  <si>
    <t>…uiera. el del Cuzco á Fr. D. Josef Calixto Qrihuela , administrador de la misma mitra: para la dignidad de chantre de la pro cambios. Madrid y Diciembre 14 de 18a o. pia iglesia á D. Fernando Ortiz de Silva, canónigo de Lóndres...................... ............................... g8f ¿lia; para igual dignidad de la de, Puerro-Rico á D. Josef París............................................................... 16 p Lorenzo Renden , doctoral de la de Sto. Domingo…</t>
  </si>
  <si>
    <t>…os á la madre patria al poner las armas en nuestras manos para su defensa. SECRETARIA DEL CONSEJO DE ESTADO. •«Compañeros, repitamos con toda la efusión de nuestros Por ascenso de D. Fernando Ortiz de Silva á la digni corazones: viva la Nación, viva la Constitución, viva el dad de maestrescuela de laSra. iglesia del Cuzco, ha quedado Rey constitucional.” vacante la canongía que obtenía en ella , cuya renta está re Madrid ¡S de Diciembre. gulada en 1447 pesos al…</t>
  </si>
  <si>
    <t>Silva, Juan Josef</t>
  </si>
  <si>
    <t>Juan Josef Silva</t>
  </si>
  <si>
    <t>…r Ex celentísimo Sr.=Juan Bilbao la Vieja.=Excmo¿ Sr. virey conde del Venadiro.’*' ■ • Lista dé indultados que cita el oficio anterior. i D. Josef Miguel González, alias el Chino; D. Juan Josef Silva, D. Pon«iano Campa, D. Norberto y D. Josef María González, Francisco Hérnondez, Eugenio Trejo , Mariano Alaniz , Guadalupe Hernández , Guadalupe Gachuzo, Quirico Osornio , Vicente Navarrete, Manüef Villano , Pablo Alaniz,' Juan Estrella, Josef María Chavero,…</t>
  </si>
  <si>
    <t>Silva, Manuel Andrade</t>
  </si>
  <si>
    <t>Manuel Andrade Silva</t>
  </si>
  <si>
    <t>…público en todos sus ofrecimientos dez, hijo y compañía, i0. D. Josef Martínez, x0. Don los profesores de caligrafía, aritmética, grartiática y ortogra Francisco Xavier Machado y D. Manuel Andrade Silva, 1600. fía castellana elemental, humanidades, matemáticas puras, é D. Antonio C.'Carvalho, 800. D. Santiago Galleano, 10. idiomas ingles, francés é italiano, ofrecen dar lecciones de di D. Joaquín de los Santos Lomba, 400. D. Manuel Gonzá chas ciencias é idio…</t>
  </si>
  <si>
    <t>Silvas</t>
  </si>
  <si>
    <t>…o advierte la ordenanza de vagos. que se hallan anunciados y conocidos en las leyes. Con resEl Sr. Martínez de la Rosa . después de manifestar que ecto á lo que habla propuesto el Sr. Silvas , dijo , que opinala comisión había tratado de tomar la' medidas propias riel a que la comisión no tendtia inconveniente alguno en que poder legislativo, sin pas'ar á las peculiares del Gobierno, á se reformara esta parte; pero que no había hecho otra cuyo ef…</t>
  </si>
  <si>
    <t>Silves</t>
  </si>
  <si>
    <t>…hibidos, y 7 por ju titución , su'títuyci el autor de las proposiciones esta últi gar á juegos prohibidos en parages públicos. ma palabra á la primera que había adoptado. Otra del Sr. Silves, pidiendo &lt;e declarase que asi como NOTICIAS DEL REINO. es igual para todas las provincias de la Península é islas ad yacentes el permi.o de comer carnes y lacticinios, lo sea Madrid 18 de Julio. también la limosna de los sumarios de las bulas de Cruzada SS.…</t>
  </si>
  <si>
    <t>…contrario á los en buques extrangeros; y la segunda del Sr. Palarea para seis primeros artículos del mismo decreto. que se prefije la fecha desde que han de principiarse .i con El Sr. Silves manifestó que en la gaceta del Gobierno de tar los tres meses concedidos para la extracción de frutos este dia se había incluido equivocadamente sil nombre en los en buques extrangeros. votos particulares contrarios á la aprobación de la planta ds Leyó el Sr.…</t>
  </si>
  <si>
    <t>…na de dicho Sr. Vargas para que traslade al 1 car de S. García. se mande formar un sistema general de hospitales , y otra A la de Infracciones de Constitución una solicitud de del Sr. Silves para que la Villa telntegre lo que ha percibi varios pe cadores del Barco de Avila para que se forme do y percibiere por los derechos de puertas que han pagado casan al Gefe poli-ico de la provincia, y que se haga llevar y pagan los hospitales. á efecto el de…</t>
  </si>
  <si>
    <t>…ra creer%jue tal ó tal de ellas interinamente en caso de necesidad, dando parte al persona ha cometido aquel hecho.” Gobierno, y beneficiar algunas plazas de oficiales. Comparó el Sr. Silves el artículo de la Constitución con Se aprobó también el dictamen de la de Legislación, dirigi otros dos de los que &lt;e ha sacado; á saber, uno del Anto do á que se concediera licencia al marques de Villamejor nio Gómez, y otro de la Curia filípica, obras tan c…</t>
  </si>
  <si>
    <t>…s res de la comisión manifestaran si existia alguna ley para cas pectivos ó de los inmediatos en que las haya.” tigará las autoridades que faltasen al cumplimiento de'este Dijo él Sr. Silves que se conformaba" con los artículos artículo, y que en caso negativo se señalaran las penas com propuestos por la comisión en cuanto á la persecución del petentes, hizo la observación de que sobre el oh jeto en que no tiene oficio ni modo de vivir conocido;…</t>
  </si>
  <si>
    <t>…nga Arguelles. deben recaer castigos , y el vago no es un criminal, sino que se recela que podrá serlo. Por el ministerio de Hacienda se ha comunicado á la El Sr. Dolarea apoyó al Sr. Silves, en que era necesario Dirección general la orden siguiente : señalar un termino mas largo que los tres dias que prescribe, IJacienda de Ultramar. Los Sres. diputados secreta el artículo ; pero habiéndole dicho los señores de la comi rios de las Cortes me dice…</t>
  </si>
  <si>
    <t>…c reservó e la libertad nacional, á costa de los que los hicieron pa el hacerla para después que hubiere sido aprobado ei artículo. decer con sus calumnias ó prevaricaciones.'’ El Sr. Silves, después de convenir en la necesidad de Habiéndose opuesto el Sr. Sancho porque en su concep hacer una reforma en esta piarte, observó que convendría to era parcial esta medida, y debía tomarse otra que fuera examinar con la mayor madurez si se estaba en el c…</t>
  </si>
  <si>
    <t>…mandó agregar el voto particular del Sr. Sánchez Salva el artículo los fideicomisos perpetuos: reprodujo, respecto dor, contrario á lo resuelto en la sesión extraordinaria de del Sr. Silves, las reflexiones del Sr. Calatrava; satisfizo á lo anoche, relativo al reemplazo de los oficiales que gocen de expuesto por el Sr. Martínez de la Rosa, diciendo que lice^ía ilimitada. aunque la decadencia de España se debiera, como en cfecSe aprobó la indicac…</t>
  </si>
  <si>
    <t>…os españoles, se prohíba la cia y Justicia. entrada en España de los géneros franceses. Se procedió á la discusión del empréstito de 200 millo Se mandó agregar al acta el voto del Sr. Silves, contra nes; y después de haberse Ieido el dictamen de la comisión rio á lo resuelto en la sesión extraordinaria de anoche, res de Hacienda , y el voto particular de su individuo el señor pecto á las renras de sal y tabaco. Banqueó, se repitió la lectura del…</t>
  </si>
  <si>
    <t>…es de América, igualmente aprobó el dic- eran moderadas y circunspectas, porque el bien de la pa tamen de la comisión. tria lo exigía, también, desplegaban.su vigor cuando y co El Sr. Silves, reproduciendo las razones del preopinante, mo al mismo bien.fuese conveniente. . manifestó que en su concepto eran infundadas las razones en Por lo demas respecto del número, cuestión que consi que los Sres. Gaseo y Vadillo apoyaban su voto particular. deró…</t>
  </si>
  <si>
    <t>…ado, no son comprendidos en la de 2.0 «Los créditos con interes y su valor aproximado terminación de interinos.” con los que resultan de lá lista núm. 1.® Se leyó la siguiente del Sr. Silves: «Que á la adición aprobada del Sr. Montoya Se añada la de que puedan ser Deuda pública de España que ¿ana réditos. trasladados á otras audiencias ó tribunales de igual clase.” Habiendo sido admitida á discusión , opinó el Sr. Qui- Réditos. Artículos. Capital…</t>
  </si>
  <si>
    <t>…consolidada los productos de las dispensas matrimo 30 del pasado Octubre, lo que se confirmaba rnas con ha niales, y otras que se otorgan en Roma desde el momento ber retirado el Sr. Silves la que hizo en la misma sesión. que se devuelva este derecho á los reverendos obispos de Tps Sres. Echeverría y Crespo Cantolla pidieron se la monarquía, 6 se impida por otro medio que se remitan leyese el arr. 129 de la Constitución y el decreto de las y pag…</t>
  </si>
  <si>
    <t>…dos Premios no tenia inconveniente en que se hiciese lo pro tercios á los 25, y con el-total á los, 30, opinaba que de puesto por el Sr. Moral. bia adoptarse desde luego. &lt;- ■ El Sr. Silves expuso , que siendo el capital necesario muy ; La comisión de Milicias .-.nacionales , á consecuencia de considerable, no se oponía á lo propuesto por ei Sr. Moral-, un oficio Tcmitido por el ministro de la Gobernación de la con tal que se realizase cuando hu…</t>
  </si>
  <si>
    <t>Silves, Pedro</t>
  </si>
  <si>
    <t>Pedro Silves</t>
  </si>
  <si>
    <t>…Antonio Cano Manuel; y para ministros del mismo tribunal á D. Francisco Nogués, D. Benito Hermosilla, D. Francisco Xavier Caro, D. Francisco Alfonso de Tuero, D, Josef Calatrava, D. Pedro Silves, D. Antonio V ilíaurrutia, D. Ramón Giraldo y Don</t>
  </si>
  <si>
    <t>Simón</t>
  </si>
  <si>
    <t>…el Real tribunal del Consulado , que dieron principio en el de Enero del año pasado de 1819. Los alumnos de la clase de matemáticas t&gt;. Gaspar del Cuvillo, D. Joaquín del Cuvilio, D. Simón La val le, D. Josef Izquierdo y D. Andrés María Molina fueron examinados en el primer dia de Aritmética teórica y práctica desde el sistema de numeración hasta los núme ros denominados; y los alumnos dé la clase de comercio D. Pedro Viterí, D. Ambrosio de Villar…</t>
  </si>
  <si>
    <t>…ntes; pero que habiéndolo hetablecimiento de Jesuítas y aplicación de temporalidades. cho algunos señores con mas acierto, especialmente los se Se dio cuenta de una exposición del Sr. D. Simón de ñores Martínez de la Rosa y Romero Alpuente, creía in- Codes, diputada á Corres por ]a provincia de Toledo, en util molestar sobre este punto al Congreso , por lo que solo la que hacia presente que el estado lastimoso de su salud le debia llamar la atenció…</t>
  </si>
  <si>
    <t>Sinforiarto</t>
  </si>
  <si>
    <t>…z, que opinaba podría aprobarse el presupuesto de la Goberna solicbando ciertas asignaciones para los hijos de su hermano ción de Ultramar presentado por el ministro del ramo, que D. Sinforiarto, muerto ignominiosamente en la Coruña por ascendía á 1.368,23, reales, destinados á los gastos de la la causa de la patria, secretaría del Despacho y sueldos del ministro, archivo ge A la de Legislación una exposición de D. Josef Santos neral de Indias, que e…</t>
  </si>
  <si>
    <t>Sisear, Gregorio Mayans y</t>
  </si>
  <si>
    <t>Gregorio Mayans y Sisear</t>
  </si>
  <si>
    <t>…s políticas que contiene, como por la belleza y elegancia de su estilo. Acompaña una noticia de Ja vida y escritos de Saavedra , y un elogio de sus obras, compuesto por el erudito D. Gregorio Mayans y Sisear. El ce nocido mérito de las Empresas políticas ha estimulado al editor á reimprimirlas, y mas que todo el disgusto de ver una obra tan apreciable llena de erratas, alteraciones y des¿ cuidos en casi todas las impresiones que se han hecho dentro y fuera de Esp…</t>
  </si>
  <si>
    <t>Sitchyar, Francisco</t>
  </si>
  <si>
    <t>Francisco Sitchyar</t>
  </si>
  <si>
    <t>…ba se entendiese con la misma claridad que constitucional, vemos también con sumo placer que el cura lo manifestaba, que no habia tratado ni convenio alguno vicario de esta ciudad D. Francisco Sitchyar y su teniente que obligase á este reino á desavenirse con la España. D. Josef García trabajan incesantemente y con un zelo ilus Lord John Russel manifestó quedar satisfecho con la res trado para desterrar de sus feligreses la ignorancia, y radi puesta del nob…</t>
  </si>
  <si>
    <t>Sivori, F.</t>
  </si>
  <si>
    <t>F. Sivori</t>
  </si>
  <si>
    <t>…rtículo se suspendió la discusión sobre I). Carlos Whiring, Macnal Myddleton y compañía , D. F. este proyecto , y se leyó una indicación del Sr. San Miguel Peverelly y compañía, y D. F. Sivori, todos vecinos y del para que pasando A una comisión la representación del pa comercio de las plazas de Lisboa , Faro y Gibraltar, asi co dre general de capuchinos , informase loque le pareciese con-, mo á otro cualquiera interesada que legítimamente lo sea v…</t>
  </si>
  <si>
    <t>Smidts, Pedro de</t>
  </si>
  <si>
    <t>Pedro de Smidts</t>
  </si>
  <si>
    <t>…a todas y cualesquiera personas que por si ó por agenas representaciones sean acreedores teraria inglesa , intitulada Cuarterly Revie- á ella, para que se presenten á los síndicos D. Pedro de Smidts «Belzoni nació en Italia en los estados Pontificios. y D. Josef Perez á recibir el rateo de 14 por 100 que se lia Apenas se tiene noticia de las particularidades de su juven acordado hacer de los fondos realizados; bajo el concepto de que tud. Hace cerca de n…</t>
  </si>
  <si>
    <t>Smith, Tomas</t>
  </si>
  <si>
    <t>Tomas Smith</t>
  </si>
  <si>
    <t>…ar horas y precios tendrán" la Sprague, 320. D. D. Duplessír, 80. Los Sres. Gibbs Casson bondad los que quieran emplearles, de dejar sus señas en la y compañía, 320. D. J. B., 40. D. Tomas Smith y com calle de las Carretas, librería de Ortega. pañía, 320. D. N. P. Bassadone, 80. Los Sres. Muir Torry y compañía, 320. D. Isaac Hadwen, 320. D. Juan Duffield y compañía, 320. D. Jacinto Narice, 80. D. Guiller mo Gray y compañía, 640. D. Juan Haffenden y c…</t>
  </si>
  <si>
    <t>So, Josef</t>
  </si>
  <si>
    <t>Josef So</t>
  </si>
  <si>
    <t>…el Inmemorial ciedad patriótica, compuesta en la mayor parte de artesa del Rey, afinando de D. Salvador de Les, notaron algunos ■ nos, los cuales tenían sus sesiones en la casa de D. Josef So sargentos de dicho cuerpo que aun no se habla colocado la rtario y Fon ti veros, ya difunto, dándose á conocer por su- lápida de la Constitución, y dieron aviso de tan extraña amor.i la Constitución, por su patriotismo, por su cordura falta á los oficiales. I…</t>
  </si>
  <si>
    <t>So, Julián</t>
  </si>
  <si>
    <t>Julián So</t>
  </si>
  <si>
    <t>…r que dieron los 69 á sú manifiesto, y por la importancia de los sucesos y su notable historia, hacen a esta obra apreciable para los que quie En virtud de providencia dada por el Sr. D. Julián So ran instruirse/ juzgar imparcialmente. Véndese en las librerías jo, ministro togado, juez de primera instancia de esta he- de Villareal y Escribano, calle de Jas Carretas, á 20 rs. en .róica villa, en 18 del corriente, refrendada de D.Tomas de rústica. Sancha…</t>
  </si>
  <si>
    <t>So, Julián de</t>
  </si>
  <si>
    <t>Julián de So</t>
  </si>
  <si>
    <t>…e debemos confirmar y confirmamos la sentencia definitiva pronunciada en 1 2 delativa á noe no se admitiesen felicitaciones al Congreso sino Mayo por el juez de primera in'iaricia D. Julián de So¡o,por escri o. por la que dijo que debia absolver y ah'olvifi al D. Igna Deov e« de admitida á discusión la proposición hecha cio Sánchez Fernandez de toda culpa y cargo; y que a finpor el Sr.' Martínez de la Rosa en el dia 12 , pidiendo se de ocurrir á Ucura…</t>
  </si>
  <si>
    <t>So, María Vicenta</t>
  </si>
  <si>
    <t>María Vicenta So</t>
  </si>
  <si>
    <t>…dos para realizar la elección Se aprobó el dictamen de la comisión de Legislación so de los diputados á Cortes, que serán cuatro propietarios y bre que se acceda á la solicitud de Doña María Vicenta So dos suplentes. brino, para que se la permita encargarse déla turela de su También se han formado ya cinco batallones de volun hija Dona Micaela, de su primer matrimonio, después de tarios de los ciudadanos de esta plaza, y dos de la pobla que supla los leves…</t>
  </si>
  <si>
    <t>Soberon, Angel Josef de</t>
  </si>
  <si>
    <t>Angel Josef de Soberon</t>
  </si>
  <si>
    <t>…intereses de la deuda de Holanda, res noche del 22 en la fragata de guerra la Constitución el Gefe pectivos á los seis años del Gobierno intruso; del Sr. Zubia, superior político D. Angel Josef de Soberon y el coman contrario á la resolución del tercer artículo del dictamen so dante general, nombrado por el nuevo Gobierno, el maris bre el reconocimiento de la misma; y de los Sres. Díaz cal de campo D. Juan Josef Ordovás , y fueron recibidos Morales y González…</t>
  </si>
  <si>
    <t>Sobrino, Doroteo Josef</t>
  </si>
  <si>
    <t>Doroteo Josef Sobrino</t>
  </si>
  <si>
    <t>…del Sr. Torre Marín, que decía ad: «Que A la comisión de Divi-ion de territorio una exposición en el art. 1 7 no se imponga como un deber á esta milicia relativa á este objeto de D. Doroteo Josef Sobrino. el defender los hogares-y término de sus pueblos de los ene Al Gobierno una queja de la audiencia de Valencia so migos exteriores, sino como un servicio voluntario, que la bre el abuso con que se procede en los recursos de nulidad. hará acreedora á la consid…</t>
  </si>
  <si>
    <t>Sofía, Jlernardino</t>
  </si>
  <si>
    <t>Jlernardino Sofía</t>
  </si>
  <si>
    <t>…uno ’eíi uba lancha' cañonera que ¿alia de Guayaquil, y él otro en Ja fragata Victoria. Ambos son esclavos: el .primero de Dv Tomas García , vecino de Guayaquil? y el'segundo * de Don Jlernardino Sofía, residente en-Lima. No podian ¡Jos rebeldes dar una prueba mas grande de su crueldad y tiranía , ni nosotros tener,un testimonio mas auténtico de la mala fe con que proceden en todas sus promesas. ¡Cual seria el trato que recibieron 'estos miserables'negros^…</t>
  </si>
  <si>
    <t>Soio, Julián de</t>
  </si>
  <si>
    <t>Julián de Soio</t>
  </si>
  <si>
    <t>…el primer volumen á la ju ventud anega ; el segundo al docro arzobispo Ignacio, pro ANUNCIOS. . tector de la sociedad de los lJhitomusas; el tercero á En virtud de providencia del Sr. D. Julián de Soio, minis Mr. Coray, médico , filólogo y crítico profundo, y el tro rogada honorario’de la audiencia de esta .capital* y iu.'z le cuarto á los críenos de Odessa. El Sr. Pharmacides ocupa trado de primera instancia en ella, darla en 28 del pasado, y un lugar dist…</t>
  </si>
  <si>
    <t>Sojo, Julián de</t>
  </si>
  <si>
    <t>Julián de Sojo</t>
  </si>
  <si>
    <t>…n esta corte; calle del Olivo bajo, señalada con el num. ii de la mana;. 358» que comprende 23004- pies, tasada en 141,357 rs. vn., lo haga por el juzgado de primera instancia del Sr. D. Julián de Sojo, y escribanía de provincia de I&gt;. Pedro Josef de Ibabe, dentro del término de 30 dias, "contados desde la publicación de este anuncio, que siendo arregladas se admitirán. En virtud de providencia del. tribunal de justicia de la capitanía general de An dalucía…</t>
  </si>
  <si>
    <t>…ia, núm. 1, cuarto en tresuelo, esquina á la del Azotado, donde se halla de venta, y en Barcelona calle de Escudeilers blanche, núm. 8, piso principal. A virtud de providencia del Sr. D. Julián de Sojo, juez de primera instancia-, se señala para el remate de la casa mím. 4 de la manz. 298, en la calle de S. Miguel, que comprende 9489$ pies de sitio, tasada en 374,565 rs. el miércoles 5 de Abril próximo, á las 12 en punto de su mañana, en la escribanía de pr…</t>
  </si>
  <si>
    <t>…dores áios bienes de la testamentaría dé D. Josef Ortiz de Herboso se ha señalado el martes 4 de Abril próximo, á las nueVe de ■ sií mañana, en el juzgado de primera instancia del Sr. D. Julián de Sojo, que le, tiene en el patio y archivo de los escribanos de provincia, lo que se hace saber álosinteJ. resados para que concurran. ; Para el remate de una casa sita en esta corte y su calle de Alcalá, núm. 5, man zana 289, con accesorias á la del Caballero de G…</t>
  </si>
  <si>
    <t>…Val de Santo Domingo y Maqueda, anunciadas en los diarios de e-.ta capital de 24 de Enero y si guientes, y papel impreso unido á la gaceta de 1 5 de Febrero último, ha acordado «1 Sr. D. Julián de Sojo, juez de primera instancia de esta muy heroica villa, que se anuncie al público la subasta por 10 dias mas; previniendo que D. Claudio Sanz, es cribano de número, enterará individualmente álas personas licitadoras de dichas fin cas de sus respectivas tasacion…</t>
  </si>
  <si>
    <t>…, se suplica á, quien sepa de¡ su. paradero, tenga la bondad de entregarleen S. Sebastian al.insinúa* do Baracearte, y en, Madrid á Urquijo, hermanos. En virtud de providencia del Sr. D. Julián de Sojo, juez letrado de primera ins tancia enesra muy heroica villa, refrendada del escribano de provincia D. Pedro Jo sef de Ibabe, que despacha la vacante que sirvió" uhimáuiente D. Julián Alonso y Estrada, se cita, llama y emplaza á todos los acreedores á la test…</t>
  </si>
  <si>
    <t>Sojó, Julián de</t>
  </si>
  <si>
    <t>Julián de Sojó</t>
  </si>
  <si>
    <t>…$u derecho; con apercibimiento que^pasado; dicho término sin haberse pre*&lt; sentado' Ies parará ¿lj perjurio, que;haya lugar., , v, ¡ , , ^,1.., r A virtud de providencia del Sr. *D. Julián de Sojó, juez letrado de primera ins tancia en esta corte, y.,porcia, escribanía de numero de. D. Vicente de la Costa, se cita , llama y emplaza á tódoá lós acreedores, ó cualquiera otra persona qué pueda tener derecho "á los bienes qué han quedado por fallecimiento…</t>
  </si>
  <si>
    <t>…la otra eriél sitio de la Raya, en 1 200, en el,todo desús respectivas tasas, tapibi.en á 'dinero metálico. En su consecuencia admitidas dicha .puja y postura, h# manando el “8¿.r D. Julián de Sojo, juez de primera instancia en esta corté, se. anuncié al publico la Subastador 10 días mas de las citadas fincas, y de todas las demas sitas en el 'téríptno' dé^Gérindo te', r¿ igú al merite de! las existentes en la vi lla de Alcabón ; previniendo ■qus D.-Glá…</t>
  </si>
  <si>
    <t>…al. Se suscribe en dicho despacho » y en las provincias en todas las administraciones principales y agregadas de correos. Con la competente facultad, yá virtud de providencias del Sr. D. Julián de Sojo, juez de primera instancia de esta vida, refrendadas de D. Claudio Sanz, escribano propietario del numero de ella^se venden cinco casas» sitas la usía en esta corte e» lá plazuela de la Cebada, distinguida con el número 12 , manzana 147, que tiene de superfic…</t>
  </si>
  <si>
    <t>…e, y a todas las personas q;ue.se consideren coi* derecho á sus bienes, para que en el preciso término de 15 dias, contados desde esta, publicación , comparezcan en el juzgado del Sr. D. Julián de Sojo, juez de primera instancia de esta muy heroica villa, por la escribanía de numero de D.‘ Claudio Sanz* ú exponer y pedir lo que les convenga; con apercibimiento de que pasado dicho tér mino se proceder, á lo que haya lugar, y les parará perjuicio. . Por provi…</t>
  </si>
  <si>
    <t>Sójo, Julián de</t>
  </si>
  <si>
    <t>Julián de Sójo</t>
  </si>
  <si>
    <t>…zález: Yuste, que por hallarse ausentes no concurrieron aquel dia, prestaron igual juramento el día 12 del mismo mes. ('Se continuara.) ' ' - ' . En virtud de providencia del Sr. -D. Julián de Sójo, juez letrado de primera ins-‘ tancia en esta muy heroica villa, refrendada , del escribano de provincia D. Pedro Jt&gt;sefdte lbabe que despacha la vacante que sirVíÓ'ialtunamente D.- Julián' Alonso y Estrada, se vuelve á citar, llamar y- emplazar á todos los a…</t>
  </si>
  <si>
    <t>…difunto Sr^marques de $áluci, é indicó este antes de su fallecimiento ser propios de dicha señora, cuya testamen taría está radicada en dicho juzgado. En virtud de providencia dél Sr. D. Julián de Sojo, juez letrado de primera ins tancia de esta M. H. villa, refrendada de D. Pascual Seco, escribano del número de ¿lilla, se han mandado sacar á publica subasta por término de 30 días dos tierras, si tas una en término del lugar de Fuencarrai, donde dicen Valde…</t>
  </si>
  <si>
    <t>…con estef'morivo la mas sincera protesta de la dis tinguida consideración con que soy de V. &amp;c. = Filmado.r=Ei conde de Rechberg.” [Se continuara, ') &gt; A virtud de providencia del Sr. D. Julián de Sojo, juez letrado de primera ins tancia en esta muy heroica villa, dada en 4 del corriente, jr refrendada del escriba no DÍ Santiago Manuel de Alboniga, se ha señalado el domingo 28 del actual á las ocho de la mañana para, celebrar junta general de acreedores á l…</t>
  </si>
  <si>
    <t>…a y cámara de S. M. hasta fin de Abril del presente año, acudirán á recoger las certificaciones de sus líquidos haberes desde el di* de este aviso en adelante. Por providencia del Sr. D. Julián de Sojo, juez letrado de primera instancia de esta muy heroica villa, refrendada del escribano de provincia D. Luis López de Cas tro, se ha señalado para una junta, pedida por el Excmo. Sr. duque de Tamames, de sus acreedores el dia 30 del que rige á las nueve de su…</t>
  </si>
  <si>
    <t>684 . ,..................... Por el director y contador de la compañía del gremio.de drogueros de esta corte se ha acudido ante el Sr. D. Julián de Sojo, magistrado honorario de la audiencia territorial de Castilla ia Nueva» juez letrado de primera instancia en esta muy he roica villa, por la escribanía de provincia de D. Manuel López de Rivas, acogién dose bajo la protección judicial, y haciendo dimisión for…</t>
  </si>
  <si>
    <t>…ar entre las demas, y son: ( Se continuará.) i.° La sociedad Real de Londres. 2° La sociedad Real de Edimburgo. ANUN IOS. - La sociedad Real de Dnbtin. A virtud de providencia del Sr. D. Julián de Sojo, minis Estas tres sociedades tienen alg 'na analogía con el Ins tro honorario de la audiencia territorial de 1 astilla la Nueva, tituto de I7rancia: sus individuos no reciben ninguna espe y juez de primera instancia de esra muy heroica villa, por la cie de su…</t>
  </si>
  <si>
    <t>…s pocos por su propio ínteres. Sírvase v. S. pues ANUNCIOS. con su natural zelo persuadir de.estas verdades á todos sus subalternos, y vigilar con prudencia el cumplimiento del El Sr. D. Julián de Sojo, ministro honorario de la audien decreto de las Cortes de 6 del que acaba, y avisarme el re cia de Castilla la Nueva, juez de primera instancia en esta muy cibo de esta. Madrid 31 de Agosto de 1820. heróica villa de Madrid, ¿solicitud de los síndicos de la qu…</t>
  </si>
  <si>
    <t>…mi 29493 1000............... Sigiienza. sión . y asi se acordó. 18432, 1000............... Cádiz. La cuarta cuestión decía: «Finalmente, si las Cortes En virtud de providencia del Sr. D. Julián de Sojo, juez prefieren que se incluyan en el presupuesto los gastos de la togado de primera instancia de esta villa, se cita, llama y recaudación de las rentas en vez de deducirlos de su valor, emplaza á D. Josef Guasque, editor que fue del periódico como lo ha hech…</t>
  </si>
  <si>
    <t>…se podrá establecer en España la ley de Inglaterra, que concede al extrangero el poder recu sar la lista de jurados que no tenga la mitad del número ANUNCIOS. Por providencia del Sr. D. Julián de Sojo, juez de primera que sea también de extrangeros.” Y otra adición del Sr. López (D. Marcial) al art. 41: instancia de esta muy heroica villa , refrendada del' escribanoD. Santiago Manuel de Albóniga , se ha señalado el dia z 1 del «Que el ciudadano que no se e…</t>
  </si>
  <si>
    <t>…en sobre el Crédito público; pero que habiéndose repartido un egemplar impreso á cada dipu ANUNCIOS. tado, se podría ahorrar el tiempo de su lectura: se acordó Por providencia del Sr. D. Julián de Sojo, juez de primera asi, y señaló para discutirle la sesión ordinaria de pasado instancia de esta heroica villa, se hace saber á todos los que se mañana. conceptúen con derecho á un vale Real de 150 pesos, creación El or. qorde de Toreno propuso, y convino la co…</t>
  </si>
  <si>
    <t>…eñores sobre la totalidad de hesa, vecino y del comercio que fue de esta corte, en el juzga los arbitrios incluidos en esta lista, propuso el Sr. presi do de primera instancia del Sr. D. Julián de Sojo, y escribanía dente, para simplificar.la discusión, que se tratara de cada de provincia de D. Manuel López de Rivas, se ha acordado por uno en particular; y acordado asi, se procedió en seguida dicho Sr., X instancia de los síndicos de aquella, citar, como se…</t>
  </si>
  <si>
    <t>…cho des pacho , y en las provincias en todas las -administraciones princi D. Gregorio Morales y un capitán. pales y agregada, de correos. Caballos 11. En virtud de providencia del Sr. D. Julián de Sojo, minis LITERATURA. tro togado honorario de Ja audiencia de Castilla la Nueva, y juez de primera instancia de esta muy heroica villa, refrendada Ensayo sobre la historia antigua y moderna de la Nue de D. Tomas María Manrique, escribano del número de la mis va-…</t>
  </si>
  <si>
    <t>…víctimas del serrallo. ANUNCIOS. Las casas principales, los palacios y los templos mas suntuo sos son demolidos. Achmet, persuadido sin duda de que ei En virtud de providencia del Sr. D. Julián de Sojo, minis tro togado honorario de la audíencií territorial de esta Al. H. genio de la asolación era superior al Dios de Mahoma, con villa, y juez de primera instancia de ella , refrendada de Don serva las iglesias menos decentes para las'devociones de sus Claudi…</t>
  </si>
  <si>
    <t>…ue la de comer los primeros, to ANUNCIOS. dos sus súbditos comerían mejor y mas tranquilamente. Luis xtv, que en punto á vanidad no e dejaba arras ai- En virtud de providencia del Sr. D. Julián de Sojo, mi Rey del Pegú, pretendía también que no tenia ig.al: nec nistro togado honorario de la audiencia territorial de Castilla fluribtts impar. No cometía un gran mal hacienuo poner la Nueva , y juez letrado de primera instancia en esta villa, esta divisa soberb…</t>
  </si>
  <si>
    <t>…eculares y regulares, y religiosas; y lo mismo para los cu Los antos que por e! juzgado de primera instancia del’ ras párrocos, para las funciones de las parroquias; pues contiene Sr. D. Julián de Sojo y escribanía de D. Pedro josef de todas las reglas del canto figurado, con varias misas; la de di übnbe siguen los individuos de la junta superior gubernativa funtos á cuatro voces. Un tonto en 4-J Se vende en la librería de «¡rugía contra D. Josef Guasque, e…</t>
  </si>
  <si>
    <t>…periodistas le hicieron ANUNCIOS. volar por los aíres con su castillo, y ya en el dia se le ha lla de nuevo defendiéndose vigorosamente, y conservando En virtud de providencia del Sr. D. Julián de Sojo , juez correspondencias con varios comandantes del egerciro turco. togado de primera inorancia en esta corte, refrendada deí escri bano cartulario de loe ju/¿'dos de aquella en la misma Don. VARIEDADES. Joaquiu Sánchez, á p:&lt;á.manto de 13. Manuilde Pando, sín…</t>
  </si>
  <si>
    <t>Solabad, Francisco</t>
  </si>
  <si>
    <t>Francisco Solabad</t>
  </si>
  <si>
    <t>…a targeta impresa con cierta contraseña, que le califica para el caso de devolverse; y lo 4.0 que el fabricante recibe encargos de fuera de la corte bajo el sobre, porte franco, á D. Francisco Solabad, calle de Segovia, núm. 1, cuarto en tresuelo, esquina á la del Azotado, donde se halla de venta, y en Barcelona calle de Escudeilers blanche, núm. 8, piso principal. A virtud de providencia del Sr. D. Julián de Sojo, juez de primera instancia-, se señala par…</t>
  </si>
  <si>
    <t>Solana</t>
  </si>
  <si>
    <t>…reunidos hubiese de pasar la propuesta del'Sr. Vilianueva á la comi los diputados necesarios. sión de Legislación , se reuniese A esta la de Hacienda. El Sr- presidente nombró al Sr. Solana para la corttisio¡a Las Corees oyeron con adrado, y acordaron se hiciese de Guerra, y levantó la sesión. mención en el. Diario, las felicitaciones de la sociedad pa SS. 1MM. .que acompañados de SS. A A. basta el puente triótica de Maltael cuerpo del mmi.terio…</t>
  </si>
  <si>
    <t>…formación de causa del marques de por segunda vez, relativas á la reposición de los empleados Castelar. separados de sus destinos desde el 9 de Marzo de este año; Habló primero el Sr. Solana , diciendo que todo cuanto se que no.,puedan ser removidos los empleados á pretexto de habia indicado el día anterior , con respecto á los soldados la responsabilidad de los secretarios del Despacho; que para romanos y á los griegos, no venia al caso: que en…</t>
  </si>
  <si>
    <t>…tuirá en. el lugar que ocupaba el año la si- rsoTA. hn la gaceta de ayer, pág. 171, lín. 7, donde dice: g- iente: de erat in faíis ; y en el libro de la Constitu hctbld primero el Sr. Solana , léase el Sr, Valle; i cuyo discur ción, que está colocado en el escudo sobre una columna so siguió el del Sr. Solana. MADRID EN LA IMPRENTA NACIONAL.</t>
  </si>
  <si>
    <t>…se apro la doctrina que se enseña de palabra, ó se contiene en de bó el arr. 2.a terminados libros, y el prohibir á tos fieles bajo penas es Se aprobó la siguiente indicación del Sr. Solana: «Que pirituales la lectura de aquellos que contengan doctrina con el artículo ce haga extensivo á las juntas que se establecieron denada, le corresponde del misino modo la facultad de per antes de recibir la noticia de haber el Rey jurado la Cons mitir ó pro…</t>
  </si>
  <si>
    <t>…ue conviniese adoptar. se haga público y notorio en su desagravio y satisfacción.” El Sr. presidente suspendió la discusión hasta mañana; y después de haberse concedido permiso al Sr. Solana, di putado por Granada, para trasladarse á Málaga, su patria, á restablecer su salud, se levantó la sesión. ANUNCIOS. articulo de oficio. Cartas importantes del Papa Clemente xiv (Ganganeli), co lección formada por el marques Caracciolo: circo tornos en 8.’,…</t>
  </si>
  <si>
    <t>Solana, Manuel Antonio</t>
  </si>
  <si>
    <t>Manuel Antonio Solana</t>
  </si>
  <si>
    <t>…del Consejo de S. y teniente de corregidor de esta muy heroica villa, refrendada de D. Jacinto Gaona y Loeches, se ha señalado para una junta general de acreedores á los bienes de Don Manuel Antonio Solana el día id de Enero próximo en casa de S. S. y hora de las 9 de su mañana. Lo que se hace saber á los citados acreedores por medio de este anun cio; en la inteligencia de que al que no concurriere le parará el perjuicio que haya lugar. •Se desea saber el parad…</t>
  </si>
  <si>
    <t>Solanot</t>
  </si>
  <si>
    <t>…se cuenta LITERATURA. del esrado de aquel establecimiento , y otros particulares re lativos al mismo. Alemania.__Dusseldorf. Instrucción pública Se han Se leyó una proposición del Sr. Solanot, motivada, por expedido las órdenes convenientes para establecer :en és;a el descaro con que se portan contra, el sistema actual sus ciudad una escuela politécnica y una academia de bellas enemigos, comprometiendo la tranquilidad pública, y ci artes. Pará est…</t>
  </si>
  <si>
    <t>…emente á dar fectura del mismo ramo. De estos juicios T40 han sido por egemplo á la Nación en es'e punto. tener las muestras de g íneros de modo que embarazaban las Otras tres del Sr. Solanot, y fueron: i.a que las Cortes calles; 1 24 por contravenir á lo mandado con respecto á den un manifiesto á la Nación, haciendo ver las relaciones los coches y caballos, y de estos 24 por ir los carreteros que tiene con la Religión la Carta de la ley fundament…</t>
  </si>
  <si>
    <t>…fciéndoseles exigir el menor agasajo; pues aunque sean vo discusión sobre si había de admitirse á ella la proposición luntarios al principio, suelen hacerse después forzosos. del Sr. Solanot; V atendiendo á la gravedad del asunto , ma Otra del Sr. La grava para que al tiempo de tratar de nifestada por el Sr. Toreno , se acordó que antes de admi las dotaciones de los párrocos se tenga en consideración á tirla se dijese á los ministros vinieran dis…</t>
  </si>
  <si>
    <t>…adas se creyesen pa mayores motivos para tranquilizarse. Los que componen el ralizados por las traba- de la Constitución;y habiendo con ministerio no han mirado ia proposición del Sr. Solanot co testado el Sr. García Herreros que ninguno , continuó' di mo una' verdadera residencia , sino como hija del zelo que ciendo que no veia motivos para suspender las forrnalidatamo le ilustra, y tanto honor le hace. Que los individuos 'des de aquella ley , y…</t>
  </si>
  <si>
    <t>…arreglo á las leyes y reglamentos vigentesvinculaciones, ni pasar en ningún tiempo ni bajo ningún Ad se acordó. pretexto á manos muertas;” la que después de algunas refle Pidió el Sr. Solanot que se leyese una adición suya á la xiones quedó aprobada. preposición sobre diezmos , y el Sr. Lasanta que se leyesen El Sr. Ledesma preguntó que cuál era el término que todas las indicaciones, aun cuando durase la sesión mas de proponía la comisión , y quié…</t>
  </si>
  <si>
    <t>…ntos de los Individuos de Se admitieron en clase de proposiciones, y se leyeron dichas juntas de Censura, y no existiendo en aquella ciudad por primera vez cuatro indicaciones del Sr. Solanot, relati el número competente entre los que lo fueron antes, por vas á que e! pago de las dotaciones que se señalen á los que unos habian fallecido, y otros estaban ausentes, habian curas se paguen religiosamente con preferencia á las demas por fin procedido á…</t>
  </si>
  <si>
    <t>…acienda se mandó pasar una solici Se mandaron pasar á las comisiones que entienden en tud de la casa de Recogidas de e'ta corte , para que se le el asunto cuatro proposiciones del Sr. Solanot, dirigidas á continúe satisfaciendo los 20 rs. que desde el año 1767 ha que se declare preferente á cualquiera otra carga del Esta gozado de cada extracción déla lotería primitiva. do el pago de los gastos del culto divino ; dotación y subsis Juró y tomó adem…</t>
  </si>
  <si>
    <t>…tad de si debía mirar sión la indicación primera de este, y las de los Sres. Gu se el asunto política ó judicialmente; pero sin embargo, no tiérrez de Acuña é Isturiz ; y otro del Sr. Solanot , contra concebía cómo se habia tenido cuatro meses sin comunica rio á la aprobación de la adición del Sr. conde de Toreno, ción y sin que declarasen unos españoles, prescindiendo de para que se pagase la exposición del general Riego á la co quiénes fuesen es…</t>
  </si>
  <si>
    <t>…de aquellos oficiales generales que tengan otros des mudas de Hacjendu y Guerra. tinos y gocen sueldos por ellos, no debiendo por lo mismo A la de Hacienda se mandó pasar otra del Sr. Solanot, gozarlos en la marina. e ■para que la comisión de este ramo manifestase á las Cortes, s.J «Itnialmente corresponde rebajar los sueldos de ios •por medio de los correspondientes presupuestos y por mayor, oficiales de marina que estuviesen en las Amíricas, y c…</t>
  </si>
  <si>
    <t>…por su preopinante; pero manifestó que las circunstancias Sres. I.opez ( D. AÍarcial ) y Villa, suscrita después por el actuales habian obligado á la comisión á no considerarla co Sr. Solanot, para que se suprima la contribución de un mi mo un medio de llenar el vacío de las deinas rentas, sino á llón de reales que paga para las obras del canal la pro rebajarla hasta el punto en que pudiéndola soportar los pue vincia de Aragón; y habiéndose admiti…</t>
  </si>
  <si>
    <t>…los dos tercios que debían concluir en Se mandó pasar á la comisión donde se hallan los ante Agosto y Diciembre de este .año , y creyendo que seria es cedentes una indicación del Sr. Solanot, en que pedia que to mas útil que no hacer una gran rebaja á la Nación para la prohibición propuesta por. los Sres. diputados de Astu aumentar en el año próximo sus impuestos ; lo que podría, rias y Galicia para introducir ganados mayores en parte tener un in…</t>
  </si>
  <si>
    <t>…Azaola, Golfin, Arnedo, Loizaga y Díaz del Moral , con No se admitieron á discusión las indicaciones siguientes: trario á la resolución de las Cortes, declarando aprobados una del Sr. Solanot: «Que exprese la comisión el producto los contraregistros por el art. 8.° del decreto de aranceles. . íntegro de la renta de correos y demas que van anejas, y Se leyó en seguida la adición siguiente del Sr. Oiiver al también los sueldos de los empleados , y g…</t>
  </si>
  <si>
    <t>…individuo, á menos que en Ja aprehenCortes, quedó desaprobado. No se admitió á discusión la indicación siguiente del sión medien otras circunstancias, como falsificación de guias, Sr. Solanot: «Que se extienda la providencia acordada en resistencia ú otro motivo extraordinario; en cuyo caso, y cuanto á los atrasos expresados á lo que los pueblos esten siendo ya este un delito extraño del fraude, deberá procedebiendo al erario ó al Crédito público…</t>
  </si>
  <si>
    <t>…nveniente.” cia en 17 ile Enero de 1 íj 1 7. Ja comisión proponía se le A la comisión de Elaeienda se mandó pasar otra del recomendase al Gobierno para que le destinase según sus' Sr. Solanot, dirigida á que se hiciese extensivo á Monecircunstancias. ... . gro y otros pueblos el perdón cor.ced do a tres que ex Las C ortes aprobaron el dictamen de la comisión de In-i presaba. fracciones de Constitución acerca de la queja dada por el Se dió cuenta e…</t>
  </si>
  <si>
    <t>…su gratitud y reconocimiento al con cuyo dictamen se conformaron las Corves. augusto Congreso; Se aprobó el de la comisión de Hacienda, en que á consecuencia de la indicación del Sr. Solanot para que se ARTICÜIO DE OFICIO. hiciese extensivo á Moneg.o y oíros cinco pueblos el per- Con fecha 3 de Noviembre desde el Real sitio de S. Lo don del préstamo concedido al de Monegrilio y otros renzo dice el Sr. secretario de Marina al Sr. secretario de Ja…</t>
  </si>
  <si>
    <t>Solanoty</t>
  </si>
  <si>
    <t>…solicitud por medio de una proroga, y con la imposición López (D. Marcial) para que se erigiese en dicha ciudad de ciertos derechos sobre los referidos.granos. sede episcopal. El Sr. Solanoty individuo de la comisión de Agricultu A la de Infracciones una queja de D. Agustín Arguello, ra, en voto separado opinaba que nó debia accederse á la vecino de Granada, en Gcatemala, contra el capitán O. Jo- solicitud, pues solo el cargamento.de los 53 buques…</t>
  </si>
  <si>
    <t>Solazar, Luis de</t>
  </si>
  <si>
    <t>Luis de Solazar</t>
  </si>
  <si>
    <t>…ría de Estado y del Despacho de Marina, de que estaba encargado interinamente D. Josef María de Alds, he venido en nombrar en la misma ca lidad de interino para dicho ministerio á D. Luis de Solazar. Tendreislo en tendido, y lo comunicareis á quienes*corresponda. Palacio 9 de Marzo de 1820. = Está rubricado.” El Rey se ha servido nombrar para el empleo de capitán del cuerpo de Guardias de la Real Persona, vacante por separación del duque de Alagon, al te…</t>
  </si>
  <si>
    <t>Solís, Rafael Rodríguez</t>
  </si>
  <si>
    <t>Rafael Rodríguez Solís</t>
  </si>
  <si>
    <t>…n Santiago Olloqui y Martínez, D. Manuel La-Cerda y Paiafcx, D. Juan Ló pez Larrainzar , D Francisco Cascajares y Bardnxí, D. Josef Aivarez Reyero , D. Cárlos Casaprin y González, D. Rafael Rodríguez Solís, D. Josef Canals y Mayéis, D. Rafael Galinno y Guillelmi, D. Francisco Rívadeneira y Acevedo, D. Mariano Navarro "y Avellañ, D. Juan Basco y Sarria; Den Ramón Nuñez de Haro, D. Josef Rulz del Burgo y Basabrú, D. Benito Osma y Osma, y el soldado distinguido de…</t>
  </si>
  <si>
    <t>Solis, Rosa</t>
  </si>
  <si>
    <t>Rosa Solis</t>
  </si>
  <si>
    <t>…e aprobó. leyó en efecto después de alguna discusión; y habiendo Igualmente se aprobó el dictamen acerca de la solicitud manifestado los Sres Palarea y Sánchez Salvador, que no de Doña Rosa Solis, viuda de D. Valentín González Mé- trataba !a comisión de extinguir el cuerpo, sino de refor rida, para que se le atendiese en consideración á los servi marlo, se acordó votar el artículo por partes: quedaron cios de su marido , y á no haberla quedado viudeda…</t>
  </si>
  <si>
    <t>Solo</t>
  </si>
  <si>
    <t>…nes del anunciado Con personages diplomáticos ; pero hasta ahora no se habla mas greso de los Soberanos de Austria, Rusia y Prusia. que de Mr. deBerstett, ministro de Badén, y del príncipe Solo debemos pues desconfiar por ahora del Austria. Sus ■Ruffo, embajador napolitano en Viena, que aunque despe tropas de Italia han recibido un aumento de 30® hombres, dido por su corte, acaso será llamado á Troppau. y hay noticias de que pasarán los Alpes otros…</t>
  </si>
  <si>
    <t>Solo, M.</t>
  </si>
  <si>
    <t>M. Solo</t>
  </si>
  <si>
    <t>…e ha derogado por el capítulo 3.0 traducida del griego al español por primera vez, é ilustrada del reglamento de juntas generales, y no se admitirán subs con notas por J. F. V. J. D. M. Solo el nombre de Demóstituciones de poderes de unos á otros, habiéndose prohibi tenes basta para formar el digno elogio de esta célebre oración do este medio por el capítulo 7.0 de dicho reglamento, de pronunciada en el senado de Atenas. Asi Cicerón la reco biend…</t>
  </si>
  <si>
    <t>Solórzano, Juan de</t>
  </si>
  <si>
    <t>Juan de Solórzano</t>
  </si>
  <si>
    <t>…rroquial, en cule. = Señalado de la Real mano. = En Palacio á 27 de No la que de-pues de la mi-a mayor y de un enérgico discur viembre de 182o.— A D. Josef Canga Arguelles. so d i Sr. D. Juan de Solórzano, párroco de la misma, se Circular del ministerio de la Gobernación de la Pe hi- o el iurnmer.to con toda la solemnidad posible ; y conclui nínsula. do , salió con la misma formación de compañías y escua «Conocida la necesidad de dar á'los pósitos del reino dr…</t>
  </si>
  <si>
    <t>Sommers</t>
  </si>
  <si>
    <t>…tengo por conveniente hacer la propuesta de que no se lea culo de acusación, no puedo menos de votar contra el bilí." ahora, sino Je hoy en seis meses. (Esta es la formula con El lord Sommers expuso en un largo discurso las ra que se desecha un bilí. ) zones que hablan convencido enteramente su entendimiento El duque de Monrose se opuso fuertemente á la pro del crimen de la Reina, citando entre las mas poderosas la puesta del ministro , y el lord…</t>
  </si>
  <si>
    <t>Sommerset</t>
  </si>
  <si>
    <t>…han inundado igualmente todas las lla nuras entre Morat y Aarhergí GUN BRETAÑA. Londres i.° de Enero. Según cartas del cabo de Buena-Esperanza, de fecha 30 de Octubre, continuaba lord Sommerset tratando con los cafres sobre la cesión de una</t>
  </si>
  <si>
    <t>…la total ruina y dispersión de aquellos salvages, han quedado tan abatidos, que no oponen mucha dificultad en conceder al lord las tierras que pretende; pero sin embargo no se fia lord Sommerset de las amistosas disposiciones que muestran, y ha pedido á la metrópoli un regimiento de ca ballería por si acaso se ofrecen nuevas hostilidades, para que no le cojan des prevenido , pues la falta de esta clase de tropas es lo que ha hecho tan temibles á ios…</t>
  </si>
  <si>
    <t>Somorostro, Andrés Gómez de</t>
  </si>
  <si>
    <t>Andrés Gómez de Somorostro</t>
  </si>
  <si>
    <t>…calle de Toledo, y en la de Gonzá lez, calle de Atocha. Concluida ya y pronta para entregarse la obra titulada el Acueducto y otras an tigüedades de Segovia, ilustradas por el Dr. D. Andrés Gómez de Somorostro, ca nónigo y dignidad de tesorero de aquella santa iglesia, en un volumen en folio, acom pañado de cinco láminas, y encuadernado á la rustica, se avisa á los suscriptores, cuya lista va inserta en ella, acudan á recogerla y pagar su importe de 40 rs. en la im…</t>
  </si>
  <si>
    <t>Somoza, Josef</t>
  </si>
  <si>
    <t>Josef Somoza</t>
  </si>
  <si>
    <t>…políticos interinos al bri gadier D. Josef Marrón de la provincia de Burgos; á D. Manuel Riva Her-? rera de la de Alava; ai intendente D. Josef Blanco González de la de Aragón; á D. Josef Somoza de la de Avila; al brigadier D. Josef del Castellar de la de Cataluña; á D. Pedro Lainez de la de Córdoba; al brigadier D. Ra món Losada de la de Galicia; á D. Joaquín Montesoro de la de Guadalajara; al brigadier D. Francisco de Paula Osorio de la de la Manch…</t>
  </si>
  <si>
    <t>Soreia, Luis</t>
  </si>
  <si>
    <t>Luis Soreia</t>
  </si>
  <si>
    <t>…orden para su cumplimiento. Madrid 23 de Mayo de 1820.” 3.a ,,Habiendo nombrado , en virtud de las facultades que el Rey se ha servido concederme por decreto de 22 de este mes, á D. Luis Soreia y Don Juan Angel Caamaño para mayores de la secretaría del Despacho de Hacien da de mi cargó, y hallándose por lo mismo autorizados para firmar todas las providencias relativas áj'a instrucción de los expedientes, lo aviso á V. pa- j ra su fateligericia-y gobierno, acompañando muestr…</t>
  </si>
  <si>
    <t>Soret, Gregorio</t>
  </si>
  <si>
    <t>Gregorio Soret</t>
  </si>
  <si>
    <t>…, establecimiento da colegios mili ares la deuda nacional. y otros puntos del servicio, presentados con una exposición Se presentaron unos elementos de fisiología, con un piara de D. Gregorio Soret, alférez de dragones. dé enseñanza y gobierno del arte de curar , en las tres facul Se aprobaron dos dictámenes de la comisión de Examen tades de. medicina, cirugía y farmacia, y se mandó pasar á dé cuentas de diputaciones provinciales; uno proponiendo la com…</t>
  </si>
  <si>
    <t>Soria, Joref María de</t>
  </si>
  <si>
    <t>Joref María de Soria</t>
  </si>
  <si>
    <t>…D. Manuel de Bezuntlla, asistidos; en inteligencia que de no hacerlo asi les parara el per comandante del distrito de Salvatierra, y del teniente coro juicio que ¡uiya lugar. nel D. Joref María de Soria, encargado de la partida vo Ensavo político sobre el reino de Nueva-Espana, sacado lante de la misma, anuncian con júbilo la completa pacifi del que escribió en francés Alejandro de Humboldt: dos tomos cación de aquella provincia, una de las mas intestadas po…</t>
  </si>
  <si>
    <t>Soria, Josef</t>
  </si>
  <si>
    <t>Josef Soria</t>
  </si>
  <si>
    <t>…regimiento de ITALIA. Borbon para fugarse, á ser ciegos instrumentos-de algunos1 fatuos perturbadores del orden público, se hallaba de guar Turiti 19 de Noviembre. dia el oficial D. Josef Soria, el cual habiéndoles hecho re Se conceptúa que llegará á 200® el número de milicianos sistencia, fué muy maltratado y herido por ellos. En-el las con que en el reino de las Dos Sicillas se podrá contar en timoso estado en que le dejaron no fue otro el objeto…</t>
  </si>
  <si>
    <t>Soriano, Manuel</t>
  </si>
  <si>
    <t>Manuel Soriano</t>
  </si>
  <si>
    <t>…á mis domésticas tareas, lle A la de Instrucción pública un plan de reforma en la vando solamente conmigo la dulce memoria de no haber sido . enseñanza de medicina práctica-, por D. Manuel Soriano. indigno de vuestra confianzas Cada dia de mi existencia será A la comisión correspondiente un. ofició dei Gefe políun tributo de gratitud y admiración hácia vosotros. Mi úl-. tico^dc Toledodando parte de que el diputado que fue timo su~piro será para Dios; e…</t>
  </si>
  <si>
    <t>Sostof-a, Josef María</t>
  </si>
  <si>
    <t>Josef María Sostof-a</t>
  </si>
  <si>
    <t>Por muerte ábíntéstato del teniente coronel D. Josef María Sostof-a, capitán de dragones de Buenos-Aires, ocurrida en el hospital general de esta plaza el din 9 de Abril de este año, se han formado autos y recogido sus bienes por el juzgado de esta capitanea general de Castilla la Nueva, el que ha mandado se haga presente al…</t>
  </si>
  <si>
    <t>Soto, Josef Serrano</t>
  </si>
  <si>
    <t>Josef Serrano Soto</t>
  </si>
  <si>
    <t>…s leyes prohibitivas se suponía cargada sobre lps consumi Habiendo dado cuenta al Rey el Gefe político interino de dores para favorecer á los artistas, no era sino una antici Jaén D. Josef Serrano Soto de haberse omitido por el cabil pación que hacia el Estado, verdadero consumidor, para do de aquella iglesia catedral, al tiempo de jurarse la Consti adquirirse un ramo de industria que no existía 5 hizo pre tución política de la Monarquía, la exhortación pre…</t>
  </si>
  <si>
    <t>Sotomayor</t>
  </si>
  <si>
    <t>…mpañía de navegación del Guadalquivir, del manifiesto A la comisión Eclesiástica, se mandaron pasar varias que habían publicado sobre el objeto, origen v trabajos de adiciones del Sr. Sotomayor sobre dotación de curas , y aquel establecimiento; y pidiendo determinase si había de otra del Sr. García (D. Antonio) para que se tenga presente continuar en sus privilegios, cor otros particulares. que en la villa de Osuna no hay mas que una parroquia fue S…</t>
  </si>
  <si>
    <t>Sotomayor, Alvarez</t>
  </si>
  <si>
    <t>Alvarez Sotomayor</t>
  </si>
  <si>
    <t>…ugo indígeno, que algunos países de Alemania lia» D. Baltasar Zapata sobre lanas finas, presentada por el se empleado ya en la medicina doméstica. ñor Sánchez Salvador. . Otra del Sr. Alvarez Sotomayor, para que en atención á haber cesado las circunstancias que probablemente influi rían en la suspensión expresada en el artículo 93 de la Cons ANUNCIOS. titución , se declare la renta que con arreglo al artículo 92 te requiera tener para ser elegido diputado d…</t>
  </si>
  <si>
    <t>…diera allanar ninguna casa sin previo detención y «mero, teniendo á la vista lo propuesto por mandamiento expreso de los jueces respectivos. las Cortes extraordinarias en 1813. El Sr. Alvarez Sotomayor, haciendo presente que había Los Sres. Sánchez Salvador y Gi raido hicieron algunas muchos pueblos en que se publicó la Constitución despees observaciones sobre esto, diciendo el último que el moti de 9 de Marzo, y en algunos contra su voluntad, como vo de no…</t>
  </si>
  <si>
    <t>Sotqrnayor, Alvarez de</t>
  </si>
  <si>
    <t>Alvarez de Sotqrnayor</t>
  </si>
  <si>
    <t>…aderamente original, hizo presente el Sr. Quiro- permanecer cada miliciano en el servicio.” , : ga los importantes servicios que desde que le libró de las No se admitieron dos del Sr. Alvarez de Sotqrnayor par cadenas de la Carraca habia hecho al ege'rcito de la Isla, re ra que se pagase de cándales de propios á los milicianos, que comendándole como acreedor á la consideración de la pa se ocupasen en la conducción de los reos ó caudales púb¡ico£&gt; tria. Habiendo…</t>
  </si>
  <si>
    <t>Soult</t>
  </si>
  <si>
    <t>…e doy fin, asegurándoos, señor vizconde, la distinguida consideración con que soy vuestro servidor ¿kc. ,,Sturtgardt 29 de Diciembre de 18x9. = Firmado. =El conde Brilingeroide Kl general Soult, duque de Dalmacía, ha prestado hoy nuevo juramento de fidelidad al Rey, y S- M. le ha devuelto el bastón de mariscal. Esta mañana recibid el Rey á los embajadores de Ñapóles y: de España, á los mariscales Leíebvre y Beurnonviile, á los ministros, á los Pares…</t>
  </si>
  <si>
    <t>Spíneux, Fernando</t>
  </si>
  <si>
    <t>Fernando Spíneux</t>
  </si>
  <si>
    <t>…e no sea absolutamente necesaria á la seguridad especie que sea, hacer y tundir tejidos de todas clases &amp;c. del Estado y conservación de la justicia. Las máquinas las ha fabricado D. Fernando Spíneux, natu Por lo respectivo al modo de proveer á la existencia de ral de Lieja, y uno de los mas acreditados artífices en. esta la persona acusada después de la conclusión del proceso, clase de obras; y el expresado Miramon ha usado de ellas se cree que la inicia…</t>
  </si>
  <si>
    <t>Sr</t>
  </si>
  <si>
    <t>…....................... 128,5 89..24 el Rey constitucional. En su núm. x.° publica el siguiente En recibos de intereses de vales............. 17,189...!7 párrafo en loor del digno diputado Sr. Isturiz , muerto en En cédulas de la caja de Consolidación. 4,000 la flor de su edad. En metálico, con inclusión de lo reser w Hasta ahora en la dedicación de nuestros elogios á los vado para pago de los acreedores, reformadores de la nación ibera hablamos t…</t>
  </si>
  <si>
    <t>Sr, CaEl</t>
  </si>
  <si>
    <t>CaEl Sr</t>
  </si>
  <si>
    <t>…hayan Acuña, y que iba á hacer otra para que los secretarlos del dado sobre el particular." Despacho diesen cuenta de sus operaciones. El Sr. Freire apoyó esta indicación; pero el Sr. CaEl Sr. Vitorica dijo que no solo debia tenerse una ab latrava se opuso á ella , porque dijo ser la misma que el soluta confianza en que seria sostenida la representación na Congreso habia desechado con diferencia de palabra'. Ha cional por los mismos ciudadanos, po…</t>
  </si>
  <si>
    <t>Sr, El</t>
  </si>
  <si>
    <t>El Sr</t>
  </si>
  <si>
    <t>…n todos los expedientes de permisos y privilegios exis viesen en los conventos. tentes en la comisión, de Hacienda á la de Comercio. Se opuso el Sr. Moreno Guerra á la opinión del señor El Sr. Ramos de Arispe hizo una indicación , pidiendo Vítorica, porque no creia fuese perder tiempo dedicar me .que el Gobierno hiciera se cumpliese el artículo 17 del re dia hora á la decisión de este negocio. glamento del consejo de Estado para que se fijen los d…</t>
  </si>
  <si>
    <t>…sustanciacion , y les nuación leyó otras dos leyes de la Recopilación sobre este parará el‘perjuicio que haya lugar. punto. Los suscriptores á la colección de novelas que publica Don El Sr. Calatrava dijo serie muy sensible que fuera la co Mariano de Cabrerizo, en Valencia, acudirán á recoger dos misión tan desgraciada, pues el Sr. Freí re la tachaba de in entregas, que contienen : Reinaldo y Elina, ó la anécdota pe fractora de la Constitución…</t>
  </si>
  <si>
    <t>…drían ser materia de un decreto particu Los papeles públicos y cartas particulares de la mayor lar, que solo iratase de ellas. parte de las provincias de España hablan, del júbilo general El Sr. Moreno Guerra dijo, que 110 podía menos de y extraordinaria alegría con que todos sus habitantes han oponerse á la adición, porque.no era del díi; pues si se celebrado á porfía la apertura de las Cortes, y el juramen habia tratado de vagos y mal entretenidos…</t>
  </si>
  <si>
    <t>…edro Coro las leyes les' prohíben la cuestación para la redención de nado, que también se habían parado á las Comisiones. cautivos. Se acordó suspender hasta la discusión del plan general El Sr. Casaseca quería qué en asunto de esta importan de estudios la resolución de una proposición del Sr. R uíz cia se leyese la indicación dos veces, y se pasara luego á la de Prado , dirigida al establecimiento de escuelas de náutica. comiríon para que no se dec…</t>
  </si>
  <si>
    <t>…formaría lleno del mayor gozo con el dictamen Le impugnó) el .Sr. Torre Mario, reproduciendo las re de la comisión. ■ ■ . '* flexiones del ir. Martínez de la Rosa ; y le apoyó» el señor El Sr. presidente suspendió la discusión "piara continuar Florez Estrada , expresando que no podia ni debia subsistir la á la noche; señaló para mañana el nombramiento de la un contrato dirigido en la esencia á empobrecer mas y mas comisión que debia encargarse de…</t>
  </si>
  <si>
    <t>Sr, Lui-a Carlota</t>
  </si>
  <si>
    <t>Lui-a Carlota Sr</t>
  </si>
  <si>
    <t>…á S. A. la Serma. Señora señala. Infanta Doña María Francisca de Asís fío© con-el mismo Se declaró el punto suficientemente discutido; pero el objeto; y á la Serma. Señora Infanta Doña Lui-a Carlota Sr. Isturiz dijo que antes-de votar debía advertir que el ar 6oo© rs. id. t¡.° Y para lo: dos Sermos. Sres. Infantes ticulo de que se estaba hablando era contrario al espíritu D. Carlos María y D. Francisco de Pau'a da suma de 300© expreso y literal de la Consti…</t>
  </si>
  <si>
    <t>Sr, Otra del</t>
  </si>
  <si>
    <t>Otra del Sr</t>
  </si>
  <si>
    <t>…de la mis tículos, empiecen á contarse desde el dia en que la juró ma comisión de Poderes, aprobaron los de los señores di S. M. putados suplentes electos D. Manuel de |a Bodega y Don Otra del Sr. Vargas Ponce para que se repartan ciertos Antonio de Moya, por el Perú; D. Josef Sacara, por Goaterrenos, divididos en suertes, á los marineros casados y sol temala, y D. Francisco Carabaño, por Venezuela; y no ad eados retirados, bajo la condición de hacer…</t>
  </si>
  <si>
    <t>Sr, Ramón Del</t>
  </si>
  <si>
    <t>Ramón Del Sr</t>
  </si>
  <si>
    <t>…no diese parte dentro de 24 horas, incurrirá en Se mandó pasar al Gobierno , como proponía la co la pena señalada en el articulo.” misión especial de Hacienda , un3 exposición ue D. Ramón Del Sr. Zapata: «Las cartas pastorales y los edictos se Sancho , capitón de inválidos, á fin de que le concediese el publican por lo común impresos: pido que en este caso se permiso de rifar una máquina de iluminación , que hizo para declare que no es responsable el…</t>
  </si>
  <si>
    <t>Sr, Ramonet.-</t>
  </si>
  <si>
    <t>Ramonet.- Sr</t>
  </si>
  <si>
    <t>…mentales del arancel general. neficiado y 36 vecinos de la villa de Villaramiel- sobre No sé admitió á discusión la Indicación siguiente del una queja que daban, presentada por-el Sr. Ramonet.- Sr. Priego, relativa al árt. 6.°: «Que se prohíba absoluta Se leyó una exposición del médico de la ciudad de-Gan- mente la seda en rama, el cáñamo y e! lino.” día D. Mariano Pesit, presentada por el Sí. Traver, en la Tampoco se admitieron las siguientes: una del…</t>
  </si>
  <si>
    <t>Sr, Romero</t>
  </si>
  <si>
    <t>Romero Sr</t>
  </si>
  <si>
    <t>…l Sr. Ugarte (Don ya resuelta la cuestión con el gran número de los que se Agustin ) en e! concepto de ser justa la queja , le apoyó el hallan ya en IStpaña ; y conviniendo con el Sr. Romero Sr. Ochoa, persuadido á que debía haberse dicho solamente Alpuente , opiraó que no habia medio entre convertirlos en si habia ó no lugar á la formación de causa; á lo que con hermanos ó ene:inigos. testó el Sr. Crespo Cantolla, que no estaba bastante instrui Man…</t>
  </si>
  <si>
    <t>Sres</t>
  </si>
  <si>
    <t>…ncia de Se autorizó al Gobierno, á consecuencia de oficio remi la nobleza. tido por el ministerio de la Gobernación, apoyado por los Apoyó el dictamen de la comisión el Sr. López (Don Sres. conde de Montenegro y Moragues, para que usase de Marcial), fundado principalmente en que conviniendo to los fondos de espolios, pío y del indulto cuadragesimal, dos'en ser injustos los mavorazgos, si habían de proceder .con el tin de atender á los gastos de…</t>
  </si>
  <si>
    <t>Sres, M. Daimau</t>
  </si>
  <si>
    <t>M. Daimau Sres</t>
  </si>
  <si>
    <t>…ministerios de la Gobernación La comisión de División del territorio expuso sj d’CMde la Península, Guerra y Hacienda, y remitidas por los men acerca de la memoria presentada por D. M. Daimau Sres. Secretarios de los mismos ramos. . sobre la división territorial de Granada, opinando que en Se mandaron pasar con urgencia A la comisión de Ha atención al esmero con que estaba trabajada, y la exactittió cienda varios oficios del secretario de la Gobernació…</t>
  </si>
  <si>
    <t>Sres, Porlier los</t>
  </si>
  <si>
    <t>Porlier los Sres</t>
  </si>
  <si>
    <t>…n archivar 200 egemplares remitidos por el Continuaron recordando los méritos y servicios patrió ministerio de Hacienda del decreto circulado sobre atrasos ticos y el heroísmo del general Porlier los Sres. Torre Ma-</t>
  </si>
  <si>
    <t>Sresvard</t>
  </si>
  <si>
    <t>…e embajador lord degenerarían del carácter Je ciudadanos y de pertenecer i Stevvarr, hermano del lord Ca'tlereagh. la familia española, si no compareciesen presurosos ante la Este lord Sresvard, añadió el orador, mantenía á Ma- augusta representación de tan gran Nación á íelicitarla por jocci , que era uno de los principales traficantes de per el celo y acierto en sus sesiones del 6 y 7 de Setiembre, de jurios ; y he aquí el motivo por qué la Reina…</t>
  </si>
  <si>
    <t>Srewart</t>
  </si>
  <si>
    <t>Núra. 178. [ 7 cuartos. 3 8qi GACETA DEL GOBIERNO. JUEVES ai DE DICIEMBRE DE 182c. NOTICIAS IXTRANGERAS. Gordon reemplazará definitivamente á lord Srewart en las negociaciones que van á continuarse. Estas negociaciones de ESTADOS-UNIDOS DE AMERICA. berán asegurar por muchos años la paz de la Europa , si se ha de ,dar crédito á ciertas especies semi-confidenciales. Washington 2 3 de Octubre. Nuestro Congreso va…</t>
  </si>
  <si>
    <t>SS</t>
  </si>
  <si>
    <t>…remitida por el ministro de Gracia y Justicia, so Madrid jj de Julio. bre conocer del recurso de fuerza introducido por D. Ma nuel López Malo, presbítero , de las providencias del juez SS. MM. y AA. siguen sin novedad en su importante interino de la Real capilla. 3.üO:ro promovido por ei con salud. de de Puñonrostto sobre devolución a sus bienes de las fin S. M. ha despachado hoy con el Sr. Secretario de 1» cas usurpadas por e! Gobierno intrus…</t>
  </si>
  <si>
    <t>…etiembre. que en atención á la escasez de la cosecha se socorra á los labradores poi&gt; via de empréstito con algunas cánudades de tercias Reales, Excusado y Noveno; y otras dos .de Don SS. MM. y AA. siguen sin novedad en su importante Toaquin Saez López y D. Joaquín María Ferrér sobre la re salud. . misión de dos custodias á S. Sebastian y a Pasagcs.^ ^ S. M. ha despachado hoy con los Sres. secretarios del Despacho de Gracia y Justicia, Hacien…</t>
  </si>
  <si>
    <t>St, Rafael del Rie</t>
  </si>
  <si>
    <t>Rafael del Rie St</t>
  </si>
  <si>
    <t>…ca oportuno sobre este asunto." de 11 de Setiembre anterior, por el que aprobándose el es Se mandó pasar también á la comisión una indicación del cuadrón de caballería que creó el general D. Rafael del Rie St. Casaseca, relativa al arbitrio 8.a de ja lista núm. 4, la go, al mando de D. Cárlos Osorno, se previene será uno cual decía: «Redáctese én la forma siguiente: los bienes de ae los que formen alguno de los actuales regimientos de ca los monacales suprimidos y…</t>
  </si>
  <si>
    <t>Sta, Faustino</t>
  </si>
  <si>
    <t>Faustino Sta</t>
  </si>
  <si>
    <t>…de 30 días, conta ponen ; fundación de Qdessa, su estado actual, su dos desde el en que salga este aviso , á D. Juan Angel de Aramcomercio 6-r. buru, D. Pedro Martin de lriarte y D. Faustino Sta. María y No hay en todo e¡ globo punto mas interesante para un Velasco, últimos tenedores el primero de dos vales reale*-de observador que los países bañados por las aguas del mar Ne 300 pesos cada uno, creación de t.° de Setiembre de 1807, gro. Parece que el…</t>
  </si>
  <si>
    <t>Sta, Josef Antonio de</t>
  </si>
  <si>
    <t>Josef Antonio de Sta</t>
  </si>
  <si>
    <t>…99^ y quese?, que tes disputaron el para, y emprendieron con ellos cual Moreno de.Mora del 19,431 , 39,433, I9»47i una porfiada y sangrienta guerra; y para continuaría con 41,020: D. Josef Antonio de Sta. María del 23,994', 23,999 y 24,008: D. Manuel Velasco d-el 24,016: D. Ignacio Gi- ventaja se confederaron con otras muchas tribus contra los rona del 24,022 y 55,193= D. Meliton López del 32,523, delawares. En medio de esta contienda se aparecieron los 33,S2…</t>
  </si>
  <si>
    <t>Stanhope</t>
  </si>
  <si>
    <t>…pues apenas les quedan 600 europeos para defender la plaza contra los malayos, que pueden reunir mas de 6© hombres; y si se traba una acción es probable que sea muy sangrienta. El lord Stanhope ha pronunciado un extenso discurso en la Cámara ¡de los Pares sobre los males que afligen á la humanidad , y proceden en grajvípayté de la influencia, que ha tenido^en Inglaterra la revolución de Francia. Es una grande convulsión nacional, dijo, en que las pr…</t>
  </si>
  <si>
    <t>…la casa de campo, de este mismo nombre, reclamada por Luis.Bonaparte como suya. •j ■*» ; . , . GRAN BRETAÑA. Londres ag de Mayo. Para rechazar enteramente el error manifestado por lord Stanhope acer ca de la perniciosa influencia de las máquinas sobre la suerte de los habitantes, basta hacer una comparación entre Alemania é Inglaterra. Los labradores ale manes viven muy mal; sus haciendas, én general reducidas , producen poco, porque les faltan los'…</t>
  </si>
  <si>
    <t>Ste-</t>
  </si>
  <si>
    <t>…Justicia que los carecen enteramente de fundamento. Solo se habla de una tribunales superiores de Nápoles, tanto civiles como crimi importante nota remitida á los.Soberanos por el lord Ste- nales, deseaban enviar á la Cámara una diputación para ha xvart, embajador de Inglaterra, con respecto á las ocur cer públicos y notoiios los sentimientos que les animan, se opusieron algunos vocales, alegando por razón que solo á rencias de Ñapóles. los mini…</t>
  </si>
  <si>
    <t>Steigner</t>
  </si>
  <si>
    <t>…los Comunes haráa borrar las maquinaciones dirigidas contra su ■ ’ ' V: ' ' lvJi '¡r ^ T(‘ ^ l’ersona.' &gt; ^ , -u •' • ■&gt;:' ' ■ ■: FRANCIA. ■ ',r';í r-- , s París i.° de Junio. El? capitán Steigner, de Berna, que uo hace inucho tiempo condujo á</t>
  </si>
  <si>
    <t>Stenfftt</t>
  </si>
  <si>
    <t>…a la vasija mas ordinaria y la tela mas grosera. Idem 23. El ,lqne,s último recibió el agua del bautismo un tqrco en la iglesia de las misiones extranjeras, siendo sus padrinos el conde Stenfftt, ministro del Rey de Saxonia en esm copre, y;sU hija. Hace un mes abjuraron en la misma igle sia el protestantismo varias personas;, y entre ellas una señora ilustre por s« nacimiento. ESPAÑA. Lima 10 de Abril. ■i &gt; ... El Excmo. Sr. yirey ha recibido el sigu…</t>
  </si>
  <si>
    <t>Steva, Rafael</t>
  </si>
  <si>
    <t>Rafael Steva</t>
  </si>
  <si>
    <t>…s, excusen generalidades, y procuren ceñirse á lo mas sustancial y útil. y ^ * Pas memorias que se remitan para concurrir á los premios se han de diri gir francas de portes al Dr. D. Rafael Steva, primer secretario de la acade mia. y han de estar escritas en castellano 6 en latín. En la sesión que celebro la Real academia de ciencias naturales y artes en' c\ día 12 del corriente desempeñó el egercicio literario su socío^e número en la dirección de bot…</t>
  </si>
  <si>
    <t>Steward</t>
  </si>
  <si>
    <t>…l soldado que ti■ró un pistoletazo en el. palacio de Rusia. Por lo demas la Viena 18 de Noviembre. Puerta le ha dado una completa satisfacción , enviándole Escriben de Troppau que lord Steward , embajador con este motivo uno de los principales empleados del im británico, y el conde de Capo d’Istria, á nombre de la Ru perio otomano para que le desagravie. Sin embargo se sabe sia, han pasado notas á los ministros de las grandes poten •que esta satisf…</t>
  </si>
  <si>
    <t>Stewart</t>
  </si>
  <si>
    <t>…cerca del Congreso, y Mr. de Glhbigiasde segundo. . ; • i -. Anteayer llegó de Corfú lord Francisco Órbonme con pliegos que $e pre sumen de grande importancia. Se alojó en casa de lord Stewart, é in medí al tamente fue presentado á S. M. I. . ¿ Un incendio terrible ha reducido á cenizas en Constantinopla cerca de 1500 casas. Se cree que los genízaros son los principales autores de esta desgracia, y que su objeto fue asesinar al agá en medio de la c…</t>
  </si>
  <si>
    <t>Num. 63. £ 5 cuartos, j GACETA DE MADRID 1 DEL SABADO 8 DE ABRIL DE i&amp;zo. AUSTRIA. Vierta 8 de Marzd. ! Dícese que lord Stewart está preparando suviage á Inglaterra, para pre sentarse al Rey, y darle gracias por el nombramiento que le ha conFerido de «oronel en propiedad del regimiento de caballería denominado antes del Prín cipe Regente. . " Ya se han realizado las ordenes de S. M.,…</t>
  </si>
  <si>
    <t>…en á sus súbditos á faltar á su primetró en casa del marques de Onischalti, y q te hace unos dos ra obligación, que es la de conservar la iide.idad, el honoraños que se presentó á lord Stewart, embajador ingles en. y la subordinación; pues consta que se vió precitado á huirViena , quien le recibió en su cosa ; pero se ignora con qué y esconderse para evitar los resultados de la falta de discidestino. Habiéndosele preguntado si era amigo ó secretano…</t>
  </si>
  <si>
    <t>…informes, sobre servaciones, dirigidas á probar que eran talsa- las aserciones este tes ic&gt;o. Después de un corto altercado se re'oivió que de cierto pcpqdico sobre la conducta de lord Stewart, em los abogados de la Reina le hiciesen mas adelante las pregun bajador en Váena , respecto de Majocci, y concluyó dicien do que no creía que lord Stewart ni aqueL testigo fuesen ca tas qtie tuviesen por convenientes. Lo mas esencial que pedo averiguarse en…</t>
  </si>
  <si>
    <t>…o semejante sin derramamiento ’Metternich por el Austria, el conde Golowkin por la Ru-' de sangre ,-sin la menor oposición, y con la mas admirable sia, Mr. de Caraman por Francia, lord Stewart por la unión de los pueblos. Gran Bretaña, y el general Krusenmarck por Prusia: es La Inglaterra parece estar indiferente: el embajador in tos cinco ministros saldrán de Viena el día 15. Se añade gles asegura que el aumento de fuerzas de aquella nación en ue…</t>
  </si>
  <si>
    <t>…as austríacas de Ferrara y Ponte-di-Lagqnaye, enviado de la misma potencia en í&gt;. Petersburgo; Oscuvo-, que constaban de so!os 6 0 hombres, se han au por parte de la Inglaterra el lord Stewart, embajador en mentado hasta 1,500, y se continúa trabajando con mucha Viena; por la de Pru ia el canciller príncipe de Hardem- actividad en las obras de la cabeza del puente. berg, el conde de Bernstoff, ministro de Negocios exiran- UÁ individuo, que se titul…</t>
  </si>
  <si>
    <t>…ahora. tropas austríacas que están en ¡a Alta Italia, y de los pee-, Ha llegado aqui inesperadamente el embajador ingles paratívos militares que hace el Austria contra el reino do lord Stewart; y habiéndose detenido solamente algunas ho las Dos Sicilias. Esta nota manifiesta los medios de que se ras para despachar un correo, se encaminó á Troppau. No ha valido la corte de Ñapóles para arreglar sus relaciones dejan de formarse varias conjeturas sobr…</t>
  </si>
  <si>
    <t>…mbre se pagará de esta manera al egército de Italia. De consiguiente se necesitará probablemente algo mas que Nada se trasluce todavía acerca del resultado de las las promesas del lord Stewart para sosegar sus ánimos so conferencias deTroppau ; solo sabemos que se trata de po bre este particular. No era de esperar que ¡os ajictos y de ner mayores trabas á la imprenta. También se habla de pendientes del Gobierno participasen Je! general regocijo det…</t>
  </si>
  <si>
    <t>…unir, en las cercanías de Belgrado un cuerpo consi lidad de Paiermo, donde han quedado solo seis cañoneras. derable de tropas. Un Sr. diputado dijo: Mas de un mes hace que está El lord Stewart, -embajador ingles cerca de nuestra cor reunido el Parlamento, y aun no se ha decidido ningún te, ha vuelto á venir aqui precipitada é inesperadamente asunto de importancia. Las intrigas ministeriales nos han te desde Troppau; y después de algunas horas de de…</t>
  </si>
  <si>
    <t>…adas por un ministro de la Gran beraciones. y que esperarán alli el regreso de los correos que Bretaña (lord. Beniinck), prometieron solemnemente á los el marques de Carainan y el lord Stewart enviaron á sus italianos la antigua independencia. cortes respectivas al salir de la primera sesión, en la que el A poco tiempo Genova, á la cual se le prometió mas principe de Metternich dió parte á los ministros de las particularmente , quedó sujeta al Rey…</t>
  </si>
  <si>
    <t>…107 Se dice tij( latón tja¡c_ yrt 3os volúmenes de Hercutano, El 2 í había llegado de Troppau á Viena el embajador nuevamente df|tl®¡HUdlnos ■&lt;« INápoles, se han reconocido ingles lord Stewart, para no volver mas á aquella ciudad, algunos trataét|i|](i' JVpicu..ro “•"as importantes que los ha donde provisionalmente le sustituía Mr. Gordon. En el tér llados hasta ajllijní fe viíJHo .ile estos libros se han leído citas mino de 1 o á 12 días aguardaba…</t>
  </si>
  <si>
    <t>…representantes, y no se puede esperar que dé buért ranos reunidos en Troppau, relativa á los asuntos de Ná fruto una planta que se vicia en su raiz; et acto á que so poles, por el lord Stewart, embajador británico ; pero su mos llamados es de tal ínteres para nosotros', que seria la ponían que esta nota en nada alteraría la egecucion de las mayor imprudencia el descansar sobre lo que otros hagan. disposiciones tomadas entre los Gabinetes de Viena,…</t>
  </si>
  <si>
    <t>…ta ar de su Soberanoi y de la nación. La comisión del duque de monía de los que gobiernan ^ de los.gobernados. - ' ; Serracaprióla rió tuvo* mejor éxito qué1 la del principé de el lord Stewart debe le hizosaber;qué;S., M. I. ño-se creía obligado á responder^;Anuncia. una.í-rantfortxdecarta de ViénaDiciembreque Cartatí.-No sé le permitió ver á S.|!M. el Emperador , y se ' ponerse inmediatamente en camino para volverse á Londres. ¿‘la carta del -Rey-…</t>
  </si>
  <si>
    <t>…l conti de sus estados hereditarios, primer fundamento de su gran nente al correo Mr. Silvester con pliegos dirigidos al deza? ¿Podrá creerse cosa tan inverosímil? Es pues preciso lord Stewart, nuestro embajador cerca de la corte de convenir en que toda la Alemania constituida tiene hoy un Viena. ' • - ' . ínteres muy grande en la conservación de nuestro régimen La Irlanda se halla muy agitada, y diariamente ocurren constitucional.-Son bien notorio…</t>
  </si>
  <si>
    <t>…un articulo de Francfort Parece que Mr. Wellesley, hermano del lord Welling- del 7 ) una grande unanimidad entre los periodistas, des ton , reemplazara en 'a embalada de Viena al lord Stewart, mintiendo todo lo que se ha dicho acerca de proyectos for hermano del lord Cattlereagr. mados en Troppau, con ei objeto Je hacer modificaciones Los periodistas franceses imitan, aunque por otros' mo en la actual organización de la Confederación germánica. ti…</t>
  </si>
  <si>
    <t>Stexvart</t>
  </si>
  <si>
    <t>…examinado esta máquina con la mayor aten las cartas de Viena hablaban de haber recibido en Troppau ción confirmó su eficacia, y opinó que producía numerosas el embajador británico lord Stexvart pliegos de su corre de ventajas; pero habiéndola puesto en práctica en la Lomgrande importancia; y que en virtud de ello había tenido bardía, se halló que los resultados no correspondían á lo conferencias con los ministros de las demas potencias. que se habia…</t>
  </si>
  <si>
    <t>Strassoldo, Julio de</t>
  </si>
  <si>
    <t>Julio de Strassoldo</t>
  </si>
  <si>
    <t>…brado presidente del tribunal de Justicia &gt; cuya plaza equivale á la de minis tro de este departamento, reemplazándole en el empleo que obtenía de can ciller de Italia en Viena el conde Julio de Strassoldo, gobernador de Milán. Los condes de Inzaghi y de TaaíFe están destinados para las presidencias de los gobiernos de Milán y de Venecia, y el conde de Pachta irá con el Ar chiduque virey en calidad de secretario presidial de S. A. I. ALEMANIA. Francfort 14 de F…</t>
  </si>
  <si>
    <t>Strathmore</t>
  </si>
  <si>
    <t>…or los ministréis y éstába' pronto á probar por su parte ambos proyectos de ley, los ctiáles fueron defendidos por él lord canciller, el conde DarHngton, el marques de Buckingham, lord Strathmore &amp;c. Leyé ronse en fin por segunda vez los dos proyectos de ley, y pasaron á la Cámara en junta de comisión u donde se presentará mañana el Informe. CAMARA DB IOS COMUNES. Pidió lord Cástlereagh que se leyese por segunda vez el proyectó sobre las juntas sedici…</t>
  </si>
  <si>
    <t>Stuarty</t>
  </si>
  <si>
    <t>…a. misma espe cie, según afirma Mr. Dortie, residente en ésta capital, y que acaba de ve nir de los Estados-Unidos. 1 Idem 6. Ayer se presentaron al Rey en audiencia particular el caballero Stuarty embajador extraordinario, y plenipotenciario de Inglaterra, y el conde de WalterstoríF, enviado extraordinario, y ministro plenipotenciario de.Dinamarca, y entregaron á S. M. las cartas de sus réspeétivós^ Soberanos en respuesta á la notificación que se les h…</t>
  </si>
  <si>
    <t>Stütterheim</t>
  </si>
  <si>
    <t>…a, en Hun gría , exasperados por las vejaciones del gobernador que les había puesto 'el conde de Palfi: tomó esta insurrección un carácter tan serio, que fue preciso comisionar al general Stütterheim con 1500 hombres para sujetar áios re beldes, cuyo comandante era un .capitán retirado llamado Weiss; y cuando este entregó su espada á consecuencia de habérsele intimado que rindiera las armas , fue bajo la formal y expresa condición de que recibiese, el Emp…</t>
  </si>
  <si>
    <t>Su-</t>
  </si>
  <si>
    <t>…sunto. tes prontamente. Después de una pequeña observación hecha sobré el ac El ministro de la Guerra leyó los partes que se habían ta por el Sr. La grava, y contestada por el Sr. secretario Su- pasado al Gobierno , relativos al alboroto y muerte dad^ al brié , y de quedar enteradas las Cortes de un oficio, remi centinela de estandartes en el cuartel de Guardias de la tiendo varios ejemplares de un decreto del Gobierno res Persona de S. M. en la noch…</t>
  </si>
  <si>
    <t>Suarez, Miguel Gerónimo</t>
  </si>
  <si>
    <t>Miguel Gerónimo Suarez</t>
  </si>
  <si>
    <t>…ba' una i|hvasiqri. . ¿ el formulario de letras de'cámbio, recibos , protestos y cuentas Las costumbres &lt;¡$Mnéstíéá,*-de estos indios tienen rtahi- de resaca, sacado de la obra de D. Miguel Gerónimo Suarez y bien m:l particularidades notables: tratan á sus mugeres.con Nuñez. Se hallará en las librerías de Sojo, y en otras muchas la mayor dulzura v'y nunca se ponei^Sfelíspurar Cornelias. de la corte. ................... Cuando se ir. roduce la discordia ettttn’…</t>
  </si>
  <si>
    <t>Subirán, Jaime</t>
  </si>
  <si>
    <t>Jaime Subirán</t>
  </si>
  <si>
    <t>…iente de cion de Tudela , en 43 5 rs. idem ; D- Cayetano Barrera, alférez de idem ;.D. Josef Ma Otra en el mismo campo, de 8 robos y 7 almudes, en ría Pedrioazi, teniente de ídem; D. Jaime Subirán , capi la propia jurisdicción, en 680 rs. . , tán de Ordenes militares; Bernabé Díaz, sargento 2.° de Otra en el citado campo , de^4 robps.y 2 almudes, ¿a dragones de la Reina; Vicente Salcedo , cabo 1.“ de ídem; la misma jurisdicción , en 330 rs. ■ . .. D. J…</t>
  </si>
  <si>
    <t>Subriá</t>
  </si>
  <si>
    <t>…s. diputados. Se acordó no haber lugar mande promover la observancia de la Constitución contra á votar. los infractores de ella, que en el año de 1814 aconsejaron Se leyó otra del Sr. Subriá, dirigida á que se dijera al al Rey que no la jurase y destruyese el Gobierno legítima Gobierno informara á la mas posible brevedad, con arreglo mente constituido, y declarar nulos todos los decretos del al artículo 3.0 del decreto de 24 de Marzo de 1813, sob…</t>
  </si>
  <si>
    <t>Subrié</t>
  </si>
  <si>
    <t>…uscó su asilo en la casa de que se empezó á discutir, y no se'concluyó en las Cortes Caridad, cuando no podian soportar ni el peso.de sus años ordinarias de 1814; y propuso el Sr. secretario Subrié se u¡ el de su débil existencia. Ha convidado á todos los indi podría pa ar á la comisión de Legislación para que infor gentes á participar del dulce fruto de la beneficencia, asegu mara lo que estimase conveniente: á petición del Sr. conde rándoles que halla…</t>
  </si>
  <si>
    <t>…petición del Sr. Calatrava. oficios y proposiciones, dejando el tiempo restante para A la misma de Infracciones se mandó pasar una repre tratar efe los asuntos. Se recordó por el Sr. Subrié que Habia sentación hecha á nombre de D. Manuel Clavijo, capitán sido ya leida en otra sesión; y habiendo contestado el se agregado al estado mayor de Valencia , quejándose de las ñor Freire que no se habia decidido nada sobre ello, é in cometidas en la prisi…</t>
  </si>
  <si>
    <t>…ictamen de la comisión de chos de expedición de títulos y sellos , y la pasasen á la se bia dividirse en dos partes: i.a la enque propone se adop cretaría de las Cortes. A esto el Sr. Subrié contestó que le te para las religiosas el decreto de S. M. sobre seculariza parecía que el expediente citado existia en la secretaría, por ciones; y 2.a la enque pide que se excite el zelo de ios Gefes lo que podia suspenderse la indicación hasta el dia sigui…</t>
  </si>
  <si>
    <t>…; debiendo restablecerse, según estaba privilegios, y el Sr. Yandiola que se reuniese con aquella la mandado, la antigua junta de Censura; y que si faltasen de Comercio, indicó el Sr. Subrié que no debían embara algunos individuos dé esta, la Junta suprema de Censura zar a la publicación del decreto sobre el punto de que se debia proceder inmediatamente á proponer á las Cortes trataba las proposiciones hechas posteriormente ; y en efec otros suge…</t>
  </si>
  <si>
    <t>…ntinuará.) El Sr. Quintana presentó otra Indicación, que el señor preridente consideró como proposición, y se declaró leída por primera vez. ANUNCIOS. Ultimamente, manifestando el Sr. Subrié que en la se Memoria en que se prueba cuál es el mejor sistema de en cretaría no se habia podido encontrar c! expediente relativo señanza de las escuelas cíe primeras Ierras contra todos los in á h abolición de los derechos territoriales que estaba pedido, ve…</t>
  </si>
  <si>
    <t>…en da, forma los cuerpos en batalla, y con un entusiasmo inex las puertas de Pamplona D. Bernabé de Artola. plicable victorean á la España libre, d ¿as Cortes y al A propuesta del Sr. Subrié se acordó nombrar una co Ruy constitucional. Forman en seguida en columna, y se misión especial para que examine é informe to que resulte retiran á sus cuarteles con aquella -marcididad y alegría que del manifiesto y actas de la Junta provisional, que en la s…</t>
  </si>
  <si>
    <t>…ión de la Monarquía, empe El Sr. Bahamonde volvió á reclamar el expediente so zó el mns ordenado desorden que jamas se haya visto en la bre libertad de pe-car; y habiendo dicho el Sr. Subrié que tierra. Todos corren, todos gritan, todos se abrazan, co resultaba en la secretaría haberse pasado á la comisión de men, beben. y cada calle es tina confu ion: una mala pa Comercio , á la que se habia encargado el pronto despacho, labra n&lt;t se ha oido ni…</t>
  </si>
  <si>
    <t>Subríé</t>
  </si>
  <si>
    <t>…ón. cual era la que proponía la comisión. ■Sesión ordinaria del 19 de Octubre. . El Sr. Martínez de la Rosa manifestó que sentía en ex Leída y aprobada el acta, tomó la palabra e1 Sr. Subríé tremo tener que. recordar la infausta ¿poca de Mayo de para presentar una exposición de los ayuntamientos de Li 1814; pero que hacia presente que en la sesión del dia 6 del nares y.otros tres.pueblos de la provincia de Jaén, pidien mismo mes de aquel año habi…</t>
  </si>
  <si>
    <t>Subrié, Juan</t>
  </si>
  <si>
    <t>Juan Subrié</t>
  </si>
  <si>
    <t>…ó mas, deberán estarlo en papel del sello i.°; si ba presidente, vice-presidente y del mas antiguo de sus sejaren de tono á ico en el del 2.0, y si no llegaren á too cre arios el Sr. D. Juan Subrié, han sido nombrados , para en el del 3.0 presidente el Sr. D. Josef María Calatrava, diputado por 6 'En las letras de Cambio que vengan del extrangero ó la provincia de Extremadura; para vice-presidente el señor de los dominios españoles ultramarinos, mientra…</t>
  </si>
  <si>
    <t>Subrjé</t>
  </si>
  <si>
    <t>…reflexio riormente dicho acerca del colegio de San Fulgencio en nes para convencer de que no se estaba en el caso que la Murcia. proposición indicaba. Se pasó igualmente otra del Sr. Subrjé, que decía: ,.qne El Sr. Solanot dijo que no le había ocurrido ofender á los permanezcan las universidades actuales con sujeción al plan</t>
  </si>
  <si>
    <t>Suchet</t>
  </si>
  <si>
    <t>…do que el barón de Frimont mano lliers, muchas personas de-palacio, y otras que no eran de dará todas las tropas que están en Italia; que tendrá bajo la caía Real; y por último el mariscal Suchet. sus órdenes á los generales príncipe de Hesse-Homburgo y Presentaron aespues el Príncipe á su augusta Madre, y conde de Walmoden, y que se pondrá el cuartel general eo le frotaron los labios con un diente de ajo, haciéndole be Trcviso. ber algunas gotas de v…</t>
  </si>
  <si>
    <t>Suhelcacer, Juati</t>
  </si>
  <si>
    <t>Juati Suhelcacer</t>
  </si>
  <si>
    <t>…odo que se-acordó y Prosiguió el orador analizando el presupuesto en todos previene el reglamento. sus pormenores; y al comparar los gá?to* del año de t 789 Se aprobó el poder del Sr. D. Juati Suhelcacer, primer con los de 1815 , presentó el estado '¡guíente del costo de diputado suplente por Valencia, con arreglo al dictamen los principales buques de guerra en uno y otro año: de la comisión.</t>
  </si>
  <si>
    <t>Suria, Erdnciscp</t>
  </si>
  <si>
    <t>Erdnciscp Suria</t>
  </si>
  <si>
    <t>…^IJpña María Francisca de Asís je Bráganjza,! copiada dél busto de,escultura que í&gt;. Valeriano Sálvátiérrá pteséntó al público ¿ti la' Real academia dé S. 'Fernanjó', grabado $&gt;ór D. Erdnciscp Suria, y r# visado por dicha Real academia; Sé hallará en la.librería dé Sah¿^ calle de las Car1 íétas, ^ érr eFálmaécn dé estámpáé! dé la callé MayÓrJ á 6 rs. etíínegt© y á 8 ilumi1 nadas* • dichos. puestos se $áfnrl&amp; lós Retratos dé las demas Bérsbnís- Reales. 5…</t>
  </si>
  <si>
    <t>Suzzo</t>
  </si>
  <si>
    <t>…corte im perial. Acaba de llegar aquí el embajador de Francia Mr. de la Ferronaye. Escriben de Odessa con fecha 31 de Octubre, que había llegado a Jassy el 10 del presente mes el príncipe Suzzo, nuevo hospodar de Valaquin. Este príncipe, que se halla todavía en la flor de su edad, recorrió de incógnito toda la ciudad á los pocos dias de haber llegado á ella para informarse del precio y calidad de los géneros. PRUSIA. Magdeburgo $ de Diciembre. Dicen…</t>
  </si>
  <si>
    <t>Swetland, Guillermo</t>
  </si>
  <si>
    <t>Guillermo Swetland</t>
  </si>
  <si>
    <t>…respectivas retaeiones de la plaza, 20 rs. El Sr. vicario apostólico D. Juan Bautista méritos, ó extractos de los sugetos que no hayan pretendido Zino, 320. El capitán del puerto D. Guillermo Swetland, la ración, por término de 15 dias. lóo. D. Juan María Bucbetti, 320. D. Josef Monroy , 80. D. Eduardo Escarnichia, 320. D. Amonio Ferrari, 160. El bergantín goleta Encantadora, correo de la armada D. Pablo Larios, 3 20. D. Juan y D. Guillermo Douguid, 80. na…</t>
  </si>
  <si>
    <t>T, B. M.</t>
  </si>
  <si>
    <t>B. M. T</t>
  </si>
  <si>
    <t>…lo que en el año 1818 presentó á la socie dad económica Matritense D. Isidoro Ayala, precedida de una breve noticia de los trillos mas útiles inventados hasta el dia.; escrita por D. B. M. T., y mandada im primir por la misma sociedad. El autor presentó tambiefi un modelo de su máquina, sometiéndolo al examen de la misma corporación; y habiendo nombrado esta una comisión de su seno para hacer las experiencias convenientes, resultaron efectos tan s…</t>
  </si>
  <si>
    <t>T, Francisco de</t>
  </si>
  <si>
    <t>Francisco de T</t>
  </si>
  <si>
    <t>…ros de la tesorería. La primera de Legislación presentó su dictamen aceres Sesión ordinaria del 15 de Octubre. de las dudas que manifestaba el cabildo de Toledo so1 re la causa de D. Francisco de T^san, canónigo de aguelia igle Leida el acta del día anterior, notó el Sr. Florez Estra sia, sobre su conducta ep.. tiempo de la dominación france da que se decía en ella no haberse admitido á discusión su sa ; y opinaba que el cabildo se debia conf.-rinar con…</t>
  </si>
  <si>
    <t>Tacruasi, Manuel</t>
  </si>
  <si>
    <t>Manuel Tacruasi</t>
  </si>
  <si>
    <t>…jorar tan útil establecimiento , y no se na al limo. Sr. Crees, obispo de Menorca: para la de B01- duda que atenderá esta justa solicitud. En el ínterin el direc go-San-Sepolcro á D. Manuel Tacruasi, canónigo de Flo tor, el administrador, el zelosísimo médico y demas em rencia: para la de Bayona al limo. Sr. Astros, obispo de pleados en ei baño no omitirán diligencia para el alivio, buen Saint-Flour: para la de Saint-Flour á Mr. Salomón , obis trato y as…</t>
  </si>
  <si>
    <t>Tafuri</t>
  </si>
  <si>
    <t>…de divorcio; que por consiguiente era indecoroso que de direcciones, de impuestos directos á indirectos." Scc. dcc. u a muger degradada contiimace siendo R eina , y esposa del El Sr. Tafuri leyó dos inf irmes de ¡a comisión de Le Rey; y por último que sus Señorías debían tener pre-ente gislación sobre solicitudes de ciudadanos particulares, e hi que el contrato que unía al Rey y át la Reina no era un zo despees una proposición , en la cual, á co…</t>
  </si>
  <si>
    <t>Tagle, Ventura</t>
  </si>
  <si>
    <t>Ventura Tagle</t>
  </si>
  <si>
    <t>…su derecho en el juzgado de dicha Real capilla; enten SECRETARIA DEX. CONSEJO Í&gt;E ESTADO. dido de que no lo haciendo, pasado que sea dicho término, sin Lima. Por fallecimiento de D. Ventura Tagle ha que mas citación ni emplazamiento- se procederá á lo que haya lu-* dado vacante la canongía de aquella Santa iglesia metropoli gar, parándoles todo perjuicio. tana para que estaba electo, cuya renta está regulada en Compendio de las reglas de composición.…</t>
  </si>
  <si>
    <t>Tailor</t>
  </si>
  <si>
    <t>…uncia que el dififhró Monarca ha dejado un testamento , que halló sú súcésor én W indsor m ciprio armario, cuya1 lléve fue confiada por Jorge 111 pocos; dias antes de su muerte al general Tailor, quien la había entregado á Jorge iven día que el periodista también determina. Ln la sesión del dia 8 de este mes presento. Mr. Baríng á la Cámara de los Comuue? u*a solicitud de los comerciantes ;de la ciudad de Londres, dirigTda:.á‘ que sé aboiiisiéq, tódé…</t>
  </si>
  <si>
    <t>Talarea</t>
  </si>
  <si>
    <t>…l que Continuaron la discusión los Sres. Dolarea, Palarea, se aprobó; y asimismo se mandó hacer la variación que Vadillo, Oclioa, el ministro de la Gobernación de la Pe propuso el Sr. Talarea al artículo 1.", para que éñ lugar del nínsula, Calatrava y Freire, oponiéndose al artículo el pri nombre de bamlion constitucional de Fernando y ti, que se mero y último, y haciendo presente á las Cortes el expre daba al creado por dicho general, se le diera…</t>
  </si>
  <si>
    <t>Talbot</t>
  </si>
  <si>
    <t>614</t>
  </si>
  <si>
    <t>…nas consignadas á lord Wellingtom La suma total del dé ficit zn los años precedentes asciende á unos ocho millones de esterlinas; Dícese que S. A. R. el Duque de Sussex sucederá á lord Talbot como vixey de Irlanda. Secun un periódico mexicano Ja fuerza naval de los franceses en la Marti nica y° la Guadalupe consiste en seis fragatas, dos bergantines de guerra y otros barcos menores. v ^1: ¿ A. la altura del cabo de Hornos se ha descubierto; una nu…</t>
  </si>
  <si>
    <t>Talledo, Vicente</t>
  </si>
  <si>
    <t>Vicente Talledo</t>
  </si>
  <si>
    <t>…del gobernador interino D. Jo- llero de Massareen, noble de Irlanda, y traducido en cas sef del Castillo, del de la misma clase D. Francisco Pé tellano dice asi: rez Dávila, el de D. Vicente Talledo , coronel de ingenie «Ha aparecido en nuestros días un hombre de gran vir ros , ni el de igual clase de infantería D. Juan Xitnenez, co tud llamado Jesucristo, el cual vive aun entre nosotros. mandante del batallón de la Albuera; y que todos sean re Los genti…</t>
  </si>
  <si>
    <t>Talleirand, Augusto de</t>
  </si>
  <si>
    <t>Augusto de Talleirand</t>
  </si>
  <si>
    <t>…rís con la noticia de la muerte del Duque de Berry, y uno de ellos se puso en camino inmediatamente para Petersburgo. SUIZA. Lausana 29 de Febrero. Al dirigir el 19 de este mes el conde Augusto de Talleirand, ministro de Francia, al director de la Confederación la relación de la catástrofe ocurrida en Paris el día 13 de Febrero, dice lo siguiente: ,, Persuadido el Rey de la amistad y sincero afecto que tanto á él como á toda su familia profesan los cantones suizo…</t>
  </si>
  <si>
    <t>Támaro, Antonio</t>
  </si>
  <si>
    <t>Antonio Támaro</t>
  </si>
  <si>
    <t>…na les en todos los pueblos de la provincia. ? 1 , %í;í; t Señores: Gefe superior político, presidente.zs.Barón de Castellet. =-Don Félix Jorres Amat. = D. Benito de Píándolit. == D. Antonio Támaro. = DoiI Juan Botlie.=:D. Manuel Lassala. = D. Mariano Esteve. =D. Antonio Buch, secretario. Se levantó la sesión. - \ Sevilla de Afqrzp,^..i)f%,El general en gefe del egército reunido d los individuos que fe forman* 1 „ Compañeros, yo soy el elegido para pone…</t>
  </si>
  <si>
    <t>Taniayo, Manuel</t>
  </si>
  <si>
    <t>Manuel Taniayo</t>
  </si>
  <si>
    <t>…a, Gran Señor en las actas públicas (i). se manda emplazar á los últimos tenedores de 6 vales reales re El palacio del gran visir, por una metáfora familiar á clamados; á saber: á D. Manuel Taniayo, que lo es de uno la mayor parte de las lenguas orientales , se llama la puerta de 600 pesos de Mayo de 1808 , núm. 393,094; á D. Francisco Antonio Enderica de otro de 300 pesos de Mayo de dicho año, ó la puerta del reino. Este es el origen del título de Subl…</t>
  </si>
  <si>
    <t>Tapia</t>
  </si>
  <si>
    <t>…leyendo esta memoria , salió la diputación yó habia intentado persuadir el Sr. Martínez de la Rosa; y encargada del mensaje; y al concluirse la lectura contestó habiendo dicho el-Sr. Tapia que cuando ios secretarios del el Sr. presidente que su contenido habia ocupado toda la Despacho proponen es á nombre del Rey, por lo que atención de las Cortes, lasque por su parte procurarían fo siempre debía entenderse que era e.l Gobierno quien hada menta…</t>
  </si>
  <si>
    <t>…l, criminal y de comer sulta del tribunal supremo de Justicia acerca de una duda cio , tenían algunos trabajos hechos. propuesta por la audiencia de Mallorca, y á la de Instruc El Sr. Tapia leyó una proposición suya para que se ción pública un proyecto sobre este objeto. nombrase una comisión que entendiese en la formación de Se mandó igualmente pasar á la misma comisión un ex ún buen reglamento sobre la libertad de imprenta, con las pediente in…</t>
  </si>
  <si>
    <t>…ar estos, el- tanto de contribución que puede exigirse á tia hecho muy oportunamente una própa-icion en. d día cada una deí modo directo, indirecto ó mixro que juzguen anterior el Sr. Tapia; y por fin se-declaró no haber-lugar í mas análogo á las necesidades , posibilidad y modo de vivir votar, „ ........ de sus habitantes. - ; 4,° Establecer después que esta contribución se recoja y Con este motivo'él‘-Si'.' López (D. Marcial) hizo la pro posic…</t>
  </si>
  <si>
    <t>…S. Fernando á Sus tropas, fuese extensiva á las heque se conozcan por todas las autoridades y por todos los chas por la junta de Galicia al egército de aquella provin pueblos: el Sr. Tapia manifestó haber mandado el Gobier cia, y se mandó agregar á la proposición del Sr. Golfín. r no suspender la venta de dicha colección hasta que las Cor Habiendo indicado algunos señores que se debian hacer tes resolviesen » ha de revocarse el decreto relativo…</t>
  </si>
  <si>
    <t>…gún se proponía, pues faltaría el estu- equidad y proporción por las mismas diputaciones y ayun io del derecho patrio. tamientos para evitar que pese desigualmente sobre los ve El Sr. Tapia hizo ver que en el plan que se proponía ha cinos, dictando un reglamento que evite toda arbitrariedad, bia también una cátedra de elementos del derecho español, reduciendo este servicio á rodo lo menos que sea posible, y ademas de las que se trataban de supri…</t>
  </si>
  <si>
    <t>…lica, pidió del Sr. Moscoso , dividida, en ochó .artículos, relativa á la que al efecto se hiciese mención en las acta . formación de un nuevo censo: un proyecto de ley propues El Sr. Tapia expresó que el artículo de Cortes no era to por Sarrallac, para evitar la impunidad de los delitos, de oficio; que la sesión la redactaba un taquígrafo, quien no usando.al -efecto de canas de seguridad.' Otra de los señores era extraño cometiese algunas inexa…</t>
  </si>
  <si>
    <t>…ase el proyec.o la Hacienda.pública precen:ada por el ministro no sea exa con las observaciones que juzgase oportuna*. minada por la comisión, y dé esta su dictamen , no se ad El Sr. Tapia pidi ó que seagregaron á la comisión algunos mita á .discusión ei proyecto de suspensión de pago de sabios , bien seá de dentro ó fuera del Congre o. panic lardiezmos. mente para el ramo de ciencias exactas, fisicas y naturales. 1 .Una .indicación del Sr. Ban…</t>
  </si>
  <si>
    <t>…l Sr. Calatrava que extrañado de la nación, y castigado según fuere nece para dar una lección á este interesado, no se admitiera esta « sario. solicitud. A consecuencia propuso el Sr. Tapia que por pun Después de alguna discusión - sobre si debían leerse los to general no se admita ninguna solicitud cuyo conoci dictámenes de las comisiones al tiempo de señalarse dia miento no sea de la atribución del Congreso. En seguida se para la de los^expedi…</t>
  </si>
  <si>
    <t>…gregará la comisión Eclesiástica;” Demostración de la inutilidad del tribunal de la Inquisi y resolvieron que no. ción, y de la contrariedad en sus operaciones á la doctrina de El Sr. Tapia propuso, y la escribió el Sr. conde de To Jesucristo, por D. J. T. B. Se hallará á 3 rs. en las librerías; reno, otra indicación , que fie aprobada, á saber: «que se de Kanz y de Vizcaíno. agregue á las comisiones de Legislación y Hacienda la de nota. En la s…</t>
  </si>
  <si>
    <t>…equivocación , poe to que, como se ha visto por repetidos preferir aquella entre otras que le habían sido presentadas. égemplos, el pabellón no asegura la carga. Que no era co- El Sr. Tapia propuso esta •. Sic itur ad asira ; y por fin se merciqjite ni marino, sino mili.ar; pero que le importaba el resolvió que no se aprobaba el dictamen de la comisión de honor de su nación, y juzgaba no era conveniente valerse Bellas Artes; y se levantó la sesi…</t>
  </si>
  <si>
    <t>…a reunir todos los datos mas ciertos ;sobre la comisión de Bellas artes, con que se concluyó la sesión, el particular que se trataba, estando reducidos los .del ora-j manifestó el Sr. Tapia que, según había dicho otra vez, la dor á los de un simple particular; esto es, á cartas, noti sesión de Corres no es un artículo oficial, y que no era ex cias , papeles públicos y medidas de algunas autoridades, traño cometiese algunas inexactitudes el taquí…</t>
  </si>
  <si>
    <t>…dad de recomendar al Gobierno fraude , poniendo en el correo á título de Diario de Cor la elección de jueces, concluyendo con el dictamen de que tes otros impresos. Contestando el Sr. Tapia, calculó que fe adoptasen las medidas que dejaba insinuadas. después de hecha la rebaja que proponía la comisión, venían El Sr. ministro de la Gobernación de la Península ma-. á corre ponder á cada pliego tres cuartos de porte por un nifestó que se habían exp…</t>
  </si>
  <si>
    <t>…yudasen , y terminó el Sr. vitorica relativos á este objeto, el que se mandó pasar á la comisión su discurso diciendo creía que habia hecho muy bien. especial militar. Repondió el Sr. Tapia que la Junta suprema, habiendo Las Cortes oyeron con agrado las felicitaciones del Ge- recibido aviso de la ins alacion de la ¡unta de Censura de fe politico de Aragón, ayuntamiento de Granada, Real Cataluña, nombrada por la provisional de Gobierno, con briga…</t>
  </si>
  <si>
    <t>…resolución, por cuyo Despacho ae Hacienda, simplificándose en el modo siguien único motivo propuso se suspendiera. te: todos los géneros se distribuirán en las 15 clases que ex El Sr. Tapia, apoyando la exposición hecha por la se presa dicho modelo, y en ellas con riguroso orden alfabéti cretaría, dijo: que debiendo tener las Cortes una absoluta co se incluirán los artículos que ya contiene, y se añadirán confianza en la aptitud de los Sres. sec…</t>
  </si>
  <si>
    <t>…á la conservación inviolable de tan preciosos y adora Se levó el ac.a de !a te-ion extraordinaria del 21. dos objetos: el egérci.o de reserva será la nación entera. En séauida el Sr. Tapia, como individuo de la comisión Aquella fuerza enorme por su inasa, y mucho mas po de Instrucción pública, leyó el plan general de enseñanza derosa por el espíritu que le anima, se compondrá de : o. 0 q :e presen.aba la referida comisión, y las Cortes resolvie…</t>
  </si>
  <si>
    <t>…ongreso por un mes mas, y advirtiendo en tenia inconveniente en que se examinase en su totalidad: sin esta determinación de S. M. una nueva prueba de su justicia, embargo, dijo el Sr. Tapia, no podia menos de observar que zelo y amor al bien público,y constante adhesión al sistema la junta no tenia un íntimo enlace con los jurados, como constitucional, opinaba que debían acceder las Cortes á la re podia verse en el art. 75, que trataba de las at…</t>
  </si>
  <si>
    <t>…lta de aptitud de una’ misma Constitución manda obedecer á las leyes y á las au persona para un empleo;” y otra del Sr. Salvador igual á toridades constituidas; á lo que añadió el Sr. Tapia que se la primera del Sr. Puigblanch. trataba.de corregir dos abusos; uno dirigido á enervarla Se aprobaron después el 10 y ti, que decían asi: fuerza de la ley, y otro á desautorizar á los magistrados: 10. «Pera la cen-ura de toda clase de escritos denun des…</t>
  </si>
  <si>
    <t>…lantrópica, riz una in dicación para obviar dificultades, en que pedia al cargo de D. Josef María Perez, en la calle de la Ruda, casa cierras noticias circunstanciadas; reclamó el Sr. Tapia qt:e núm. 7, cuarto'principal, para todos los que quieran ins siguiera la votación. proponiendo ¡a cuestión al efecto en truirse en los principios que forman el hombre de bien, á estos términos; „Si se excluyen los 2c millones del presu cuyo fin se enseñará e…</t>
  </si>
  <si>
    <t>…ya perturbación sería ya un acto sedicioso; y conckyó pláticas que al. intento dirige á sus feligreses. oponiéndose á la graduación que señala el artículo. Con este motivo hizo el Sr. Tapia varías observaciones, Madrid i.° de Octubre. contestando al Sr. preopinante en cuanto á la graduación de SS. MM. y AA. siguen sin novedad en su importante estos delitos, y quedó el artículo aprobado. salud. Lo mismo sucedió con los dos siguientes después de a…</t>
  </si>
  <si>
    <t>CORTES. te al Sr. Tapia , y oponiéndose abiertamente á que se seña lara sueldo al fiscal, pareciéndoles que cualquiera recompen Sesión extraordinaria del j de Octubre. sa que se le diera no podia igualarse al honor que le resul Leída el acta de la anterior , se procedió á la discuci…</t>
  </si>
  <si>
    <t>…lacio Querétaro; en la de Nueva-Galicia en Guadalajara y Zaca nes de menor vecindario no■ carezcan de esta enseñanza. tecas; en la de Yucatán -en Mérida y Villahermosa ; en las El Sr. Tapia, individuo de la comisión, apoyando al internas de oriente en «1 Saltillo; en las de occidente en</t>
  </si>
  <si>
    <t>…ías Josef Dias Azedo, preguntando al mismo tiempo si le señanza de la gramática latina, empleando para ella dos años. seria permitido desembarcar. 5* E. le contesto que jo.comu El Sr. Tapia contestó que la comisión no opinaba que nicarla á la junta provisional del Gobierno supremo del rei una cátedra fuese de gramática castellaca y otra de latina, no, y esta decidiría lo que debiera hacerse. sino que ambas gramáticas se enseñasen á un tiempo, co…</t>
  </si>
  <si>
    <t>…con la botánica , por sen auxiliar,. i estáhtezdja unajgátedéa d?*J.rieg5?y.á»'tntadfi?mecánica." Ha una de otra, y casi imposible aprender mas que una agri biendo manifestado el Sr. Tapia que en las nueve universi cultura rutinera sin el es'udio anterior de la bot nica. Y dades destinadas á la tercera enseñanza se establecían cate— que atendida la importancia de la rnineraiogia para la esca-r . &lt;jras dejgriego, y;.qye Jar jaita de fondos no pe…</t>
  </si>
  <si>
    <t>…es, y des, como cuerpos, se presente á las Cortes para su apro pidiendo se declare si puede ó no despedirlos. bación.” A la de Agricultura una exposición del ayuntamiento de . Del Sr. Tapia : «Previniéndose en el art. 370 de la Cons Los Barrios, en el campo de Gibraltar , acerca de la enagetitución, que las Cortes , por medio de planes y estatutos nacion y cultivo de los terrenos incultos de su término. especiales arreglen cuanto pertenezca al i…</t>
  </si>
  <si>
    <t>…nde. se tomado para cumplir con los suministros; y por último, mandó volver todo á 1a comisión, añadiendo, á propuesta para que se dijera al Gobierno que formase un expediente del Sr. Tapia, que fuese con urgencia para evitar los per general para poder resolver con acierto el problema de -si juicios que podian seguirse. nan de subsistir ó no los pósitos; y en caso de decidirse Se mandó quedar sobre 1a mesa, á petición del señor por su subsistenc…</t>
  </si>
  <si>
    <t>Tapia, Eugenio de</t>
  </si>
  <si>
    <t>Eugenio de Tapia</t>
  </si>
  <si>
    <t>…; Por.Madrid.: D. RampnrGiraldo de Afquelíada, D. Manuei Josef Quintana, D. Bernardo de Borjas y Tarrius &gt; D. Felipe Bausa , D. Miguel Anto nio Zumaíacarregui , ;D.. Juan Palárea, D. Eugenio de Tapia , D. Josef Ma ría Calatrava.,, D. .Vicente Sancho v D^Eugenio A rrieta, D. Ramón Trujillo. Pattido de Fuencarral. D. Isidro López, presbítero. Idem de Getafei D. Crisáuto Josef García Maroto, oura párroco de Idem de Valdemoro, D. Francisco. Herrero y Blanco.…</t>
  </si>
  <si>
    <t>Tarancón, Juan Antonio Gómez</t>
  </si>
  <si>
    <t>Juan Antonio Gómez Tarancón</t>
  </si>
  <si>
    <t>…o de la Havana al teniente del regi miento de voluntarios de Aragón D. Manuel Wals. NOTICIAS DEL REINO. secretaria DEt consejo pe estado-----Vacantes. México. Por fallecimiento de D. Juan Antonio Gómez Tarancón 1$ de Noviembre. Cosío ha quedado vacante una media ración que obtenía en El día 7 del corriente hubo en esta villa egercicios de la santa iglesia metropolitana de México , cuya renra es de latinidad, retórica y Constitución, á los que concurrieron 3Q pesos,…</t>
  </si>
  <si>
    <t>Targioni, Eduardo</t>
  </si>
  <si>
    <t>Eduardo Targioni</t>
  </si>
  <si>
    <t>…i8ao. NOTICIAS EXTRANGERAS. le ha destituido de todos los cargos, honores y pensiones que gozaba. SAXONIA. S. M. ha nombrado para secretario de la embajada de Nápoles en Madrid á D. Eduardo Targioni, oficial de la se Dresde 4 de Setiembre. cretaria de Estado; y para agregado á la misma al marques Hace ya algún tiempo que se trabaja en las mudanzas de S. Giovanni D. Leopoldo Notarbarrolo , de la casa de los que deberá sufrir la organización de nuestro est…</t>
  </si>
  <si>
    <t>…no debía contenerlos la patria de los héroes; pero á y Real-Familia! En seguida presentó á S. M. al secretario pedí- de esto existen, y existen para sorprendernos tan de embajada D. Eduardo Targioni. -pronto como encuentren ocasión : es menc-ter pues vivir cort Circular del ministerio de la Gobernación de la Pe las precauciones necesarias para desbaratar desde su origen nínsula. las maquinaciones de estos perversos: todos tenernos puesta «Atendiendo muy…</t>
  </si>
  <si>
    <t>Tariego, Manuel</t>
  </si>
  <si>
    <t>Manuel Tariego</t>
  </si>
  <si>
    <t>…Nombro interinamente para .decano del mismo á Don Francisco' Xavier Adell: para magistrados á; D. Antonio de la Cuesta y Tor re, arcediano titular de la iglesia catedral de Avila; D. Manuel Tariego, arcediano titular de la de Segovia; D. Henrique Ortega, dignidad de chantre de la iglesia colegial de Baza, y D. Alejandro-Dolare»;-y para fiscal á Don Eranciscq Alfonso, de Tuero ; cuyo tribuna] especial M Tnsiáiará i«medihtav</t>
  </si>
  <si>
    <t>Tarrius, Bernardo</t>
  </si>
  <si>
    <t>Bernardo Tarrius</t>
  </si>
  <si>
    <t>…adolid de Mechoacan D. Manuel Abad y Queipo, D. Ma nuel Lardizabal, D. Mateo Valdemoros, D. Vicente Sancho, Coronel de Ingenieros, Conde de Taboada, D. Francisco Gres?o de Tejada, D. Bernardo Tarrius, y D. Ignacio Pezuela. odas las providencias que emanen del Gobierno hasta la ins talación constitucional de las Cortes serán consultadas con esta Junta, y se publicarán con su acuerdo. Téndráse entendido en todo el reino, adonde se comunicará para su pronta…</t>
  </si>
  <si>
    <t>Tarrius, Bernardo de Borjas y</t>
  </si>
  <si>
    <t>Bernardo de Borjas y Tarrius</t>
  </si>
  <si>
    <t>…fueron elegidos-para formar la Junta electoral de la provincia ios ciudadanosrcuyos nombres siguen: &lt; 'p •; Por.Madrid.: D. RampnrGiraldo de Afquelíada, D. Manuei Josef Quintana, D. Bernardo de Borjas y Tarrius &gt; D. Felipe Bausa , D. Miguel Anto nio Zumaíacarregui , ;D.. Juan Palárea, D. Eugenio de Tapia , D. Josef Ma ría Calatrava.,, D. .Vicente Sancho v D^Eugenio A rrieta, D. Ramón Trujillo. Pattido de Fuencarral. D. Isidro López, presbítero. Idem de Getafei D. Cr…</t>
  </si>
  <si>
    <t>…por los principios del arte, y sí solo los que tos á S. M. para la tercera plaza de la junta del Crédito pú el enfermo puede recibir; y que de! mismo modo el mejor blico los Sres. D. Bernardo de Borjas y Tarrius, D. Juan político es el que mas bien conoce el estado de los pueblos. Bautista Antequera y D. Manuel Díaz Moreno. El Sr. Ramos Arispe, que habia pedido la palabra cuan Se mandó pasar ¿ [a comisión ordinaria de Hacienda un</t>
  </si>
  <si>
    <t>…ios pertenecientes á la sentaba *na proposición mas ventajosa que ia que re discu Hacienda pública. , . tía; y- bajo estos aspectos la consideró, reproduciendo mu Entró á jurar el Sr. D. Bernardo de Borjas y Tarrius, chas reflexiones, y añadiendo otras, tanto á favor de la .tercer director del Crédito público* • t .primeracomo para.probar que la mejor, proposición que j Se levó la indicación siguiente del Sr. Romero Aipuen— podía adoptarse era la de que se trataba. ■te:…</t>
  </si>
  <si>
    <t>…de S. Ildefonso, universidad de Alcalá, y doctor en ambos derechos de la misma &amp;c. Obra erudita y muyindividuo de, la junta nacional del Crédito público, que se hajla, vgeante , á D. Bernardo de Borjas y Tarrius , gefe importante para la historia de nuestra jurisprudencia. Un temo én 4.0, que se hallará á jo rs. en la librería de Escantilla__:Endel departamento de (a balanza-de comercio. Madrid 29 de la misma librería están también venales los discursos del referiSet…</t>
  </si>
  <si>
    <t>Tauste, Marín</t>
  </si>
  <si>
    <t>Marín Tauste</t>
  </si>
  <si>
    <t>412 El Sr. Marín Tauste dijo que aunque le parecía justísi millones de ahorro en los artículos á que este se habia re ma la dispo ieion adoptada en el decreto de regulares, para ferido. que estos pudieran obtener beneficios eclesiásticos, creia El Sr. Zayas, haciendo presente el mis…</t>
  </si>
  <si>
    <t>…l orden del sorteo, que hará en estos actos de pre hablar en su defensa el inreresado, ó un letrado en su nombre.'* sidente , la presentará al alcalde constitucional que los ha El Sr. Marín Tauste pidió que se permitiese nombrar convocado. cualquiera otra persona en lujar del letrado, y expuso las Art. 47. «Si la declaración fuere no ha lugar d la for razones que tema para defender esta opinión ; pero le im mación de causa, el alcalde constitucional pa…</t>
  </si>
  <si>
    <t>…tá sujeta á .él la propiedad ter el retardar ahora el pago de ella. ritorial;" la que no se admitió a di. cusion. Se preguntó si habia lugar á votar, y se declaró que no. Otra del Sr. Marín Tauste: «Que las Cortes digan al En cuanto á la segunda los Sres. presidente, Martínez Gobierno arregle de tal manera las jumas repartidoras del de la Rosa y el Sr. ministro de Hacienda fueron de parecer subsidio en la? capitales de las diócesis, que haya en ellas q…</t>
  </si>
  <si>
    <t>…enia en la Constitución A la de Instrucción pública se pasó una exposición de para casos extraordinarios y urgentes. varios alumnos de la universidad de Alcalá, para que se les El Sr. Marín Tauste, en vista de las observaciones he admitiese a! curso de derecho civil, dispensando con ellos chas ayer, y por ias mismas razones que habia tenido él lo prevenido en el plan de 1807, por las razones que alegaban. Congreso para aprobar el empréstito, juzgó que…</t>
  </si>
  <si>
    <t>…la naturaleza de las Corres pasar á la comisión dé Hacienda dos memorias de dos ciu extraordinarias qhe egercieron toda la soberanía, y otra la dadanos de Jaén, presentadas por el Sr. Marín Tauste,un» de las actuales, que gozaban solo del poder legislativo uni sobre consulados, y otra sobre el pie y forma deí Crédito das con el Rey ; y de esta propieJad dedujo, pasando á la público. Tercera cuestión, que no podian las Cortes privarlos de sus A la segun…</t>
  </si>
  <si>
    <t>Tauste, Marin</t>
  </si>
  <si>
    <t>Marin Tauste</t>
  </si>
  <si>
    <t>…en Santa Fe, Quito, rio de Marina, para que se les aumente el sueldo. Guayaquil y Panamá.” La comisión después de examinar lo que sobre este pun Se suprimió en él, á petición del Sr. Marin Tauste, la to habia informado la Regencia del reino en el mismo año, palabra capital, dejando solo en cada provincia. apoyando la solicitud y demas antecedentes, proponía que Se mandaron pasar á la comisión las indicaciones si siendo justo atender á esta solicitud ,…</t>
  </si>
  <si>
    <t>…situa debía tener el estudio de aquella en algunos países, especial ción y circunstancias peculiares de qada provincia." mente *en America; y en que no debía ceñirse la explica El Sr. Marín Tauste dijo," que se podría dejar á la direc ción de la mineralogía á- unos puros elemento^;, tanto por ción de estudios la facultad dé señalar en cada una de las su importancia, cuanto por la imposibilidad de aprenderla universidades de segunda enseñanza los ramos…</t>
  </si>
  <si>
    <t>…s Cortes re quiden." suelvan acerca del modo de su pago, conforme al decre Tampoco se admitió á discusión la siguiente indicación to dado por las mismas sobre este particular. del Sr. Marín Tauste: «Que para evitar dudas y no causar El art. 4.0 decia: gastos ni entorpecimientos á los acreedores de varias clases, ■ 4.0 «Los intereses anuales de los créditos son del 3, se añada al art. 5.°, después de las expresiones d la junta el 4, el 5, el 6, el 7, el…</t>
  </si>
  <si>
    <t>Tauste, Mario</t>
  </si>
  <si>
    <t>Mario Tauste</t>
  </si>
  <si>
    <t>…del presupuesto, la cual provenía de Después de otras reflexiones de los Sres. Gisbert y Cor no haberse hecho cargo del crecido número de generales, tés se leyó la indicación del Sr. Mario Tauste, que se man gefes y oficiales sobrantes. dó pasar á la comisión Eclesiástica, y decía asi: «Que las El Sr. presidente suspendió la discusión para continuarla Cortes excíten al Gobierno para que aé orden, á los teñóte** mañana. arzobispos y obispos de no admit…</t>
  </si>
  <si>
    <t>Te, Antonio Saez de</t>
  </si>
  <si>
    <t>Antonio Saez de Te</t>
  </si>
  <si>
    <t>…la reflexión del Sr. MarSe aprobó otro dictamen de la misma comisión , laque en tinez de la Rosa relativa á la rebaja acordada por las Corres vista de la instancia documentada de-D. Antonio Saez de Te en los dos tercios de este año. si hubiera tenido esta felices jada, vecino de la Coruña, para que se le recomendara al Go resultados; mas por desgracia, según noticias particulares, bierno á fm de que le colocase , opinaba que en consideración eran pocos los…</t>
  </si>
  <si>
    <t>Teixeira, Gaspar</t>
  </si>
  <si>
    <t>Gaspar Teixeira</t>
  </si>
  <si>
    <t>…n que manifiestan que con motivo del de maciones. Hacía las ocho y media llegó al mismo pa acio creto de ó de Agosio último, por el que se restablece el del Gobierno el Excmo. Sr, general Gaspar Teixeira , acom plan de estudios de 1807, se niega la universidad de Alca pañado de un numeroso pueblo , y saliendo al balcón salu lá a admitirles como curso académico un año de institucio dó y acompañó al mi'inn pueblo en los repetidos vivas que nes de derecho patrio…</t>
  </si>
  <si>
    <t>Tejada, Francisco Crespo de</t>
  </si>
  <si>
    <t>Francisco Crespo de Tejada</t>
  </si>
  <si>
    <t>…uel Abad y Queipo, obispo electo de Valladolid de Mechoacan., D.. Manuel de Lardizabal y conde de Taboada,; ■del Consejo y Gámara dé S. M., D. Matea Valdemoros, D. Vicente Sancho, D. Francisco Crespo de Tejada , D&gt;; Bernardo Tarrius y D. Ignacio Pezuela.. Presenciaron el acto el Excmo. Sr. D. Manuel Gáyoso, señor de la casa de</t>
  </si>
  <si>
    <t>…smó áctd prestaran el- juramentó á la Gonístitucíorí en manos del Hx-: oelestíwmo Sr. Gere político ,{ su presidente, los Sre*. D. Vicente Jaudenes, intendente, D. Antonio Marte!, D. Francisco Crespo de Tejada , D. Joaquín' Manrique .y Manrique;, T?. Martin 4e rGoicoecheay el secretario D. Juan Francisco Morate; y los señdres D. Jóséf López Alonso, D. Francisco FernándezGascó y É&gt;. Simón González: Yuste, que por hallarse ausentes no concurrieron aquel dia, prestaro…</t>
  </si>
  <si>
    <t>Tejada, Josef de</t>
  </si>
  <si>
    <t>Josef de Tejada</t>
  </si>
  <si>
    <t>…perdiendo el amor de ‘lis súbditos.” vier de Aguilar, D. Juan Sánchez, D. Ramón de Pando y Apenas igualaron Demóstenes y Bossuet la elocuencia y de Otnmendi, D. Manuel de Robrero, D. Josef de Tejada energía del pasage siguiente de Masillon. y Ruiz, D. Matías Olivencia , D. Josef Melero, D. Fran «Los príncipes y los grandes no son sino los -hombres cisco de Bior, el Sr. marques de S. Martin, D. Pablo Ca del pueblo; 3’ ti lejos de ser los protectores de su…</t>
  </si>
  <si>
    <t>Tejada, Juan de</t>
  </si>
  <si>
    <t>Juan de Tejada</t>
  </si>
  <si>
    <t>…e no tengan tres octavas de cuarta, ó media cuarta ca A la segunda comisión de Legislación se pasó una soli cuadro; los aros de hierro para tonelería; el hierro obrado en citud de D. Juan de Tejada para que se le dispense el año- instrumentos comunes de labranza , de cocina y de usos do— &gt; que le falta para concluir 1a carrera de leyes,- en atención másticos, herraduras, cerrojos, frenas y bocados, clavazón á 12 años de servicios militares. de todas cla…</t>
  </si>
  <si>
    <t>Tejada, Manuel de</t>
  </si>
  <si>
    <t>Manuel de Tejada</t>
  </si>
  <si>
    <t>…S DEL REINO. sobre el particular. Bilbao 2 fí de Octubre. _ A la comisión de Instrucción pública se pasó una expo El ayuntamiento de esta villa ha comisionado á los seño sición de D. Manuel de Tejada y D. Josef Ibarra, pidien-</t>
  </si>
  <si>
    <t>Tejada, Vicente Romero de</t>
  </si>
  <si>
    <t>Vicente Romero de Tejada</t>
  </si>
  <si>
    <t>…rtunas á los ayuntamientos á quienes corresponda, de i.® de Enero de 1808, números 274,038, 273,422, 270,917 á fin de que por parte de ellos no haya la menor demora y 256,093. Y A D. Vicente Romero de Tejada, que lo fue de en su cumplimiento, cuidando V. por su parre de que uno de 300 pesos, creación 1.“ de Enero de 1809, para que en asi &lt;e verifique. Madrid 10 de Diciembre de 1820. el preciso término de 15 dias, contados desde la publicación en la gaceta, compar…</t>
  </si>
  <si>
    <t>Tellez, Justo</t>
  </si>
  <si>
    <t>Justo Tellez</t>
  </si>
  <si>
    <t>…llazon , y á los demas interesados que se conceptúen1 cuantos medios le sugiera tu zelo por el mantenimiento del con derecho á los bienes quedados por muerte del teniente gene ral D. Justo Tellez, que falleció en esta plaza á 13 de Marzo culto de la religión y de sus ministros, y por el servicio de 18x3 ; cuya testamentaría se ha radicado en este tribunal en el nacional, la cobranza de diezmos de todos los morocos 6 presente año, para que en el términ…</t>
  </si>
  <si>
    <t>Tello, Juan</t>
  </si>
  <si>
    <t>Juan Tello</t>
  </si>
  <si>
    <t>…y Quito, libertándonos al mismo tiempo de las dirigido el general disidente Bolívar, con los oficios en que enormes erogaciones que nos causa un egército demasiado la acompaña el coronel D. Juan Tello , para que en su vir numeroso para Colombia; y la suspensión de ellas en la si tud se sirva V". S. reunir las autoridades en la propia Forma tuación mas propia parada guerra, y en momentos críticos que yo lo hice en esa capital, y las entere de los expresa pa…</t>
  </si>
  <si>
    <t>Temes</t>
  </si>
  <si>
    <t>…á la ley de 24 de Marzo de 1813. SS. AA. continúan sin la menor novedad en su im pór Se leyó un dictamen de la comisión de Hacienda, con tame salud. secuente á una indicación del Sr. Temes, individuo de la CORTES. misma , cuya discusión quedó señalada ayer para la sesión de hoy. Convencida aquella de la necesidad de aliviar á la Sesión de jo de Agosto. mayor parte de la Nación deí enorme peso de las contribu Se leyó el acta de la del dia anreri…</t>
  </si>
  <si>
    <t>Temes, Josef Vicente de</t>
  </si>
  <si>
    <t>Josef Vicente de Temes</t>
  </si>
  <si>
    <t>…e Castromao, en idem, 100. Núm. 888. El R. P. abad y monas terio de S. Gtodio, en ídem , 67. Núm. 889. El párroco y feligreses de santa Comba de Baronceli, eo idem, too. Núm. 890. D. Josef Vicente de Temes, parroquiano de S. Salvador de Armental, en idem, 40. Núm. 891. Los par roquianos de Sta-. Baya de Berredo, en idem, 32.Núm. 892. Los parroquias nos de Ermesende, en idem, 56. Núm. 893. Producto de las 100 fanegas de trigo consignadas por el limo, deán y cabi…</t>
  </si>
  <si>
    <t>Teraai, Luis Abad y</t>
  </si>
  <si>
    <t>Luis Abad y Teraai</t>
  </si>
  <si>
    <t>…antes ni después de qué recayese la sanción de la conde a viuda de Penalba sobré que sea puesto en liber S. M., sino únicamente por las que habilitase el Congreso, tad su hermano D. Luis Abad y Teraai, preso en la eiuda- á fin de evitar errores de gravedad; la que se mandó pasar dela de Valencia. á la comisión de libertad de Imprenta. Se dio el curto correspondiente á otros recursos y expe La primera de Leuislacion presentó nuevamente su pro dientes remiti…</t>
  </si>
  <si>
    <t>Teresa</t>
  </si>
  <si>
    <t>…íPiBi 8- bajo disposición otorgada ante .D. Mariano de Olea, escribano del número de-la misma, nombrando por sus testamentados á D. Francisco de Zabalburu , D. Agustín de Doistua, Doña Teresa y Doña María Antonia de Gordia, vecino^ de dicha villa; y. deseando -estos dar fin al cargo en. qué se hallan constituidos, sin que les quede 1% menor responsabilidad , avi san al publico que ¡cualquiera persona ó corporación que crea tener algún derecho, q acción á los bienes fincados, di…</t>
  </si>
  <si>
    <t>Teresa, María</t>
  </si>
  <si>
    <t>María Teresa</t>
  </si>
  <si>
    <t>…ido mientos, tal vez tendrá ocasión de llorarlos. Dijo con mu por Doña María Salomé Burrrel, camarista de kr-Sra. In cha razón un grande estadista (Mr. Burke): »en otro tiem fanta Doña María Teresa, á pretexto de haberse negado el po el empleo sostenía al hombre; en nuestros días la dig contador de la Hacienda pública á tomar razón de algunos nidad del hombre debe sostener el empleo.” documentos relativos á sus créditos, y el cual remida et Mr. Tierney…</t>
  </si>
  <si>
    <t>Ternas</t>
  </si>
  <si>
    <t>…emporada dura hasta 15 de Setiembre /que el médico director de ellas nombrado por el Rey en virtud de rigurosa opovicion ? y á con sulta de la junta superior de medicina, es e4 Dr D. Ternas. Bermudez, á quien podrán consultar de palabra ó por escrito ios que traten de concurrir á dicho pueblo, en su habitación calle del Olivar, ¡casa del marques de Salas, cuarto principal. Se advierte que no hay baños i; y si algunos enfermos los necesitasen com…</t>
  </si>
  <si>
    <t>Terri, Santiago Josef</t>
  </si>
  <si>
    <t>Santiago Josef Terri</t>
  </si>
  <si>
    <t>…, cancelándose las que se hayan otorgado, parándo les esto y cuanto se actúe y resuelva el mismo perjuicio que si fuese con su interven ción y audiencia; debiéndose prevenir que á D. Santiago Josef Terri, socio gerente de dicha casa, se ha concedido el salvoconducto necesario para dedicarse á lo que esti me conveniente en beneficio de su ulterior fortuna. Por providencia del Sr. D, Angel Fernandez de los Ríos, del Consejo de $. M., 4¡dor honorario de la Real…</t>
  </si>
  <si>
    <t>Terry, Diego</t>
  </si>
  <si>
    <t>Diego Terry</t>
  </si>
  <si>
    <t>…ield y compañía, 320. D. Jacinto Narice, 80. D. Guiller mo Gray y compañía, 640. D. Juan Haffenden y compa ANUNCIOSñía, 320. D. Carlos S. Middleton, 8o. D. Joaquín Bobadilla, 160. D. Diego Terry, 80. DI Jacinto Isnardy, 320. El heroísmo del amor filial. Isabel, ó los desterrados de SíD. Carlos Williams, 80. D. Juan Shau, 32c. D. Pedro beria. Historia verdadera del presente siglo: por Madama Cottin, Enaguila, presbírero, 40. D. Judah Benoliel, 320. Do…</t>
  </si>
  <si>
    <t>Tesorería, Vargas la</t>
  </si>
  <si>
    <t>Vargas la Tesorería</t>
  </si>
  <si>
    <t>…dipu que parezcan incompatibles con nuestra situación ; y el dic tación provincial. tamen era que por el pronto se mandaran poner á cargo de Como individuo de la comisión probó el Sr. Vargas la Tesorería general todas las pensiones que se hayan conce Ponce que no solo se habían convencido de la necesidad de dido , para que aun las legítimas sufran ia suerte de todas esta resolución sus individuos con los mejores planos en la# las demas cargas del Estado, y no…</t>
  </si>
  <si>
    <t>Tesorero</t>
  </si>
  <si>
    <t>…primera de Legislación , leído cia y efectos correspondientes. Palacio 30 de Setiembre de hoy , acerca del nombramiento de consejeros de Estado ; y 18 2o.r=José Canga Arguelles. = Sr. Tesorero general de la para la del de la comisión especial encargada de informar Nación. acerca del manifiesto dirigido á S. M. en 1814 por los 69 diputados el lunes 1.ó; y levantó ia sesión. ANUNCIOS. Se halla vacante la escuela de primeras letras de la villa de En e…</t>
  </si>
  <si>
    <t>Thiele</t>
  </si>
  <si>
    <t>…íé^, y páráteéÉhípltóttr las vacantes ^ae resulten por el licénciamiento de los cumplidos se formarán 12 nuevos cuerpos de in fantería. El autor de este plan es, según sé dice, el general Thiele: Mr. deBoyer, ministro de la Guerra,.y el-general Groellman le han impugnado con teson. Elfin de esta reforma es economiárar gastos. , El Príhcipe:GQillérmb, segbndo hijo dél Rey, bfr tteñido la desgracia de herirse gravemente una mano en una&lt; cacería , y Se…</t>
  </si>
  <si>
    <t>Tiburcíó</t>
  </si>
  <si>
    <t>…AdáxIlIoencja, para eañipséj &amp; ios contribu mas publicados fcn la gaceta de 24 de Mayo; Sil autor el yentes al monte pío militar. Las ordeñes cíe 20 de Diciem capitán de zapadores D. Tiburcíó /íártgogá. bre de 1811 y io de Marzo de 18.V»; sobre el mismo obje Exposición sobre varios principios militares, por D. Mi-</t>
  </si>
  <si>
    <t>Tirado, Juan Domingo</t>
  </si>
  <si>
    <t>Juan Domingo Tirado</t>
  </si>
  <si>
    <t>…ía todas las rentas del Estado, se destinase una en das de estos tres oficiales (D. Roque Arismendi, D. Feli particular, cuyos productos no tengan otra inversión que pe Charneco y D. Juan Domingo Tirado, muertos en el el pago de estos intereses: otras Naciones mas acreditadas campo de batalla ) se Ies debe asignar íntegro el haber que la E&gt;paña suelen hacerlo de esta manera, y nosotros que correspondía ,í sus maridos por el empleo en que mu debemos por todos…</t>
  </si>
  <si>
    <t>To</t>
  </si>
  <si>
    <t>…descen á'juicio de la diputación provincial: después de algunas dencia también legítima : A falta de esta, la Sra. Infanta Do contestaciones entre varios Sres. diputados, dijo el Sr. To ña Qlrlota Joaquina , hermana primera, y Reina actual del reno que la diputación provincial no tiene mas interes que Reino unido de Portugal y del Brasil, y sus legírímos des el de su provincia, y que esta es una medida para toda la cendientes; A falta de ell…</t>
  </si>
  <si>
    <t>…UNCIOS.Cortes, y también ¡as tres indicaciones que se habian des echado. Impugnación al núm. t.° del periódico titulado el Censor, Se aprobó la indicación, que puso por escrito el Sr. To hecha por la sociedad patriótica de amantes del orden constitu reno , que la comisión fuese la de Premios ; y á petición cional. Se hallará en la librería de Paz. del Sr. Gutiérrez de Acuña se mandó reunir la ordinaria de Memoria sobre la renta del tabaco, pr…</t>
  </si>
  <si>
    <t>…cargo, á fin de comisión habia comprendido también las bases presentadas que pueda recaer la Real aprobación, y que se generalice para elaño próximo; y habiendo hecho presente el Sr. To -esta providencia para toda clase de certificaciones "que pro reno que de variar el sistema para solo este año, no podría cedan de justificaciones de pérdida de efectos.” resultar mas que desorden, pero que debían discutirse las Y de orden de S. M. lo digo á…</t>
  </si>
  <si>
    <t>To, Bonifacio</t>
  </si>
  <si>
    <t>Bonifacio To</t>
  </si>
  <si>
    <t>…ntregaron á los trasportes mas á S. M. en los años de 1814 y 181; por los diputados que patéticos é interesantes de patriotismo. Repique general dé fueron de las Cortes ordinarias D. Bonifacio To autos, Don campanas , funciones de iglesia , acciones de gracias al Dios Josef Zorrilla de la Rocha y Don Juan Manuel Renai ’o; de las misericordias, iluminación general, bendiciones diri pidiendo el primero el arcedianuto de Madrid , en virtud gidas á nuestr…</t>
  </si>
  <si>
    <t>Tomas</t>
  </si>
  <si>
    <t>…rvado que/dos buques se di rigían para arriba; con cuyo motivo , y el de avisarme que otros dos se hallan cerca de Huacho, me pongo én marcha para Huaura, dejando aqui al capi tán D. Tomas .-Muróte con toda la:tropa que sacó de Lima y la partida que á las órdenes del teniente Eguía había ae su cuerpo. ,,Dios guarde á V. E. muchos años. Campo dél convento de Supe y Mayo 13 de 1819. =Excmo. Sr. = Mariano Cucalón.=Excmo. Sr. virey del ' ■ yPero.”…</t>
  </si>
  <si>
    <t>…iedad. Dios guarde á V. E. muchos años. Navio Numancia en la bahía de C diz á 14 Je Marzo de 1820. =: Diego Butrón. = Sr. Secretario del Despacho de Marina.” „Ei mariscal de campo D. Tomas deZerain, teniente de caballerizo ma yor en Córdoba, ha participado lo siguiente al Excmo. Sr. conde de M randa. „ Excmo. Sr.: Habiendo llegado á esta ciudad el teniente general D. Jo sef O-Donell el dia 9 descorriente á la caída de la tarde con su tercera di…</t>
  </si>
  <si>
    <t>…á los alcaldes en la per'ecucion de vagos y Monte pío de oficinas lo que sigue: rateros. La de to de Noviembre del mi'mo. declarando qne «El RrY se ha enterado de una solicitud de D. Tomas los .Gefes poliricos no tienen voto' en los ayuntarrientos, Yoldi, oficial tercero-de la tesorería de ejército de Aragón, pero sí los alcaldes y procuradores sindico'. La de ó de Di • en que pretendía dupen-a de! defecto de -haber contraído ciembre del mi'mo…</t>
  </si>
  <si>
    <t>…dirigido por la secretaría de Gracia y Justicia, castigos. promovido por -D. Matías García Rada , sobre emancipa Sé muy bien que se han hecho proposiciones de aco ción de su hijo D. Tomas; v otro del mismo ministerio re modamiento; pero acompañadas de amenazas, que ha dis lativo á lo actuado sobre subrogación de un censo impuesto gustado que se hiciesen públicas: se la permitía u«ar de su á favor del cabildo de Zamora sobre la mitad del térmi…</t>
  </si>
  <si>
    <t>Tomás</t>
  </si>
  <si>
    <t>…abia publicado tro togado , y juez de primera instancia de esta muy he algunos decretos, dirigidos á mejorar varios ramos de la ad roica villa, de 9 del corriente , refrendada por D. Tomás ministración. María Manrique, escribano del número de la misma, pre ARTICULO DE OFICIO. vio examen de la junta de Censura , que ha calificado por unanimidad de obsceno y contrario á la decencia púb ica El Rey ha expedido el decreto siguiente: y buenas costumb…</t>
  </si>
  <si>
    <t>…ias, sin que en ningún A la especial nombrada para examinar el mérito de ios tiempo ni caso pueda procederse contra ellos por la con que han sufrido por la patria una solicitud de D. Tomas ducta y opiniones políticas que tuvieron.” También fue "Vidal, padre del coronel D. Joaquin, sacrificado por Ello aprobado. en Valenda, para que en atención á haberse desprendido de Se leyó el 3.0 concebido en estos términos: &gt;&gt;3.° Cuitodos sus haberes con el…</t>
  </si>
  <si>
    <t>…o; peto como la in licias provinciales al teniente general D. Pedro de la Barce clinación de la aguja no era mas que de 86°, no creen ha na: capitán general de Galicia al teniente general D. Tomas berse hallado exactamente sobre el polo. Moreno: capitanes generales de las islas Baleares, Extrema SI son ciertas las noticias, el capitán Parry ha inverna dura , Aragón y Castilla la Vieja á ios mariscales de cam do á 482 millas geográficas al Oeste del est…</t>
  </si>
  <si>
    <t>Tomas, Francisco</t>
  </si>
  <si>
    <t>Francisco Tomas</t>
  </si>
  <si>
    <t>…la patria una representación de Don lanceros del Rey D. Josef Antonio Martínez , desde Guar- Ignacio Varela, vecino de la Coru.'ia, manifestando sus datinajas de i.° de Junio, al brigadier D. Francisco Tomas méritos y servicios patrióticos á favor det general Porlier, Morales, se sabe que el 29 de Mayo había marchado aquel y pidiendo se le favoreciese para poder educar á sus siete al punto de S. Felipe á batir áLópez, y que no consiguién hijos. dolo, se dirigiría…</t>
  </si>
  <si>
    <t>Tomas, Manuel Fernandez</t>
  </si>
  <si>
    <t>Manuel Fernandez Tomas</t>
  </si>
  <si>
    <t>…Tomas, el doctor de Portugal y Nápoles. Fr. Francisco de Si Luis, el bachiller Josef Joaquín Ferreira de Moura, encargado de los negocios del reino y de Hacien INGLATERRA. da, el diputado Manuel Fernandez Tomas, encargado de los. negocios extrangeros; el diputado Hermano Josef BraamLóndres 0$ de Setiembre. camp del Sobral, secretario de les negocios de Guerra y En vano prohibió [a poltcia.de Glaskow la reunión de Marina, con voto en los objetos de su atribución; el…</t>
  </si>
  <si>
    <t>Tomnds, Josef de</t>
  </si>
  <si>
    <t>Josef de Tomnds</t>
  </si>
  <si>
    <t>…a causa de 5. M., sino Kdpoles jj de Agosto. á su corto talento. El procurador general del supremo tribunal de Cuentas Én este momento se presentó S. M. en la Cámara; y de Nápoles D. Josef de Tomnds ha remitido al Sr. minis habiendo sido recibida de' la misma manera que la víspera, su abogado prosiguió comentando los cargos hechos á sil tro de Hacienda la siguiente carta: «Exento. Sr.: S. M., por un efecto de su Real munifi ilustre cliente; pero con espe…</t>
  </si>
  <si>
    <t>Top</t>
  </si>
  <si>
    <t>…ujeto á las condiciones y Yela , juez de primera instancia en esta heroica villa , y porestipulaciones que quieran los- mismos.” lá escribanía del número de la misma, que despacha D. Top El 17 decía asi: mas María Manrique, contra el autor del impreso núm. 8.a 17. «Se admitirán en compra de bienes nacionales las titulado él Defensor de afligidos y desesperados, porcertificaciones que' acrediten estar presentadas para liquidar obsceno y contrario…</t>
  </si>
  <si>
    <t>Tor, Antonio</t>
  </si>
  <si>
    <t>Antonio Tor</t>
  </si>
  <si>
    <t>…azan , capitán general de Aragón; el Excmo. Sr. Don Martin de Garay, consejero de Estado ; el Excnw&gt;. Sr. d&gt;. Antonio Amar, teniente general de ios egérettos nacionales; el Excmo. Sr. D. Antonio Tor res, mariscal de campó dé los mismos; y los Sres. D. Jpséf Blanco González, intendente y corregidor de esta ciudad; él marques de Viilafranca de Ebro, I&gt;. Joaquín'Diez de Tejada , D. Pedro Car isa, D. Juan Romeo, D. Francis co Barber, D. Joaquín Gómez , D. Vi…</t>
  </si>
  <si>
    <t>Toral, Ramón de</t>
  </si>
  <si>
    <t>Ramón de Toral</t>
  </si>
  <si>
    <t>…ni dependencia alguna de los superiores de la Com drá dirigir su solicitud y proposiciones, francas de por- ‘ pañía qué están fuera de España. te, ai secretario de la misma junta D. Ramón de Toral, ve 3.0 £11 lugar de la pendón que los antiguos jesuítas es cino y del comercio de esta villa; y para instruirse de las pañoles disfrutaban , se jes señalan 300 ducados al año, condiciones mas admisibles se presentará en Madrid á Don qué cobrarán de jos fondo…</t>
  </si>
  <si>
    <t>Torcno</t>
  </si>
  <si>
    <t>…amón /ñnt'uúo Sierra han acordado, con anuencia de este, convocar en Am rica. á dichos acreedores á una junta general extrajudicial para el Aprobada el art. 79, y luego el 80 , el Sr. Torcno pro día 3 del próximo mes de Setiembre en el aula de gramática pino .i los Sres. de ¡a comisión que para acabar de una vez del convento de la Trinidad calzada, y hora de las 9 de la maña traje'en a! dia '¡guíente los artículos que se la habían de na, á fin de…</t>
  </si>
  <si>
    <t>Toreno</t>
  </si>
  <si>
    <t>…e esta última, que se había omitido biaba sino condicionalmente del establecimiento de jurados expresar el nombre de algunos diputados que se nombraron ,,con lo que se conformó el Sr. Toreno subrogando la pahbrrt para las comisiones que recibieron a SS. MM. en lugar de indicados"; y otra del Sr. Golfín acerca de un tratado con otros que no pedieron asistir á ellas, se aprobaron las dos cluido con el Rey de los Países-Bajos en 1S16 relativo á acta…</t>
  </si>
  <si>
    <t>…ha servido el Re Y Mientras se agitaba está cuestión regresó la diputación conceder aquel destino á D. Pío Millan , provisto adminis que habia ido á palacio: en su nombre dijo el Sr. Toreno trador de la renta del tabaco del casco de México. que habían desempeñado su encargo, y que S. M. habia reci bido con agrado la manifestación de los sentimientos del tribunales. Congreso: el Sr. presidente contestó que este quedaba ente Habiéndose visto en es…</t>
  </si>
  <si>
    <t>…para que después la comisión pudiera dar sj parecer: putado exi'tir en la secretaría de Gracia y J11 ticía. al Congreso. En seguida se dio cuenta de otra exposición de la junta El Sr. Toreno apoyó la propoticion del Sr. Yandiola, suprema de Censura, en que haciendo presente que por añadiendo que fuese á la mayor brevedad ; pu s creía q ’e. muerte de algunos de los individuos que la componían, au en esta legislatura debían ocuparse las Cortes muy…</t>
  </si>
  <si>
    <t>…io D. Francisco Mota y D. Buenaventura Martoreli para geies del egárcito de S. Fernando á sus soldados, se leyó erernizar la memoria del teniente general y héroe de la pa otra del Sr. Toreno que estaba ya puesta al despacho, pi tria D. Luis Lacy, asciende el importe de los donativos diendo que se aprobasen y legitimasen las referidas ofertas; hechos por varias corporaciones y particulares á 12,995 rs. y otra del mismo Sr. Golfín sobre que una com…</t>
  </si>
  <si>
    <t>…de él ; entendiéndose esta aclaración en tér hab ian parado unos con otros del 4 por too. minos que ntydeban servirles de estorbo, para gozar de esta El Sr. Moscoso convino con el Sr. Toreno en no apre gracia en lo sucesivo y mientras vivan, las renuncias que ha miar A los pueblos , pero no en cuanto al interes ; el cual yan hecho antes, ó que puedan hacer en lo sucesivo, las creyó'débiá fijarse en un 6 por loo para combinar la utili cuales ni de…</t>
  </si>
  <si>
    <t>…s al principio, suelen hacerse después forzosos. del Sr. Solanot; V atendiendo á la gravedad del asunto , ma Otra del Sr. La grava para que al tiempo de tratar de nifestada por el Sr. Toreno , se acordó que antes de admi las dotaciones de los párrocos se tenga en consideración á tirla se dijese á los ministros vinieran dispuestos para con los capellanes aastrenses por la clase de su trabajo y por su testar á los extremos que abrazaban las indicac…</t>
  </si>
  <si>
    <t>…de la secretaría el añadir en el oficio: «el estado de estas objeciones los Sres. Marvel y García Page, y de haber las causas de Zaragoza, Burgos &amp;c; ’ pues podría enten pedido el Sr. Toreno que se dividiera el artículo, añadien derse asi por algunas expresiones del ministro. do que en los conventos se debía enseñar tolo á los novicios, El Sr. conde de Toreno, apoyando al Sr. Arguelles, sobre lo que pasó á extender una indicación, quedó aquel aña…</t>
  </si>
  <si>
    <t>…ara presentar Quedaron también enteradas de otro, con que remitía le en los almacenes, y todos los efectos embargados. el secretario del Despacho de la Guerra 300 egemplares de El Sr. Toreno creyó no necesaria esta adición en el con la circular de este ala, sobre separar de los regimientos á cepto de que soló se hacia el embargo hasta ver el fin de la los gefes agregados, y otros particulares. causa; equivocación que desvaneció eí Sr. Calatrava,…</t>
  </si>
  <si>
    <t>…s reunidas de Agricultura y Comercio sobre su proyecto misma indicación por escrito, que no fue admitida por ser acerca de exportación é importación de granos. En él ha propia del Sr. Toreno , quien la escribió en estos términos; cen ver sus individuos que la clase agricuhora es la que mas *»Que se discuta la parte del dictamen de la comisión que ha padecido en esta última época, y la mas digna de toda habla de la introducción de granos, y que la…</t>
  </si>
  <si>
    <t>…Guerra fue de parecer de que se discutie prima el dictamen de la comisión con el adjunto extracto ra inmediatamente, y luego se imprimiera. en un apéndice al Diario de Corte ." El Sr. Toreno manifestó que el Congreso no tenia que Se leyó después o.ra concebida en estos te'rmirtos: «de hacer mas que confirmar las providencias dictadas por el vuélvase el expediente á la comí ion para que informe de Gobierno para la suspensión ; que las reclamacione…</t>
  </si>
  <si>
    <t>…r si se juzgaba que debia p;var á una co misión, y se determinó que sí. Se smeiraron algunas con testaciones sobre cuáles serian estas comisiones á que debería ANUNCIOS. pasar. El Sr. Toreno se oponía á que pasara á la de Hacien da, porque esto serviría para embarazar á la comisión, y que lo que ahora se propone 110 ha de tener efecto hasta Está vacante la plaza de primeras letras de la villa de Albi Agosto del año 21. res , provincia de Madrid,…</t>
  </si>
  <si>
    <t>…es las propuessido censurados por aquella Junta, y que al mismo tiempo «tas de los individuos que fueren necesarios." se previniese á la suprema que hiciera la propuesta de los El Sr. Toreno redujo la discusión á e-tos tres puntóse que hubiesen de completar la de Cataluña. i.° A la aprobación de lo que se ha hecho en estos cuatro El Sr. Navas manifestó que habiéndose dado parte á meses: 2° á que sean habilitados interinamente hasta que se la Junt…</t>
  </si>
  <si>
    <t>…sin mas intervención de la El Sr. Calatrava pidió que se pusiera en otros términos ,piilitar que la que en ella se señala. Por todo lo cual, y mas claros, á lo que le contestó el Sr. Toreno; y después habiéndose conformado S. M. con el dictamen del precita de alguna discusión y haber pasado á votar, teniendo duda do Consejo en todas sus partes, se ha servido mandar que el secretario de sí estaba aprobado ó no, se contaron los vo se pasen á las d…</t>
  </si>
  <si>
    <t>…su pare el día anterior se hahia dicho que la ordenanza no está vi cer no merecían que el Congreso tratase de ella'. gente , porque rito Consti .ucion se ha promulgado después, El Sr. Toreno apoyó en gran parte lo expuesto por el se del mñino. modo después de esta y de-la libertad de im ñor Sierra, diciendo que estas proposiciones serian las mas prenta las Cortes generales y extraordinarias publicaron un desorganizadoras del poder egecutivo, y qu…</t>
  </si>
  <si>
    <t>…oficiales de infantería, que formaba la vanguar con su acuerdo resuelva lo mas conveniente." dia, y la rerag ardía un escuadrón cíe oficiales y cadetes de Habiendo rectificado el Sr. Toreno la equivocación que Lusi ania, que alternaban con guardias nacionales de á ca habia obligado al Sr Gollin á pedir se comprendiera en la ballo. Bendi¡ose solemnemente; y con arreglo á ordenanza invitación á los españoles , manifestándole que lejos de bus se've…</t>
  </si>
  <si>
    <t>…de unifórme; con lo que eximiéndo dos los p tertos de Ultramar que estuviesen en igual caso. les del uso del uniforme grande, el chico y el chiquito, se Defendieron el dictamen el Sr. Toreno , bajo el concep les ahorraba una porción de miles de reales al año. Concluyó to de que la comisión habia cumplido con la resolución del sus observaciones, pidiendo que la propuesta del Sr. minis Congreso ; y e! Sr. Marúnez de la Rosa en el supuesto de que tr…</t>
  </si>
  <si>
    <t>…eración lo que sustentación , dígase al Gobierno que en uso de su faeulrad, tenia dicho, lo rectificasen. como protector de los sagrados cánones , lleve á debido efec Defendió) el Sr. Toreno ¡a comisión ; y las Cortes, pa to tan sabías y saludables medidas, dejando á los eclesi ¡'.ti sando á votar, declararon que no aprobaban ei artículo. cos que se hallan en e&gt;re caso, la faeulrad de optar entre Presentó el Sr. Moreno Guerra su indicación, en qu…</t>
  </si>
  <si>
    <t>…tes en la ciudad y provincia de Sevilla, y examinadas por las Cortes, estas confirmasen las que de proponía algunas medidas para remediarlo, nombrando un bían subsistir. A esto el Sr. Toreno hizo la observación de juez protector , un tesorero administrador y un contador; que ya el Gobierno ha mandado suspender el pago de las pidiendo que le tuvieran presente por ios conocimientos que que se hablan dado por servicios hechos contra la Consti reúne.…</t>
  </si>
  <si>
    <t>…isión á que del sol por la parte del mediodía; en Cádiz y costas me debe pasar fuera la de Premios. ridionales en casi ocho dígitos; en la Coruña, Asturias y El Sr Goltin apoyó al Sr. Toreno , y solicitó que se to costas del norte mas de nueve dígitos y medio; en París 10 masen también en consideración los méritos del general dígitos, y en Londres cerca de 11 dígitos, es decir, que Quiroga. será casi total. J. A. Se aprobó la adición del Sr. cond…</t>
  </si>
  <si>
    <t>…sición del Gobierno en cumplimiento de debían tomar las medidas mas eficaces para disipar hasta las su obligación. mas pequeñas reuniones ; no porque se temiese de ellas , sino El Sr. Toreno expuso que parecía muy justo que se die por lo que pueden influir .en nuestras relaciones exteriores. ra al egército una especie de gratificación por el zelo y Dijo el Sr. Martínez de la Rosa que de cualquier modo trabajo de estos día-, á lo que el Sr. Canga…</t>
  </si>
  <si>
    <t>…á queza territorial. Supuso absolutamente nece.ario que las la comisión de Reforma de regulares había nombrado en lu Cortes adoptasen una medida, y medida grande; pero tam gar del Sr. Toreno al Sr. Lorenzana; y se leyó la minuta bién dijo que encontraba la dificultad de no haber visto bien del decreto aprobado en la se-ion extraordinaria de anoche desenvuelto el punto de si la aprobación del artícuto eu sobreel aumento de prest á las clases subal…</t>
  </si>
  <si>
    <t>…temente discutido, se declaró no estarlo to Torre Marin, Calatrava, La Llave, Moscoso, Olí ver, davía. Losada, Cucar, Pino, Ramos Arispe, Gaseo, Gutiérrez Apoyó el Sr. Vitorica al Sr. Toreno, y manifestó ser de Acuña, Goltin, Zufriategui, Presidente: total 107. una de las razones principales de haber pensado en la supre No le aprobaron los Sres. Lastarria , Artleda , Cabrero, sión completa de los monacales, y no en la de los mendi Lobato, Casasec…</t>
  </si>
  <si>
    <t>…, á la moral pública, y aun i los intereses de la Ha único medio de evitar el contrabando. cienda nacional bien entendidos , porque esta nunca tendría El Sr. Yandíola, apocando al Sr. Toreno, manifestó que . derechos en las aduanas mientras un los baia'e todos al aunque se decía por varios Sres. preopinantes que el déficit. mínimo posible para que no haya contrabando, el cual es no seria tan considerable como la comisión creía, sustituyen tan fác…</t>
  </si>
  <si>
    <t>…ongreso exigir, al Gobierno una declaración, solemne, y ra de las del próximo para que se pudiesen temer grandes .no podía separarse sin ella. . 1 ocurrencias. Apoyó en el todo el Sr. Toreno la doctrina, del Sr. lsNo convino en que dependiese absolutamente del em turiz; pero advirtió que ;no era ni del Gobierno ni de la préstito, como.habian supuesto algunos, la existencia polí comisión la opinión del Sr. Sierra ¡.confirmó, como habia ditica de l…</t>
  </si>
  <si>
    <t>…ues qjie presentaba la mayoría de la comisión. to al artículo 239 de la Constitución el medio conciliatorio Él Sr. Zapata consideró el asunso dividido en tres cues indicado por el Sr. Toreno si se les declaraba propietarios, tiones ; á saber: cuál debía ser el número de consejeros de y opinó que no se podía tomar otro que la interinidad que Estado; si habían de ser parte de este número los actuales, había propuesto con el Sr. Gaseo en el voto par…</t>
  </si>
  <si>
    <t>…antes bien era justo hacer observar la ley. se supriman sus privilegios, remitida por el Sr. secretario Después de hablar el Sr. Yandiola en el. mismo sentido de Hacienda. que él Sr. Toreno, manifestó el Sr. Sancho su deseo de que A la de Infracciones de Constitución se pasó una expo dijese expresamente el Gobierno si conceptuaba de precisa sición, del alcalde de. Oropesa, vindicándose de una queja necesidad que la administración de justicia se…</t>
  </si>
  <si>
    <t>clon provincial de Granadla, y las proposiciones hechas por El Sr. Carrasco añadió á lo dicho por el Sr. Toreno que los Sres. diputados de la misma provincia, para que se abo juzgaba que no debían de ser de peor condición las propie liese la contribución conocida en aquella provincia con el dades urbanas que las rústicas, para que los dueños de aque nombre de censo de…</t>
  </si>
  <si>
    <t>…eptuaba injusta ; lo que El Sr. Yandiola expuso que la comisión no tenia incon fue adoptado por la comisión, quedando aprobado el artí veniente en adoptar la nota propuesta por el Sr. Toreno, culo con la variación referida. dejando en pie la cantidad que se expresaba, para que se Igualmente se aprobó el 7.0» concebido en estos tér viese que la Nación la reconocía , y no se negaba á pa minos : garla. 7.0 «Los acreedores que no presenten sus docume…</t>
  </si>
  <si>
    <t>Toreno, Conde de</t>
  </si>
  <si>
    <t>Conde de Toreno</t>
  </si>
  <si>
    <t>…n de los franceses se habian vendido mu cretarios el Sr. D. Manuel López Cepero , han sido elegi chos baldíos; cuya indicación seria conveniente que se hi dos : pata presidente el Sr. Conde de Toreno , diputado por ciera al Gobierno , para que no se defraudara de esta parte la provincia cíe Asturias: para vice-pre&gt;¡dente el Sr. D. Joá aquellos á quienes verdaderamente pertenecen. sef María Calatrava , qne lo es por la de Ext rema Jura ; y El Sr. Gateo dij…</t>
  </si>
  <si>
    <t>Toreno, Je</t>
  </si>
  <si>
    <t>Je Toreno</t>
  </si>
  <si>
    <t>j'O E! Sr. conde Je Toreno se opuso á la Opinión del Sr. Na cuando era mucho menor la deuda de la Nación, se ven vas , haciendo ver que no solo convenía tomar sus bienes dieron varias lincas de esta clase; y declarándose el punto por el estado de necesidad á que la Nailon se halla redu…</t>
  </si>
  <si>
    <t>Torer.o'</t>
  </si>
  <si>
    <t>…á buciones de las Cortes, no obstante las opiniones contra expresión de c.irjros públicos, para incluir lo que pedia el rias ,el tomar dichas medidas, y echar un velo sobre el cri Sr. Torer.o', y se aprobó con esta adición. men de los españoles de que se trataba, supuesto que en Respecto de la segunda, dijo el Sr. Sancho que érá muy ningún artículo de la Constitución se prohibía mirar por el análoga con lo que habían acordado Jas Corsés en el decre…</t>
  </si>
  <si>
    <t>Torreñs</t>
  </si>
  <si>
    <t>…o de jurados, indicado en la Constitución, dé á terior: el Sr., secretario salvó la-diferencia que se notaba dé' todos los ciudadanos esta nueva y esencial garantía de so estar el Sr. Torreñs incluido en la comisión de Comercio,' libertad. ; manifestando que pertenecía á esta, y.uo á;la de Poderes, ■ La administración interior de los pueblos, confiada á los en cuya lista se le había colocado,por equivocación-; é igual mismos interesados en su pros…</t>
  </si>
  <si>
    <t>Torrequela, Pedro</t>
  </si>
  <si>
    <t>Pedro Torrequela</t>
  </si>
  <si>
    <t>…te; y se levantó ia sesión. Do 'cientos nueve idem, en Rivarantut. Ciento cuatro idem, 2 celemines en Villastia. Habiéndose insertado en el periódico titulado el Con Idem idem por D. Pedro Torrequela. servador de 7 de Abril un artículo comunicado, injurioso Ochenta y dos medias en Torrecuadra. al Sr. conde de S. Román , demandó este A ios editores con Jaeiu idem de S. Miguel, de idem. arreglo A las leyes; y seguida la causa por los tramites or Ciento sese…</t>
  </si>
  <si>
    <t>Torrero, Muñoz</t>
  </si>
  <si>
    <t>Muñoz Torrero</t>
  </si>
  <si>
    <t>…s Cortes. narca, que no debía dilatarse, y que nada tenia de común El Sr. Palarea hizo nna adición á ¡a proposición del con las proposiciones y proyectos á que se referia el regla Sr. Muñoz Torrero relativa á la revocación del decreto de: mento , se declaró no haber lugar á votar. 18 de Marzo de 18.1 i, y propuso.que esta no se entendiera Se nombró para presentar á S. M. el discurso una comi can Iji muger de Napoleón,. hija del Emperador de Austria, sió…</t>
  </si>
  <si>
    <t>…a y aunque nó estaba mandado expresamente, era sin duda resolución de las Cortes la declaración de si la proposición por no necesitarse una declaración sobre el particular. Re del Sr. Muñoz Torrero debía producir un decreto con eaijcordó que cuando en las Cortes extraordinarias se estableció racter de ley ó un simple decreto. Después de liábér habla ■ el tribunal, se convinieron los diputados en que no pudie do acerca de esto con diversidad de opiniones…</t>
  </si>
  <si>
    <t>…n Se leyó un voto particular, que decia asi: «habiendo vo que no debian aquellas detenerse en aprobar la proposición tado en favor de la primera y segunda, parte de la proposi del Sr. Muñoz Torrero, con arreglo á la fórmula prescrita ción del Sr. Moscoso, no acfínnida á discusión en la sesión en el reglamento, patando A expedir un decreto-como sigue: de Cortes de hoy, relativa á reconocer por beneméritos de «Las Cortes, usando de la facultad que se les…</t>
  </si>
  <si>
    <t>…en seá de dentro ó fuera del Congre o. panic lardiezmos. mente para el ramo de ciencias exactas, fisicas y naturales. 1 .Una .indicación del Sr. Banqücri para deshacer una equi El Sr. Muñoz Torrero pfopuro que se autorizase á la vocación padecida en la última sesión , que se reducia á que Cómi-ion para este efecto; lo que se aprobó. Aliando pidió qtié se imprimiesen la memoria y documentos Se dió cuenta de una solicitud de D. Juan Márquez, pi del Secret…</t>
  </si>
  <si>
    <t>…ristiana , aritmética, ortografía y gramática castella ra y Comercio; y habiendo notado en el segundo alguna na, á lasque respondieron con la nuxyor exactitud, mani inexactitud el Sr. Muñoz Torrero, convino su autor en que. festando al mismo tiempo sus adelantamientos en la lectura se reformara. y escritura. Se mandaron archivar las copias testimoniadas de los Por último, y con igual aplauso de los concurrentes, poderes de los diputados de la provincia…</t>
  </si>
  <si>
    <t>…al, á petición del Sr. Bahamonde, por ioo que hubiese en el particular, se pudiesen hacer proporciones. votos contra 8. El Sr. Cepero y el Sr. vice-preridente dijeron que el Go El Sr. Muñoz Torrero pidió que se haciera constar en bierno habia pasado á las Cortes las noticias que reñía so-</t>
  </si>
  <si>
    <t>…pone 110 ha de tener efecto hasta Está vacante la plaza de primeras letras de la villa de Albi Agosto del año 21. res , provincia de Madrid, i nueve leguas de esta corte: su do El Sr. Muñoz Torrero dijo, que el presidente era quien tación es de 39 rs. sobre propios y repartimiento entre los ve debia preguntar á qué comisión pasaría ; y habiéndolo he cinos, inclusos 260 rs., importe de réditos de una obra pía de pobres, cobrados en el Crédito público, y…</t>
  </si>
  <si>
    <t>…te en Por fallecimiento de D. Mateo Mas y Rubí, deán de la el espíritu de aquella ley, como lo había dado á entender el Sta. Iglesia catedral de Maracaibo, ha quedado vacante est» Sr. Muñoz Torrero, y que acaso el no tomar esto en consi dignidad; cuya renta anual está regulada en 4353 pesos deración podría servir de pretexto para que los americanos fuertes; y para su provisión se admiten memoriales por tér disidentes, que tal vez iban á reunirse bajo el…</t>
  </si>
  <si>
    <t>…dipu posición que hayan mostrado para desempeñar las funcio tados que concurrieron á formar la Constitución, tal como nes propias de su carrera. Por último hizo presente que su el Sr. Muñoz Torrero. amigo Azara, enviado á la corte de Roma, murió dejando Este Sr. dipurado, advirtiendo que el Consejo de Esta muchos millones. do era un cuerpo puramente consultivo, leyó el reglamento El Sr. secretario de Estado, principiando por donde de este mismo en la pa…</t>
  </si>
  <si>
    <t>…esen á los ayuntamientos la facultad de nombrarlos, ni derelativas á la excepción que se expresa en el att. 2.0 bian. ser en tan corto número como el de 18; creia tam Manifestó el Sr. Muñoz Torrero que el. sentido genuino bién muy diminuto y muy aventurado el de tres y cinco de la Constitución era el explicado ppr el Sr. Tapia, por -para formar sentencia en los casos señalados respectivamen que solo se exceptuaban los escritos sobre religión; y se te ,…</t>
  </si>
  <si>
    <t>…hagan á ¡a esencia de aquella per «Pero sí en algún escrito se Tacharen decorosamente los de tenece á la Iglesia. * ^ fectos cometidos por alguna corporación ó empleado en el -Ed Sr. Muñoz Torrero, leyendo el artículo 12 de la de empeño de su destino, y el autor ó editor probare su Constitución , manitesv i que tenia dos parres; una ¡a decla aserto, quedará libre de toda pena.” ración de la religión catílica por única del Estado, y otra Habiendo observ…</t>
  </si>
  <si>
    <t>…en. Con este motivo se aprobó una indicación del manente de Cortes por la de un diputado peninsular , que Sr. Díaz del Moral para que las Cortes resolviesen quién dando elegido el Sr. Muñoz Torrero por 8o votos de 96. habia de expedir las cartas de ciudadano ; la que fue aprobada La segunda elección de diputado ultramarino recayó en Se aprobó el dictamen de la comisión segunda de Legis el señor Zayas por 67 votos de 112. lación , que opinaba debía aprob…</t>
  </si>
  <si>
    <t>Torrero, Müñoz</t>
  </si>
  <si>
    <t>Müñoz Torrero</t>
  </si>
  <si>
    <t>6to tar sobre la siguiente Sr. Müñoz Torrero: «Que se au ción de la Península, participando en uno que el Rey cita torice al Gobierno para que provea á la dotación de la ba en cama con un fuerte constipado y ronquera ; y en otro iglesia de S. Isidro del fondo de pensiones «obre las mirras, que habia com…</t>
  </si>
  <si>
    <t>Torres, Antonio Martínez de</t>
  </si>
  <si>
    <t>Antonio Martínez de Torres</t>
  </si>
  <si>
    <t>…de la sociedad núm. 3.° del periódico Asamblea constitucional de Badajoz: 4023 años después del fin del Satya youga, los hindous su autor D. luán Ramiro. cuentan 2.164,900. años. D. Antonio Martínez de Torres, desde Pamplona diri En el 7.“ tomo: sobre la lengua sánscrita y la pracrita: ge un arreglo para la infantería de línea y ligera, su ves el pracrito es el idioma vulgar, y el sánscrito el culto ó li tuario y equipo. mado ( raffinee): sobre las ceremonias reli…</t>
  </si>
  <si>
    <t>Torres, Domingo de</t>
  </si>
  <si>
    <t>Domingo de Torres</t>
  </si>
  <si>
    <t>…s Estados-Unidos, varios jueces de di ce de sus sen-icios; ha venido en nombrar para sucederle al ferentes tribunales, y el primer juez del tribunal supremo intendente de egírcito D. Domingo de Torres, en.atención de justicia. ¡Cuán dignos son estos establecimientos de la á sus relevantes servicios y circunstancias. dignidad del hombre, y cuánto honor hacen á la especie humana! LITERATURA. Asia.__ batavja. En el año de 1778 se formó la sacie dad literaria…</t>
  </si>
  <si>
    <t>…que rigen , y -empezar Arnediilo 1.a de Julio. otro tesorero en i.° de Julio ; ha resuelto el Rey que en Es tan conocida la utilidad de las aguas termales de Ar- tre en egercicio D. Domingo de Torres, mediante a que Don nediüo para mucha dase de enfermedades, y con especialidad Juan Antonio Yandiola no puede encargarse de la expresa para los accidentes reumáticos, para las parálisis é indis da tesorería general por ser actualmente diputado en Cortes. posi…</t>
  </si>
  <si>
    <t>Torres, Francisco Prieto de</t>
  </si>
  <si>
    <t>Francisco Prieto de Torres</t>
  </si>
  <si>
    <t>…ozaga; en Málaga en la de Aguilar; en Pamplona en la de Tongas; en Murcia en casa de D. Tomas Juan Serrano; en la Carolina en la administración de correos; en Salamanca en casa de D. Francisco Prieto de Torres, y en Granada en la de Don Antonio Josef González y Aguilera, en el Zacatín. Visitas ai Santísimo Sacramento y á María Santísima para todos los dias del mes; actos de preparación y de acción de gracias para la sagrada comunión. Obra com puesta en italiano por…</t>
  </si>
  <si>
    <t>…la de Santander, etf^Valencia en la de Ca brerizo, en Jaén en la de Carrion, en Vitoria en la de Barrio, en Granada en casa de D. Antonio González Aguilera, en Salamanca en la de D. Francisco Prieto de Torres, en Velez-Máiaga y en Alcoy en sus administraciones de correos. Los núme ros sueltos se hallarán a 3 rs. en rústica en la librería de Orea; en la de Hurtado, calle de las Carretas; en la de Brun, frente de S. Felipe el Real; en la de Villa* plazuela de Sto. D…</t>
  </si>
  <si>
    <t>Torres, Hilario de</t>
  </si>
  <si>
    <t>Hilario de Torres</t>
  </si>
  <si>
    <t>…ico men tener en Francia noticias particulares, adquiridas por de Cimara l&gt;.Vicente Martínez, ha resuelto que el segun conductos tan extraordinarios como fidedignos , varios ru do D. Hilario de Torres predela la^ oposiciones .1 la plaza mores , que no podemos menos de anunciar, sin darles nin de médico de Familia que ve Italia vacante, según aviso que gún carácter de certeza,ni mas importancia que la del buen se publ'có en ¡a &lt;2 aceta del 1: de Ocmbre ulti…</t>
  </si>
  <si>
    <t>Torrija, Blas Ametller.Antonio</t>
  </si>
  <si>
    <t>Blas Ametller.Antonio Torrija</t>
  </si>
  <si>
    <t>…. D. Juan Pyne, 60. Retrato de la Reina Católica Dona Isabel, grabado por el cuaD. Abram de J. Taurel, 80. Los jornaleros Josef Alonso, dro que se guarda en el palacio del Rey por D. Blas Ametller.Antonio Torrija, Antonio López, Josef García y un com Se vende en el despacho de la calcografía de Ja imprenta Naciopañero de este, jo. El cónsul de España D. Juan Gonzá nal á 10 rs. vn. lez de Rivas, 390. Discurso sobre contribuciones, escrito por D. Rafael Moranr, AMICUO D…</t>
  </si>
  <si>
    <t>Torrijos, Josef María</t>
  </si>
  <si>
    <t>Josef María Torrijos</t>
  </si>
  <si>
    <t>…res : 8.° del poder municipal: 9.0 de la fuerza armada que Castelldosrius. = Vót- el regimiento de Fernando víi, el debe tener un Estado constitucional: 10. de los derechos políti brigadier Josef María Torrijos. = Por la Artillería de la pla cos: ix. de los individuales, de los cuales se habla con exten za , Jo'ef López, coronel comandante. = Por el regimiento sión, y singularmente del de la libertad de imprenta: 12. de la del Infante D. Cirios, Manuel O-Doy le, cor…</t>
  </si>
  <si>
    <t>Tortorici, Josef</t>
  </si>
  <si>
    <t>Josef Tortorici</t>
  </si>
  <si>
    <t>…istía general por lo* desórdenes actuales. con ral que P. Palenno, al marques Radusa, al coronel D. Manuel los extraviados vuelvan á la subordinación debida á las le Requesenz y á D. Josef Tortorici. Se dieron varias sabias ve*. Se han expedido al mismo tiempo. por la vía de las providencias,en las que se distinguieron los oficíale*, suma Calabrias , correos á los intendentes de Sicilia , y al general mente adictos a la Constitución y al bien de la patri…</t>
  </si>
  <si>
    <t>Tortosa, Josef Gómez</t>
  </si>
  <si>
    <t>Josef Gómez Tortosa</t>
  </si>
  <si>
    <t>…an para consuelo propio de V* M. y bien univers al de la nación^’ ARTICULO DE O F ICIO. Él Ret nuestro Señor se ha dignado conferir el empleo de gobernador dé la plaza de Rosas al coronel D. Josef Gómez Tortosa, comandante de escua drón del regimiento caballería del Príncipe: el de gobernador de la de Mon zón al coronel í&gt;. Miguel Ochoa, comandante , i del primer batallón del regi miento de infantería del Infante D. Carlos; y lá sargentía mayor de la plaza de Ibiza…</t>
  </si>
  <si>
    <t>Tose</t>
  </si>
  <si>
    <t>…yecto pasar á las comisiones Eclesi Asnea y de Legislación reunidas. para cxtinunir Jos ladrones y mendigos. presentado por Se leyeron también por segunda vez las si-ementes propo D. Tose!" Paez y Salas, asesor de la milicia dcC adoba, so siciones del Sr. Mosco'o: i.a Que las Cortes decreten que los bre'cuyo punto dijo el Sr. ministro de la Gobernación se gefes. oficiales é individuos del egírciro que en la ciudad de tomaban medidas no solo po…</t>
  </si>
  <si>
    <t>Tosos</t>
  </si>
  <si>
    <t>…s , que tan de corazón sinceridad de su adhesión al sistema constitucional , y de han seguido y seguirán sus habitantes. Todo camina á pa su amor á las Cortes y al Rey. El capitán general D. Tosos de gigante en esta ciudad: eltpatriorismo es lo único mas Moreno, inflamado dcl'mismo espíritu, y Heno deaquel que ya lio puede aumentarse, por haber llegado á su col entusiasmo que distingue á los hombres bien decididos mo , y mucho menos su 'amor y adhesión…</t>
  </si>
  <si>
    <t>Trances</t>
  </si>
  <si>
    <t>…tes análogos á este proceso. dicen qué la goleta francesa María fue apresada el dia 20 El conde Liverpool fue de parecer que la investigación de Enero con 106 esclavos abordo. El •capitán Trances habia se ciñese al objeto de la petición , es decir, á.Ia lista de los recibido estos esclavos de un ingles, por lo cual ofreció el testigos. Gobierno de Sierra-Leona 400 duros al que la apresase. Es Después de una breve discusión, en la que el conde muy dolo…</t>
  </si>
  <si>
    <t>Trapero, Pedro Sánchez</t>
  </si>
  <si>
    <t>Pedro Sánchez Trapero</t>
  </si>
  <si>
    <t>…ión y encargo de remi tirlas á la mayor brevedad D. Cristóbal Fernandez de VaHejo, vecino de la misma ciudad...................................,.... 60,000 Para en parte de pago á D. Pedro Sánchez Trapero dé 146,904 rs. y 32 mrs., en que en i.° de Febrero de este año,«según acuerdo del dia 4 de la cesante junta de Propíos^y Sisas,.quedó transigido todo el crédito que tenía el Trapero contra los .fondos municipales por el importe de las raciones de vino que sum…</t>
  </si>
  <si>
    <t>…................... 112,331 22 Por resto al Sr. D. Antonio Vaquer de la anticipación que hizo para la compra de trigo........................................... 20,000 Por resto á D. Pedro Sánchez Trapero de lo que se le debía por suministros de vino á las tropas francesas en ca lidad de aliadas y amigas en Marzo y Abril del año de 1808. 18,904 32 Por réditos de un censo sobre la casa contigua al teatro del Príncipe.............................................…</t>
  </si>
  <si>
    <t>Traver</t>
  </si>
  <si>
    <t>…e Hacienda, en el que incluía Rota, por estar los detnas eclesiásticos en la clasede ordi un expediente instruido sobre los mismos males respecto de narios. salitres y pólvora. El Sr. Traver pidió que para enterarse los diputados, y Juró y*tomó asiento en el Congreso' D. Josef Sacasa, resolver con acierto , quedase sobre la mesa el expediente; y diputado suplente por Goatemala. habiendo manifestado el Sr. Calatrava que se hallaba este Se leyó una…</t>
  </si>
  <si>
    <t>…de que soló se hacia el embargo hasta ver el fin de la los gefes agregados, y otros particulares. causa; equivocación que desvaneció eí Sr. Calatrava, des Con este motivo dijo el Sr. Traver, que se había obser pués de apoyar la indicación del Sr. Romero Alpuente, ma vado siempre la práctica de remitir el Gobierno para el ar nifestando que en las causas de contrabando, hechas las pri chivo de las Cortes 12 egemplares de las órdenes y circula mera…</t>
  </si>
  <si>
    <t>…s. Se man La generación presente debe vivir persuadida de que hasta dó pasar á la comisión de Premios. los mas constitucionales no podemos desprendernos de cier Habiendo pedido el Sr. Traver que se tuviera presente tos hábitos , y que hasta que se forme una generación nueva, en la misma comisión de Premios á la viuda del expresado hija legítima de la Constitución, el deseo de libertad pue D. Joaquín Martínez, se leyó la resolución de las Cortes d…</t>
  </si>
  <si>
    <t>…ó 3 chinchorros grandes y chicos, apre un capital equivalente a! importe-de ellos." só una lancha, 3 piraguas y 10 guaiqueries; y el 21 re Se pasó á la comisión una indicación del Sr. Traver, re corriendo la costa hacia el Macanao, llegó á Laguna de Ra lativa á que en los fideicomisos familiares, cuyas rentas se ya , quemó un tren de chinchorro que alli había, recogió distribuyen entre los parientes, se haga desde luego el re todo el pescado que…</t>
  </si>
  <si>
    <t>…ar ¡a indicación mejor espíritu, contribuirán siempre á la seguridad, gloria ¿ Jqc comisiones ds Hacienda y Comercio» y prosperidad de la heróica Nación española; lo cual se ha El Sr. Traver hizo la siguiente: »Los agregados de em- verificado á las once y media de la mañana, enmedio de un fcajada que se mandan retirar, no deberán gozar de sueldo numeroso concurso, admirado de la brillantez y gallardía alguno.” La que se mandó pasar á la comirion…</t>
  </si>
  <si>
    <t>…ción general del año 17 habia para esta rebaja; se aprobó como se proponía. no excedía á las fuerzas de los pueblos , ni la habían reci Asimismo se aprobó la adición siguiente del Sr. Traver bido mal estos por sí misma , sino porque de las cuatro co al art. z.° de la contribución general: «Sin perjuicio por sas que podían hacer odiosa una contribución , á saber , la ahora de que continúe-la percepción de los arbitrios ó de magnitud de su cuota ,…</t>
  </si>
  <si>
    <t>…el dictamen de la comisión 126 Sres. dipu •adeudasen á la Hacienda pública, y tuviesen algunos alcali tados , y fue desaprobado por 17. ces por suministros! Habiendo advertido el Sr. Traver que Se mandaron en seguida agregar ál acta un voto parti estos pueblos estaban incluidos en aquellas, las retiró su au cular del Sr. Dolarea, contrario á la resolución de que se tor i y se levantó la sesión. votara el dictamen en su totalidad, y otro del Sr.…</t>
  </si>
  <si>
    <t>…te se declaró no ha cer extensiva e-ta medida respecto de ¡os magistrados que se ber lugar á votar sobre este dictamen. hallasen en igual caso y circunstancias. Se acordó hacer El Sr. Traver hizo en lugar del dictamen la indica lo asi. ción siguiente: «Que se devuelva al Gobierno este expe Conformándose las Corres con el dictamen.de la comi diente, para que oyendo al consejo de Estado, propon sión de Premios, acordaron que se recomendasen al Gobi…</t>
  </si>
  <si>
    <t>Travev</t>
  </si>
  <si>
    <t>…corta discusión sobre si deberían ser cuatro o solo dos. los escrutadores que debieran nombrarse, se acordó que no fuesen mas que, dos; y hecha la votación, resultaron electos, el Sr. Travev por 72 votos, y ef Sr. Cauto por 62. El Sr. secretario Martínez de la Rosa leyó’ Mego la lista dé todos los; Sres. diputados, y por ella se fueron presentando á Jía&lt; mesa del Sr. presiden te, á. quien entregó cadar uno sus poderes. El limo. Sr. obispo* electo…</t>
  </si>
  <si>
    <t>Trenf, Gerónimo</t>
  </si>
  <si>
    <t>Gerónimo Trenf</t>
  </si>
  <si>
    <t>…; en Barcelona en la dé Brusi; en Zaragoza en la de-Ya* ¿üe; en Valencia en la de Cabrerizo, y en Salamanca en la de-Reyesv Giaresma, pláticas morales y panegíricos del ex-jesuita D. Gerónimo Trenf&lt;v traducidos-, del itoscano al español por D. Josef Marcos Gutiérrez r en- cuatro tomosen 4.0 Los. sermones, de. Trento, por sus., gran des y íítires apuntos, por sus vivas; y.¡ terribles pinturas;,, ppr las. muchas y graves sentencias que con franca mano se…</t>
  </si>
  <si>
    <t>Triaver</t>
  </si>
  <si>
    <t>…r. Para probar contra el dictamen de ser tan perjudiciales por su malicia ó por su ignorancia. algunos señores que no habia injusticia ninguna en gravar á Se leyeron otras dos del Sr. Triaver, que decían asi: la generación futura para procurarse medios de sostener el i.a «Todos los atrasos que tuviesen los pueblos hasta i.°de actual sistema, recordó los trabajos y servicios de la gene Mayo de este año por restos de las extinguidas rentas pro ració…</t>
  </si>
  <si>
    <t>Troisi, Jacinto</t>
  </si>
  <si>
    <t>Jacinto Troisi</t>
  </si>
  <si>
    <t>…de »das, y en la solemne entrada que ha hecho en esta fide- GaIo.=Al procurador general del tribunal supremo de Jus «Iísima ciudad al mando del digno capítan que la conduce, ticia D. Jacinto Troisi—Al abogado general de la misma «nos ha llenado de tanta y tal satisfacción , que no hemos D. Félix Parrilli.=Al juez del supremo tribunal civil de «querido retardar el darle un público testimonio de ella ¡Sol Ñapóles D. Angelo Abbatemarco.=Al coronel D. Ferna…</t>
  </si>
  <si>
    <t>…ís. Tal es el plan que se ha ipropuesto la so ral Parisí para el de Guerra: al Duque de Ctrignnn para ciedad de Londres para ¡ promover la grande obra de la ci el de Hacienda : al Sr. D. Jacinto Troisi para el de Gracia y vilización.. ' . ... • ■ . . SUPLEMENTO ■- =</t>
  </si>
  <si>
    <t>Trouguet, Pedro</t>
  </si>
  <si>
    <t>Pedro Trouguet</t>
  </si>
  <si>
    <t>…rari, 160. El bergantín goleta Encantadora, correo de la armada D. Pablo Larios, 3 20. D. Juan y D. Guillermo Douguid, 80. nacional, que salió de Cádiz el i.° de Marzo último para D. Pedro Trouguet, 40. D. Severino Saracho, 40. D. Juan Ultramar, ha entrado de regreso en el citado puerto el dia Giró, 8o. D. Agustín Lagrave, 160. D. Luis Monteiro, 80. 6 de este mes, conduciendo Correspondencias de oficio y D. Antonio Breciano,8o. D. Bartolomé Scotto, 2®.…</t>
  </si>
  <si>
    <t>Trujillo, Ramón</t>
  </si>
  <si>
    <t>Ramón Trujillo</t>
  </si>
  <si>
    <t>…as y Tarrius &gt; D. Felipe Bausa , D. Miguel Anto nio Zumaíacarregui , ;D.. Juan Palárea, D. Eugenio de Tapia , D. Josef Ma ría Calatrava.,, D. .Vicente Sancho v D^Eugenio A rrieta, D. Ramón Trujillo. Pattido de Fuencarral. D. Isidro López, presbítero. Idem de Getafei D. Crisáuto Josef García Maroto, oura párroco de Idem de Valdemoro, D. Francisco. Herrero y Blanco. Idem de Valdemortilo, D. Juan Orduña y Angel. ■ „ - Dé Chinchón» pD.^ban Bautista Garrasco…</t>
  </si>
  <si>
    <t>…tareas de la sociedad establecida en rugía médica de S. Carlos de Madrid, celebrada en el dia id Bengala 3cc., y sucesivamente se han ido publicando otros de Octubre de 1817, por D. Ramón Trujillo, uno de sus ca tomos, en los erales se hallan excelentes Memorias. Las mas tedráticos. Se hallará en la librería de Sauz, calle de las Carretas. dignas de atención son las siguientes : La virtud al uso, y mística á la moda , destierro de la hi pocresía en fra…</t>
  </si>
  <si>
    <t>Tschefwer-</t>
  </si>
  <si>
    <t>…piezas de campaña; los regimientos 1.° y 2.“ ierno de Hungría . que se reuni &gt; en palacio. de coraceros, y el regimiento de lanceros. Habiendo S. M. Ayer üeg &lt; aqui de Varsoviá el príncipe Tschefwer- deseado hablarles, dijo: «Me llena de satisfacción el regocijo tiiuki, y anunció que el Emperador Alejandro no podia sa que veo brillar en el semblante de todos, con motivo del fe lir de aquel a capital hasta el 20 de Octubre. liz suceso que ha llenado mis de…</t>
  </si>
  <si>
    <t>Tuero, Francisco Alfonso de</t>
  </si>
  <si>
    <t>Francisco Alfonso de Tuero</t>
  </si>
  <si>
    <t>…emo de Justicia ai consejero de Estado honorario D. Antonio Cano Manuel; y para ministros del mismo tribunal á D. Francisco Nogués, D. Benito Hermosilla, D. Francisco Xavier Caro, D. Francisco Alfonso de Tuero, D, Josef Calatrava, D. Pedro Silves, D. Antonio V ilíaurrutia, D. Ramón Giraldo y Don</t>
  </si>
  <si>
    <t>Tundióla, Juan Antonio</t>
  </si>
  <si>
    <t>Juan Antonio Tundióla</t>
  </si>
  <si>
    <t>7.H cn D. Juan Antonio Tundióla, de mi Consejo, mi secretario con ejercicio de decretos, y oficial de la Secretaría de Estado y del Despicho de Hacienda de Ultramar, he venido en nombrarle tesorero general de la Nación; y teniendo en consideración las cualidades y servicios de D. Josef Lópe…</t>
  </si>
  <si>
    <t>Tupputi</t>
  </si>
  <si>
    <t>…an gurados los destinos de su familia y de los pueblo- encarga zado los valientes dragones de erdiñando, mandados por dos á su cuidado! Las palabras del Rey, elocuente ¡mas por el coronel Tupputi, por un destacamento del regimiento de que nacían de los sentimientos mas puros, y pronunciadas Ji iTuon y por el teniente general Filangien, quedaron con el acento de la ternura; el afeci lioso respeto con que muertos los que intentaron rodsdr-e, y los demas…</t>
  </si>
  <si>
    <t>Turner</t>
  </si>
  <si>
    <t>…, 31 tenientes, 3 cirujanos mayores, un ayudante de cirugía y un contramaestre. El viernes último se hizo á la vela para el cabo de Buena-Esperanza el navio Weymouth, al mando del capitán Turner, y conduce 470 personas en tre hombres, mugeres y muchachos, que van á establecerse en aquella colo nia. El capitán Duncan Campbell, hombre muy emprendedor, se ha embar cado en el mismo buque rcon cierto número de artesanos y labradores. Escriben de Glascow q…</t>
  </si>
  <si>
    <t>Ubeda, Félix</t>
  </si>
  <si>
    <t>Félix Ubeda</t>
  </si>
  <si>
    <t>…nsejo de S. M., primer teniente de corregidor de esta muy heroica villa y corte , y escribanía del nú mero de D. Miguel de Llama, se hallan radicados los autos de testamentaría de Don Félix Ubeda, del comercio que fue de cerería en los portales de frente á la iglesia de Sta. Cruz, é igualmente los de abintestato de su viuda Doña Josefa Sánchez Orga nero,, que falleció en el estado de demencia en esta, misma villa y corte en 1 2 del presente mes y año,…</t>
  </si>
  <si>
    <t>Ugarte</t>
  </si>
  <si>
    <t>…iera se de las pensiones que se hubiesen concedido sobre los j ,-0‘5 á la tesorería general para ser reembolsados. rs. vn. de señalados á estos establecimientos de los fondos , El Sr. Ugarte apoyó'á su preopinante , pidiendo que las de Espoliosy Vacantes, y al mismo tiempo que en lo suce Cortes proveyesen á que se concediera esta franquicia de sivo no se concedan pensiones sobre fondos destinados á ob derechos. Se opuso el Sr. Romero Alpuenre, re…</t>
  </si>
  <si>
    <t>…acer sus retornos á la Península. Se leyó el acta de la del día anterior,' á la que se mando ■ No se admitieron á discusión otras dos: ia primera de agregar un voto particular del Sr. Ugarte (D. Agustín) con los Sres. Magariáo , Picrfela y Moya, pidiendo que se haca trario á la resolución del proyecto de decreto sobré extin extensiva la medida dictada por las Corres t los puerro' del ción de jesuítas y restablecimiento del cabildo de S. Isidro; m…</t>
  </si>
  <si>
    <t>…del proyecto de extinción de todo Málaga, le acoge en el número de los individuos de su vagos. Junta; y entonces fue cuando voló á sacar de los tres presi Se leyó una adición del Sr. Ugarte al primer artículo i dios á las víctimas sepultadas en ellos. No será ingrata la del citado proyecto, dirigida á que en él se hiciese mención ciudad de Málaga: reconocerá, sí, en el modesto Muruia de las mugeres para contenerlas dentro de los límites debi ga…</t>
  </si>
  <si>
    <t>…a Constitución dujo todos los motivos de utilidad y conveniencia pública y á las leyes. que se habian ¿Bicho en favor de los emigrados: conceptuó Habiéndose op-esto al dictamen el Sr. Ugarte (Don ya resuelta la cuestión con el gran número de los que se Agustin ) en e! concepto de ser justa la queja , le apoyó el hallan ya en IStpaña ; y conviniendo con el Sr. Romero Sr. Ochoa, persuadido á que debía haberse dicho solamente Alpuente , opiraó que n…</t>
  </si>
  <si>
    <t>Ugena, Domingo</t>
  </si>
  <si>
    <t>Domingo Ugena</t>
  </si>
  <si>
    <t>…iguientes á la publicación de este anuncio. Entretenimientos sobre las cienéfafescrito en francés por el R. P. Bernardo Lami, presbítero del oratorio: traducidos _é ilustrados por D. Domingo Ugena, pres-r bit ero. Esta obra presenta el plan mas recto y sencillo para estudiar las ciencias y servirse de ellas con utilidad pública , el nombte de su autor excusa su apología. Xas universidades y cuerpos literarios de Europa la han adoptado por la mas elemen…</t>
  </si>
  <si>
    <t>Uiloqui, Manuel de</t>
  </si>
  <si>
    <t>Manuel de Uiloqui</t>
  </si>
  <si>
    <t>…ue pue da haber de esta clase de detenidos.*' Ante el Sr. D. Angel Fernandez de los Ríos, ministro togado, y juez de primer* instancia en e»ta muy heroica villa, se ha acudido por D. Manuel de Uiloqui, vecino de la villa de Losada, reclamando nueve vales Reales de su pertenencia; á saber: uno.de 600 pesos de Mayo de 1808, que se renovó en el año último de 1819 , coa el níím. 32793. Otro de 300, de la misma creación, que fue renovado en el propio año con el…</t>
  </si>
  <si>
    <t>Ulibarri, Segundo</t>
  </si>
  <si>
    <t>Segundo Ulibarri</t>
  </si>
  <si>
    <t>…s militares y el presupuesto de la guerra. lencia contra el coronel D. Josef Luna, del extinguido regi Contestó eiSr. conde deToreno que aunque convenía en miento de Velez-Málaga; D. Segundo Ulibarri, D. Epifanio parte con su preopinante, se proponían sin embargo cosas Lozano, D. PedroPerez Bustamante, D. Juan Felipe Masede ia atribución exclusiva de las Cortes, como era la habili gosa, D. Antonio Lacerda , D. Saturnino Figueroa, D. Ma tación del curso, y…</t>
  </si>
  <si>
    <t>Ulloa</t>
  </si>
  <si>
    <t>…debe rán ocurrir en dicha ciudad, ó en esta corte á D. Justo Agudo*del Rio, agente de negocios de los'Real es.Consejos, y apoderado de los Sres. testamentarios del citado difunto Sr. Ulloa, que vive caile.de la Cruz, á la plazuela del Angel, niím. 24. &gt; Práctica de vida cristiana y egercicios de devoción, dado á luz por D. Antonio Oliva, segunda edición: un tomo en 8.°, adornado con 11 láminas finas. E.-te ma-* nual del cristiano contiene entre…</t>
  </si>
  <si>
    <t>Ulloa, Manuel</t>
  </si>
  <si>
    <t>Manuel Ulloa</t>
  </si>
  <si>
    <t>…cía y Sierramorena; y por qué tiempo, comisión especial que entiende en este asunto. premntando un estado ó noticia del territorio que deberá Se dió asimismo cuenta de otra en que D. Manuel Ulloa, asignarse á cada ayuntamiento, y las dehesas ó fondos de á nombre de 79 ciudadanos, pedia declarasen las Cortes propios y arbitrios que convenga también señalarles para que el marques de Castelar ha infringido una de las leyes los gastos comunes, con todo lo…</t>
  </si>
  <si>
    <t>…a de la mirad de las fortunas de los particu iTiCn de cütos de repoíiiíib üidad y de Guerra sobre la re lares. Una nación no se baila nunca en el ca-o de imitar la presentación de D. Manuel Ulloa, leída en la sesión de 25 economía de un ciudadano, que mira primero lo que tiene de Julio, contra el marques de Castelar, capitán de cuartel para saber de cuánto puede disponer. En las naciones hay de Reales Guardias de la Persona de S. M., por la prisión qu…</t>
  </si>
  <si>
    <t>Ulman, Carlos</t>
  </si>
  <si>
    <t>Carlos Ulman</t>
  </si>
  <si>
    <t>…de Cueva, oficial de la tesorería de egército as ó libros sagrados de los hindous. de Extremadura. En el tomo io.°: sobre la poesía sánscrita y pa rae rita, Ideas expuestas por el coronel D. Carlos Ulman , gober por Mr. Celebrooke. nador milbar de la plaza de Peñíscola, con relación á los En el tomo n.°: noticia sobre los seykhs, nación beli problemas publicados en la gaceta sobre la futura organiza cosa y republicana, establecida en el Peudjab: viage para ci…</t>
  </si>
  <si>
    <t>Ultramar, Juan</t>
  </si>
  <si>
    <t>Juan Ultramar</t>
  </si>
  <si>
    <t>…eo de la armada D. Pablo Larios, 3 20. D. Juan y D. Guillermo Douguid, 80. nacional, que salió de Cádiz el i.° de Marzo último para D. Pedro Trouguet, 40. D. Severino Saracho, 40. D. Juan Ultramar, ha entrado de regreso en el citado puerto el dia Giró, 8o. D. Agustín Lagrave, 160. D. Luis Monteiro, 80. 6 de este mes, conduciendo Correspondencias de oficio y D. Antonio Breciano,8o. D. Bartolomé Scotto, 2®. Don pública de Filipinas, Nueva-España, Ha vana…</t>
  </si>
  <si>
    <t>Una, Francisco García Cor</t>
  </si>
  <si>
    <t>Francisco García Cor Una</t>
  </si>
  <si>
    <t>…enez de Muñana, del común , de 3 robos y 4 almudes, en la propia juris ídem idem; D. I-Ienrique Lefleer, comandante de aquel dicción, en 1950 rs. . resguardo; D. Fernando Puerta , D. Francisco García Cor Una casa en la Magdalena y Callizo del río de media radas, D. Francisco Hernández y D. Josef Xinienez , de villa , en la citada ciudad , en i 3.3.4, rs-..- , , - . pendientes; D. Josef Pavar, teniente coronel retirado, dis Otra pieza en el tablar de en-medio , de…</t>
  </si>
  <si>
    <t>Una, Josef Carlos</t>
  </si>
  <si>
    <t>Josef Carlos Una</t>
  </si>
  <si>
    <t>…e Cabecícos de idem. Gobierno. Palacio 9 de Setiembre de 181*0 Seis tahullas, 4 ochavas y } brazas de idem, idem, en el pago de Santomera. En atención á los méritos y servicios de D. Josef Carlos Una casa sita en la calle de Baeza, núm. 4, en aquella Villaverde, y álos perjuicios que lia sufrido en su carrera, ciudad. le ha conferido el Rey la administración de la aduana de Otro en el callejón de Huertas, núm. 13, en la misma Veracruz , vacante por jubila…</t>
  </si>
  <si>
    <t>Una, Moralesj</t>
  </si>
  <si>
    <t>Moralesj Una</t>
  </si>
  <si>
    <t>…r La abejera del Bollo, con 12 olivos y toi robos de su patriotismo en las ocurrencias de Avila para des tierra , término de Tudela, en 4200 rs. concertar las maquinaciones del ex-coronel Moralesj Una viña en la Ropa ó Lagunar, de 17 robos y 13 al hallándose encargado interinamente del gobierno po mudes , término de Urzante , en 4987 rs. lítico el intendente de aquella provincia D. Lorenzo Otra en S .las, de 3 robos y 3 almudes . término de Ur Perabeles. z…</t>
  </si>
  <si>
    <t>Unsain, Bárbara de</t>
  </si>
  <si>
    <t>Bárbara de Unsain</t>
  </si>
  <si>
    <t>…rcado con el número 50,928, los que se hallan unidos por reclamación de D. Martin Josef de Larra- Vemos que cuantos imperios levantó á su paso , tantos-pro ñaga, como apoderado de Doña Bárbara de Unsain y otros, curaron apoyarse en estos países, que los geólogos han mi para que dentro del expresado término comparezcan por sí, ó rado como la cuna del género humano; pero los griegos vi por medio de procurador y en forma , en dicho juzgado y escri nieron á disp…</t>
  </si>
  <si>
    <t>Urcullu, Josef</t>
  </si>
  <si>
    <t>Josef Urcullu</t>
  </si>
  <si>
    <t>…n en la gaceta del Gobierno. te é ignorado ? Porlier en su última hora: monólogo representado en el teatro En nuestra envejecida Europa miramos por lo común de la Coritña , por el capitán D. Josef Urcullu ; y por el mismo con gran desprecio á ¡o-, hombres de las demas parres del autor la oda á los españoles que levantaron el grito de la libertad inundo ; v verdaderamente nos asemejamos a los griegos en proclamando la Constitución. Se vendé en la librería de Or…</t>
  </si>
  <si>
    <t>Uriarre, Juan Antonio de</t>
  </si>
  <si>
    <t>Juan Antonio de Uriarre</t>
  </si>
  <si>
    <t>…n. No ha cedido esta ciudad á las demas del reino en ma A las- de Comercio y Hacienda reunidas. Uña exposi nifestar el júbilo que te cabia al saber lá-fausta noticia de la ción de D. Juan Antonio de Uriarre y D. N. Encina y apertura de las Cortes, y el juramento prestado por S.' M.1 Piedra, cónsul y apoderado del consulado de Cádiz, sobre á la Constitución de la Monarquía española con aquella so los perjuicios que sufre el comercio con los privilegios dei lemnidad que acto tan…</t>
  </si>
  <si>
    <t>Urquiola, Francisco</t>
  </si>
  <si>
    <t>Francisco Urquiola</t>
  </si>
  <si>
    <t>…ento, y los demas objetos conducentes á su orga circulación fue endorsado á D. Francisco Arnaiz y Bringas, y nización y administración , debe animar á los dueños de fin por este á D. Francisco Urquiola, quien lo presentó para la cas de esta corte á incorporarse en dicha sociedad, aseguran renovación de i.° de Enero de 1814, y se le dió un equiva do sus posesiones. Para que pueda graduarse la importancia lente con el núm. 65,193; y asimismo al tenedor de otr…</t>
  </si>
  <si>
    <t>Urra, Melchor de</t>
  </si>
  <si>
    <t>Melchor de Urra</t>
  </si>
  <si>
    <t>…el Sr. D. josef Martínez Moscosovjuez de primera ir.star.cia de esta muy heioica villa, refrendada de D. Feliciano.del Corral, su escribano de número, ,se cita., llama y emplaza 4 D. Melchor de Urra, D. Antonio (^onsez Villaboa, Don Joaquiq;txaniza de Vitoria, D. Josef Antonio Arriba, D. Diego Gastambide, Don Termin Antonio Arriaga, D. Antonio Lázaro y Pozo, D. Pablo González, Don Francisco Xavier Guerra Balboa, D Juan de la Torre, D. Mariano Mamar, Don…</t>
  </si>
  <si>
    <t>Urraza, Juan Antonio de</t>
  </si>
  <si>
    <t>Juan Antonio de Urraza</t>
  </si>
  <si>
    <t>…Manuel Josef Rubio, del Consejo de S. M,# su oidor honorario de la Real chanciilería de la ciudad de Valladolid, y teniente de corregidor de esta muy heroica villa» refrendada de D. Juan Antonio de Urraza, es cribano del número de la misma, y para pagó de acreedores, se saca H pública subas ta , por término de r 5 días, contados desde 3 del' corriente, una casa sita ca esta misma villa y su calle de S, Marcos, esquina á la de S. Antón, señalada con el nú-mero…</t>
  </si>
  <si>
    <t>…a 22. (Se continuará.) Én vi tud de providencia del Sr. D. Josef Martínez Moscoso, juez letrado de piimera instancia en esta muy heroica villa, refrendada del escribano del número D. Juan Antonio de Urraza, se saca á pública subasta por término de 30 dias, con tados desde 26 del corriente, una casa sita en la calle del Cristo de esta corte, seña lada con el nmn. ro , de la manzana 541, la que tiene de jsitio 246? píes y medio superficiales; y se halla tasada en…</t>
  </si>
  <si>
    <t>V, Alonso Rodríguez</t>
  </si>
  <si>
    <t>Alonso Rodríguez V</t>
  </si>
  <si>
    <t>…iscal de campo D. Francisco Ferraz y el brigadier D. Manuel de Jáuregui pasasen á Cádiz á relevar el primero al mariscal de campo D. Josef Ignacio Alvarez Campana, y el segundo al brigadier D. Alonso Rodríguez V aldes. EN LA IMPRENTA NACIONAL.</t>
  </si>
  <si>
    <t>V, Antonio</t>
  </si>
  <si>
    <t>Antonio V</t>
  </si>
  <si>
    <t>…uel; y para ministros del mismo tribunal á D. Francisco Nogués, D. Benito Hermosilla, D. Francisco Xavier Caro, D. Francisco Alfonso de Tuero, D, Josef Calatrava, D. Pedro Silves, D. Antonio V ilíaurrutia, D. Ramón Giraldo y Don</t>
  </si>
  <si>
    <t>V, Cristóbal de</t>
  </si>
  <si>
    <t>Cristóbal de V</t>
  </si>
  <si>
    <t>…ente. Al llegar la fiesta del Bairam, que nes del Sr. conde marques de Perales, difunto, ha mandado es la pascua de los musulmanes, es preciso repetir el dona por la escribanía de D. Cristóbal de V.cuña que dentro de 30 tivo, ó dejar el puesto á un competidor mas liberal. Para días, contados desde 18 del corriente, se presenten los que no cada gobierno hay su arancel, que se tiene por asiento en lo hayan hecho á justificar sus respectivos créditos, preve…</t>
  </si>
  <si>
    <t>V, M. J. de</t>
  </si>
  <si>
    <t>M. J. de V</t>
  </si>
  <si>
    <t>…o. Sr. prior y cabildo de la Rea! casa de Roíicesvalíes 1500 rs. Núm. 695. D. N. 20. Núm. 696. Eí limo. Sr. deán y cabildo de la santa iglesia catedral de Valladolid t®. Num. 697. D. M. J. de V. 320. Núm. 698. Un ayuda de cámara que fue del augusto Padre de S. M. por segunda vez 60. Núm. 699. Uno que ha pasado la epidemia 40. Núm. 700. D. M* F. 6. Núm. 701. El limo. Sr. deán y cabildo de la santa iglesia cate dral de Jaén 4®. Núm. 702. D. F. M. D. 60…</t>
  </si>
  <si>
    <t>V, S</t>
  </si>
  <si>
    <t>S V</t>
  </si>
  <si>
    <t>…as, y en su existen con los privilegios de casa Real , mandado? y cubier contecrtidon manda decir á V. E. , como lo hago, que tos todos los empleos de oficiales por los del cuerpo general S V. aprecia altamente los elevados y patrióticos sentimien de la armada ? to s que car,-.eterizan á sus individuos, y que e pera que con Si se está por la negativa, ¿cuál será el mejor método el ejemplo de mis virtudes civiles y militares contribuirán para que es…</t>
  </si>
  <si>
    <t>Va, Ledro Sauz y</t>
  </si>
  <si>
    <t>Ledro Sauz y Va</t>
  </si>
  <si>
    <t>…e Mora, a nombre y por Kl dictamen de la c.•misión sentí td.i de Legislación pira encerró del sabio inyles Jeremías Lemliam , v íecibieron con que se concediese dispensa de edad á D. Ledro Sauz y Va •aprecio ios egemplares de la obra de este e critor, expresan liente para administrar sus bienes. do que les habían sido sumamente gratos los sentimientos Asimismo se aprob &gt; el dictamen de la moma combion que manifestaba de cooperar con sus notorias luces y…</t>
  </si>
  <si>
    <t>Va-</t>
  </si>
  <si>
    <t>…ian los mates Vadillo , Ribera , Florez Estrada , López ( D. Marcial ) y que han ocasionado las vinculaciones, y se disminuirían es Couto. Luego nombró al Sr. Lasanta en lugar del Sr. Va- tas en poco tiempo sin chocar con las opiniones y obstácu diilo, y levantó la sesión. los que hasta el día han existido. El Sr. Vadillo, individuo de la comisión , contestando Sesión ordinaria del 1$ de Setiembre. á las objeciones hechas al dictamen, respondi…</t>
  </si>
  <si>
    <t>Vacconi, Josef</t>
  </si>
  <si>
    <t>Josef Vacconi</t>
  </si>
  <si>
    <t>…n es particularmente favorable al culto católico. Se dió principio leyendo el acta de la anterior. A la comisión ordinaria de Hacienda se mandó pasar INGLATERRA. una exposición de D. Josef Vacconi, vecino de la provin cia de Córdoba , con .un plan de Hacienda pública, ael Cré Londres T4 de Julio. dito público y contribuciones, que deben servir en el inter Hemos sabido con dolor que la guardia Real de infan medio hasta que se arregle el pían general de…</t>
  </si>
  <si>
    <t>Vadi</t>
  </si>
  <si>
    <t>…proceder contra los éclesi .sticos en las aprobado para que lo redactase, teniendo presente lo que cau as de delito-, atroces , y sobre la supresión del tribunal habia expuesto el Sr. Vadi lo , de que serla sumamente útil' establecido en Cataluña pon el nombre del Breve. que de la- bibliotecas de los conventos suprimidos sé pasa- : Art. t.'&gt; «Todos los eclesiásticos, asi seculares como re ran los índices de las obras para formar ia de Cortes. g…</t>
  </si>
  <si>
    <t>Vadiilo</t>
  </si>
  <si>
    <t>…o en consideración, determinen lo que tengan por El Sr. secretario del despacho de Gracia y Justicia ha dirigido al Sr. secretario de Estado el oficio siguiente: conveniente. , El Sr. Vadiilo dijo que la diputación provincial de Con esta fecha me dicen los Sres. sectetarios de las Cor Cádiz habia dirigido en este último correo á las Cortes una tes lo que sigue: exposición pidiendo lo mismo. «Habiendo procedido las Cortes á la renovación de su El S…</t>
  </si>
  <si>
    <t>Vadillo</t>
  </si>
  <si>
    <t>…a desestancado; pero creía qué podria hacer autor de la indicación retirada; y por fin se acordó hacer se general la providencia. la enmienda, diciendo simplemente que se leyó. El Sr. Vadillo, conceptuando que con decir se sobre Se presentó para unirle al acta un voto particular del sea en las causas, se entendía bien que si hubiese algún pre Sr. Priego contrario á la resolución tomada en la sesión pró so debía ser puesto en libertad; dudó sin emb…</t>
  </si>
  <si>
    <t>…en arroba cuando se verificase en buques extrau- traso la administración de justicia, á fin de poder luego geros, sin mas impuestos «te ninguna clase.’-' hacerlo cort madurez. El Sr. Vadillo pidió que se viera el</t>
  </si>
  <si>
    <t>Q6 , se opuro al dictamen de la comisión. Está ya probado, di Hizo el Sr. Vadillo una indicación para pedir al Go jo, que los productos ó sobrantes de la agricultura fomen bierno propusiese con urgencia el plan de cruceros ó con tan el comercio, ati como los de este y de la industria fo voyes que crea mas conveniente para proteger ó asegur…</t>
  </si>
  <si>
    <t>…dando ele gura la felicidad de la Nación, del Rey y de cada uno de gido por 86 el Sr. Gíraldo. Resultaron electos en primer es nosotros, sí se observa religiosamente." crutinio el Sr. Vadillo para více-presidente por 97 , y el Sr. Diaz del Moral por 103 para secretario; saliendo de es G razalema 31 de Julio. te cargo el Sr. Clemencin, Deseando el ayuntamiento constitucional de esta villa Se oyó con particular satisfacción que SS. MM. conti que el…</t>
  </si>
  <si>
    <t>…uer los pueblos, siéndolos mas enemigos de los mismos pueblos, ta, Cepero, y López ( D. Marcial). a saber, los regidores perpetuos que hicieron regidor de Continuó la discusión el Sr. Vadillo para rectificar una todas partes á Godoy y á Lozano, y que en todas partes equivocación del Sr. conde de Maulé, pues hablaba en su habían sido unos estafadores perpetuos, 6 insistió en que voto de la escuela que renian los jesuítas en Cidiz , la que las tempo…</t>
  </si>
  <si>
    <t>Vadilló</t>
  </si>
  <si>
    <t>…s circunstancias; necesarias. paraLsQT'erkúda-en ohis-j te-combion; donde se hallan otras de ¡goal clase. ■ ■ phdo, tenga.presentétla.comidoo. querila justicia, y,, conve - t-riKl Sr. Vadilló , viendo el vivo interés que el Congreso niencia ¡publica reclaman rnucJios años’ h.i resta ¡providenciaí hn’úq: manifestado ert saber el curso que seguía la causa1 de en que se.interesa la religión del dEstqdOf: ■ -m l-rajCase1 icios de C¡diz,-como diputado…</t>
  </si>
  <si>
    <t>…e la sidra en algunos puntos diese lugar la aprobación del artículo al que resultaría si se de Asríívías. desaprobara. Se dio cuenta de una representación del prelado del Pidió el Sr. Vadillo que se fijara la discusión puramen convento de la Victoria de Málaga , en la que atendiendo á te sobre el objeto del primer artículo , y creyó que no de los inmensos gastos é incomodidades que debe ocasionar el bía privarse á los militares de lo que se les co…</t>
  </si>
  <si>
    <t>…Couto. Luego nombró al Sr. Lasanta en lugar del Sr. Va- tas en poco tiempo sin chocar con las opiniones y obstácu diilo, y levantó la sesión. los que hasta el día han existido. El Sr. Vadillo, individuo de la comisión , contestando Sesión ordinaria del 1$ de Setiembre. á las objeciones hechas al dictamen, respondió á la del señor Se leyó el acta de la sesicn ordinaria de ayer, á la que Romero Al puente que aquella habia querido comprender en »e ma…</t>
  </si>
  <si>
    <t>….° Para en adelante ni aun sobre esta clase de demanda de incorporación y reversión á la Nación; y ha bienes no raices se podrá fundar vinculación alguna sin biendo manifestado el Sr. Vadillo que el fin que se había que preceda licencia délas Cortes, la cual no será otorgada propuesto la comisión era el de reducir los bienes vinculados sino á las personas que lo merezcan por sus circunstancias y á la clase de absolutamente libres, y que los compra…</t>
  </si>
  <si>
    <t>…en lo demas por el dictamen de ria, y no entrar en procedimientos judiciales. Igualmente la mayoría de la comisión. manifestó que la juma provisional consideró á los consejeros El Sr. Vadillo creyó que no debía hacerse á favor del como interinos, como se veia claramente en un dictamen consejo de Estado una excepción, que no se hacia á favor de que presento .1 S• M. con motivo de la provisión de algunas los demas funcionarios; que no debía desechar…</t>
  </si>
  <si>
    <t>…po Sesión extraordinaria del 24 de Octubre. dría llegar a recaer sobre leves descaídos de un juez digno, Lcida el acta de la sesión extraordinaria de ayer, se dió hizo presente el Sr. Vadillo, individuo de ia comisión, que cuenta de un dictamen de la comisión ordinaria de Hacien no habia esta tenido entera libertad, pues habia respetado da, la cual habiendo examinado el repartimiento de los los artículos aprobados por las Cortes anteriores, como s…</t>
  </si>
  <si>
    <t>…n Jos recursos de América á otras observaciones, á lasque contestó el Sr. Sierra Pam su deuda , y que sobrada de ellos para aliviar la de la Pe bley : y antes de votar preguntó el Sr. Vadillo si Los crédi nínsula , como se vería al tratar de la deuda de América; y tos que ganasen el 10 ó 12 por 100 de réditos deberían últimamente quedó aprobado el artículo. también reducirse al 5; á lo que respondió afirmativamente 3*° «Los créditos que no ganan í…</t>
  </si>
  <si>
    <t>…oportuno, se le pusiera en esta cántara de vino destinados para caminos.” do de pagar sus deudas, premiando sus servicios. Se leyó otro dictamen de la comisión ordinaria de Ha El Sr. Vadillo presentó una exposición de la sociedad cienda, originado del expediente de la dirección de este económica de Cádiz , con la que remitia muestras de las ramo, remitido á las Cortes por el ministerio, sobre esta dos primeras cosechas de cochinilla, cuya importa…</t>
  </si>
  <si>
    <t>Vadillo, Josef Manuel</t>
  </si>
  <si>
    <t>Josef Manuel Vadillo</t>
  </si>
  <si>
    <t>…uez de Fonseca de la de Cuenca; á D. Alvaro Gómez Becerra de la de Extremadura ; al conde de ViJlafuertes de la de Guipúzcoa; al brigadier D.. Manuel Jáureguí de la de Grana da; á D. Josef Manuel Vadillo de la de Jaén; á D. Andrés Crespo CantoIIa de la de León; á D. Guillermo Montis de la de las islas Baleares; á D. Mi guel Escudero de la de Navarra; á D. Bernardo de. los Ríos de la de Palen— cía; á D. Francisco'Cantero de la de Salaipanca; á D. Josef Qúeipo…</t>
  </si>
  <si>
    <t>…itus; desvaneció la especie propalada del aprestó de el profesor de cirugía de Bailen por haber propagado la una expedición para la Ame'rica, expresando el objeto que vacuna, y el Sr. D. Josef Manuel Vadillo, Gete político tenia, y se. lisonjeó, con referencia á noticias particulares y de la provincia, por haber hecho donación á la sociedad de de oficio, dél entusiasmo.con que se había recibido ya en al ¡os sueldos que le pertenecían como tal, en los dias que sir…</t>
  </si>
  <si>
    <t>VadÜlo</t>
  </si>
  <si>
    <t>…ualidad, cuya mayor parte tenían desde 45 hasta 60 diputación con su encargo. y mas años de servicio , siendo por consecuencia acreedores Leida después la proposición 13, pidió el Sr. VadÜlo á la consideración de la patria; y en seguida se aprobó la que se suprimiesen todos los impuestos especiales que exis proposición. ten con destino á las fortificaciones; sobre lo que hizo su Acerca de ia 3.a opinó e! Sr. Canabal, que debiendo indicación. fiar…</t>
  </si>
  <si>
    <t>Vagar, Jaime</t>
  </si>
  <si>
    <t>Jaime Vagar</t>
  </si>
  <si>
    <t>…de una región Ocerin del 6137 : Doña Josefa de Villar del 16,677 , 37,413 situada hácia el oeste para emigrar hácia el oriente: al lle y 61,894: D. Juan Perez C ineda del 17,036 : D. Jaime Vagar á las orillas del Missisipí Se encontraron con los ira íenti del 17,039: D. Juan Luis Murenco del 19,359= D. Pas &lt; 4°»99^ y quese?, que tes disputaron el para, y emprendieron con ellos cual Moreno de.Mora del 19,431 , 39,433, I9»47i una porfiada y sangrienta…</t>
  </si>
  <si>
    <t>VaHejo, Cristóbal Fernandez de</t>
  </si>
  <si>
    <t>Cristóbal Fernandez de VaHejo</t>
  </si>
  <si>
    <t>…que existen ya en el edificio del. Pósito nacional 9100, y las restantes se hallan aun en Se-^ góvia y su provincia, bajo la dirección y encargo de remi tirlas á la mayor brevedad D. Cristóbal Fernandez de VaHejo, vecino de la misma ciudad...................................,.... 60,000 Para en parte de pago á D. Pedro Sánchez Trapero dé 146,904 rs. y 32 mrs., en que en i.° de Febrero de este año,«según acuerdo del dia 4 de la cesante junta de Propíos^y Sisas,.quedó tr…</t>
  </si>
  <si>
    <t>Valbuena, Juan González</t>
  </si>
  <si>
    <t>Juan González Valbuena</t>
  </si>
  <si>
    <t>…te motivo se manifestaba lo costoso y Justicia, sobre facultad para vender ciertas fincas vincula que seria á S. M. el mantener e'te establecimiento , pues cal das, promovidos por D. Juan González Valbuena, vecino culando los gastos, se veia que cada c ri-sailo puesto en la de Vtllanueva de la Serena; por D. Francisco Fernandez corte vendria a costar mas de 6o'3 rs. Ksta exposición iba Melgarejo, marques de la Encomienda, y por D- Antonio documentada con varios…</t>
  </si>
  <si>
    <t>Valcarcel</t>
  </si>
  <si>
    <t>…es al Sr. Bahamonde en lugar que accedieron las Cortes. del Sr. Martínez de la Rosa ; para la de Diputaciones pro A la comisión segunda de Hacienda se mandó pasar una vinciales al Sr. Valcarcel; para la ordinaria de Hacienda en consulta remitida por el ministerio del tribunal de Cruzada lugar del Sr. presidente al Sr Moscoso; para la de Política sobre perdón dé ciertas cantidades á los alcaldes de Ceren iugar del mismo al Sr. Martínez de la Rosa; pa…</t>
  </si>
  <si>
    <t>Valdemoros, Matea</t>
  </si>
  <si>
    <t>Matea Valdemoros</t>
  </si>
  <si>
    <t>…vo cales de ella los limos. Sres. D. Manuel Abad y Queipo, obispo electo de Valladolid de Mechoacan., D.. Manuel de Lardizabal y conde de Taboada,; ■del Consejo y Gámara dé S. M., D. Matea Valdemoros, D. Vicente Sancho, D. Francisco Crespo de Tejada , D&gt;; Bernardo Tarrius y D. Ignacio Pezuela.. Presenciaron el acto el Excmo. Sr. D. Manuel Gáyoso, señor de la casa de</t>
  </si>
  <si>
    <t>Valdemoros, Mateo</t>
  </si>
  <si>
    <t>Mateo Valdemoros</t>
  </si>
  <si>
    <t>…Toledo, Presidente; el Teniente general D. Fran cisco Ballesteros j vice-Presídente; el Reverendo Obispo de Valladolid de Mechoacan D. Manuel Abad y Queipo, D. Ma nuel Lardizabal, D. Mateo Valdemoros, D. Vicente Sancho, Coronel de Ingenieros, Conde de Taboada, D. Francisco Gres?o de Tejada, D. Bernardo Tarrius, y D. Ignacio Pezuela. odas las providencias que emanen del Gobierno hasta la ins talación constitucional de las Cortes serán consultadas con esta…</t>
  </si>
  <si>
    <t>ValdéS</t>
  </si>
  <si>
    <t>…amos en esta plaza: son las 10 y media de la noche cuando he podido llegar á mi casa. El entusiasmo del pueblo es inexplicable; veian á los Sres. Quiroga, Riego y su gobernador el Sr. ValdéS reunidos, y quizá también mi presencia contribuyó á sus trasportes de pía-* cer por la autoridad que represento; ello es que jamas se experimentó alegría mas extraordinaria que la que manifestaron estos dignos ciudadanos. Por el ca mino, por las calles y en e…</t>
  </si>
  <si>
    <t>Valdés, Benito Perez</t>
  </si>
  <si>
    <t>Benito Perez Valdés</t>
  </si>
  <si>
    <t>…rá sia en duda la reunión de los Soberanos en Pest. S. M. Prusia otra citación ni emplazamiento. na habia visi:ado al Rey de Saxonia, y el Emperador Ale El Romancero de Riego, por D. Benito Perez Valdés. Esta jandra debía detenerse mucho en Varsovia. obrita, compuesta de nueve romances, contiene la historia de ARTICULO DE OFICIO. los acontecimientos principales del alzamiento del egircito ex pedicionario , y describe muy por menor los mas notables y El Rey h…</t>
  </si>
  <si>
    <t>Valdés, Cayetano</t>
  </si>
  <si>
    <t>Cayetano Valdés</t>
  </si>
  <si>
    <t>…DE MARZO DE 1820. y ' ARTICULO DE OFICIO. El Rey ha nombrado Capitán general interino de An dalucía y en Gefe de aquel Égército á D. Juan O-Donoju: Gobernador dé Cádiz al Teniente general Don Cayetano Valdés; y Teniente de Rey de dicha-plaza al Brigadier D. Manuel Francisco de Jáuregui, con ordentde que se encargue del gobierno hasta la llegada del referido D. Cayetano Valdés. Al mismo tiempo se han dado las mas amplias facultades al General O-Donojú para que arr…</t>
  </si>
  <si>
    <t>…o capitán general de la provincia de en el arr. 18 se añadiera «y las casas de misioneros de San Cádiz, vacante por nombramiento del teniente general de la Vicente de Paul. Armada D. Cayetano Valdés para secretario del Despacho El Sr. Puigblnnch pidió en otra adición, que no se ad de la Guerra,, al mariscal de campo D. Tomas O-Donojú. mitió A discusión , que en el art. 14 después de las pala bras «un convento de una misma orden” se pusiese «ni de Por pro…</t>
  </si>
  <si>
    <t>…a tenido á bien nombrar para secre tas: «ó que se secularice.” tario del Despacho de Guerra al ayudante general de la ar También se aprobó después de algunas observaciones el mada D. Cayetano Valdés; de lo que quedaron enteradas art. 23 que decia asi: las Cortes. 23. «Podrá el Gobierno disponer de los conventos su Oyeron con particular satisfacción el oficio comunicado primidos que crea á propósito para establecimientos de uti por el secretario de la Gob…</t>
  </si>
  <si>
    <t>…del Otra del Sr. Díaz de Morales: «Que se lleve á efecto Despacho de la Guerra, he tenidoábien mandar que mien la resolución del Congreso en esta ñocha de que no se le tras llega D. Cayetano Valdés, secretario de Estado y del vante la sesión hasta dar cuenta de los expedientes del gene despacho de este ramo, la desempeñe en comisión el briga ral Mina , de la oficialidad de (a Mancha, y de partidos de dier D. Antonio Remon Zarco del Valle. Tcndreíslo en…</t>
  </si>
  <si>
    <t>Valdés, Josef María</t>
  </si>
  <si>
    <t>Josef María Valdés</t>
  </si>
  <si>
    <t>…ia absoluta en todos los casos que ocurran.” tor fiscal en el anterior escrito , sobreséase en este negocio, Habiendo hecho preséntelos Sres. Ezpeleta y Fraile las y se previene á D. Josef María Valdés que en lo sucesivodificultades que se podían seguir de admitirse en la subasta .se abstenga de dar escritos que merezcan la calificación dade bienes nacionales las certificaciones de créditos no liqui obscenos y contrarios á las buenas costumbres , que ha red…</t>
  </si>
  <si>
    <t>Valdés, Juan Arguelles</t>
  </si>
  <si>
    <t>Juan Arguelles Valdés</t>
  </si>
  <si>
    <t>…os que escriben y cuenran, é igualmente las niñas; teniendo vido nombrar para magistrados de la audiencia de Madrid obligación de enseñar de balde á los pobres de solemnidad: se á D. Juan Arguelles Valdés, D. Joaquín Carrion y Mo proveerá dicha plaza el 24 del corrientereno, D. Manuel Estrada, D. Manuel Villafañe, D. Lo- Impugnación y observaciones al manifiesto que firmaron los •renzo Vilianueva, D. Juan Andrés Segó vía, D. Manuel 69 diputados de las Cortes o…</t>
  </si>
  <si>
    <t>Valdés, Ramón</t>
  </si>
  <si>
    <t>Ramón Valdés</t>
  </si>
  <si>
    <t>…e tela'. concluir la votación, y sorteo de los individuos del tribu Se mandó también pasar á las comisiones reunidas de nal de Cortes. Hacienda y Comercio una-obra presentada y&gt;or D. Ramón Valdés, oficial de la tesorería, titulada Método de .llevar la cuenta y razón en las contadurías del reino. Se di ó cuenta de haber presentado el Sr.. Florea Estra TRTBTJKALF.S. da seis ejemplares; de la representación que dirigió á S. M. En-la audiencia territorial…</t>
  </si>
  <si>
    <t>Valdivieso, Josef Félix</t>
  </si>
  <si>
    <t>Josef Félix Valdivieso</t>
  </si>
  <si>
    <t>…cargos. T4. Las. tercerías dótales ó de dominio sobre los bienes Asimismo se ha servido S. M. conceder igual permisoembargados &lt;5 aprehendidos á los reos, las averiguaciones de á D. Josef Félix Valdivieso , vecino de La ciudad de Quito.efectos pertenecientes á estos cuando hay embargo , y cua lesquiera otros particulares independientes de la causa prin cipal, no embarazarán nunca el curso de este, y deberán seguirse en piezas separadas. ANUNCIOS. 15. En las ca…</t>
  </si>
  <si>
    <t>Valen, Sebastian Drago</t>
  </si>
  <si>
    <t>Sebastian Drago Valen</t>
  </si>
  <si>
    <t>…Gobierno ¿ todos los que las presentes vieren y entendieren, sabed: 20 de Noviembre de i 8 20. = Manuel Hernández Tomas, vz Que las Cortes han decretado lo siguiente: «Las Cortes, Sr. D. Sebastian Drago Valen te de Pósito Cabreita. ” usando de ¡a facultad que se Ies concede por laConstitocion, El general Lacérela pasó en 18 de Noviembre un oficio han decretado: Se suprimen las exacciones que se hadan al Excmo. Sr. D. Joscf Díaz Azedo , renunciando él inando para r…</t>
  </si>
  <si>
    <t>Valentín</t>
  </si>
  <si>
    <t>…e, se Quiroga, calle de las Carretas. • retira de las gradas del solio adonde fue llamada por V. M., España libre:'poema épico-moral á la restauración de .Cortes, en un canto, por D. Valentín,Gutiérrez, capitán de. infante y sus individuos, colmados de placer por haber tenido esta ría retirado, vecino di Salamanca. Se vende en la librería de ocasión de acreditar la lealtad á su Rey , el amor á su pa Gómez, calle de Jas Carretas. . . tria , vuelven…</t>
  </si>
  <si>
    <t>Valenzitela, Ildefonso</t>
  </si>
  <si>
    <t>Ildefonso Valenzitela</t>
  </si>
  <si>
    <t>…eo recordó la patriótica y virtuosa que observa dro Morales Cardara y Doña María de la Concepción Al ron en los dias 7,8 y 9 de Marzo, y los sentimientos dé férez, y el cuarto por D. Ildefonso Valenzitela, vecino de modestia que les han hecho guardar siempre en silencio sus Andújar; lodos sobre enagenacion y subrogaciones de fin servicios: el Sr. Yandiola anunció que llegaría pronto el cas vinculadas. cumplimiento del deseo manifestado por el Sr. Sánchez Sal S…</t>
  </si>
  <si>
    <t>Valguarnera</t>
  </si>
  <si>
    <t>…ha 3. Las comunidades mendicantes usarán para este y de blaron largamente los príncipes de Villafranca y de la Tramás objetos del papel de pobres, como lo han podido usar bia y el caballero Valguarnera. Finalmente propuso dicho hasta aquí; pero no se entenderán por mendicantes para Sr. Aceto que se encabezaran los decretos en nombre de un este efecto las que posean fincas ó bienes raíces, aunque se Príncipe de la familia Real, considerándole, á cgemplo de l…</t>
  </si>
  <si>
    <t>Valic, Antonio Remon Zarco del</t>
  </si>
  <si>
    <t>Antonio Remon Zarco del Valic</t>
  </si>
  <si>
    <t>…Lorenzo dice el Sr. Secretario de Marina al Sr. Secretario de ' Rubricado de la Real mano. =En S Lorenzo a 12 de No la Gobernación de la Península lo que sigue: viembre de 1820.=A D. Antonio Remon Zarco del Valic. »SS. MM. y AA. continúan en este Real sitio sin no Circular del ministeri&gt; de Lt Criterra. vedad en su importante salud.” En el juzgado privativo del cuerpo de Guardias de la Persona del Rey, formada causa al marques del Castelar, El Rey ha expedido el decre…</t>
  </si>
  <si>
    <t>ValJés, Cayetano</t>
  </si>
  <si>
    <t>Cayetano ValJés</t>
  </si>
  <si>
    <t>…«¡os colegios de los misioneros para ¡as provincias adhesión al sistema constitucional del teniente genera) de la de Asia,” esta otra, «y el colegio de misioneros para las armada D. Cayetano ValJés, he venido en nombrarle para provincia de Asia que existe en Valladolid &amp;c.” desempeñar el encargo de Secretario del Despacho de la El Sr. Arnedo hizo una indicación, que no fue admitida Guerra. Tendreislo entendido, y lo comunicareis á quienes á. discusión,…</t>
  </si>
  <si>
    <t>Vallanb, Antonio</t>
  </si>
  <si>
    <t>Antonio Vallanb</t>
  </si>
  <si>
    <t>…irar las labores del campo como el trabajo mas penoso , hemos impropera ANUNCIOS. do mas de lo regular la práctica que tienen algunos pueblos, Diccionario de medicina y cirugía de D. Antonio Vallanb: entregados sin cesar á los trabajos de la guerra y de la ca 7 tomos an 4.“ Se vende i 160 rs. en el almacén de papel que se za , de ocupar á las mugeres en la recolección de algunos halla en Ja bajada de Sta. Cruz, frente del almacén de las agujas. frutos. L…</t>
  </si>
  <si>
    <t>Vallarino, Antonio</t>
  </si>
  <si>
    <t>Antonio Vallarino</t>
  </si>
  <si>
    <t>…nal del consulado de Cádiz y escribanía de D. Elias Izquierdo, se manda citar y emplazar á cuales quiera personas que se consideren con derecho al concurso y masa de acreedores da D. Antonio Vallarino, para que en ei preciso término de 18 meses se presenten á formalizarlo coir los documentos que lo comprueben ; prevenidos qué de no cumplí* se egecutarán los repartos y pagos sin la fianza de acreedor de mejor derecho, y las que estuviesen otorgadas se cance…</t>
  </si>
  <si>
    <t>Valle</t>
  </si>
  <si>
    <t>G'5 comunicado por la secretaría de ¡a Gobernación de que Él Sr. Quintana confirmó lo dicho por el Sr. Valle , res SS. MM. proseguían sin novedad. pecto de las circunstancias en que habian sido nombrados A la comisión de Legislación se mandó pasar un expe los individuos de la junta de Cataluña, añadiendo que no diente de D. Francisco Pérez del Rivero sobre su rehabi…</t>
  </si>
  <si>
    <t>…del proyecto sobre vincula . Se leyó el acta de la ordinaria de ayer , á la que se man ciones, y se leyó el art. 2.0, que decia: «Los poseedores dó agregar e! voto particular de! Sr. Valle, contrario á la actuales de las vinculaciones comprendidas en el artículo resolución acordada sobre la indicación del Sr. Martínez de precedente, podrán desde luego disponer como propios de la Rosa. los bienes raices que las constituyen, en el caso de que Ios…</t>
  </si>
  <si>
    <t>…or pidió que se discutiera el dic provisión de empleos y piezas eclesiásticas, con un discurso so tamen por parte?. bre el origen de los diezmos en España, lo mucho que se inte El Sr. Valle echó de menos en el presupuesto la parti resa en ellos, y los perjuicios que causará su total extinción. da correspondiente á una escuadra destinada en Cataluña á Véndese en las librerías da Quiroga, Villa , Minutó» y Brun. la persecución de ladrones, y forma…</t>
  </si>
  <si>
    <t>…señará la misma. 6.° Se restablece la cátedra de de A las mismas comisiones se mandó pasar lá siguiente recho natural y de gentes, fundada en los estudios-de ^.¡Isi indicación del Sr. Valle: «'Jote en el caso de-haber ae sub dro, y suprimida en 31 de Julio del año de 17.94. .7;° El sistir la escuadra llamada de Valls,en Cataluña , sé incluya Gobierno comunicará orden á los Gefes políticos de las pro* su coste en el presupuesto general formado po…</t>
  </si>
  <si>
    <t>…cto á los menos culpados, la propondrá asi á las Cortes, á fin de ANUNCIOS. que estas le impartan al efecto la competente autoridad.” &lt; Por último se leyó otro voto particular del Sr. Valle, Representación que en defensa de los diputados de las Corte* reducido á que habia lugar á la formación de causa contra extraordinarias y ordinarias, presos en Mayo de 1814, dirigieron los ex-diputados de que se trataba. á la comisión de causas de Estado en 9…</t>
  </si>
  <si>
    <t>…se a! Gobierno á tratar de asuntos relativos á su provincia ; y se procedió á continuar la discusión pendien AUSTRIA. te sobre los 69 diputados llamados persas. Tomó la palabra el Sr. Valle, manifestando que pues no Vierta 31 de Setiembre. ' ’ se dudaba del hecho y delito de los 69 ex-díputados , de Las evoluciones militares en el campamento de Pest prin bía, procederse contra ellos con todo el rigor de la justicia; cipiarán en la mañana del 19…</t>
  </si>
  <si>
    <t>Vallé</t>
  </si>
  <si>
    <t>…de los 69 ex-diputa-; reflexiones aprobó la indicación en todas sus partes. dos quisiese ser juzgado por el tribunal de'Cortes, no se le El Sr. Romero Alpuente, recordando que el Sr. Vallé niegue este derecho.” habia demostrado que en los términos ordinarios no se po • Se mandó agregar i la acta el voto particular de los se dia decretar, sin infringir la Constitución , que no habia lu ñores Zapata y Casasecn, contrario á que no se votase por ga…</t>
  </si>
  <si>
    <t>…es. americanos, reducida á decir al Gobierno que in- hospitalidad domiciliaria." mediatjmeme reuniera todas las noticias necesarias para No se admitió á discusión la siguiente del Sr. Valle: que se liquidara y reconociese la deuda de América, y se «Se exceptúan las fundaciones hechas en las iglesias parro aplicasen todos los arbitrios que se hubiesen aplicado en Eu quiales.” ropa , y se pudiesen aplicar por las localidades respectivas Ni esta de…</t>
  </si>
  <si>
    <t>…ovincia por. sm. procedimientos Igualmente se aprobó el de las comisiones de Guerra y y disposicione para la reposición del secretario de ayun Hacienda acerca de~te indicación del Sr. Valle , para que se tamiento Patricio del Hoyo. incluyese en el preWpuesto de guerra la cantidad corres Continuando en seguida la discusión pendiente sobre pondiente á los gastos de las partidas de escopeteros de prohibiciones , se leyó el articulo ó-°. que decía:…</t>
  </si>
  <si>
    <t>Valle, Antonio Remon Zarco del</t>
  </si>
  <si>
    <t>Antonio Remon Zarco del Valle</t>
  </si>
  <si>
    <t>…rin cipio al desempeño de los graves negocios de sus atribuciones. El Rey ha expedido por el ministerio de Estado el decreto siguiente: ,,En atención á los méritos y servicios del brigadier D. Antonio Remon Zarco del Valle he venido en resolver se encargue inmediatamente del despa cho de la secretaría de la Guerra hasta, la llegada del marques de las Amari llas, cesando por el estado de su salud D. Josef María Alós, cuyo mérito y servicios me han sido muy gratos. Tendreislo ent…</t>
  </si>
  <si>
    <t>…estando plena mente satisfecho de la aptitud y zelo por la causa publica que en todas oca siones, y particularmente durante su interinidad en la misma secretaría, ha acreditado el brigadier D. Antonio Remon Zarco del Valle, he venido en nom brarle para tal subsecretario del Despacho de la Guerra, y en declarar que sea considerado bajo este título como inmediato vuestro en el egercício de las funciones que os corresponden. Tendreíslo entendido, y dispondréis lo nece sario á su c…</t>
  </si>
  <si>
    <t>…onal de la ciudad de Antequera los Sres. D- Caye tano de Urbina, ministro que fue deí extinguido Consejo de Indias, D. Ma nuel de Aguilar, oficial de lá secretaría de Estado, y el brigadier D. Antonio Remon Zarco del Valle, sub- secreta rio de la. del despacho de la Guerra: es te último dirigió á S. M. las siguientes palabras: Señor: Desde las altas sierras que con el atlas ciñen el mar Mediterrán¡eo llegan por nuestro conducto á los augustos oídos, del mejor de los Reyes los,£…</t>
  </si>
  <si>
    <t>…te la sesión hasta dar cuenta de los expedientes del gene despacho de este ramo, la desempeñe en comisión el briga ral Mina , de la oficialidad de (a Mancha, y de partidos de dier D. Antonio Remon Zarco del Valle. Tcndreíslo en Toledo.” tendido, y dispondréis lo conveniente á su cumplimiento.es En seguida levantó el Sr. presíden'e la sesión pública á' Rubricado de la Real mano. = En S. Lorenzo a 8 de Octu ia una de la noche para qued ’r las Cortes en secreta. bre de 1…</t>
  </si>
  <si>
    <t>Vallejo</t>
  </si>
  <si>
    <t>…l siguiente dia 8 de Marzo oficiar al profesor dándole gracias por el zelo con que correspondía á su confianza, y premió á los alumnos con egemplares de la obra de matemáticas del Sr. Vallejo, mandando ademas que se les libra sen certificaciones del lucimiento con que acreditaron en el acto su aplicación y. aprovechamiento. Xerez de la Frontera jo de Marzo. El viernes 10 del corriente por la madrugada recibió el brigadier D. Pe dro Ramírez un ofic…</t>
  </si>
  <si>
    <t>…a pre reflexiones que al efecto hizo dedujo que eran y debían ser mios , recitó su autor la segunda parte * y redactó la prime declarados interinos. ra, á que suscribió también el Sr. Vallejo en estos términos: El Sr. Martínez de la Rosa, haciendo antes la observa «Que las Cortes se sirvan conceder una amnistía y olvi ción de que no había sido sentenciado por ningún tribu do general de todos los delitos políticos cometidos hasta , el nal , ni acus…</t>
  </si>
  <si>
    <t>Vallejo, Pascual</t>
  </si>
  <si>
    <t>Pascual Vallejo</t>
  </si>
  <si>
    <t>…s en el del duque de Férnan-Nuñez al duque del Parque: para la de Ñapóles en el de D. Pedro Labrador á D. Luis de Onís: para él ministerio de Berlín al conde deToreno en lugar de -D. Pascual Vallejo : para el de Rusia en sustitución deD. Luis de Onís á Don Manuel González Salmón: en la de este para Dresde á D. Joaquín Campuzano; y á D. Josef María de Pando, encargado de negocios en Lisboa. El Rey ha repuesto interinamente en los destinos que obtuvieron d…</t>
  </si>
  <si>
    <t>Valles</t>
  </si>
  <si>
    <t>…Martin , juez interino de primera instancia de la villa de Haro. los tres que le salgan por suerte cu los Comentarios del Se hallará á 4 rs. en las librerías de Paz y de Hermoso. doctor Valles á las epidemias de Hipócrates, elegido el Ojeada política sobre España; por D. M. V. L. Véndese cual, se retirará el opositor para su composición á una pie en las librerías de Goveo y de Castillo. SUPLEMENTO</t>
  </si>
  <si>
    <t>Vallestepuesto, Francisco</t>
  </si>
  <si>
    <t>Francisco Vallestepuesto</t>
  </si>
  <si>
    <t>…ia de Cádiz, y.añadiendo.que el Rey El Rey . ha nombrado inspector general interino de Mi no encontraba motivos para variar respecto de ella lo dis licias provinciales al teniente general D. Francisco Vallestepuesto para la provincia de Extremadura.- Las Cortes que ros; y de Infantería, en los propios términos, al mariscal daron enreradas, y se mandó pasar á la comisión de Le decampo D. Ignacio Balanzat, que encargado interinamente gislación. ... 1 de la primera de estas…</t>
  </si>
  <si>
    <t>Valpuesta, Segundó</t>
  </si>
  <si>
    <t>Segundó Valpuesta</t>
  </si>
  <si>
    <t>…•Lerma d los progreses de la juventud. Entré los qué mus sobresalieron de la primera clase fueron Alejo Sanrillarty Di Genaro Urién , D. Félix Herrera y Josef Perez. De la segunda Don Segundó Valpuesta» Baltasar Antón, Gregorio García y Manuel López. De la tercera Valentín Cuesta, Manuel Gonzalo, Roque Arrabal y Saturio Carazo. El muy ilústre señor abad y otros de los circunstantes, después de dar Tñs" grtfólás'al dicho maestro"* hicieron un donativo en met…</t>
  </si>
  <si>
    <t>Van-Doornum</t>
  </si>
  <si>
    <t>…y Aboe-Bakar pereció en la batalla con varios deudos suyos y gefes de sus tropas. Por nuestra parte salieron he ridos el teniente coronel Mr. de Lafontaine en un muslo, el p-imer teniente Van-Doornum y el capitán inspector adjunto Lucasson; y murió el subte niente Clausson. El comandante elogia mucho la conducta de las tropas euro peas, como asimismo la del capitán Bowens, de ios tenientes Van-Door.ium y Boderneyer, y la del capitán inspector adjunto, que…</t>
  </si>
  <si>
    <t>Vaquer, Antonio</t>
  </si>
  <si>
    <t>Antonio Vaquer</t>
  </si>
  <si>
    <t>…................... 3*3oí» Por sueldos, salarios, jubilaciones, viudedades y asigna ciones hechas en virtud de Reales órdenes.............................. 112,331 22 Por resto al Sr. D. Antonio Vaquer de la anticipación que hizo para la compra de trigo........................................... 20,000 Por resto á D. Pedro Sánchez Trapero de lo que se le debía por suministros de vino á las tropas francesas en ca lidad de aliadas y amigas en Marzo y Abril de…</t>
  </si>
  <si>
    <t>Var</t>
  </si>
  <si>
    <t>…la sesión anterior, y en seguida el de los mares y de la marina nacional. parte com ’nicado por el ministro de la Gobernación de que Para que fuese admisible el dictamen , dijo el Sr. Var $. M. habia tomado ei segundo baño con buen efecto, y con gas Ponce, era preciso que se verificase lo siguiente: i.° la tinuaba sin novedad con su augusta Esposa. Las Cortes lo absoluta falta de nuestra marinería: 2.0 la absoluta falta de oyeron con particula…</t>
  </si>
  <si>
    <t>…os derechos de Málaga, sobre que se la declare caneza de su provincia ma- puertas que adeuden por sus provisiones, y que presentan rírima independiente de Granada. A propuesta del Sr. Var do certificaciones de su junta de gobierno sean reembolsa gas Pnnce se mandaron pasar á una comisión especial que dos de dichas cantidades; á lo que se hizo la observación se nombraría, para entender en la división del territorio es que no podia admitirse est…</t>
  </si>
  <si>
    <t>…exigían la aprobación de lo que tenia pedido , conforme encuentra la Nación. proponía la comisión. Recordó que se trataba de millares Bajo este concepto re opuro á la opTnlon del Sr. Var de españoles, y de la opinión de la Nación en cierto modo gas, haciendo ver al mismo tiempo que habia padecido al comprometida; que estos mismos españoles no habían sido gunas equivocaciones, ya atribuyendo los desastres del Doa causa de la guerra devastadora…</t>
  </si>
  <si>
    <t>Var, Fadrique de</t>
  </si>
  <si>
    <t>Fadrique de Var</t>
  </si>
  <si>
    <t>…tecas i la seguridad del citado gravamen y réditos,*las cuales están sitas en dicho lugar, y son: una de caber dos fanegas en donjie dicen el cerro Altero, lindante con tierras de D. Fadrique de Var gas , vecino de esta corte -, otra de 15 celemines', junto al arroyo Broñigal, linde coa tierras de herederos de Felipe y Blas de Ana, vecinos de dicho Vallecas: otra de do* fanegas donde dicen Valdemengorro, linde tierras de Juan Rodríguez, de dicho lu gar,…</t>
  </si>
  <si>
    <t>Vardera, Francisco Díaz</t>
  </si>
  <si>
    <t>Francisco Díaz Vardera</t>
  </si>
  <si>
    <t>…gra dos cánones, liturgia, historia y disciplina eclesiástica de S. Isidoro en la tarde del 12 de Enero de 1814 sobre el art. 2 2 , cap. 2 del lít. 2 de la Constitución: por d Dr. D. Francisco Díaz Vardera. Se vende en las librerías de Paz , frente á S. FeJipe el Real; da Villa,“plazuela de Sto. Domingo, y de González , calle de la Luna, á 2 rs. ' ' Sermón predicado en la catedral de Salamanca el día 4 de Atóll en la solemne proclamación de la Constitución polí…</t>
  </si>
  <si>
    <t>Varderaescuadrón, Francisco Díaz</t>
  </si>
  <si>
    <t>Francisco Díaz Varderaescuadrón</t>
  </si>
  <si>
    <t>…blecer una universidad en Madrid, colocándola en el colegio de los extinguidos jesuitas.cion de la milicia. íí.° Los individuos que ofrezcan levantar Oración inaugural que el Dr. D. Francisco Díaz Varderaescuadrón ó batallón dé esra milicia deberán acreditar, en leyó en junta general, celebrada en 1 2 de Enero de 1814 enlugar de la calidad de nobleza , la de ser ciudadanos en el Ja academia de S. Isidoro, y repetida su lectura en 19 de Abril,ejercicio de sus derecho?.…</t>
  </si>
  <si>
    <t>Varea, Estéban</t>
  </si>
  <si>
    <t>Estéban Varea</t>
  </si>
  <si>
    <t>…D. Josef Mariano Almanza, D- Pedro Cevallos , el marques de Piedrablanca, D. justo.Marta Ibar-Na^ai-* ro, D. Josef Aycinena, D. Antonio Ranz Romanillos, D. Francisco Reque-. na i D. Estéban Varea,' y de los secretarios D. Josef Luyan do y D. JuSnü Madrid Dávila. Asimismo he creído conveniente declarar que ios individuos, que han compuesto el Consejo de Estado hasta et di a 9 del presente tilesea&lt; que juré Yo la referida Constitución , quedan en la cla…</t>
  </si>
  <si>
    <t>Vareas</t>
  </si>
  <si>
    <t>…sobre asta adtctori del Sr. Moreno Guer ciones de bienes, al mismo paso que iría creciendo la clase ra «con intervención del inmediato.'” Tampoco hubo lugar á votar sobre otra del Sr. Vareas de propietarios. Se declaró el punto suficientemente discutido, y que no Ponce: «Que los padres no puedan hacer mejoras al hijo había lugar á votar sobre el artículo 2.°; pero se admitió á que herede la mitad de los bienes," por cuanto los Sres. San</t>
  </si>
  <si>
    <t>Vareegército, Josef</t>
  </si>
  <si>
    <t>Josef Vareegército</t>
  </si>
  <si>
    <t>…propietaria esté lítico de está provincia, sita en el extinguido Consejo de In regimentada y subordinada por ei estilo ae artillería de dias , ante el escribano comisionado por mí D. Josef Vareegército ? la ; en la inteligencia que desde hoy se admitirán las postu 42. ¿Será ventajoso al Estado construir los buques y ras que se hicieren arregladas á (o anteriormente prevenido, afectos de su armamento por administración ó por contrata ? las cuáles deberán ege…</t>
  </si>
  <si>
    <t>Varela, Angel</t>
  </si>
  <si>
    <t>Angel Varela</t>
  </si>
  <si>
    <t>…dientes, y se la introdujo por un costado , consi Se declaró no haber lugar á deliberar sobre lina repre guiendo á viva fuerza postrarla en el suelo. Cuando se le fi sentación de D. Angel Varela, alférez de caballería, soli guró la habia muerto soltó la quijada , y á breve rato se le citando que la cíase multar nombrase diputados á Cortes, vantó el lobo con nuevo furor, y se le arrojó por tercera titulándolos de la provincia de Guerra, y que se arreg…</t>
  </si>
  <si>
    <t>Vareta, Ignacio</t>
  </si>
  <si>
    <t>Ignacio Vareta</t>
  </si>
  <si>
    <t>…e, para que oyendo al consejo de Estado, propon sión de Premios, acordaron que se recomendasen al Gobierno ga á las Cortes lo que estime mas conveniente.” Después los servicios de D. Ignacio Vareta, para que le coloque 3e a'guna discusión se varió la indicación, redactándola eh en un destino corre-pondiente á sus méritos, y á sus hijos estos términos: «Que se devuelva al Gobierno este expe en uno de los colegios militares c /ando se establezcan. diente…</t>
  </si>
  <si>
    <t>Varga</t>
  </si>
  <si>
    <t>…nvento, arruinado por la invasión francesa. Sesión ordinaria de 5 de Noviembre. A la de Premios se pasó una solicitud de D. Josef QiiiLeída el acta de la sesión anterior, pidió el Sr. Varga# roga , cirujano de Villafranca delVierzo, manifestando sus Ponce que en el artículo que trambaide la exposición de la servicios , y pidiendo se le conceda el grado de ayudante. vida de Irun para construir un puente sobre el Vidasoa Se accedió á una solicitud…</t>
  </si>
  <si>
    <t>Vargas</t>
  </si>
  <si>
    <t>…n la primera, y segunda dél -eñor A la comisión de arreglo interior de Cor.tes .se mandó Moranso por e! método común dé voraciones, sin embargo parar otra .propoticion del mi rao. Sr. Vargas, .leída por de haber pedido .el Sr. Isturiz en la segunda, que te decla primera vez en el dia 11 , en la cual pedia -e p ¡blica e una rase por votación, nominal, á lo que no se uccedi ; y se lista de los empleos subalternos de ¡as Corte' con lo; speldos admit…</t>
  </si>
  <si>
    <t>…era neutral no habían lo que seria mas conveniente. La comí-ion habia adoptado producido entonces ningún perjuicio ; deduciendo que tam aquella medida, porque contra loque dijo el Sr. Vargas poco debian producirle ahora. Creía también que no debia ser Ponce, la marina española no se halla actualmente en un eravoso a la marina, porque generalmente se prefieren los estado de esplendor cual tenia el siglo xvi ó antes. Ote tiuques nacionales, aunque…</t>
  </si>
  <si>
    <t>…un expediente remitido por el ministerio de la la comisión de Instrucción pública. Guerra, formado con motivo de la creación de un cuerpo A la de Agricultura otra proposición del Sr. Vargas de milicias en la isla de Cuba.' Ponce, de segunda lectura, sobre que se den en propiedad</t>
  </si>
  <si>
    <t>…e los perjuicios de haber tel individuo de la comisión de Beneficencia, á la que pa coro ¡suido a Yi!¡aca*tin cabeza de partido, y pidiendo se saron dos indicaciones, una de dicho Sr. Vargas para que traslade al 1 car de S. García. se mande formar un sistema general de hospitales , y otra A la de Infracciones de Constitución una solicitud de del Sr. Silves para que la Villa telntegre lo que ha percibi varios pe cadores del Barco de Avila para que…</t>
  </si>
  <si>
    <t>…s como se hallaban antes de la se sacarían todas las ventajas que espera la Nación si se los venida de los jesuíta^. ha de mantener por la tesorería general, haciendo entrar en El Sr. Vargas dijo que esta medida interina no se-opo esta todos sus bienes , lo que probó con el egemplo del ge ne á que las Cortes determinen loque les parezca mejor so neral Sucliet , que habiendo señalado una corta asignación á bre el plan general de enseñanza que está…</t>
  </si>
  <si>
    <t>…para cuando correspon ánimos, y desvanecer las dudas de varios militares, ; . diese insertarlo en el , puesto que el diario debia sufrir Se leyó la siguiente indicación del mismo Sr. Vargas: algún, retraso en su publicación. Dijo el Sr. Quintana que «Que se pida al Gobierno si existe la bula para erigir en ya se había adquirido mayor número de prensas ; y por fin Madrid una silla episcopal.” La que se mand í pasar á ,1a se aprobó que se imprimie…</t>
  </si>
  <si>
    <t>…último se linga pública en la gaceta y pez, leídas por segunda vez en 16 de Julio. En cuanto á la orden general del egército la inocencia del expresado oficial» primera de las del Sr. Vargas opinaba que debia bordar «Publicada en el tribunal la anterior Real resolución, se de relieve en el dosel del trono el nombre del Príncipe ha acordado la comunique á V. como lo egecuto, á fin que ha dado la paz y la libertad al pueblo, uniéndose á él de que d…</t>
  </si>
  <si>
    <t>…«cendrado amor al sistema constitucional en la persecución desde ahora á la clase de absolutamente libres." que los enemigos de este suscitaron en 1814, llegó hasta ser Exclamó el Sr. Vargas, dando gracias á la Providencia condenado, y estar ya á punto de sufrir la muerte de hor que le habia dejado ver un día tan fausto como este, que ca. la comisión en vista de esto, y de los servicios pres estaba deseando 40 años há; pues suponía que era llegad…</t>
  </si>
  <si>
    <t>…sta ley tan benéfica un Retí tan justo, tan to suñcientemenre discutido, y *e procedió á la votación zeloso del bien público, y modelo de amor á la Constitu nominal á petición del Sr. Vargas, y por ia decisión del ción; pero que sí por una desgracia se negase, aun queda Congrego. ba á los diputados, que por obligación debian procurar el Aprobaron el artículo los Sres. S ibrié. López, Diaz del bien general, conservando un carácter severo é inflexi…</t>
  </si>
  <si>
    <t>…idas por los poseedores actuales la mirad ces y estables” se añadiera «ni otra ciase de bienes ó dere que se reserva eu el art. 2.0 para el inmediato sucesor chos:” la segunda del Sr. Vargas «que no se puedan vincu después de lo cual se procedió á la lectura del artículo si lar acciones de banco ni otros fondos extrangeros.” guiente : Los artículos 7.0 y 8.° retirados por la comisión de Art. 4.0 También se declara que las disposiciones ante cían…</t>
  </si>
  <si>
    <t>…nga presente lo mu Después de esto se leyeron, y no fueron admitidas á cho que lia sufrido la ciase de sargentos, y su postergación discusión, las indicaciones siguientes: una del Sr. Vargas á la de cadetes para los ascensos. Ponce: «Que ;e forrtie una colección de retratos de ios di— A la de Instrucción publica un proyecto relativo á edu pu ados q e han muerto en egercicio y de resultas de per cación en las escuela' de primeras lenas. secución,…</t>
  </si>
  <si>
    <t>…Cortes. en la sesión ordinaria de ayer sobre sorteo de empleos de la A la comisión de Instrucción pública se mando pasar un milicia rural de la isla de Cuba. plan que presentó el Sr. Vargas, formado de orden del Sr. Recibieron las Cortes con agrado, y mandaron pasar á £&gt;. Carlos m por una junta de que habia sido individuo di su biblioteca , seis egemplares de los documentos dirigidos á cho Sr.diputado, sobre la educación literaria, tísica y mora…</t>
  </si>
  <si>
    <t>…án todas las vo los Sres. Martínez de la ko a, Gutiérrez de Acuña y Pala- luntades para que se dirijan únicamente al grande objeto de rea: »Que se haga extensiva la indicación del Sr. Vargas á la salvación de Ja patria y de su futura prosperidad. los calabozos mal sanos que existan en los cuarteles y for talezas.” ARTICULO DE OFICIO. Se dió cuenta del dictamen de la comisión primera de Legislación acerca de las proposiciones de los Sres. Moreno C…</t>
  </si>
  <si>
    <t>…a, con los que remitía algunos expedientes de la emplease en la formación de la estadística y carta geógr Al juma nacional del Crédito público. ea de la misma ú.otra provincia, El Sr. Vargas l’onc- pi A la de Instrucciompública se pasó la exposición de un dió que al mismo tiempo se. recomendase al Gobierno ¡a alumno del colegio np.cipnal de Santo Tomas de esta Córte, conclusión del mapa general de España, para el &lt;}»,a¡. sabia remitida por el Sr.…</t>
  </si>
  <si>
    <t>Vargas, Angel</t>
  </si>
  <si>
    <t>Angel Vargas</t>
  </si>
  <si>
    <t>…Otra viña, también joven, en Calchetas y los Sábados,■ quín de Miguel, comandante del quinto escuadrón'de ar de 10 robos y 3 almudes, en el citado término, en 489,0 rs». tillería; D. Angel Vargas, capitán de idem; D- Fernando Una lamia, en el término de lijo Matías y Estupiñana, Sta. Marina, teniente de idem ; D. Emebio Romero, alfé de 6 robos, jurisdicción de Tudela, en 840 rs. rez de idem; D. Domingo Pavía, teniente coronel gradua Orra en las Corona…</t>
  </si>
  <si>
    <t>Vargas, Josef Fajardo y</t>
  </si>
  <si>
    <t>Josef Fajardo y Vargas</t>
  </si>
  <si>
    <t>….1 una exposición del alcalde primero de Hinojota -Se mandó pasar á la comisión de Legislación una represen de la Serena, sobre no haber comparecido ante él á un _jtii-\ tación de D. Josef Fajardo y Vargas, del orden de Alcánta cío conciliatorio para q -e fue citado c-1 juez de primera ins ra , cura párroco en la provincia de Jaén, y uno de los dos tancia, y quejándose de que el Gefe político no le hubiese freí res, que comprendía el informe de la comisión de P…</t>
  </si>
  <si>
    <t>…tes en oficio de 27 dé dentes , contadores y tesoreros en las provincias de México, Agosto último me dicen lo siguiente: inclusa la ciudad de este nombre, señalando sus atribucio «D. Josef Fajardo y Vargas, presbítero, del orden nes respectivas; y que se arreglase del modo mas análogo el militar de Alcántara, cura rector de la iglesia parroquial de tribunal de Cuentas de la referida capital. Se mandaron pa la villa de Sopera, en la provincia de Jaén, ha ocurrid…</t>
  </si>
  <si>
    <t>Várgas, Mariano</t>
  </si>
  <si>
    <t>Mariano Várgas</t>
  </si>
  <si>
    <t>…que le acompañaban * dispuse dos partidas ■ dé rcabá4í&gt; Hería para su exterminio , ú obligarle á que se presentara * la una mandada! por el teniente coronel graduado de realistas D. Mariano Várgas, y la otraf por mí j siendo el resultado habérseme presentado el día de hoy con 8* per sonas implorando la Real gracia del indulto, el que Ies concedí interinamente^ y basta la aprobacion_.de V. E., prometiéndome lo verificarán otros á-su;) egemplo, y de lo c…</t>
  </si>
  <si>
    <t>Vargas, Pedro</t>
  </si>
  <si>
    <t>Pedro Vargas</t>
  </si>
  <si>
    <t>…legios concedidos á D. Francisco Bringas, hace responsable de las resultas que pueda tener su inobe á la casa de Gordon y Murphi, á D- Benito Patrón, á Don diencia. Luis Clouet, á D. Pedro Vargas , al duque de Alagon , al Se opuso también el Sr. Gaseo á la aprobación de este inarques de Echandía, al barón de Coly y á D. Bertoldo artículo, deseando que los señores de la comisión explicasen Schepeller para importar en la isla de Cuba y otros paí con mas…</t>
  </si>
  <si>
    <t>Vargas, Vicente</t>
  </si>
  <si>
    <t>Vicente Vargas</t>
  </si>
  <si>
    <t>…la mejora de las armas de chispa, propo ceta, y memoria que en Junio de 1818 presentó el inspec niendo una llave de nueva invención, llamada de nueva tor de milicias por mano del secretario D. Vicente Vargas, chapa, ó de pólvora fulminante, dirigida desde Santo Do relativa á un proyecto de aumento de milicias provinciales mingo de la Calzada por D. Francisco llera. para reemplazar la reforma que en aquel año se hizo del Memoria sobre las tropas de seguridad públi…</t>
  </si>
  <si>
    <t>Varias, Ma</t>
  </si>
  <si>
    <t>Ma Varias</t>
  </si>
  <si>
    <t>233</t>
  </si>
  <si>
    <t>…5 fanegas de sembradura , el cesario para que se publique y circule. = Está señalado de cual se halla regulado en venta en 94,670 rs. la Real mano.=Palacio 17 de Agosto de 1820.=A D. Ma Varias tierras calmas con el nombre de sexmillos; i nuel García Herreros.” saber: Dos fanegas valuadas en venta en 200 rs.; 12 id. en VACANTES. 1800; 120 id. en 7200;' 19 id. en 2900 ; 20 id. en 2800; Resultando vacante la tesorería principal de Rentas de 18 id. en…</t>
  </si>
  <si>
    <t>Vasallo, Pascual</t>
  </si>
  <si>
    <t>Pascual Vasallo</t>
  </si>
  <si>
    <t>…Giraldo y Pérez Cos.a, relativas al He dado cuenta al Rey de una exposición informada por complemento” de! número de individuos del Consejo de V. S., que Habia presentado á S. M. D. Pascual Vasallo, Jet Estado, con un voto particular de los Sres. Vadillo y Gas comercio de Alicante, y prior que fue de su consulado , y eo. El Sr. vice-pre-idente reservó al Sr. presidente el seña en que manifiesta el servicio que hizo á la Nación en el año lamiento de dia…</t>
  </si>
  <si>
    <t>Vasconi, Josef</t>
  </si>
  <si>
    <t>Josef Vasconi</t>
  </si>
  <si>
    <t>…rio de la instalación de las Corres, deberían los Sre?. di y para la consolidación y extinción de la deuda pública: por putados vestirse de gala. El Sr. Calatrava leyó el artículo D. Josef Vasconi. Memoria dividida en dos partes: la primera del reglamento , en que se señalan los dias de ceremonia; y trata de las contribuciones directas, y la segunda de las indi resuelto por las Cortes que no se presentarían al dia siguien rectas, gastos nacionales y Cr…</t>
  </si>
  <si>
    <t>Vassali</t>
  </si>
  <si>
    <t>624</t>
  </si>
  <si>
    <t>…mo lo habían afir cionario público de Bamlerg con una señorita protestante, mado otros testigos. solo pudo conseguir la dispensa de la corte de Roma bajo En seguida se presentó el caballero Vassali, natural de la condición que todos los hijos que naciesen serian criados Milán , antiguo capitán del egército Real de Italia. Este en la religión católica, y que el esposo usaria de todo su testigo acompañó á la Princesa en su viage á Alemania en Influjo para…</t>
  </si>
  <si>
    <t>Vázquez, Amonio</t>
  </si>
  <si>
    <t>Amonio Vázquez</t>
  </si>
  <si>
    <t>…puntos hombres que recogiesen cuan tas canoas fuese posible, y consiguiendo dos para el paso del primero, y una para el segundonombré al gefe de. Estado mayor capitán cíe Valencey Don Amonio Vázquez con su compañía y 40 hombres de Navarra para la defensa dei puente, dándole tas instrucciones necesarias, y al gobernador de la ciudad ©. Juan S. Just con Has milicias, para que pasando á nado por las bocas cayehora antes del amanecer sobre el campo enemigo,…</t>
  </si>
  <si>
    <t>Vázquez, Antonio</t>
  </si>
  <si>
    <t>Antonio Vázquez</t>
  </si>
  <si>
    <t>…dedican á este trabajo son Los grabes de, Gurnon, los cua reglamento de monte pió militar, escrita por D. Juan Lam- les han adquirido tal destreza, que dentro de podo tiempo ple y D. Antonio Vázquez. no tendrán necesidad los europeos dé'pasar á Egipto á ha Ordenanza para la organización de las músicas de los cer por sí mismos excavaciones en. busca de antigüedades, cuerpos de infantería, por el músico del Real cuerpo de bastándoles llevar dinero para com…</t>
  </si>
  <si>
    <t>Vázquez, Francisco</t>
  </si>
  <si>
    <t>Francisco Vázquez</t>
  </si>
  <si>
    <t>…o: dispuestos por el P.Teodoro de Almeida, sacerdote del oratorio de S. Felipe dé Neri de Lisboa , y tradu es auxiliado por los consejos de los dos cazi-askers &amp;c. cidos por el P. D. Francisco Vázquez, clérigo reglar de San El reís-etfendi egerce entre otras cosas las funciones de Cayetano , lector en teología: al fin va la novena del sagrado co secretario de Estado en Jos Négocios extrangeros: tiene á razón de Jesús , dispuesta por el mismo autor: segunda…</t>
  </si>
  <si>
    <t>Vazquez, Lucas de Zafra y</t>
  </si>
  <si>
    <t>Lucas de Zafra y Vazquez</t>
  </si>
  <si>
    <t>…e presaba. las que se han dado últimamente. Me constan las que‘han A la primera de LegHacion, dos representaciones, una dado para conducirnos al despotismo esos perversos, esos de D. Lucas de Zafra y Vazquez , y otra del conde de indignos, apellidados públicamente serviles, de que habia "Vniapaterna , sobre haberse negado, cier.os pueblos á pagar una segunda Constitución, un partido republicano; voces les los derechos ''territoriales y so.anegos; otra del decano…</t>
  </si>
  <si>
    <t>Vázquez, Martin Santin y</t>
  </si>
  <si>
    <t>Martin Santin y Vázquez</t>
  </si>
  <si>
    <t>…itirán siendo arregladas. Por providencia del Sr. D. Manuel Josef Rubio, del Consejo de S M., tenien te corregidor de esta muy heroica villa, refrendada del escribano de su numero Don Martin Santin y Vázquez, se ha vuelto á señalar el dia 1 3 de Marzo próximo, de 12 a una, á las puertas de su audiencia, para el remate de la casa, calle de Bueñavista» núm. 9, manz. 33, que.consta de 274ój; pies de sitio, y está tasada en 82,410 rs. de vn. Para inteligencia del púb…</t>
  </si>
  <si>
    <t>…___ ;____ . ...... ,. - . •' Por providencia del Sñ D. Josef Martínez Moscóso, juez letrado d&lt;5 primera ins tancia en esta muy heroica villa, refrendada del escribano de su número D. Martin Santin y Vázquez, se ha mandado hacer saber por este periódico que la junta de acreedores á la testamentaría del Sr. D. Pedro Alcántara de Chaves, conde que fue de Noblejas, acordada para los días 3 y 4 de Abril próximo venidero r se ha de ce lebrar en la posada de dicho seño…</t>
  </si>
  <si>
    <t>Vazquez, Mateo</t>
  </si>
  <si>
    <t>Mateo Vazquez</t>
  </si>
  <si>
    <t>…spacho inmediato, y le extraordinarias relativo á esto mismo. vantó la sesión el Sr. presidente. A las comisiones de Legislación y Guerra reunidas se mandó pasar una exposición de D. Mateo Vazquez, ayu ARTICULO DE OFICIO. dante mayor del batallón de Castilla, en que pedia la de claración de si á las elecciones parroquiales deben concur Circular del ministerio de Hacienda. rir los militares con los paisanos , ó deben aquellos celebrar las por separado,…</t>
  </si>
  <si>
    <t>Vázquez, Salvador Romero</t>
  </si>
  <si>
    <t>Salvador Romero Vázquez</t>
  </si>
  <si>
    <t>…guridad de los caminos. de la pólvora, ó bajo la dirección del cuerpo de artillería Indicaciones sobre compañías de obreros, por D. Juan y por cuenta de la Hacienda nacional., por D. Salvador Romero Vázquez desde Sevilla. Regnat, administrador que fue de salinas en Cataluña. ( Se Plan ó arreglo de la infantería, por el segundo ayudante continuará.) agregado al regimiento infantería de Sevilla D. Juan Ca LITERATURA. lón ge. Idea sobre la utilidad de tropas extran…</t>
  </si>
  <si>
    <t>Vcntades, Pedro de</t>
  </si>
  <si>
    <t>Pedro de Vcntades</t>
  </si>
  <si>
    <t>…i. Los examinados fueron un niño y una de 1820.” niña. Esta de 11 años de edad, con dos poco masó menos LITERATURA. de instrucción, llamada Doña Manuela de Ventades, hija única de D. Pedro de Vcntades, abogado, natural de la villa Estado de las islas Filipinas en 1810 por D. Tomas de Monguia, en esta provincia; contestó de palabra y por Comin. escrito á multitud de preguntas que se la hicieron por el maestro y varios concurrentes sobre los artículos de fe,…</t>
  </si>
  <si>
    <t>Vcrdií</t>
  </si>
  <si>
    <t>…la extracción libre, y la introducción prohibida por próxima legislatura. Por fin se aprobó asi el artículo 3.® ahora. *,Esta medida solo ha de durar hasta que las Cortes en la El Sr. Vcrdií , convenido en cuanto A la libertad de ex próxima legislatura determinen lo que juzguen conveniente.” portación , creyó insuficiente la medida adoptada para la im Se pasó A leer el artículo 4,0 »Que no se extienda esta portación , porque previniéndose que no…</t>
  </si>
  <si>
    <t>Vecino</t>
  </si>
  <si>
    <t>…s á los defensores de la patria y á ciudadanos no pro no hacia pensar muy favorablemente de su Ilustrí ima. pietarios. Todo esto dió motivo á los Srés. Calatrava , Romero Otra del Sr. Vecino, dividida en tres partes, para que Alpuente, y Vargas Ponce, para creer el asumo de mucha en beneficio de la agricultura se reparta á cenro, entre jor gravedad y consecuencia; y á que el segundo hiciera la in naleros y otros mas acomodados, la grande extensió…</t>
  </si>
  <si>
    <t>…e el minino asunto rela de Doña Rosa Zamora, viuda de D. N. Plaza, oficial del, tivo áDarocá. ' . regimiento de Húsares francos de Galicia, muerto en. I3 Se aprobó una adición del Sr. Vecino al art. 5.0: del horca en esta capital por comprendido en la causa de Riproyecto respectivo á sueldos de cesantes, la que decia así: chart, pidiendo q ;e se le concedan los honores que le cor «Siendo sin embargo las viudedades con arreglo al sueldo re ponden…</t>
  </si>
  <si>
    <t>…ario de la Gobernación de la Península, dirigida á que se primera de Legislación al Sr. Giraldo; para la de Poderes le dispense el tiempo de estudios que le falta para concluir al Sr. Vecino , y para la especial de exterminio de malhe su carrera literaria. chores al Sr. Govanres. Ademas nombró para completar la A la primera de Legislación se pasó un oficio del señor comisión de Beneficencia al Sr. Azaola. secretarlo de Gracia y Justicia sobre la…</t>
  </si>
  <si>
    <t>…expediente contendrá: i.p el apeo ó deslinde Crédito público, ó de los pueblos en sus respectivos casos.” de dicho término: 2.0 e! derecho que el pueblo tenga á él, A petición del Sr. Vecino se mandó añadir en el ar bien sea por compra,- donación n otro título: 3.0 su uso: tículo 14 después de la palabra arbolado estas: ó plantío. 4.0 su cabida: 5." su calidad: 6.° su aprovechamiento: 7.* Sé leyó la adición sigoiente de-- los" Sres. Cepero y Za s…</t>
  </si>
  <si>
    <t>Vega, Antonio de</t>
  </si>
  <si>
    <t>Antonio de Vega</t>
  </si>
  <si>
    <t>…cho maestro la paga hayan pagado íntegramente el tercio de contribución, que mensual de los discípulos según sus clases. Se dirigirán lbs me moriales hasta el dia 8 de Setiembre á D. Antonio de Vega,’vencerá en fin del presente mes de Agosto, se les indemni procurador síndico del ayuntamiento constitucional de dichazará de la tercera parte de que habla el decreto, admitién villa. . / dosela en parte de pago del último tercio de contribución Dictamen sobr…</t>
  </si>
  <si>
    <t>…as grandes y suficientes ventajas los discípulos, según sus clases. Se dirigirán los memoriales hasta para inclinarles á entrar en una empresa , cuyo principal ob i.° de Octubre á D. Antonio de Vega , procurador síndico del jeto es el de evitar la ruina de uno ó de muchos individuos ayuntamiento de la misma villa. por medio de una corta y paulatina contribución, bien po El Médico de sí mismo, y nueva disertación, en la cual se co sensible. declara con ra…</t>
  </si>
  <si>
    <t>Vela, Julián Díaz de</t>
  </si>
  <si>
    <t>Julián Díaz de Vela</t>
  </si>
  <si>
    <t>…mática en sus hermosos escritos , y toda su aceptación y último por el Sr. juez de primera instancia de esta heroi su gloria son debidas á la parte moral. Cama admiración ca villa D. Julián Díaz de Vela, se manda al autor 110 vuel contemplar con que' ardimiento hablaba delante de Luis xiv va á pubücar papeles y escritos de igual naturaleza , y se le y Luis xv de los deberes de los Reyes, 3’ de los derechos condena en rodas las costas; debiéndose inutilizar a…</t>
  </si>
  <si>
    <t>Velas-, Josef</t>
  </si>
  <si>
    <t>Josef Velas-</t>
  </si>
  <si>
    <t>…esquieu , un amante de la fe Bautista; el coronel D. Antonio Rojas; el teniente coronel licidad nacional ha juzgado que también convenía imprimir laD. Miguel Ladrón de Guevara; el capitán D. Josef Velas- traducción’de esta obra, bien conocida de los sabios, y que pue co; el capitán D. Rafael Casella; D. Ignacio Antonio Ca de ser de un beneficio incalculable para la Nación, Constará de lero ; el brigadier D. Josef Rich ; el mariscal de campo Don 2 tomos en 8.°…</t>
  </si>
  <si>
    <t>Velasco</t>
  </si>
  <si>
    <t>…smos sentimientos que el conde de Tore Después de haber confirmado esto mimo el Sir- Argue ro ; pero no puedo menos de oponerme á un principio del lles se leyó una exposición del 'general Velasco, en la que Sr. Romero Alpuente , que seria absolutamente subversivo hacia mención de los servicios que ha prestado á la patria del orden.social : que el pueblo debía hacerse justicia.; Dón en los largos años que ha prole-acó la carrera -militar , y de está e£…</t>
  </si>
  <si>
    <t>Velasco, Josef Joaquín de</t>
  </si>
  <si>
    <t>Josef Joaquín de Velasco</t>
  </si>
  <si>
    <t>…citados créditos ya liquidados se admitirán á : tarto de la Gobernación de la Península, el cual remitía una los pueblos en compensación de los mencionados atrasos. 1 solicitud de D. Josef Joaquín de Velasco para que se le - 4.“ «Si aconteciere que dichos atrasos estuvieren ya sa conmute el quinto año de leyes en uno de práctica, con su tisfechos por los pueblos, y existieren en poder de las justi informe relativo á que debía accederse á ella; y al mismo cias y c…</t>
  </si>
  <si>
    <t>Velasco, Juan Josef García de</t>
  </si>
  <si>
    <t>Juan Josef García de Velasco</t>
  </si>
  <si>
    <t>…V. E. porla adjunta copia. Igual operación, y coa el mismo orden, se verificó ayer en; * ' Matar ó. \ ,,En Gerona el pueblo ha obligado á renunciar el mando al general gober nador D. Juan Josef García de Velasco , y ha nombrado al brigadier D. Gui llermo Minali para sucederle, según demuestra el citado parte. En Tarragona también dispúso la guarnición, de acuerdo con el pu.e-</t>
  </si>
  <si>
    <t>Velasco, Manuel</t>
  </si>
  <si>
    <t>Manuel Velasco</t>
  </si>
  <si>
    <t>…ellos cual Moreno de.Mora del 19,431 , 39,433, I9»47i una porfiada y sangrienta guerra; y para continuaría con 41,020: D. Josef Antonio de Sta. María del 23,994', 23,999 y 24,008: D. Manuel Velasco d-el 24,016: D. Ignacio Gi- ventaja se confederaron con otras muchas tribus contra los rona del 24,022 y 55,193= D. Meliton López del 32,523, delawares. En medio de esta contienda se aparecieron los 33,S2bí, 3JÓ4-’ , 32"&gt;545 * 32-55D ¡?2»S53 &gt; 32-556» iD»5^»…</t>
  </si>
  <si>
    <t>Velasco, Manuel de</t>
  </si>
  <si>
    <t>Manuel de Velasco</t>
  </si>
  <si>
    <t>…dente interino de MallorcaKpropietario de Murcia , efectivo de egército, y director en co misión de la aduana de Cádiz: para la intendencia del egército y provincia de Andalucía á D. Manuel de Velasco, tesorero que fue del egército de Va lencia y de Andalucía, contador principal de este último, intendente de la provincia de Guadalajara , y actualmente de la de Murcia: para esta intenden cia á D. Eugenio Domínguez, administrador general que fue de tabacos d…</t>
  </si>
  <si>
    <t>…las noticias, el capitán Parry ha inverna dura , Aragón y Castilla la Vieja á ios mariscales de cam do á 482 millas geográficas al Oeste del estrecho de Lancas po D. Antonio Cea, D. Manuel de Velasco, D. Rafael del ter, y á 280 millas al N. Oeste del rio de Copper-Mine. Riego , ayudante de campo de S. M., y D. Carlos Espi Este punto dista del cabo de Hielo (Giace), término de la nosa ; y gobernadores de las plazas de Malaga y Sanlúcar de navegación de Coo…</t>
  </si>
  <si>
    <t>Velazquez</t>
  </si>
  <si>
    <t>…os indios del pueblo de S. Gerónimo, de quie nes mataron uno é hirieron T, porque su fidelidad no asintió á pagarles con tribución, como refiere el adjuntó parte original de dicho comandante Velazquez, quien cón el empeño y buenos servicios que ha acreditado, trabaja en pacificar enteramente aquel nuevo distrito de mi cargo, y arreglar las ha ciendas, ,estándolo ya la de Ixtapa, según lo manifestaré á V. E. oportu namente; ,,Dio$ guarde á V. E. muchos años…</t>
  </si>
  <si>
    <t>Velazquez, Diego</t>
  </si>
  <si>
    <t>Diego Velazquez</t>
  </si>
  <si>
    <t>…d de criado, se colocaron en Amargura , pintado por Urbino , y grabado por Selma ^20 de una rueda inmensa, que dando vueltas, debia poner la má alto, y 14 y 6 de ancho; á 60 rs.ez D. Diego Velazquez , re quina en movimiento ; pero apenas había girado dos veces, tratando á la Infanta Doña Margarita, hija de Felipe iv, pinta cuando los árabes se aturden y saltan de la rueda abajo, la do por Velazquez, y grabado por Audouin : 19 y 9 de alto, cual, habiendo…</t>
  </si>
  <si>
    <t>Velazquez, Rafael</t>
  </si>
  <si>
    <t>Rafael Velazquez</t>
  </si>
  <si>
    <t>…V. E. oportu namente; ,,Dio$ guarde á V. E. muchos años. Cuautitían Agosto 30 de 1819.= Excrao.Sr. = Pedro de Antoneli. = Exento. Sr. virey conde del Venadito.’! Parte del capítan D. Rafael Velazquez. ,, En cumplimiento de la orden de vmd., comunicada por el Excmo. Se ñor virey, fecha 1^5 del presente, me puse en combinación con el comandan te de Maravátio, y nos reunimos el 24 en la hacienda de Solís. El 25 mar chamos para la hacienda de los molinos de C…</t>
  </si>
  <si>
    <t>Velmonte, Saturio Ximenez y</t>
  </si>
  <si>
    <t>Saturio Ximenez y Velmonte</t>
  </si>
  <si>
    <t>…ó cacia sobre la administración de justicia, especialmente so pasar un sistema para su reforma y uniformidad, pre entabre los jueces de primera instancia; no dudando sin em do por D. Saturio Ximenez y Velmonte, vecino de Haro. bargo que se exagera, y que hay un ínteres en exagerar el Se leyó un dictamen de la comisión del Diario de Cor número de robos y asesinatos, sin hacerse cargo de que tes , en que deseando que la suscripción de dicho periódico en el régimen qu…</t>
  </si>
  <si>
    <t>Vemos, Martin Josef de Larra-</t>
  </si>
  <si>
    <t>Martin Josef de Larra- Vemos</t>
  </si>
  <si>
    <t>…de otro de 300 pesos de que Pedro el Grande la trasladó á los hielos de la Moscovia. Setiembre de 1807, demarcado con el número 50,928, los que se hallan unidos por reclamación de D. Martin Josef de Larra- Vemos que cuantos imperios levantó á su paso , tantos-pro ñaga, como apoderado de Doña Bárbara de Unsain y otros, curaron apoyarse en estos países, que los geólogos han mi para que dentro del expresado término comparezcan por sí, ó rado como la cuna del género huma…</t>
  </si>
  <si>
    <t>Véndese, M. V. L.</t>
  </si>
  <si>
    <t>M. V. L. Véndese</t>
  </si>
  <si>
    <t>…or suerte cu los Comentarios del Se hallará á 4 rs. en las librerías de Paz y de Hermoso. doctor Valles á las epidemias de Hipócrates, elegido el Ojeada política sobre España; por D. M. V. L. Véndese cual, se retirará el opositor para su composición á una pie en las librerías de Goveo y de Castillo. SUPLEMENTO</t>
  </si>
  <si>
    <t>Véndese, P. B.</t>
  </si>
  <si>
    <t>P. B. Véndese</t>
  </si>
  <si>
    <t>…Se ídem. hallará en la librería de Viaiia. Discurso contra las reuniones formadas en España con el Otra de 6 fanegas á la izquierda del camino de Torre- título de patrióticas: por D. P. B. Véndese en la librería dejon de V elasco y su término. Orea. Idem idem de Doña Catalina Abad. La Constitución militar: diálogo. Véndese á siete cuartos Una tierra en la Tarayuela de Tordesillanos, de 2 fa en las librerías de Esparza y de Brun. negas, 2 celemines y 2…</t>
  </si>
  <si>
    <t>Ventades, Manuela de</t>
  </si>
  <si>
    <t>Manuela de Ventades</t>
  </si>
  <si>
    <t>…eto. Madrid tí de Junio Francisco de Gali. Los examinados fueron un niño y una de 1820.” niña. Esta de 11 años de edad, con dos poco masó menos LITERATURA. de instrucción, llamada Doña Manuela de Ventades, hija única de D. Pedro de Vcntades, abogado, natural de la villa Estado de las islas Filipinas en 1810 por D. Tomas de Monguia, en esta provincia; contestó de palabra y por Comin. escrito á multitud de preguntas que se la hicieron por el maestro y varios con…</t>
  </si>
  <si>
    <t>Verdejo, Isabel</t>
  </si>
  <si>
    <t>Isabel Verdejo</t>
  </si>
  <si>
    <t>…ido ante el Sr. D. Manuel Joséf Rubio, dél Consejo de S. M.t teniente corregidor de esta muy heroica villa, y escribanía del número de Di Anto nio Villa y Fernandez , por parte de Doña Isabel Verdejo y otros hermanos y sobri-nos de Doña Micaela Verdejo, de estado soltera, natural de esta corte, hija legítima de D. Nicolás y de Doña María Teresa Cronzalez, que falleció en esta corte en 30 de Abril de 1819 , solicitando se les decláre heredero^ abinttstato…</t>
  </si>
  <si>
    <t>Verdejo, Micaela</t>
  </si>
  <si>
    <t>Micaela Verdejo</t>
  </si>
  <si>
    <t>…e S. M.t teniente corregidor de esta muy heroica villa, y escribanía del número de Di Anto nio Villa y Fernandez , por parte de Doña Isabel Verdejo y otros hermanos y sobri-nos de Doña Micaela Verdejo, de estado soltera, natural de esta corte, hija legítima de D. Nicolás y de Doña María Teresa Cronzalez, que falleció en esta corte en 30 de Abril de 1819 , solicitando se les decláre heredero^ abinttstato de lá misma , se Ka mandado emplazar á los otros sus…</t>
  </si>
  <si>
    <t>Verdú</t>
  </si>
  <si>
    <t>…ue habiendo llegado al frente de Ar terminó hacer esta adición, conviniendo la cotnision en ella, gel el día 6 del presente mes, se mantuvo bordeando hasta y desechándose otra del Sr. Verdú para que se expresen que salió de la ciudad el cónsul holandés, y se puso á su voz las razones políticas por que_ se habia hecho la asignación para informarle: que la división argelina que salió al mar el á S. M. la Reina y Sras. Infantas. ¡i de mayo había en…</t>
  </si>
  <si>
    <t>Vérgara, Alfonso García</t>
  </si>
  <si>
    <t>Alfonso García Vérgara</t>
  </si>
  <si>
    <t>…sistencia. solicirpd , y que ademas debía pasarse al Gobierno para que A la de Infracciones una exposición documentada de viese si Downie resultaba deudor «.acreedor á la Hacienda D. Alfonso García Vérgara, alcalde primero constitucional pública. de Murcia, vindicándose de la queja dada contra él por Los Sres. Yandiola, Toreno y Bahamonde se opusie t&gt;J Tomas Serrano. ron. manifestando que 110 debia accederse, por cuanto 110</t>
  </si>
  <si>
    <t>Verges, Miguel</t>
  </si>
  <si>
    <t>Miguel Verges</t>
  </si>
  <si>
    <t>…ión de dichas fumigaciones, Jas .que, para mayor comodidad del pLbko,áe pusieron,de venta en las principales ciudades del reino , y á mas se hallarán cen Palma de MáHorta, casa de D. Miguel Verges, fonda del Caballo blancd; .en Pamplona ,r cusa de,D. Ju,an Campicn, calle de ^ercud^res ;,en Murcia e:n £Ja de D., domingo Areco, calle de la. Platería; en Alicante en j'a de D. Josef -Silvent, calle Mayor, yen Avila en la de D. Antonio Salcedo ,, boticario;…</t>
  </si>
  <si>
    <t>Vi</t>
  </si>
  <si>
    <t>…duos que la componían cuando se disolvió; á saber, D. Manuel Josef Quintana, presidente, y ios vocales D. Felipe Bau*á, D. Martin Navas, Di Eugenio de Tapia, D. Pablo de la Llave, D. Vi cente Sancho-, D. Juan Acevedo, y D. Francisco Martínez de la Rosa, se*eretario; y previniendo que si algunos hubieren fallecido, sean reemplazados por los suplentes que había en la misma época, y que cuide la misma junta suprema del pronto restablecimiento d…</t>
  </si>
  <si>
    <t>…or esta aprobado por la sociedad económica y por la comisión de nnestra sentencia definitiva de vista asi lo pronunciamos, medicina. mandamos y firmamos. = D. Josef Navia Bolaño.= D. Vi _ También ha debido presentar el mismo Boucher á la cente García Cavero. = D. Francisco Cándido de Paz. = Don sociedad económica- el modelo de una embarcación insu Ramón Samé. = D. Ramón Macía de Lleopart. = Madrid mergible , que ha merecido ya la aprobación…</t>
  </si>
  <si>
    <t>…ene combernación de Ultramar, presentado por el secretario del promi'o si ias Corte; decretaban la suspensión del decreto. Despacho de la misma para el año próximo, importante El Sr. Vi tonca opinó en favor del dictamen , atendien 1.378,231 reales, detallando los objetos á que debia desti do á que ningún perjuicio causaba á las medidas que des narse esta cantidad. La comisión opinaba que podia apro pués hubieran de tomarse, y á que lo mas ur…</t>
  </si>
  <si>
    <t>…se declaró tir, en el caso de que ellos creyesen ser comoatibie el ser no haber lugar á votar. vicio con el cumplimiento de su obligación. Se leyó á continuación la siguiente del Sr. Vi tortea: El Sr. Romero Alpuente, como de la comisión, fue »&gt;que á las islas Baleares por su situación en cierta manera exponiendo los motivos que le habían movido ; y en cuan ultramarina, y por la peste que las aflige, se les conceda la to á los últimos refiri…</t>
  </si>
  <si>
    <t>…e d ese á los primeros medico -cirujanos de 13 ción , y pidiendo se le indemnizase. armada 6-.■o r. mensuales, y 4*0 á ¡os ‘eciuido-. A la de Instrucción pública una exposición de D. Vi Los Sres. Sánchez Salvador, Ratnonet v Martínez 1 Don cente Naharro y otros tres profesores de primeras Ierras, Xavier ) opinaron que debía so'nenderse ene dictamen has manifestando la utilidad del método que se sigue en las es ta que se presentase el arreglo deunitiv…</t>
  </si>
  <si>
    <t>Vi, Manuel de</t>
  </si>
  <si>
    <t>Manuel de Vi</t>
  </si>
  <si>
    <t>…tituidas, hacien cillería de Valladolid en 4 de Agosto de 1748, refrendada por do que aquellos desempeñen las funciones propias de sus el escribano de Clmara de dicha chancillería D. Manuel de Vi destinos con el decoro corespondiente, ha resuelto el Rey llegas : se suplica á la persona en cuyo poder se halle se sirva que re e ■■•pidan despachos Reales, firmados de la Real m ino entregarla en la expresada villa de Oña á D. Juan de Medinilla, cura benef…</t>
  </si>
  <si>
    <t>Ví-, Alejandro</t>
  </si>
  <si>
    <t>Alejandro Ví-</t>
  </si>
  <si>
    <t>…isivion de partidos de Ja pro Las Cortes recibieron con agrado 200 egemplares de una vincia de Aragón, presentada por la comisión de Diputa memoria sobre marinería, presentada por D. Alejandro Ví- ciones provinciales. nials, y mandaron pasar un ■egemplar á la comisión de Se leyó la minuta de decretó sobre hacer extensivo á Marina. todo el reino el rezo y misa del Bto. Juan Bautista de la La comisión de Infracciones de Constitución presentó Cpncepcion.…</t>
  </si>
  <si>
    <t>Viaducto, Diego</t>
  </si>
  <si>
    <t>Diego Viaducto</t>
  </si>
  <si>
    <t>…el Sr. secretario del Otro idem de la dicha capellanía, al-sitio de la Ooia, Despacho de Gracia.y Justicia. compuesto de:- a 3 olivos’, l'nde con el arroyo de Capillos; y otros de D. Diego Viaducto, en 1433 r&lt;. ARTICULO BB OFICIO. . Otro ídem de dich 1 capellanía, al sitio de ta Lacena, compuesto de 74 otivos, linde con los de! conde de Ro Circular del ministerio de Hacienda. . ... bledo, m 42ío rs. «El Rey se ha servido declarar que todos aquellos á Ot…</t>
  </si>
  <si>
    <t>Vial, Juan de</t>
  </si>
  <si>
    <t>Juan de Vial</t>
  </si>
  <si>
    <t>…or el pueblo y tropas que la guarnecen, oespues pe haber arrestado sI propietarío ,D. Vicente-Ques a da, al comandante del resguardo, á un cabodel jnismo, al fiscal de rentas, y á D. Juan de Vial, co merciante ; habiéndose conducido el pueblo en estos procedimientos con la mayor moderación, i •• • n ¡ f i íéñaventeÍ V';l! • {■ ;,■, • O- V Por parte -qtré ha dado desde éster pueblo al Sn Secretario dé Estada y dél Despacho de la Guerra el teniente gene…</t>
  </si>
  <si>
    <t>Vicente</t>
  </si>
  <si>
    <t>…caballos ensillado# y 2 yeguas, 3 carabinas, 3 lanzas., un¡máchete y una pistola. ,, Faltaría á la justicia si no recomendara el, piérito que contrajeron los ca bos del regimiento D. Vicente y D. Ignacio Montes y los realistas de este pueblo Agustín Chavez'dy Vicente Sálmasj’qilefuerqns'ios qiie con suma bi zarría se envolvieron con los enémigoitü la arfnalTlaeca, y por los que', se ha conseguido esta victoria, sin que de nuestra haya ocurrido desgracia al guna; tod…</t>
  </si>
  <si>
    <t>…duado D. Mariano Guevara, por sus buenas disposiciones para la persecución de los restos de rebeldes que que daban en la Sierragorda; concediendo el grado de sargentos á los cabos Don Vicente y D. Ignacio Montes, y su ascenso á cabos á los realistas Agustín Chavez y Vicente Salinas por la bizarría con que se portaron. También pre viene que se den las gracias al bachiller D. Joaquín Alvarez y al doctor Ma gos, recomendando á cada uno según su mérito al ilustrísimo dio…</t>
  </si>
  <si>
    <t>…rio, que;haya lugar., , v, ¡ , , ^,1.., r A virtud de providencia del Sr. *D. Julián de Sojó, juez letrado de primera ins tancia en esta corte, y.,porcia, escribanía de numero de. D. Vicente de la Costa, se cita , llama y emplaza á tódoá lós acreedores, ó cualquiera otra persona qué pueda tener derecho "á los bienes qué han quedado por fallecimiento de Antonio Blasco, nUtúral-de la Víllá de Mbnfbrtejéir.Valencrai. paraque en el término de radias…</t>
  </si>
  <si>
    <t>…un mapa de los viages de D. Quijote. Son cuatro tomos ers 8.°, y en el primero se ha colocado el análisis y pian cronológico de csJtc fábula, escritos i por el académico de número D. Vicente de los Ríos. En tomo separado, que. forma el quiiíto dei¡la obra , sale á la luz públi^ ca la nueva vida de Cervantes, ;escr|tá é ilustrada con.varias noticias y documentos inéditos por D. Martin Fernandez eje Navarrete, académico de número, y bibliote cario.…</t>
  </si>
  <si>
    <t>…ar a su muger Josefa Saiz, en la calle de Leganitos, núm. i&lt;5, cuarto bajo, ó inteligencia de la expresada Real orden de 6 de Abril, que en la vicaría eclesiástica de esta corte á D. Vicente de la JUave. sin pérdida de momento se circule de nuevo á todas las Tratado breve de contribuciones, en que se demuestra cuál provincias, encargando á sus intendentes bajo responsabi es la que mas conviene en el estado actual de la España. Papel lidad el pron…</t>
  </si>
  <si>
    <t>…siguientes artículos: , . , Las comisiones de Agricultura, Artes y Marina presen t.° «Quesélleve á efecto el repartimiento de los 1mi taron su dictamen-acérta de la' propuesta de D. Vicente llones hecho'por 1a junta apostólica para1 él Corriente año. Ríncafuerte sobre establecimiento de'un barco de vapor que ■ 2.0 «Que la misma: junta imprima , publiqué y circule fuese arl Callao de Lima/doblando el cabo de Hornos. El' este repartimiento á todos…</t>
  </si>
  <si>
    <t>…o, por no fabricarse la primera en ia Pemmula, y no ser nuel Fernandez Gamhoa, ministro togado, y escribanía de nú suficiente para m consumo el que*o y manteca de las pro- mero de D. Vicente de la Costa , y pasado íes parará el perjui indas septentrionales; por lo que se aprobó el artículo cio que haya lugar. SUPLEMENTO</t>
  </si>
  <si>
    <t>…amos no obs po , ó pintura histórica de una buena familia, por Mr. Ducraytante una gran ventaja en este examen comparativo, y es la Duminil, y traducida libremente del francés por D. Vicente de no ser enteramente conocidos. El salvage manifiesta su al Fernandez Villares: 4 tomos en 8.°__Cartas de Abelardo y ma lo mismo que su cuerpo; pero el exterior compuesto de Eloísa, puestas en verso: nueva edición adornada con- retra los hombres civilizados…</t>
  </si>
  <si>
    <t>…as compa ' VA RIED A DES. rezcan ante S. S. á exponer y alegar lo que les conviniere, que se les oirá y guardará justicia en lo que la tuvieren , por •la notaría mayor que regenta D. Vicente de la Llave ; con -Estado de lá instrucción pública en el reino de Cerdedaapercibimiento1 que pasado dicho término sin haberlo he Siempre fueran zelosos protectores de las ciencias y de cho , y sin mas citación ni emplazamiento, se procederá á -las letras los…</t>
  </si>
  <si>
    <t>…hermanos, que ministro togado y juez Letrado de primera instancia, en ota. consideraba como obstáculos á su ambición. Llegado á la M. H. villa, refrendada del escribano del número D. Vicente de .'dignidad de bey por muerte de su padre, consi guió de la la Costa, se cita llama y emplaza á Rosa Dominga .Vicenta Se Puerta, por sus intrigas, el cargo de preboste o inspector villa y López , para que en el término de 11 dias , contados des ae los camin…</t>
  </si>
  <si>
    <t>Vicente-Ques</t>
  </si>
  <si>
    <t>…quía éni aquélla ciudad , y el fempleó"de "g.obernf,dor..de la plaza;, para el cuarfue aclamado por el pueblo y tropas que la guarnecen, oespues pe haber arrestado sI propietarío ,D. Vicente-Ques a da, al comandante del resguardo, á un cabodel jnismo, al fiscal de rentas, y á D. Juan de Vial, co merciante ; habiéndose conducido el pueblo en estos procedimientos con la mayor moderación, i •• • n ¡ f i íéñaventeÍ V';l! • {■ ;,■, • O- V Por parte -qtré h…</t>
  </si>
  <si>
    <t>Victoriano</t>
  </si>
  <si>
    <t>…de Agosto de 1820. inspire el aprecio de la Constitución, y de las nuevas insti tuciones que de ella dimanan. La epístola no deberá bajar En atención á los méritos y servicios de D. Victoriano de ío tercetos, ni pasar mucho de 6o; y siendo en verso Esain, oficial mayor que ha sido del archivo de la secreta $uelto , no deberá tener menos de 200 versos, ni pasar mu ría de Estado y del Despacho universal de Hacienda, se ha cho de 250: los romances se…</t>
  </si>
  <si>
    <t>Victorica</t>
  </si>
  <si>
    <t>…spuesto, se habia sustituido en su lugar al laciones de la Nación con las potencias extrangeras, todas Sr. Sandino. _ amistosas, excepto algunas diferencias con los portusueses El Sr. Victorica juzgó inoportuna la lectura íntegra en por la toma de Montevideo, y con los Estados-Unidos por el acta de las proposiciones que se hiciesen; pero el Sr. pre el tratado de las Floridas. sidente observó que siendo las actas una manifestación Al concluir le dijo…</t>
  </si>
  <si>
    <t>…ad de exportación de trigo' nacional rpara pacho de la Gobernación de la Península y de Ultramar. el extrangero .cuando no exceda de 30 rs. . ...... ?. Se leyó igualmente otra del Sr. Victorica para que en CORTES. el mismo día que con asilencia de los secretarios del Des pacho se abriese la discusión sobre ladrones , pedida por el Sesión del 12 de Julio. Sr. Mítrtinez de la Rosa; se tratase también de asegurar á Ja isla de Mallorca los arbitrios par…</t>
  </si>
  <si>
    <t>Vicuña, Cristóbal de</t>
  </si>
  <si>
    <t>Cristóbal de Vicuña</t>
  </si>
  <si>
    <t>…de Or á deducir de su derecho en el juzgado de primera instancia del tega. = El capitán comandante accidental del batallón Jai Sr. D. Julián Yela, por la escribanía del número de D. Cristóbal de Vicuña; entendido de que no lo haciendo , pasado que sea dme Neff. = Por la ciase de capitanes Gerónimo Párche cho término, sin mas citación ni emplazamiento se procederá í la. == Por los tenientes Jo'ef Víllalba. = Por los subte lo que haya lugar , y les parará tod…</t>
  </si>
  <si>
    <t>Vidal</t>
  </si>
  <si>
    <t>…Gefc político ó alcalde generales Lacy, Porlier y al coronel Acevedo,” á la que primero constitucional, y el otro por el segundo alcalde ó se añadió á petición del Sr. Golfín «el coronel Vidal y sus por los regidores, del mismo modo qus se prescribe para compañeros.” las elecciones parroquiales. En el segundo se manda que los Otra del Sr. Díaz Morales , para que se conceda al ge individuos que entraren al servicio por haber cumplido la neral Lacy e…</t>
  </si>
  <si>
    <t>Vidal, Agustín</t>
  </si>
  <si>
    <t>Agustín Vidal</t>
  </si>
  <si>
    <t>…ad piara administrar sus bienes. curadores de Zaragoza, pidiendo se les conserve en el có Se mandaron pasar al Gobierno las observaciones de digo civil sus ordenanzas y aranceles. D. Agustín Vidal sobre las mejoras de que es susceptible A ia comisión primera de Legislación se pasó) una ex la fábrica de cañones de Sevilla, como proponía la comisión posición de la diputación provincial de la Mancha sobreba- de Guerra. gaues, y .i ¡a de Hacienda otra sobr…</t>
  </si>
  <si>
    <t>Vidal, Joaquín</t>
  </si>
  <si>
    <t>Joaquín Vidal</t>
  </si>
  <si>
    <t>…eroico.” si no , sereis responsables d las leyes. Oria del Sr. Navarro (D. Felipe) «que se concedan tam Se aprobaron los artículos 40 y 41. Por el primero se bién á la memoria del coronel D. Joaquín Vidal, sacrifica previene que cuando haya dos ó mas batallones presten el do en Valencia, los honores que las Cortes declaren á los juramento, presididos el uno por el Gefc político ó alcalde generales Lacy, Porlier y al coronel Acevedo,” á la que primero constituc…</t>
  </si>
  <si>
    <t>Vidal, Pedro</t>
  </si>
  <si>
    <t>Pedro Vidal</t>
  </si>
  <si>
    <t>…Ebro, I&gt;. Joaquín'Diez de Tejada , D. Pedro Car isa, D. Juan Romeo, D. Francis co Barber, D. Joaquín Gómez , D. Vicente Ibañez de*Aoiz , D. Andrés Ma? rin, el barón de Torrefiel y D. Pedro Vidal, regidores del ayuntamiento de la misma; D. Bernardo Segura y D. Pablo Treviño, diputados del común de ella, y-D¿ Agustín Conde, síndico procurador general en nombre de esta ca pital. Concluido este solemne acto pror.umpió.,el numeroso concurso en ale gres y…</t>
  </si>
  <si>
    <t>Víen</t>
  </si>
  <si>
    <t>Le replicó el Sr. Arguelles, haciendo ver qüe no estaba - No hubo lugar á votar sobre Una indicación del Sr. Víen su inano remediar ios mulé anteriores, y que una de las torica , pidiendo se declarase a que órdenes debería c-tar la mayores cargas de tu empleo es el tener continuamente que milicia nacional en caso de reunirse á hacer el servicio con herir el amor propio,…</t>
  </si>
  <si>
    <t>Viergol</t>
  </si>
  <si>
    <t>…ol, ministro He España. „E1 Directorio federativo ha comunicado sin pérdida de tiempo á los Can tones de la Confederación Helvética la nota que con fecha de 29 de Marzo íe pasó el caballero Viergol, ministro residente de S. M. Católica, en orden á las mudanzas que acaban de Verificarse eiv la Constitución de la Monarquía española. - tl „Los Cantones recibirán esta comunicación con la justa gratitud debida á S. M., y con todo ei ínteres que merecen acont…</t>
  </si>
  <si>
    <t>,y Y cón esta ocasión réjjíte d Directorio federativo al caballero Viergol ías protestas de-su ,alta consideración. Los presidentes y Consejo dé Estado de la ciudad y república de Lu cerna^ Directorio federativo. ,,Por el -pr^ídente actual J. C. Asurhyn, vice-presidente, el canciller de la ConfederaciónMoussonLucerna .8 de Abril de…</t>
  </si>
  <si>
    <t>Vigo, Pedro Mendez de</t>
  </si>
  <si>
    <t>Pedro Mendez de Vigo</t>
  </si>
  <si>
    <t>…umplirá con sus deberes; pues por lo que hace á D. Juan Arago.ya tiene igual distinción. Madrid 14 de Febrero. En la noche del 7 del corriente el brigadier de los Reales egércitos Don Pedro Mendez de Vigo y D. Antonio Alvarez Baragaña tuvieron el honor de felicitar al Rey nuestro Señor como regidores perpetuos del ilustre ayunta miento de la ciudad ,de Oviedo por su augusto enlacie con La Reina nuestra Señora; y S. M. se dignó escuchar con, especial agrado ios¿ent¡mientos de</t>
  </si>
  <si>
    <t>Vigodet</t>
  </si>
  <si>
    <t>…lo ponga en noticia de las universidades literarias de d la Diputación permanente de Cortes, al heroico pue la provincia de su mando, y demas á quien corresponda blo de Madrid, al general Vigodet y al Rey, que repi su cumplimiento. Madrid 15 de Noviembre de 1820. tieron por largo tiempo los ecos del salón. Se pasó á ia lectura de varias cartas particulares; se dis Continuación de las exposiciones dirigidas d la Dipu cutieron algunas proposiciones, y s…</t>
  </si>
  <si>
    <t>Vii, Fernando</t>
  </si>
  <si>
    <t>Fernando Vii</t>
  </si>
  <si>
    <t>…teniendo, en tendido que el agraciado sufrirá exámenes públicos; qite:se ad-a El Rey ha expedido el decreto siguiente: miten solicitudes hasta el 20 de Octubre, y que la provisión Don Fernando Vii por I3 gracia de Dios, y por la será el día último de dicho mes.- ' Constitución de la Monarquía española, Rey de las Espa- Reglamento para las -sociedades patrióticas r segün él dicta ñas, á todos los que las presentes vieren y entendieren, sa men de ia comi…</t>
  </si>
  <si>
    <t>VíIIalba, Ramón de</t>
  </si>
  <si>
    <t>Ramón de VíIIalba</t>
  </si>
  <si>
    <t>…uscarle. concluida esta, se dirigieron las autoridades y el pueblo á A la comisión de Guerra se mandó pasar una memoria la plaza mayor, donde el alcalde constitucional leyó una de D. Ramón de VíIIalba, sobre organización del egcrcito. proclama análoga al asunto. El Sr. obispo auxiliar de esta Se dió cuenta de una exposición de D. Antonio Galiadiócesis y la primera autoridad militar descorrieron las no, natural de Turin , pidiendo que el proyecto de D. Joco…</t>
  </si>
  <si>
    <t>ViiJafranca</t>
  </si>
  <si>
    <t>…as , contados desde Iermo; y que esta ciudad se sometería dentro de dos ó tres el 13 del corriente, exhibiendo al mismo tiempo las relaciones de días; pues asi lo había exigido el príncipe ViiJafranca, pre méritos, para que en su vista provea dicha vacante. sidente de la junta de Palermo, para tomar las providencias' Descripción de las funciones egecutadas en la plaza de Me necesarias á fin de recibir las tropas en esta capital. lisa en celebridad del jura…</t>
  </si>
  <si>
    <t>Viilaiba, Ratnon de</t>
  </si>
  <si>
    <t>Ratnon de Viilaiba</t>
  </si>
  <si>
    <t>…suerte en sus dos terceras parres , y la . El Rey se ha servido nombrar capitán general de Cas- acción fue inmediatamente decidida, quedando.en nuestro lilla [a Nueva al teniente general D. Ratnon de Viilaiba, poder la flechera, y muerto de sus heridas el comandante reemplazándole en la inspección general de caballería el ma Guerrero. La tripulación y guarnición de la flechera se com riscal de campo D. francisco ferraz. ponía de 82 hombres, y estaba armada de cana…</t>
  </si>
  <si>
    <t>ViIlanueva</t>
  </si>
  <si>
    <t>…res beneficios que se puede hacer á la sociedad es el ar to Ja ley no les eximay antes de que se pasara á la" vo resto de los malhechores, teniendo posibilidad de proce tación, el Sr. ViIlanueva hizo advertir que debería supri der á él; por lo que estaba muy lejos de creer que hubiese mirse la palabra «castigo,” puesto que los ciudadanos están contradicción alguna entre los dos artículos. obligados á cooperar á la persecución y arresto de malhecho Co…</t>
  </si>
  <si>
    <t>Viílaseñor, Josef Cristóbal</t>
  </si>
  <si>
    <t>Josef Cristóbal Viílaseñor</t>
  </si>
  <si>
    <t>…bían libertado de ella habían sufrido después otras diversas enfermedades. ESPAÑA. . México 20 de Agosto. Continuación de ios partes de Nueva-Esjpaña. Parte del teniente coronel y comandante D. Josef Cristóbal Viílaseñor. ,, Consecuente á cuanto manifesté á V. S. en mi oficio ¡de 25 del presente mes marcharon las tres secciones disponibles, mandadas la primera por el te niente coronel D. Pablo María Mouliaá, y las otras dos restantes por iní, con el objeto de dividirlas donde…</t>
  </si>
  <si>
    <t>Vijlaseñor</t>
  </si>
  <si>
    <t>…Señor, ha dispuesto que se remitan las cédulas correspondientes de indulto para los individuos presentados, y que se den las gracias en nombre de S. M. al Sr. Alvarez, al teniente coronel Vijlaseñor , al alférez Benayides , y al alférez graduado D. Mariano Guevara, por sus buenas disposiciones para la persecución de los restos de rebeldes que que daban en la Sierragorda; concediendo el grado de sargentos á los cabos Don Vicente y D. Ignacio Montes, y su…</t>
  </si>
  <si>
    <t>Vil, Fernando</t>
  </si>
  <si>
    <t>Fernando Vil</t>
  </si>
  <si>
    <t>…otros individuos egerció nueve meses, hasta que fue sustituido por dimisión. : • Retirados los, franceses de Andalucía regresó ¿ Sevilla en Febrero de 181*34 y ocupando ya el 3r„ D. Fernando Vil el trono de Sus mayores, Je dió comisión en Real Orden de 23 de Diciembre dé r814 para que formase una- compañía que entendiese en poner corriente la navegación del rio Guadal-* qtiivir desde'Córdoba hpsta el mar, autorizándole al mismo tiempo para oír ías qü…</t>
  </si>
  <si>
    <t>Vil, Ff.rNando</t>
  </si>
  <si>
    <t>Ff.rNando Vil</t>
  </si>
  <si>
    <t>…r las chinches; y ha hecho uso de este específico con conocidas ventajas en e!: El Rey ha expedido el decreto siguiente: gabinete de historia natura! desde el año 1814 para la con Don Ff.rNando Vil por ¡a gracia de Dios, y por. la servación de las aves y cuadrúpedos qtie se hablan deterio Constitución de la Monarquía española, Rey de las Espa- rado considerablemente, y que se hubieran perdido á no ñas, á todos los que las presentes vieren y entendieren,…</t>
  </si>
  <si>
    <t>Vil, Pedro</t>
  </si>
  <si>
    <t>Pedro Vil</t>
  </si>
  <si>
    <t>…uen * ; . 's‘ ; ~ ,iEl Re* hatémdó &amp; bien nombrar para sus ayudantes de campo * -los. tenientes ¿generales d&gt;. -Francisco ballesteros y marques dé Campoverde; D. Juan Ó- Dono jó &gt; D. Pedro Vil tacampa y D. Josef de Zayas; á los ma riscales de campo D. Antonio Quiroga'y D. Rafael del Riego ; y sin que en ningún caso pueda hacer-egemplar, -yen atención á sus muy particulares ser» -viciost al brigadier conde de A!modof.'3r, capitán- general del cgérci…</t>
  </si>
  <si>
    <t>Vilches, JosefMaría</t>
  </si>
  <si>
    <t>JosefMaría Vilches</t>
  </si>
  <si>
    <t>…. Leída y aprobada el acta de la sesión anterior, sé man La misma comisión presentó su dictamen acerca de la dó pasar á la comisión de Agricultura reunida con la de queja dada por D. JosefMaría Vilches contra el alcalde de Hacienda una exposición de 14 pueblos de la provincia de Motril sobre no haber verificado el juicio conciliatorio cor» Toledo, presentada por el Sr. La Llave, manifestando los D. Antonio Rivas en un asunto judicial que seguia con es perju…</t>
  </si>
  <si>
    <t>Vilfaurrutia, Antonio</t>
  </si>
  <si>
    <t>Antonio Vilfaurrutia</t>
  </si>
  <si>
    <t>…lunes, uno sobre división de partidos, y otro audiencia de Guadalajara, en Nueva-Galicia, está vacante por sobre habilitación de un menor para administrar sus bienes, promoción de D. Antonio Vilfaurrutia á magistrado del su cuyo informe se levó. premo tribunal de Justicia ; y se admiten memoriales de pre Se pasó á la comisión de Hacienda un cuaderno presen tendientes por término de 20 días. tado por el Sr. Banqueri sobre establecimiento de cuenta y razón de l…</t>
  </si>
  <si>
    <t>Vilianueva</t>
  </si>
  <si>
    <t>…ibunal de Cortes, sin embargo de que Marzo de 1813, haciendo las declaraciones convenientes ep. parecía conveniente. favor de S. A. el Sr. Infante D. Francisco de Paula y S. M. El Sr. Vilianueva hizo la observación de que los ecle la Gran Duquesa de Lúea y dé sus descendientes legítimos. siásticos no debian ser individuos del tribunal, porque po El Sr. presidente, trayendo á la memoria algunas insinuacio día ocurrir que hubiesen de entender en causas…</t>
  </si>
  <si>
    <t>…á los muchos y Urgentés a -ümos.que deben-tratar con Urgencia á la comisión de Legislación. las Cortes, habiendo tantos abusos que reformar, pidió con Se leyó en seguida otra del Sr. Vilianueva, dirigida á forme al reglamento','se empezasen las sesiones á las 10 de la mejorar la suerte de los delincuenxs en las prisiones, susti 'Mañana: (ion este motivo el Sr. Lá Santa propuso que se ce tuyendo encierros sanos y ventilados á lo.- ca-abozo-. obscuros…</t>
  </si>
  <si>
    <t>Vilianuevar</t>
  </si>
  <si>
    <t>…ias, y el m.ixi- la correspondencia venida en el bergantin de guerra el 16, según las circunstanciasy esta otra adición del Alarte, procedente de Puerto Rico, de donde salió el 27 Sr. Vilianuevar »Y ademas será responsable de las resultas de Junio, participa ei comandante de Marina en aquella isla que tuviere la insubordinación y” pero no se admitió á dis al ministerio de este ramo, que el 15 del citado Mayo se cusión esta indicación del Sr. Freíre: »…</t>
  </si>
  <si>
    <t>Viliavicencio</t>
  </si>
  <si>
    <t>…resamente para esto, y ¡por otra que era todo d-imanádpde dr.déii;derS.j M. , Con esto; crecí ó la fermentación, yá las: cuatro yi media, deja tarde éíitró otra vez. en mi casa él general Viliavicencio, el generalrGamparia y otras varias personas; todos convinieron en que ql mo vimiento, delpuéblo era grande, y era necesario tomar prontamente un par tido que‘fuera conforme á sus deseos. Pregunté nugyamente por el espíritu que reinaba en las tropas , y me di…</t>
  </si>
  <si>
    <t>Villa</t>
  </si>
  <si>
    <t>…tes, y nohabian logrado esta satisfacción. ran en libertad á todas las .personas detenidas por disidencia. A petición del Sr. Giraldo se declaró el punto suficien Se leyó otra del Sr. Villa, relativa á que se pidiese una temente discutido por 68 votos contra 66. Sin embargo, nota al Gobierno de lo que se hubiese adelantado en la ins el Sr. Castañedo manifestó tenia entendido que ¡a Junta iba trucción de las leyes fundamentales, y que en lo suces…</t>
  </si>
  <si>
    <t>…ña, con el extravip.de, algunas provincias de. Ultra íu opinión sobre ello varios Sres. diputados, la proposición mar, si ño se busca el medio de anmen ar los ingresos, no bas del Sr. Villa nueva, relativa, á que se cante una .misa solemr tarán estos jamas já cubrir las cargas cotnunes.é. indispensa re de Espíritu Santo eri todas las iglesias de la Monarquía por bles que tenemos; pues siendo ya un axioma econ-.micoel restablecimiento de las.Cort…</t>
  </si>
  <si>
    <t>…sencillas y timoratas, que antes temblaban, y aun Se mandó pasar á la comisión ordinaria de Hacienda se horrorizaban al oir la palabra Constitución, como si oye una indicación.del Sr. Villa, dirigida al fomento de la agri sen una blasfemia, la pronuncian con complacencia, porque cultura. han llegado á conocer su verdadero significado , y á com Se leyó un proyecto de decreto del Sr. Romero Alpuenprender á su modo las ventajas que de su exacta obs…</t>
  </si>
  <si>
    <t>…de poder soportar las fatigas, al mismo tiempo que tie que á la palabra jornaleros se agregase la de precarios ; y el ne la docilidad necesaria para prestarse á la instrucción, y Sr. Villa dijo que la milicia nacional es un semillero del porque ademas puede tener ya la moral que se requiere, egércíto permanente, y que en este entran todos los que puesto que de esta milicia ha de sacarse la que reemplace el son aptos para las armas; pero también…</t>
  </si>
  <si>
    <t>Villa, Pablo</t>
  </si>
  <si>
    <t>Pablo Villa</t>
  </si>
  <si>
    <t>…de Toledo; resolución de las mismas lo comunicamos á V. E. para en la de D. Atanasio Dávila, calle de las Cañetas; en la de que se sirva dar cuenta á S. M., y demas efectos consi D. Pablo Villa, plazuela de Sto. Domingo,y en la de D. Josef guientes.” Brun, frente de las Covachuelas, para que los interesados acu De Real orden la traslado á V. para su inteligencia, dan con ellos á recoger su importe respectivo en el término y que lo comunique á las un…</t>
  </si>
  <si>
    <t>Villa, Pedro</t>
  </si>
  <si>
    <t>Pedro Villa</t>
  </si>
  <si>
    <t>…Ti l C U .L O D R O F I C I O. Continúan las noticias de lo ocúrrido en las provincias con motivo del res tablecimiento del sistema constitucional. BARCELONA. V artes del teniente general D. Pedro Villa campa. ■ [* T' ri.® ,,Excmo. Sr.: Aja una del día del viernes. i,o_del corriente se presen to en la plazuela del palacio del capitán general dé. esta ciudad la mayor par te del. pueblo pidiendo al Sr. D. Francisco Xavier Castaños se publicase la Constitución,…</t>
  </si>
  <si>
    <t>Villa-</t>
  </si>
  <si>
    <t>…r. == Guillermo Minair. = Excmo. Sr. capitán general y Gefe superior político del principado de Cataluña.”4 - 1 - •' . I Contestación del ministerio de la Guerra á los oficios del general Villa-* campa. - , . , ,, Excmo. Sr.: El Rey se ha enterado con satisfacción por los oficios de V. E. de 13 y i4’del corriente, en que manifiesta haber sido encargado por el pueblo de la capitanía general de Cataluña ; que se ha jurado la Constitución’ de la Monarqu…</t>
  </si>
  <si>
    <t>…las 1. Que se supriman las administraciones que hay en las Cortes á propuesta de la comisión de Hacienda. provincias y en las diócesis. A la misma se mandaron pasar otras dos del Sr. Villa- 2. Que las bulas se remitan por la comisaría general á nueva , en que pedia que los pueblos pasasen á la contadu los tesoreros de rentas de las provincias, bajo la interven ría de partido el repartimiento de su contribución , para ción de las contadurías. que…</t>
  </si>
  <si>
    <t>Villacampa, Pedro</t>
  </si>
  <si>
    <t>Pedro Villacampa</t>
  </si>
  <si>
    <t>…nterino del Despacho de la Guerra del progreso de la causa mandad ida formar á los autores de los desórdenes de Cádiz. S. M ha confirmado en sus empleos y distinciones al teniente general Don Pedro Villacampa y al mariscal de campo D. Francisco Espoz y Mina, nom brando al primero capitán general de Cataluña,-y al segundo capitán gene ral de Navarra. Asimismo ha nombrado S. M. capitán general de Granada al teniente ge neral marques de Campoverde , y de Valenciaal t…</t>
  </si>
  <si>
    <t>Villadie, Roque María</t>
  </si>
  <si>
    <t>Roque María Villadie</t>
  </si>
  <si>
    <t>…á la Princesa y á Bérgami en un dase al Gobierno para que le diese un destino correspon coche abierto ; y después de haber manifestado los hechos diente á su carácter. La otra de D. Roque María Villadie en que se fundaba, se levantó la sesión. go , manifestando sus servicios en la guerra de la indepen —Ayer hubo consejo de gabinete; y dicen que e-. él se dencia y causa de la libertad. resolvió hacer una proposición para que se suspenda por Al Gobierno se pas…</t>
  </si>
  <si>
    <t>Villadomar, María</t>
  </si>
  <si>
    <t>María Villadomar</t>
  </si>
  <si>
    <t>2 (50 cion, ha cabido en suerte de! primer extracto de la de este ral del egército cómo nula é ilegal, á fin de que en tiem po dia á Doña María Villadomar» comprendida eii los vícti alguno pueda ofender la memoria y servicios de los com mas del Dos de Mayo. prendidos en elk, quedando terminada de una vez esta com plicada y defectuosa causa. De Real ceden lo comunico á , ARTICULO DE OFICIO. V. S. para conocimien…</t>
  </si>
  <si>
    <t>Villafañe, Manuel</t>
  </si>
  <si>
    <t>Manuel Villafañe</t>
  </si>
  <si>
    <t>…obligación de enseñar de balde á los pobres de solemnidad: se á D. Juan Arguelles Valdés, D. Joaquín Carrion y Mo proveerá dicha plaza el 24 del corrientereno, D. Manuel Estrada, D. Manuel Villafañe, D. Lo- Impugnación y observaciones al manifiesto que firmaron los •renzo Vilianueva, D. Juan Andrés Segó vía, D. Manuel 69 diputados de las Cortes ordinarias con fecha de 12 de Abril de 1814. presentada á S. M. en "Valencia de vuelta de su cau -Santurio, D.…</t>
  </si>
  <si>
    <t>Villafañe, Manuel de</t>
  </si>
  <si>
    <t>Manuel de Villafañe</t>
  </si>
  <si>
    <t>…nciamos, ral independiente de la de Andalucía, á que ha estado ane mandamos y firmamos. = D. Joaquín Carrion y Moreno.= ja , nombrando capitán general de la expresada provincia de D. Manuel de Villafañe. = D. Juan Andrés de Segovia. = C ;diz a! gobernador de la misma plaza el teniente general D. Manuel de Santurio García Sala. = D. Anacleto-deFaD. C ayetano Valdás ; y 'debiendo quedar ambos mandos en goaga y Dutari. = Madrid 1 7 de Agosto de 1820. el ser y c…</t>
  </si>
  <si>
    <t>Villagrasa, Francisco</t>
  </si>
  <si>
    <t>Francisco Villagrasa</t>
  </si>
  <si>
    <t>…1812, seguían pleito por el juzgado*que entoñees deSpádhaba D. León de Sagasta, y escribanía numeraria de Don Francisco Xa-res Maldonado., sobre pago de una cantidad que Jes debía D. Francisco Villagrasa; y en parte de satisfacción de ella se les adjudicó una-cava en Ja calle de ia Paloma, señalada con el num.i.° de la matiz. 109. Ahora; la viuda y heredera .del referido Villagrasa han hecho -una transacion y partición extrajudicial de los bie nes qtíe aquel…</t>
  </si>
  <si>
    <t>Villalba, Ramón</t>
  </si>
  <si>
    <t>Ramón Villalba</t>
  </si>
  <si>
    <t>…das ocurridas entre el ayun pasó una memoria sobre el arreglo de la caballería , presen tamiento y el comandante militar de Mahon acerca del de tada por el inspector de esta artn» D. Ramón Villalba. creto de asilo de extrangeros; y el otro sobre algunas du A la de Infracciones de Constitución se pasó la queja das ocurridas en la instrucción de 23 de Julio de 1853. de un ayuntamiento de Vizcaya contra el Gefe político de A la misma comisión se pasó una e…</t>
  </si>
  <si>
    <t>Villalva, Joaquín</t>
  </si>
  <si>
    <t>Joaquín Villalva</t>
  </si>
  <si>
    <t>les gobernador de la plaza D. Juan Manuel de Mendiburu, ra del ojo. Sobre la armonía de los colores en los diferentes y al capitán del puerto D. Joaquín Villalva, por los efica climas. ces y abundantes auxilios que han prestado para la rehabi Tomo 3.0 De los animales luminosos. Continuación del litación del buque en todos sentidos; al capitán de fragata tratado del fuego. Del calórico. Historia del Príncipe de D. Luis…</t>
  </si>
  <si>
    <t>Villalva, Ramón</t>
  </si>
  <si>
    <t>Ramón Villalva</t>
  </si>
  <si>
    <t>…rios; en la inteligencia, que pasado organización del egército, con.un reglamento para la caba dicho término sin haber comparecido, les parará el perjuicio llería, por el teniente general D. Ramón Villalva. que haya lugar.' Plan de vestuario nuevo para lá infantería de línea y li Se halla vacante la plaza de maestro de primeras letras de Angera, por el inspector general de la misma arma. ’dújar: su dotacjaa'es de 550 ducados, y casa capaz para admi Dictamen sob…</t>
  </si>
  <si>
    <t>Villami, Cayetano Fernandez</t>
  </si>
  <si>
    <t>Cayetano Fernandez Villami</t>
  </si>
  <si>
    <t>…Príncipe Real y de cuantos concurrieron á la ce cipio por un papel alusivo al objeto, que leyó el primer remonia ; y habiéndose egecutado con un zelo incansable, maestro director D. Cayetano Fernandez Villami!. Fueron, á pesar de las grandes dificultades que ha habido que ven examinados respectivamente varios alumnos en aritmética, cer, será para la posteridad un monumento glorioso del en geometría elemental, en trigonometría piaña, en trigo ánimo y constancia de…</t>
  </si>
  <si>
    <t>Villano, Antonio</t>
  </si>
  <si>
    <t>Antonio Villano</t>
  </si>
  <si>
    <t>…de en las librerías de Sojo y Montero. Diccionario de medicina y cirugía, ó biblioteca manual mé dos como están actualmente, sino como la presenta un impreso dico-quirúrgica , por D. Antonio Villano: segunda edición en de Constantinopla, que contiene la relación de la primera au 7 tomos en 4,0 Véndese á 200 rs. en pasta en el despacho de Ja diencia de Mr. Vernignac, enviado de la república francesa cer imprenta Nacional. ca de h Puerta otomana en 1796. M…</t>
  </si>
  <si>
    <t>Villanova</t>
  </si>
  <si>
    <t>…por parte de estos Tolosa 2j de Agosto. son gravados los presos.” Su autor dijo que había visto el Al juramento de la Constitución, que se verificó en es modelo presentado por el Sr. Villanova, que era xnuy aná ta villa con el mayor entusiasmo y las mas vivas demos logo al que él tenia concebido. traciones de júbilo y alborozo, precedió un elocuente dis Otra del Sr. Calderón: «Pido que á la comisión de Le curso, pronunciado por nuestro cura párroco…</t>
  </si>
  <si>
    <t>Villanueva</t>
  </si>
  <si>
    <t>…tes ordinarias, y preparado ya para lá resolución; y una exposición hecha á la diputación de Va ARTICULÓ DE ÓEtCIO. lencia por su individuo D. Salvador Perellós, qtie presen tó el Sr. Villanueva. Circular del ministerio de la Guerra. Se mandó igualmente pasar á la comisión de Hacienda varias consultas de la Regencia sobre establecimiento de El Sr. Secretario del Despacho de la Gobernación de ayuntamientos en'Cataluña , Galicia y otras provincias, in…</t>
  </si>
  <si>
    <t>…r no ofender su deli revoque la ley que prohíba á los Hospitales tener bienes raíces. cadeza ; haciendo ver.al mismo tiempo la. enorme diferencia be leyeron tres proposiciones del Sr. Villanueva, diri que se hallaba ( por mas que unos y otros fuesen dignos gidas á que se nombrase una comisión, que á la mayor bre de la estimación pública) entre los que. habían contribuido vedad formase una lista de los mejores libros elementales directa.ó indirectamen…</t>
  </si>
  <si>
    <t>…arse para consolidar el Crédito público. resultar á la Nación de adoptar las medidas que indicaba. Previa una discusión entre los Sres. Moreno Guerra, Se leyó otra proposición del Sr. Villanueva para que Banqueri y otro, se aprobó el dictamen dado por la co atendiendo á la excesiva extracción de primeras materias, misión de Comercio en el expediente promovido por los citando el egemplo de la seda en la provincia de Valencia, fabricantes de jabón de p…</t>
  </si>
  <si>
    <t>…la súplica, se mandó pasar á la Cbtnhion Príncipe sobre organización del ejército. Eclesiástica. Se dio cuenta del aviso de los Gefes políticos de Astu Con este motivo propuso el Sr. Villanueva que se pidie rias , Burgos y Granada,, participando que se hallaban en sus ra al Gobierno un expediente general, presentado anterior respectivas provincias Rg*ex-diputados siguientes: Casnprín mente al Congreso, en el que había una multitud de repre en la pri…</t>
  </si>
  <si>
    <t>…iene que para encarecer A V. S. el zelo y la exacta dili considerado como tales. Después de algunas otras observa gencia con que debe cumplir el desempeño de este impor ciones del Sr. Villanueva , á que contestó el Sr. de Sierra, tante y principal deber que le impone su cargo, manifieste el Sr. Martínez de la Rosa pidió que se extendiese á los á V. S. que cualquiera omisión en este interesantísimo ne presidios de Africa la misma excepción , pues bast…</t>
  </si>
  <si>
    <t>…a noticia mas que de un asesinato respecto que pagan los impresos que se remiten por el correo con de Madrid , cuyo autor fue condenado al último suplicio en fajas. Después que el Sr. Villanueva expuso la utilidad que muy pocos dias, y comparando aq.tella época en que re resultaría de la circulación del Diario, en lo que principal gían las suaves leyes constitucionales con la inseguridad de mente se fundaba la comisión , se opuso el Sr. Garelí en los…</t>
  </si>
  <si>
    <t>…s que se pedia, todo con calidad de provinar algunas fincas de sus re-pectivas vinculaciones con dife encia imerina. rente.-. objetos; y lo' dos últimos del marques viudo de la El Sr. Villanueva, apoyando en todas su* partes' el dic Merced sobre emancipación de su hijo, y aprobación de ella. tamen del consejo de Estado, propu o re nombrara una-co A la comisión de Hacienda un expediente remitido por mí ion, que teniendo presente el estado en que se ha…</t>
  </si>
  <si>
    <t>…cu realizado una trasfonuacion en el sistema de gobierno, sin tido, se pasó á la lectura de varia- indicaciones. Dos del los horrores que fueron siempre la funesta consecuencia de Sr. Villanueva, y tres de! Sr. Pambley. Luego se leyó otra cuantas han intentado las naciones que se dijeron las mr,s del Sr. presidente: «que se nombre una combion especial sabias 6 ilustradas del mundo antiguo y moderno : dias que adonde pase este expediente con todas las…</t>
  </si>
  <si>
    <t>…ove te del Congreso que se oponía, se volvió á leer de nuevo. dad, igualmente que su augusta Esposa.” Ocurrió entonces que habiéndose cerrado la discusión , y pedido la palabra el Sr. Villanueva, fue necesario una vo tación del Congreso para que.se le oyese; y aunque tam bién pidieron la palabra algunos otros señores diputados , se ANUNCIOS. procedió á la votación, y se aprobó la adición del señor Gaseo. Apuntes sobré el arresto de los vocales dé Cor…</t>
  </si>
  <si>
    <t>…po de pilotos altere su constitución actual? A consecuencia de esto se declaró no haber lugar á vo En la afirmativa se expresará todo lo relativo A su ins tar sobre la adición del Sr. Villanueva. trucción , clases, ascensos y servicio A bordo. Se aprobó una indicación del Sr. Moreno Guerra, adi Capellanes. 24. ¿Si es absolutamente indispensable, cional á la del Sr. Zapata , para que el breve que se pidiera .i uti! y conveniente que haya un número per…</t>
  </si>
  <si>
    <t>…que se hizo en de trigo, cuyo precio se toma por regulador, no exceda dicha sesión de no haber lugar á votar sobre la indicación de 80 rs., y el quintal de harina de 12c.” ‘ " del Sr. Villanueva. Siguió una discusión , en que el Sr. Moscoso reprodujo Se leyó también, y se mandó pasar á las comisiones de las observaciones que había hecho en el día 27, oponiéndose Guerra y Hacienda, la siguiente indicación del Sr. Arnedo: al precio señalado de 80 reale…</t>
  </si>
  <si>
    <t>…ego Clemencin, han sido nombrados para pre túan de la milicia nacional los abogados.” sidente el Sr. D. Ramón Giraldo, diputado por la provin Se aprobaron la siguiente adición del Sr. Villanueva: «que cia de la Mancha; para vice-presidente el Sr. D. Josef Ma se exceptúen los maestros de latinidad que enseñan en es nuel Vadillo , que lo es por ¡a de Cádiz, y para secretario cuelas públicas aprobadasla indicación del Sr. Moreno el Sr. D. Antonio Diaz d…</t>
  </si>
  <si>
    <t>…os, observó que la mastina (en aquella sazón sola contrarios á algunas de las resoluciones tornadas ayer. para guardar el rebaño) se arrojó á un corpulento lobo , y Se concedió al Sr. Villanueva permiso para representar principió una fuerte luclfa entre ambos. Se dirigió inmedia al Gobierno sobre la situación de la casa de ^Expósitos de tamente el pastor á la majada ; y asiendo de un palo de los Cuenca. q&gt; e usan pata colocar sus toldos, lo descargó…</t>
  </si>
  <si>
    <t>…El 21 habla presentado sus teca de Cortes, y se mandó pasar á la comisión de Ins credenciales á S. M. Siciliana el Sr. D. Luis de Onis, em trucción pública, lo mismo que otra del Sr. Villanueva, bajador de España. El 1J16 y 17 hubo un tumulto en Palersolicitando que se restituyan á los colegios, de que tomaron rao con bastantes desórdenes, á pesar de haberse recibido allí posesión los jesuítas, los directores y maestros que habia en con satisfacción…</t>
  </si>
  <si>
    <t>…inación aprobada por las pío , viendo que carecía de muchas formalidades, quiso pa Corres sobre la cuestión primera. sar á la secretaría para cerciorarse de ello. Dijo el mismo El Sr. Villanueva dijo que la dotación de la Casa Real Sr. secretario que se advertía aquello en público para evitar' no queda gravada con las pensiones de los capellanes de ho el que se sorprendiera á cualquiera otro menos cauto, y nor; y repitió el Sr. Sierra que la capilla…</t>
  </si>
  <si>
    <t>…cle que juzgaba debian tenerse presentes, y de las que resolta siástico, incluyendo todas sus claies. rían grandes ventajas, á saber :asegurar al erarlo público úna A petición del Sr. Villanueva acordó el Congreso que cantidad mayor que la que produce el estanco del tabaco; se agregaran á la comisión Eclesiástica los Sres. Gisberr, Cor proporcionar al agricultor un nuevo cultivo, y á la clase tés y Cabrero. indigente una nueva ocupación ; y finalment…</t>
  </si>
  <si>
    <t>…poniendo las pa no es impedimento para que los individuos que sigan alguna labras como ley fundamental del Estado. carrera literaria dejen de concurrir á las universidades y es El Sr. Villanueva dijo que no le parecían propias del tablecimientos aprobados en las épocas correspondientes , y carácter de un eclesiástico las palabras últimas de «yo ro en consecuencia solo les obligará el servicio cuando se hallen gare á Dios en virtud de mi ministerio qu…</t>
  </si>
  <si>
    <t>…a, Arriera y Gutiérrez de como lo proponía la mayoría de la comisión. Acuña, iguales á la primera del Sr. Zapata. No se admitió á discusión la adición del Sr. Cepero para Otra del Sr. Villanueva, »que el general Lacy y el co que se añadieran á las palabras del comandante estas'otras: ronel D. Félix Acevedo sean inmediatamente declarados be y 2.i patria os bendecirá si cumplís vuestro juramento; neméritos de la patria-en grado heroico.” si no , sereis…</t>
  </si>
  <si>
    <t>VillanueVa</t>
  </si>
  <si>
    <t>…e seap reos , cruzada y demas de esta especie. - necesarios en cada partido.. c .. . , -■ 12. -El artículo anterior se pondrá' también inmediata-r Se leyó por segunda vez otra del.Sr. VillanueVa , eti que meñt®s'en egeeuoton por lo que toca á:penstoncs de cual haciendo presente la i excesiva extracción de seda dé-Víilen- quiera clase ti naturaleza que sean, cesándo las consigna -oia, en perjuicio&gt;de la agricultura-e industfía-,1 pedia’s¿'to ciones de…</t>
  </si>
  <si>
    <t>…Isturiz. tamiento. 5= Rúan 1 i de Agosto. = Elias Lefebure.” Con este motivo se leyeron varias proposiciones relati París tíi de Agosto. vas á esto mismo. Primero la siguiente del Sr. Villanueva t Se han hecho varias prisiones en esta capital, pero son «Que la comisión de Legislación y Hacienda propongan á la de sugetos de poca consideración ; de modo que nada se sabe mayor brevedad los medios mas convenientes para evitar los de la trama descubierta…</t>
  </si>
  <si>
    <t>…ue pretendía el Sr. Sancho ; y por último fue es lo mismo. Que A pe*ar de haberse convencido muchos aprobada. grandes hombres, como Campom.mes, Jovellanos v otros Se leyó otra del Sr. Villanueva que decía asi : «Que se de sus perjuicios, no se habian atrevido nunca A hacer esta indique A ¡a misma comisión que prepare la publicación de reforma, porque conocían el espíritu publico; y luego eirá la causa ée Audinot.’’ dos párrafos del dictamen que dió s…</t>
  </si>
  <si>
    <t>…se conformaba no obstante, si parecia necesario, sentado que-era-precisa td supresión del número excesivo en que continuasen algunos monasterios. que existe en la actualidad. 'El Sr. Villanueva , expresando que habia pedido la pala</t>
  </si>
  <si>
    <t>…lones de reales , á lo d Estado.” que no llegaban los frutos de la ley referida. También se mandó pasar á la comisión otra indicación La escala de de'cuentos era la siguiente: del Sr. Villanueva, reducida á trasladar al Crédito público De 6® á 8® rs. anuales t por 100. la recaudación del impuesto de que se trataba. De 8® á 12® rs. inclusive 2 id. En seguida se aprobaron separadamente las tres declara De 12® á 20® id........ 4 id. ciones comprendidas…</t>
  </si>
  <si>
    <t>…a milicia nacional, por los decretos de extinción de ma S. M. ha despachado hoy con ios Sres. secretarios del yorazgos y reforma de regulares. Despacho de Estado y de Hacienda. El Sr. Villanueva presentó una exposición de la diputa ción provincial de Valencia, en que manifestaba que varios CORTES. pueblos habían entregado sus cupos de la contribución cor Serian del JJ de Octubre. respondientes al tercio concluido en Agosto en los dias 1.“ Leída y apr…</t>
  </si>
  <si>
    <t>…dó agregar al acta el voto de los Sres. Vi tortea Se mandaron pasar á la comisión las dos indicaciones y Janer, contrario á lo resuelto por tas Cortes en la se siguientes: i.a deí Sr. Villanueva : «Que proponga la cosión de ayer sobre la indicación del Sr. conde de Toreno. mirion qué pena debe imponerse en este caso del art. 4.0 i El Sr. Rodríguez (D. Josef) presentó una exposición los prelados regulares de las órdenes mendicantes, que por de varios…</t>
  </si>
  <si>
    <t>…tas horas habia andado el Sr. D. Manuel de la Bodega, diputado suplente por Lima. cierto dia, si ocho ó cuatro, excusándose con que no lleva El Sr. Gisbert apoyó la indicación deí Sr. Villanueva, ba relox; y segundo que cuando se le preguntó cuánta era apoyado en los buenos resultados que obtuvieron las Cortes la tripulación del buque á cuyo bordo iban la Princesa y él, de su declaración sobre no admitir tratado alguno firmado no supo dar razón de si…</t>
  </si>
  <si>
    <t>Villanueva, Joaquín de</t>
  </si>
  <si>
    <t>Joaquín de Villanueva</t>
  </si>
  <si>
    <t>…Gabinetes ¿de qué les han servido, tantas-reuniones, que en la tarde de ere día al cementerio extramuros ei cada- mas bien parecían, ■ según se dijo en nuestro Parlamento ver deí Sr. D. Joaquín de Villanueva, marques de Casa-acerca del Congreso de Viena, conspiraciones de los So la-iglesia, procurador síndico segundo de este Exento, ayun beranos contra los pueblos? ¿Pregúntense si todas sus me tamiento constitucional. Su zelo por la buena causa , .en cu didas , a…</t>
  </si>
  <si>
    <t>Villanueva, Pedro de</t>
  </si>
  <si>
    <t>Pedro de Villanueva</t>
  </si>
  <si>
    <t>…ibió Mr. Douraourier sobre Portugal, tradu Solución dada á varios problemas de los anunciados en cida del ingles al español por P. S. C. Las curiosas noticias, que la gaceta . por D. Pedro de Villanueva. contiene este papel le hacen muy recomendable y útil á los que Memoria en que se contc'tan algunos problemas de los .deseen instruirse en la.topografía de aqtieL reino. Se halla de ven publicados, remitida por D. Florencio Ceruti, teniente co ta en las libre…</t>
  </si>
  <si>
    <t>Villar, Ambrosio de</t>
  </si>
  <si>
    <t>Ambrosio de Villar</t>
  </si>
  <si>
    <t>…examinados en el primer dia de Aritmética teórica y práctica desde el sistema de numeración hasta los núme ros denominados; y los alumnos dé la clase de comercio D. Pedro Viterí, D. Ambrosio de Villar, D- Juan Josef Áldama, D. Francisco María Mele y D. Vicente Mudo se examinaron en el mismo dia de las principales aplica ciones de la aritmética á los cálculos mercantiles, deduciendo las reglas prác ticas que deben seguirse en las diversas cuestiones de desc…</t>
  </si>
  <si>
    <t>Villar, Antonio Sánchez del</t>
  </si>
  <si>
    <t>Antonio Sánchez del Villar</t>
  </si>
  <si>
    <t>14 mano al bachiller D. Antonio Sánchez del Villar, presbítero, prior, cura propio de su iglesia parroquial de la villa de Cambil, obispado de Jaén, y D- Manuel de Aguirre y Aguirre, garzón del Real cuerpo de guardias de la Persona de S. M., comisionados por el ayuntamiento y clero de la expresada villa para…</t>
  </si>
  <si>
    <t>Villar, Josefa de</t>
  </si>
  <si>
    <t>Josefa de Villar</t>
  </si>
  <si>
    <t>…ún sus propias relaciones, los indios delawares 6 D. Manuel de Corees Díaz dél 4422: D. Clemente Ibañez de lenni lenape salieron hace muchos siglos de una región Ocerin del 6137 : Doña Josefa de Villar del 16,677 , 37,413 situada hácia el oeste para emigrar hácia el oriente: al lle y 61,894: D. Juan Perez C ineda del 17,036 : D. Jaime Vagar á las orillas del Missisipí Se encontraron con los ira íenti del 17,039: D. Juan Luis Murenco del 19,359= D. Pas &lt; 4°»…</t>
  </si>
  <si>
    <t>Villaseñor</t>
  </si>
  <si>
    <t>…as llevaban las órdenes de hostilizará los rebeldes, recoger todo el ganado que pudieran y destruir é incendiar los cantones; y en efecto todo se logró como ordené*La del teniente coronel Villaseñor hizo tres prisioneros de los dispersos ;pues ninguna gavilla se presentó en número de cuatro hombres, cogió como io&lt;&gt; cabezas de ganado mayor, y dió muerte á un rebelde; la del capitán Juber* mató un titulado teniente, cogió como fo cabezas de ganado mayor, y…</t>
  </si>
  <si>
    <t>…eto , Tetillas, la Rochera, Can tón Viejo y todas las cañadas de estos cerros, debiendo caer á la hacienda de Jalpa, y de allí por el Varal al punto del * Potrero. Con el teniente coronel Villaseñor fue el de igual clase D. Pablo María Mouliaa y el de realistas Don Epitacio Sánchez y el indultado D. Marcelo González ; con la del capitán Ja bera no fue nadie por ser e&lt;te práctico dei Terreno; con la del capitán Nogue^rol fue el indultado D. Patricio Gonza…</t>
  </si>
  <si>
    <t>Villaseñor, Josef Cristóbal</t>
  </si>
  <si>
    <t>Josef Cristóbal Villaseñor</t>
  </si>
  <si>
    <t>…sin que por mas diligencias que se practicaron se pudiese en contrar el canon de á 4. ,,En esta noche del 22 al 23 dispuse saliesen tres partidas, á cargo la pri mera del teniente coronel D. Josef Cristóbal Villaseñor, compuesta de 100 infantes y 40 caballos, que debían recorrer todo el puerto del Purgatorio, cañada de las Santas Marías, cerros de Alcocer, cañadas de las Minas, á bajar á Jalpilla; otra ai mando del capitán graduado D. Julián Jabera, que con 80 caballos y 4…</t>
  </si>
  <si>
    <t>X3J ,,Dios guarde á V. E. muchos años. Queretaro Junio 26 de 1$ i9- = Excelentísimo Sr.=Melchor Alvarez. == Excmo. Sr. virey conde del Venadeo.’* Parte del teniente coronel y comandante D. Josef Cristóbal Villaseñor. „En cumplimiento de las órdenes queV. S. me comunicó el 15 del que xige salí el 20 de S. Luis de la Paz con no infantes y 1B0 caballos de los cuerpos que componen la sección de mi mando, é hice noche en Sta* Ana de los Lobos, de donde marché en la madrugada…</t>
  </si>
  <si>
    <t>…no; -Srr.yijre^;’cpiid^,deJ{^y®. nadito.” . ; &gt; Oficio del comandante general brigadier JD.Melchor Alvarez*- _ M Exorno. Sr.: Acompañotá. V. E. el oíícígl original .del teniente i coronel D. Josef Cristóbal Villaseñor, en que me manifiesta los ‘buenos y útjles ser-í vicios egecutados en obsequio de ia justa causa por él Dr. D. Josef Antonio Magos, y, en virtud de ellos los elevo al superior conocimiento de V. E.tef comeada adóselos, cotúo os justo. . / ’ ó!,., - 1. ! t;I „…</t>
  </si>
  <si>
    <t>…e Setiembre. : *'■ Oficio del comandante general brigadier D. ¡Melchor Alvarez. „Excmo. Sr.: Acompaño á V. E. el oficio que con fecha 2 1 del cor riente me ha dirigido el teniente coronel D. Josef Cristóbal Villaseñor, inser tándome el que con la del mismo día pasó al comandante de las tropas de Rioverde para que con ellas sé retirase á su destino por haberse logrado ya la&gt; pacificación de la'Sierragorda, y en el cual le previene levante algunos pique tes de realistas para…</t>
  </si>
  <si>
    <t>…bras. - ESPAÑA. s Mixtee 13 de Agosto. Continuación de los partes de Nueva-Españd. t Del brigadier y contagiante general de Queretaro D. Melchor Alvares. „Exctno. Sr.: El teniente coronel D. Josef Cristóbal Villaseñor, con fe cha 4 del corriente, me dirige el oficio adjunto con otros dos partes, uno del comandante del destacamento de la Noria,,y otro del oficial graduado Don Mariano Guevara, que fue el qué mandó la partida que persiguió á los rebel des de la gavilla de los…</t>
  </si>
  <si>
    <t>…. Oficio del comandante general brigadier D. Melchor. Alvarez. ,,Excmo. Sr.: Para el debido superior conocimiento de V. E. le acom paño original el oficio que acabo de recibir del coronel D. Josef Cristóbal Villaseñor, comandante de la sección de S. Luis de la Paz, en que me par ticipa la correría que acaba de egecutar contra el cabecilla Borja, que se ha llaba en el puerto de Sosa, logrando contra este infame, las ventajas que ma nifiesta el citado adjunto oficio que acom…</t>
  </si>
  <si>
    <t>Villaseñor, Josef' Cristóbal</t>
  </si>
  <si>
    <t>Josef' Cristóbal Villaseñor</t>
  </si>
  <si>
    <t>…’ ó!,., - 1. ! t;I „ Dios guarde á V. É. muchos años. Queretaro Agosto,25 de 1819.3 Excmo. Sr.. = Melchor Alvarez. = Excmo. Sr. vírey conde.del Venadito.” t ’ Parte del coronel y comandante D. Josef' Cristóbal Villaseñor. " . ,, Desde el momento en que se presentó á disfrutar la Real gracia deindulto el Dr. D* Josef Antonio Magos tomó un empeño'extraordinario en per suadir á todos los que alucinados habían seguido su sistema á .que reconocie sen la legitimidad de nuestro Gobi…</t>
  </si>
  <si>
    <t>Villaurrutia, Antonio</t>
  </si>
  <si>
    <t>Antonio Villaurrutia</t>
  </si>
  <si>
    <t>…lugar. 1 En la nota que se publicó en la gaceta del jueves 22 del corriente dejó de incluirse por equivocación entre los ministros de l tribuna! supremo de Justicia, y después de -D. Antonio Villaurrutia, á D. Francisco Marchámalo, á quien S. M. había nombrado también para una de las plazas del mismo tribunal. Se desea saber el paradero de D. Jo^ef Camino, natural de Vímianzo, en Gali cia, quien hace algún tiempo pasó á Madrid Se dar razón sobre su paradero,…</t>
  </si>
  <si>
    <t>Víllavicencio, Diego de</t>
  </si>
  <si>
    <t>Diego de Víllavicencio</t>
  </si>
  <si>
    <t>…pacho, Consejo de Estado, ministros de las audienciaSj tes, y tomádoles algunas armas y caballos. sus subalternos, y gastos fijos y eventuales, y 4.286,866 Por otro parte dado por D. Diego de Víllavicencio para los sueldos de los cesantes, jubilados y reformados. desde Uruapan en 20 de Diciembre se ha sabido qne una Acercándose ya la hora señalada por S. M. para recibir partida de realistas de aquel pueblo habia sorprendido al la diputación que debia presentar…</t>
  </si>
  <si>
    <t>Víllavícencío, Juan María</t>
  </si>
  <si>
    <t>Juan María Víllavícencío</t>
  </si>
  <si>
    <t>PDF p. 14</t>
  </si>
  <si>
    <t>neral en gefe y el Excmo. Sr. D. Juan María Víllavícencío, lo avís ó á V. S. para su conocimiento ; en él concepto de quer quedan desde luego suspendi das las hostilidades. Dios guarde á y. S. muchos años. Córdoba 21 dé Marzo de «1820.:= Josef 0-Donell.=Sh comandante dé armas de esta ciudad.c;Igual ofició pa.só á es…</t>
  </si>
  <si>
    <t>Villaviceneio-como</t>
  </si>
  <si>
    <t>…encuentro; pero no le hablé de negocios , porque yendo mucha gente en falúa me pareció, que no era conveniente tratarlos en su presencia.¡ Luego quesalté’ eh tierra fui-ácasa del¡ general Villaviceneio-como otras veces lo he acos tumbrado. Le pregunté qué novedades había, y me respondió que la escua-dra estaba conmovida ^ y que.deseaba que luego luego se publicase la Cons titución, y también:que-contaban^con tres batallones de la guarnición. Pre gunté al general…</t>
  </si>
  <si>
    <t>Villegas, Antonio Fernandez</t>
  </si>
  <si>
    <t>Antonio Fernandez Villegas</t>
  </si>
  <si>
    <t>…va macenes , con cerca de 8o9 toneles y pipas de vino y rias personas de aquella población por el capitán de Vo aguardiente, fueron devorados por las llamas. luntarios de Castilla D. Antonio Fernandez Villegas. Los socorros que se prestaron con la mayor celeridad A la especial respectiva un oficio del Gefe político de fueron inútiles hasta las 11 de la noche, en que se pudo Murcia, manifestando que el ex-diputado Millares, canóni empezar á contener el fuego, á pesa…</t>
  </si>
  <si>
    <t>Villodres, Diego Antonio Navarro Martin de</t>
  </si>
  <si>
    <t>Diego Antonio Navarro Martin de Villodres</t>
  </si>
  <si>
    <t>…en la actualidad disfrutan hasta que sean colocados en subtenencias de número. En consideración á los distinguidos méritos y servicios del Excmo. é limo. Sr. arzobispo de Charcas D. Diego Antonio Navarro Martin de Villodres se ha servido S. M. concederle la gran cruz de la Real orden Americana de Isabel la Católica.. El Rey nuestro Señor, por un efecto de su Real munificencia, se ha servi do señalar 8® rs. mensuales paro la obra material del observatorio astronómi co de esta cor…</t>
  </si>
  <si>
    <t>Viñas, Francisco de Argemir y</t>
  </si>
  <si>
    <t>Francisco de Argemir y Viñas</t>
  </si>
  <si>
    <t>…gebráicas. D. Josef Estrada y Carbonell trató de las razo nes y proporciones; de la regla de tres y sus aplicaciones á las de compañías, interes simple y compuesto, y aligaciones. D. Francisco de Argemir y Viñas de la elevación de cantidades á sus potencias, asi numéricas como algebráicas; de la extracción de raíces, y de las progresiones. D. Josef Antonio Corominas y Campanals, condecorado con la cruz del sitio de Gerona, de los logaritmos. D. Antonio Curulla, de la…</t>
  </si>
  <si>
    <t>Viñas, Juan</t>
  </si>
  <si>
    <t>Juan Viñas</t>
  </si>
  <si>
    <t>…cumplimiento. Madrid 28 de Mayo de 1820.” 2.a „ Conformándose el Rey con lo expuesto por la dirección general de la Hacienda pública, no ha tenido á bien acceder á la solicitud de D. Juan Viñas, vecino de Sacedon, de que se le perdonase el descubierto en que se h^alla por el reparto de la sal que tuvo á su cargo en los años de 1818 y 1819. AI mismo tiempo, y promoviéndose con bastante frecuencia recursos de igual naturaleza por sugetos que ninguna r…</t>
  </si>
  <si>
    <t>Vincenti, Bartolomé</t>
  </si>
  <si>
    <t>Bartolomé Vincenti</t>
  </si>
  <si>
    <t>…M. N. y M. L. ciudad de Saniúcar de Barrameda los Sres. D. Juan Pedro Vincenti, consejero del supremo de Hacienda, D. Miguel Vincenti, exento de guardias de la Persona del Rey, y D. Bartolomé Vincenti, teniente coro nel de los Reales egércitos, y ayudante primero de la plaza de Madrid , ca—. balleros ambos de la Real y militar orden de S. Hermenegildo; y el,primero dijo: . ,, Vuestra M. N. y M. L. ciudad de Saniúcar de Barrameda , célebre en. la historia d…</t>
  </si>
  <si>
    <t>Vincenti, Juan Pedro</t>
  </si>
  <si>
    <t>Juan Pedro Vincenti</t>
  </si>
  <si>
    <t>…la para beneficiarla. . \ Madrid 31. de Diciembre. El 9 del corriente tuvieron la honra de felicitar á S. M. á nombre de la M. N. y M. L. ciudad de Saniúcar de Barrameda los Sres. D. Juan Pedro Vincenti, consejero del supremo de Hacienda, D. Miguel Vincenti, exento de guardias de la Persona del Rey, y D. Bartolomé Vincenti, teniente coro nel de los Reales egércitos, y ayudante primero de la plaza de Madrid , ca—. balleros ambos de la Real y militar orden de…</t>
  </si>
  <si>
    <t>Vincenti, Miguel</t>
  </si>
  <si>
    <t>Miguel Vincenti</t>
  </si>
  <si>
    <t>…corriente tuvieron la honra de felicitar á S. M. á nombre de la M. N. y M. L. ciudad de Saniúcar de Barrameda los Sres. D. Juan Pedro Vincenti, consejero del supremo de Hacienda, D. Miguel Vincenti, exento de guardias de la Persona del Rey, y D. Bartolomé Vincenti, teniente coro nel de los Reales egércitos, y ayudante primero de la plaza de Madrid , ca—. balleros ambos de la Real y militar orden de S. Hermenegildo; y el,primero dijo: . ,, Vuestra M. N.…</t>
  </si>
  <si>
    <t>Viqle, Alejo</t>
  </si>
  <si>
    <t>Alejo Viqle</t>
  </si>
  <si>
    <t>….Vidasoa , cuyo coste regula en 2;o3 rs. con agrado las Cortes, una exposición presentada por el ; A la comisión de organización de Fuerza armada se pa Sr. Ramónet, del ciudadano D. Alejo Viqle , ofreciendo uré saron dos observac’ones hechas sobre retiros y viudedades compendio de las ordenanzas y reglamentos ingleses sobre militares por Qn tgnieqtedel regimiento de la Corona. los buques armados y desarmados. . ', No hubo lugar á votar sobre una exp…</t>
  </si>
  <si>
    <t>Viqué</t>
  </si>
  <si>
    <t>…os habitantes deseanparecido bien al partido liberal que se había formado en la unánimemente elegir un nuevo gefe; mas aun no se sabecapital del Brasil; pero que ios esfuerzos del ministro Viqué título se le lia de dar, ni en quién ha de recaer la elecIlanueva, tan poco dispuesto como sus colegas á adoptar la ción; y sin embargo aseguran que tiene un carácter suave.menor reforma, habian sido causa de que el plan del Rey «No se ha derramado una gota d…</t>
  </si>
  <si>
    <t>Virorica</t>
  </si>
  <si>
    <t>…as medidas útiles seria dar una instrucción á los jueces del Diario de Cortes se diera un extracto para la gaceta. El acerca de este y otros artículos, medida que había ya. indi-i Sr. Virorica apoyó esto mimo, y el Sr. Ramos Arispe, cado la junta de Aragón, ó bien una policía de seguridad para evitar que se perdiese el tiempo mas en este asunto , in puramente, ó la distribución de fuerza armada, ó algún dicó que la comisión del Diario instruyera á…</t>
  </si>
  <si>
    <t>…asta la conclusión del negocio de qué mente cargada, y otras tres toscanas; habiendo renovado se trataba. sus hostilidades con esta potencia por haberse acabado la Considerando el Sr. Virorica la cuestión bajo el aspecto tresua que tenía: que en la bahía de Argel se hallaban una de si entre las restricciones que previene el art. 371 de la fragata desarmada , tres corbetas en estado de salir á la mar, Constitución debían comprenderse las leyes que p…</t>
  </si>
  <si>
    <t>…los que son enemigos del Sr. Ezpeleta para que se quitaran en el articulo las palabras de bienes raices y estables : cuatro del Sr. Perez Costa ; ysistema lo serán eternamente. Kt Sr. Virorica fue de parecer que en el estado en que cinco del Sr. Banqueri para que se señalara el máximum y se hallaba la discusión se debía tratar tan solo de cuál era mínimum de las que pudiesen subsistir. el camino que convenía seguir para que las Cortes propor- El Sr…</t>
  </si>
  <si>
    <t>…represen dicho comandante todas las cargas que llevaba de los ro taciones del ayuntamiento de Mahon , presentadas por el bos hechos en S. Josef de Tisnados , quedando en el campo señor Virorica, para que la gracia concedida respecto de la 6 soldados muertos y un sargento, y dispersos todos por importación de granos a los buques fondeados, se haga ex el monte. tensiva á los que se bailan navegando. Se reunieron después, y segunda vez se presentaron d…</t>
  </si>
  <si>
    <t>…mas frecuentemente distantes-de sus con que dejase existentes, mayormente cuando estas estaban ventos y prelados. fundadas en la disciplina de la Iglesia, reconocida por todos El Sr. Virorica dijo que la comisión no tenia inconve Los canonistas; pero que sin embargo podría autorizarse al niente en que se la pasaran; de nuevo los artículos para re Gobierno por un artículo adicional para que pudiese solici- • dactarlos según ’lá menté del Congreso;…</t>
  </si>
  <si>
    <t>Vírt, Josef de</t>
  </si>
  <si>
    <t>Josef de Vírt</t>
  </si>
  <si>
    <t>…ución. Que, como caudales públicos, deben re á ■ D. Manuel Novoa: para el de Coria'á D. Félix Erizo: putarse todos los que pertenezcan á los fondos de propios para el de Cáceres á D. Josef de Vírt : para el de Castuerx y arbitrios, pósitos y otros cualesquiera ramos de los pue á D. Benito Fernandez Daza : para el de Fuente de Cantos blos , como también todo lo correspondiente á las remas de á D. Carlos Jacinto ‘ de Cea y Aballé : para el de Herrera la…</t>
  </si>
  <si>
    <t>Visacagua</t>
  </si>
  <si>
    <t>…iados en otro tiempo, y llamados ahora para el servicio activo , excediese al cjuc se cree nccesaiio para coitv* Londres jo de Noviembre. poner el egércíio permanente. Apoyando el Sr. Visacagua el mismo dictamen pidió se camara he los lores.—Sesión del 7. hiciese mención honorífica de aquellos valerosos ciudadanos, El lord canciller hizo en esta sesión un resumen suma añadiendo que es muy glorioso pertenecer á una nación, cu- mente conciso del proce…</t>
  </si>
  <si>
    <t>Viterí, Pedro</t>
  </si>
  <si>
    <t>Pedro Viterí</t>
  </si>
  <si>
    <t>…ría Molina fueron examinados en el primer dia de Aritmética teórica y práctica desde el sistema de numeración hasta los núme ros denominados; y los alumnos dé la clase de comercio D. Pedro Viterí, D. Ambrosio de Villar, D- Juan Josef Áldama, D. Francisco María Mele y D. Vicente Mudo se examinaron en el mismo dia de las principales aplica ciones de la aritmética á los cálculos mercantiles, deduciendo las reglas prác ticas que deben seguirse en las dive…</t>
  </si>
  <si>
    <t>Vito</t>
  </si>
  <si>
    <t>…nistro de Hacienda para el pago de la deuda; sin el Sr. Martínez de la Rosa. rjuicio de apreciar del modo conveniente los servicios de A la de Gobierno interior de Cortes otra del Sr. Vito1 tropas de la Isla, y demas que se crean en caso semejante. rica , leida por primera vez en 10 del presente, para que seC Otra del Sr. Medrano para que las jubilaciones de los forme por una comisión el ceremonial q:e hayan de obser empleados civiles se confor…</t>
  </si>
  <si>
    <t>…l, sabia también qua Guerra; á cuya representación había recaido, con acuerdo se hallan en ig :al caso otro- varios. de la Junta provisional, la Real resolución de que S. M. le El Sr. Vito rica, á tvmr de que reconocía muy bien la habla destinado al punto que ocupaba, en uso de sus facul utilidad de los j-’rados. c;¡o que creta que nos hallamos en tades, para distribuir la fuerza armada, y lo, individuos que el mismo caso en que -o hallaron las…</t>
  </si>
  <si>
    <t>Vitori</t>
  </si>
  <si>
    <t>…i Otra indicación hizo el Sr. Diaz Morales sobre que cho por el Sr. Vitorica. respecto á haber pedido el Sr. Florez Estrada que la comi El Sr. Quiroga creyó, contra la opinión del Sr. Vitori sión de Hacienda procediese solamente al informe sobre ca , que se debjan dar gracias á los indicados ministros, la conducra de los que concedieron las transaciones , se ex pues si no hubieran obrado asi , dijo, no estaríamos en el tienda este á los que infor…</t>
  </si>
  <si>
    <t>Vitorica</t>
  </si>
  <si>
    <t>…ues dos los medios que llegue á reinar en España la descenden ta , Yandiola , Sierra Pambley, Oohoa , Moscoso, Magariño, cia de Bonaparte. . Clemencin y Cepero. Esto dió motivo al Sr. Vitorica para Se concedió al Sr. Costa el permiso que pidió por me hacer la proposición de que se nombrase una comisión que dio de una. exposición, pata pasar á Miradores de la Sierra con la mayor brevedad extendiese un ceremonial del modo á restablecer su salud, • de…</t>
  </si>
  <si>
    <t>…e estaba aun en sumaria, y que no se daba par de que ha hecho uso, hubiera venido con toda confianza al te , diariamente. Congreso á que tomara en consideración las razones que El Sr. Vitorica reclamó que no se obliga á los secreta hubiese expuesto piara que se hiciera la declaración pedida. rios del Despacho á decir mas que lo que pudieran, pues Yo no veo, Señor, que después que S. M. ha tenido.,á bien no estaban precisados á decirló'todo. jurar-l…</t>
  </si>
  <si>
    <t>…yes, pues sabia dir indemnización. que no puede haber otras. El Sr. Palarea expresó que nada tenia que añadir á lo di Otra indicación hizo el Sr. Diaz Morales sobre que cho por el Sr. Vitorica. respecto á haber pedido el Sr. Florez Estrada que la comi El Sr. Quiroga creyó, contra la opinión del Sr. Vitori sión de Hacienda procediese solamente al informe sobre ca , que se debjan dar gracias á los indicados ministros, la conducra de los que concedier…</t>
  </si>
  <si>
    <t>…lo que dimana de que no los pagan realmente en los za verdadera, y el de los que han incurrido en el extremo registros. opuesto, pareciéndole haberse inclinado demasiado al pri El Sr. Vitorica, conformándose con el dictamen de las mero el dictamen de la comisión : desaprobó el medio pro comisiones, pedía una excepción en favor de la i la de Me puesto por el Sr. Banqueri para conocer la abundancia de norca, porque los barcos de dicha isla hacen el c…</t>
  </si>
  <si>
    <t>…ta del Sr. Infante D. Car nas de ninguna especie que procedan de ellas en los puertos los María, hermano mayor del Rey, y de su descendencia donde esté restringido su comercio. El Sr. Vitorica pidió legítima, entrará A suceder en el trono el citado Sr. Infan que se modificara este artículo, expresando que esto fuese te D. Francisco dé Paula , hermano segundo , y su descen á'juicio de la diputación provincial: después de algunas dencia también legít…</t>
  </si>
  <si>
    <t>mímeme , y en la 'Oposición de que asi sea. Me persuado tado el Sr. Vitorica que en la resolución tomada sobre im que esta ira sido la intención del honorable vocal, y le fue portación de granos extrangeros faltaba su adición de qrre go tenga en consideración el compromiso en que pone al »los buques que hubiesen salido del puerto de M…</t>
  </si>
  <si>
    <t>…una carga nueva , dirían que no tener el culto divino y sus ministros; pero cuan contrario es buena la Constitución.'1 era á la misma que aquella carga gravitara únicamente so El Sr. Vitorica dijo que cuando por primera vez sé bre la clase agricultor», y cuan propia la resistencia conti leyó el dictamen de la? comisiones reunidas de Agricultura nua de los pueblos a ella, que en su origen fue voluntaria, y Comercio, habia opinado que se. debia impr…</t>
  </si>
  <si>
    <t>…or esto perseguidas ni molestadas por sus prelados re Se aprobé) la siguiente indicación del Sr. Navas, «pido culare4. que cuando la comisión hable del reglamento, expre-e cual El Sr. Vitorica se opuso al dictamen de la comHoo, es esre reglamento.” diciendo que no veía en él mas que medidas apenas de la El Sr. Yandiola presentó al Congreso una exposición autoridad de las Cortes, por cuanto estas no del-ian ocu de varios ciudadanos reunidos en el'At…</t>
  </si>
  <si>
    <t>…necesarias para evitar las vejaciones lios , ni en los cánones, y que no necesita mas que el dere de sus prelados. cho natural. Que si antes de entrar en el convento tenia por El Sr. Vitorica apoyó la adición del Sr.Gaseo, siempre su dote un derecho á ser mantenida, el derecho natural in que las religiosas no se opongan; y añadió que creia que dica que se la debe mantener aunque quede separada ó fuera esra debia tener lugar en caso de indicarlo la…</t>
  </si>
  <si>
    <t>…es, no se habia aun D. Joaquín Montufar, teniente de Reales Guardias de in verificado la propuesta. fantería , para que :e le continúe una pensión que disfrutaba. Hizo presente el Sr. Vitorica que en las circun-tancias A la comisión especial de Ultramar, que se acordó nom extraordinarias en que se hallaba Cataluña el dia 11 de Mar brar al efecto, se mandó pasar una exposición de un tenien zo de este año no pudo hacer otra cosa que lo que hizo la te…</t>
  </si>
  <si>
    <t>…rse. que profesa la Nación española? Esto mismo pidió c! Si*, ligarte en una adición, que se 26. ¿Cuál deberá ser el orden de sus ascensos , el de mandó pa*ar á la comí,ion , y el Sr. Vitorica retiró otra, sus retiros ó jubilaciones, y premios de su constancia en él porque dijo ser igual á la que se acababa de leer. servicio nacional de Marina? Luego se leyeron dos, que no se admitieron; la primera 27. ¿A qué sueldos ó gratificaciones deben optar,…</t>
  </si>
  <si>
    <t>…los mis Habiendo resuelto el Rey que el Consejo de Estado pro mos términos que lo presentó la comí:ion ; á lo que dijo ceda á proponer para las plazas de jueces de primera ins el Sr. Vitorica que creta no se debia haber votado mas tancia de las provincias , cuya división de pautaos está apro que sobre aquellas cintro palabras últimas. bada por las Cortes , á letrados de ciencia , probidad y deci No fue admitida la indicación del Sr. Romero Alpuent…</t>
  </si>
  <si>
    <t>…e á Gracia y Justicia, Propuestas'y Gobernación, tamiento respective).'’ Este artículo dió lugar á una discu por término de 30 días, contados desde hoy, de los pre sión, en que el Sr. Vitorica opinó que la absoluta indepen tendientes que se consideren con las circunstancias necesa dencia de la autoridad militar podrá acarrear graves incon rias para el desempeño de estos destinos, ciñendo por aho venientes, acaeciendo en algunas circunstancias que á…</t>
  </si>
  <si>
    <t>…que la capilla y caballerizas sa para quo &lt;e supiera que las Cortes no se entienden directa bia que están á cargo del Rey. mente con nadie mas que con el Gobierno. Se mandó pa El Sr. Vitorica dijo que era preciso se aclarase la au sar al Go’-ierno para que haga el uso que estime conveniente. toridad de las Cortes, y que se supiera .que los dtrechos de Se continuó la-lectura y discusión délas cinco cuestio los pobres á las rentas pensionables de io…</t>
  </si>
  <si>
    <t>…ra se mandó pasar una memoria' las Corres anteriores, con objeto de evitar que se distrajera de D. Pedro de Herrera sobre puntos concernientes á la la atención del Congreso; y' el Sr. Vitorica observó que milicia, presentada por el Sr. Priego. para no dar lugar A que los ciudadanos crey'esen que se les Al expediente de vinculaciones se mand i unir un pro negaba atender A sus reclamaciones en casos justos , se de yecto de un abogado de la villa del…</t>
  </si>
  <si>
    <t>…Madrid esta señora, que no gozaba viudedad , y que su de Despacho de la Gobernación .de la Península y de Ultramar. licadeza no la permitiría hacer peticiones de ninguna clase. El Sr. Vitorica juzgó que seria mas honroso hacer una CORTES. recomendación al Gobierno, añadiendo después que se la declarase la viudedad. Sesión del og de Agosto. El Sr. conde de Toreno manifestó qne nada pedia ni Se leyó el acta de la anterior, á la que se mandó agre pedi…</t>
  </si>
  <si>
    <t>…ra contenerlas dentro de los límites debi ga que en gran parte debe á él las glorias que á todos los dos, y evitar abusos de trascendencia. malagueños caben por su patriotismo. El Sr. Vitorica opinó que las medidas correccionales Lugo 14 de Agosto. de las mugeres podrían ser materia de un decreto particu Los papeles públicos y cartas particulares de la mayor lar, que solo iratase de ellas. parte de las provincias de España hablan, del júbilo genera…</t>
  </si>
  <si>
    <t>…cucion y cumplimiento de lo resuelto por el señor los demas que hubiesen servido sus destinos después del año Ds.Jom García-Arias, juez de primera instancia de esta 14; ¿Jo que el Sr. Vitorica respondió, que sin lograr un muy heroica villa, en providencia de 12 del corriente, re ahorro para la Nación, se conseguiría perjudicar á algunos frendada del escribano de provincia D. Pedro Jo-ef de Ibasubalternos beneméritos, que serian los únicos áquienesc…</t>
  </si>
  <si>
    <t>…imas, estando al contrario reformase en los términos. autorizados por Bonifacio vm para acusar á los que Ies ha Reprodujo el Sr. Florez Estrada la opinión de que el yan robado: el Sr. Vitorica que el artículo en cuestión no artículo era verdaderamente opuesto á la Constitución , y Iiacia mas que poner en práctica la ley 18, tít. 3 2 , lib. 1 i que no es lo misino tener derecho á hacer una cosa, que el de la novísima Recopilación (que se leyó), olvi…</t>
  </si>
  <si>
    <t>…tancia D. Josef Martínez Arroyo y al Madrid f&gt; de Setiembre. audiror de guerra D. Juati Bautista Genoves. SS. MM. y AA. siguen sin novedad en su importante Se opuso al dictamen el Sr. Vitorica, en el concepto de salud. que en la época en que sucedieron las prisiones citadas de S. M. ha despachado hoy con los Sres. secretarios de bían estar perplejas las autoridades, y ademas porque no la Gobernación de la Península y Ultramar. juzgaba Util tomar un…</t>
  </si>
  <si>
    <t>…guridad pátodos los demas individuos á quienes se acuse de haber sida P!bilica.” . ■ • - ’ autores, fautores ó cómplices de los mismos crímenes. Hahló en favor de la indicación el Sr. Vitorica, con-; ■ 3.0 El tribunal se conforiñará para la instrucción y juí-’ ceptuando muy justo y .muy constitucional que pasaran los cío de la causa con las‘fórmulas seguidav hasta'eldia. ministros á dar nóñeia del estado de la tranquilidad públi 4.0 El Srf Traver,…</t>
  </si>
  <si>
    <t>…o. se concluyera la legislatura sin haber podido resolver en esta Habiendo tomado posesión [os expresados señores, leyó materia. Apoyó esto el Sr. Palarea, con cuyo motivo, des el Sr. Vitorica el dictamen de la comisión especial, nom pués de una breve discusión, sobre cuál debería ser la ver brada para examinar las proposiciones del Sr. Sancho sobre dadera significación de la palabra b.itiííis , se admitió la in reforma de regulares, en el que se i…</t>
  </si>
  <si>
    <t>…xijan, siendo de aquellos que de malicia se ben dar á los generales Quiroga y Riego, la cual se mandó dejaron de probar en la primera instancia, .ó que por esto pasar con otra del Sr. Vitorica recomendando la brevedad á la comisión especial que se nombró á petición del Sr. Gaseo,no se hubieren admitido. . . para proponer los premios á que son acreedores los que han Se pasó á la discusión del dictamen de la comisión nom brada para examinar los premi…</t>
  </si>
  <si>
    <t>Vítorica</t>
  </si>
  <si>
    <t>…s términos de un máximum y mí fendió el dictamen de esta, y añadió que á pesar de haber nimum. se dicho si obtendria ó no la sanción Real, no esperaba él Concluido el discurso del Sr. Vítorica se declaró e! pun la negase á esta ley tan benéfica un Retí tan justo, tan to suñcientemenre discutido, y *e procedió á la votación zeloso del bien público, y modelo de amor á la Constitu nominal á petición del Sr. Vargas, y por ia decisión del ción; pero que…</t>
  </si>
  <si>
    <t>…como el mas justo, sino co la concurrencia de la potestad eclesiástica, no bastando la mo el mas conveniente, y el único que podia tomar el Con civil. Con este motivo manifestó el Sr. Vitorica que la co greso en las actuales circunstancias. El autor de la propoiimisión habia puesto sumo cuidado en no pasar un ápice de cion, dijo el Sr. préndente, lo ha considerado como con los límites de la autoridad civil, y pidió á los señores ecle veniente y com…</t>
  </si>
  <si>
    <t>…a la reforma, la discusión del proyecto de ley para la reforma de regula que no podían menos de lenerse presentes. res. Se ley vi en su totalidad este proyecto, y luego la indi El Sr. Vitorica, después de dar gracias al Sr. Cortés cación hecha por- el Sr. Casaseca, en la que pedia que se por haber sostenido con la solidez de su:r principios el de leyesen íntegras las representaciones dirigidas á las Cortes recho que las Cortes tienen para estas ref…</t>
  </si>
  <si>
    <t>…l pauto suficientemente discutido, se declaró no estarlo to Torre Marin, Calatrava, La Llave, Moscoso, Olí ver, davía. Losada, Cucar, Pino, Ramos Arispe, Gaseo, Gutiérrez Apoyó el Sr. Vitorica al Sr. Toreno, y manifestó ser de Acuña, Goltin, Zufriategui, Presidente: total 107. una de las razones principales de haber pensado en la supre No le aprobaron los Sres. Lastarria , Artleda , Cabrero, sión completa de los monacales, y no en la de los mendi L…</t>
  </si>
  <si>
    <t>…edite’la con sario podría haberse dicho lo mismo que en el arr. i.° grua de que habla el artículo anterior.” El Sr. secretario del Despacho de Gracia y Justicia con Después que el Sr. Vitorica respondió á algunas obje-, testó que era bien sabida del Gobierno toda la doctrina ver ciones del Sr. Canabal, se aprobó este artículo con una adi-; tida por el Sr. preopinante; pero que no podría este desco cion del Sr. Ramos Arispe, concebida en estos térmi…</t>
  </si>
  <si>
    <t>…arán.” mo objeto que la anterior, y á mejorar la ciase de hospita Pasó ála comisión un artículo adicional que proponía el les, de que estaba encargada la orden de S. Juan de Dios, Sr. Vitorica, para que si eL Congreso conceptuase conve Ja curación de las enfermedades á que estaban destinados, niente para la egecucion de algunos de los artículos de esta y todos los ramos dependientes y unidos con ellos. ley la concurrencia de la autoridad eclesiásti…</t>
  </si>
  <si>
    <t>…to podrá llegar esta. el Sr. Moscoso, á nombre de la comisión, convino en ella; Tampoco pudo menos de poner á la vista que es necesario y previa la refutación del Sr. Calatrava al Sr. Vítorica, se siempre cierto aparato en las cortes extrangeras que no ha aprobó, mandando pasarla á la comisión. ga desmerecer á la Nación española, y que es tan natural, Ei Sr. Isturiz presentó la siguiente indicación: «Para como que nadie en la sociedad se presenta c…</t>
  </si>
  <si>
    <t>…sentaba á consecuencia del proyecto de aranceles aprobado pertar pasiones vergonzosa^ , que no necesitan de semejantes en sesión extraordinaria del 16 de este més¿ incentivos. El Sr. Vitorica hizo la Indicación siguiente: »Que á las Se declaró el punto suficientemente discutido , y se en comisiones encargadas de informar sobre los presos de Va tró en una nueva discusión para decidir si deberia haber lu lencia , se les recomiende el pronto despacho…</t>
  </si>
  <si>
    <t>…eedores al fondo de amortización y tesorería gene era preciso saber si se admitían para votar con conocimiento. ral , por cantidades procedentes de depósitos judicial es en vir El Sr. Vitorica dijo que debia retirarse el arr. i.° como tud de las leyes 9 vio del título 26 de La Novísima Re inútil, á lo que accedió la comisión: y por último habién copilación , incluyendo á los interesados en las cantidades dose pedido que la votación para declarar sí…</t>
  </si>
  <si>
    <t>…acia. Mas notando S. M. por algunos interesados, que todapor el fomento de los departamentos como puntos princi vía se presentan á implorar el indulto de una pena que nopales ; el Sr. Vitorica apoyó al Sr. Martinez de la Rosa ; y hay, que tal vez dará lugar á estas peticiones el que porpor último se aprobó el artículo según le habia reformado los resguardos, y aun por las justicias se pretenda procederel Sr. Díaz del Moral. Se aprobó asimismo el ar…</t>
  </si>
  <si>
    <t>Vitórica</t>
  </si>
  <si>
    <t>…e tranqui diente remitido por el ministerio de Hacienda, sobre la im lizar de rodo punto los ánimos de los españoles. posibilidad de hacer efectiva la deuda de 37.076,777 rs- á El Sr. Vitórica juzgó impracticable lo propuesto por [a favor del erario, procedentes del subsidio ael clero, propo comisión, y que en su lugar podría adoptarse el nombra nía los artículos siguientes: miento de una comisión especial,-la qúe tomando noticias 1. «Que en los 15…</t>
  </si>
  <si>
    <t>…vendia 8. °_ «El Crédito público procederá en.seguida á la enacon el nombre de decreto sobre esto último; lo que apoyó genacion de sus mitades, según el reglamento que forme pa el Sr. Vitorica. ra ello. El Sr. presidente creyó qué debía extenderse la indica 9.0 «Para los terrenos de propios formarán todos los ción á lo manifestado verbalmente por su autor ; pues tales pueblos expedientes iguales á los de que habla el art. 2.0, y anuncios no eran ef…</t>
  </si>
  <si>
    <t>Vitorifa</t>
  </si>
  <si>
    <t>…stablecimiento de las casa; de Ad.-pi mo por segunda, vez. ce leyó otra del Sr- Magari- corrección. ño, pidiendo se .íjecretasq amnistía general para toda la Es Habiendo pedido el Sr. Vitorifa que .se tomase en con paña Ultramarina , y se invitase al Rey a que diese las úr sideración la uraente proporicion que tenia hecha acerca del deme:, correspondientes A. efepto^dc. que los vi reyes, capi covdon de sanidad de Mallorca, el Sr. secretario del Des…</t>
  </si>
  <si>
    <t>Vitovica</t>
  </si>
  <si>
    <t>…obligación que la Constitución caso de arrestar un hermano á otro hermano , un padre á impone á los ciudadanos. Declarado suficientemente discu su hijo, ó al contrario. Añadió el Sr. Vitovica que le pare tido este^artículo, se pasó á la votación, en la que 110 fue cía enteramente stipe^flua la palabra «responsabilidad ,” y aprobado, por lo que se procedió á la lectura del art. 2.’ que nada significaba mientras no se señalara una pena, cual _ 2.0 T…</t>
  </si>
  <si>
    <t>Vitoviea</t>
  </si>
  <si>
    <t>…o admitir e-te privilegio, o no permitir lacominuaeion de su goce, ni por consecuencia otros religio NOTICIAS DEL REINO. sos oue los que estén sujetos al ordinario. . . Repitió el Sr. Vitoviea , individuo de la comiston . que Madrid 04 de Setiembre. e'ta lnbia extendido el artículo en términos, que ningún SS. MM. y AA. siguen sin novedad en su importante hombre dotado de sentido común podía poner en deda la salud.</t>
  </si>
  <si>
    <t>Vives</t>
  </si>
  <si>
    <t>…ue esta superchería se cometió en el reina do de Cáríos u. - ^ ¡ .. . * ». Los diarios americanos que hemos recibido, y alcanzan .hasta el ,10 del próximo pasado i anuncian que el general Vives, de cuya llegada á NuevaYorck ya se tenia noticia, ha salido de aquella ciudad con dirección á la ca pital del Gobierno. 5 ‘ ‘ La escuadra de sir Tomas Hardy se halla anclada delante de Montevideo, • noihabiéndolepermitido el poco fondo subit hasta Buenos-Air…</t>
  </si>
  <si>
    <t>…ción. Mr. Stork ha hecho la moción de .establecer impuestos directos para for mar un fondo de rentas en lo interior Washington r$ de Abril. La noticia; que habíamos dado dé que el general Vives, ministro de Es paña , traía Ia; ratifiG&amp;cibn del tratado concerniente á las Floridas , se tiene ya por cierta; pero nd^pódrá menos de admirar al público el saber que nuestro Gobierno rehusé-aceptarla, y pida uná nueva cesión de territorio, en la que *ea comp…</t>
  </si>
  <si>
    <t>Vizcaya, Juan Ignacio Urráeta</t>
  </si>
  <si>
    <t>Juan Ignacio Urráeta Vizcaya</t>
  </si>
  <si>
    <t>…este Rey y la Reina no son insuperables. Dicen que los minis pueblo', á lo que contribuye en gran parte el cura párroco tros no quieren negociar sobre otras bases que la de la per D. Juan Ignacio Urráeta Vizcaya, quien explica la Cons manencia de la Reina en pais extrangero. La Reina por su titución , no solo en su parroquia los dias festivos, sino tam parte no quiere admitir proposición alguna que no sea para bién todos los demás dias en casas, paseos y plazas; es d…</t>
  </si>
  <si>
    <t>Vizconde</t>
  </si>
  <si>
    <t>…to por la cantidad de 2 ©Trancos para la ereccipn del monumento ^dedicado á Malesherbes, con cuyo motivo ha di rigido el; conde de Waltemor Ja carta siguiente al vizconde,Pinon* ; Señor Vizconde: - J : * ,, Tengo mucha satisfacción en participaros que deseando él Rey mi amo contribuir á los gastos det monumento que se trata de erigir á la memoria de Mr. de Malesherbes, se ha dignado autorizarme para que suscriba, en su nom bre por la suma de 2® franc…</t>
  </si>
  <si>
    <t>Volseo</t>
  </si>
  <si>
    <t>…ben practicar. Un ladar, y D. Carlos Milne. solo sacerdote convirtió al pueblo de Neocesarea del Ponto, como fue S. Gregorio el Milagroso, y otro perdió una na ción entera como el cardenal Volseo. Si amais al Rey y á Continúa la relación de fincas que se están subastando toda la Nación ,debéis obedecerles, y el uno y la otra os tie de las aplicadas al Crédito público para pago de la ne mandado qne expliquéis á los pueblos la Constitución. deuda nacion…</t>
  </si>
  <si>
    <t>Vulacnmpa</t>
  </si>
  <si>
    <t>…obó conforme venia propue to. Diario de Corres. El teniente coronel D. Gabriel Louve pre entó á las A la comisión de Comercio una exposición del consula Cortes una queja contra el general Vulacnmpa, pioiendo se do de la (oruña. en visrn del interroga torio remi.ido por des ignase el tribunal compíteme, y también se dio cuerna el Gobierno el to de este mes sobre fomento del comercio. de otra de la misma na.uraleza, que habia presen ado un Al Gobierno una…</t>
  </si>
  <si>
    <t>Vülanova, Jacobo</t>
  </si>
  <si>
    <t>Jacobo Vülanova</t>
  </si>
  <si>
    <t>…os de agricultura, industria y comercio; y á consecuencia de la memoria y modelo que se le habian pedia á las Cortes su aprobación. Se mandó pasar á la co pasado , presentados por D. Jacobo Vülanova. misión ordinaria de Hacienda. Concluida la lectura, pidió el Sr. Vargas Ponce, indivi D. Gonzalo de Luna, abogado, presentó á las Cortes duo de (a comisión, qje te encargara al Gobierno que ínte dos ejemplares de la obra intitulada Economía universal, rin se…</t>
  </si>
  <si>
    <t>Vülavrcencio, Juan María</t>
  </si>
  <si>
    <t>Juan María Vülavrcencio</t>
  </si>
  <si>
    <t>…en los días áíiteriores áéste, es (necesario tomar el hilo desde muy arriba, á fin de que S. M. $e entere de todas» lasi ocurrencias, . • • , í ,, En el día 7 me envió el- capitán general D. Juan María Vülavrcencio al capí tafi de tía vio. D. Josef Primo, de Ribera para decirme &gt; que» advirtiendo en Cádiz alguna fermentación'* seria, conveniente qué yo pasase para tranqui lizar los ánimos. Nót pude;hacerlo ai día siguiente 8. por mis ocupaciones, y lo verifiqué el 9. Ha…</t>
  </si>
  <si>
    <t>Vv'olkonsRey</t>
  </si>
  <si>
    <t>…veniente gobernarse por y de Capo d’Istria , y los consejeros de Estado de Wiílie sus luces particulares; y con este motivo ha hecho saber al y de Matusewitz, se hallan también el príncipe Vv'olkonsRey el príncipe de Ilardemberg que su presencia era abso ky, el conde Ouvvarof, el príncipe Menzikoit , el conde lutamente indispensable. Olkarowsl; v y el príncipe Czernichetl; pero estos últimos, Por lo demás parece fuera de toda duda que los asuntos incluso el…</t>
  </si>
  <si>
    <t>W-erminghan, Joaquín Pavía y</t>
  </si>
  <si>
    <t>Joaquín Pavía y W-erminghan</t>
  </si>
  <si>
    <t>…Rey nuestro Señor en premio de la buena conducta, constante aplica ción y aprovechamiento en los estudios que han acredíradó los caballeros ca detes dei Real cuerpo de Artillería D. Joaquín Pavía y W-erminghan, Don Ramón Ruiz de Labastida, D. Joaquín Cabañíes y Fuster, D. Jesualdo Pé rez de Lema , D. Mariano García y Saleta , D. Josef Guerrero y Sedaño 3 Don Santiago Olloqui y Martínez, D. Manuel La-Cerda y Paiafcx, D. Juan Ló pez Larrainzar , D Francisco Cascajare…</t>
  </si>
  <si>
    <t>Wals, Manuel</t>
  </si>
  <si>
    <t>Manuel Wals</t>
  </si>
  <si>
    <t>…rvido conceder la plaza de comandante deseada instalación del augusto Congreso nacional. del resguardo del puerto de la Havana al teniente del regi miento de voluntarios de Aragón D. Manuel Wals. NOTICIAS DEL REINO. secretaria DEt consejo pe estado-----Vacantes. México. Por fallecimiento de D. Juan Antonio Gómez Tarancón 1$ de Noviembre. Cosío ha quedado vacante una media ración que obtenía en El día 7 del corriente hubo en esta villa egercicios de l…</t>
  </si>
  <si>
    <t>Walterbeck</t>
  </si>
  <si>
    <t>…perando en ía colonia 6® hombres de tropas de los Países-Bajos para intentar una nueva expedición contra Balemberg. El Sultán de aquel país había enviado varios parlamenta rios al almirante Walterbeck para negociar un tratado de paz con los PaísesBajos; pero á ninguno admitieron. Las tropas holandesas bloqueaban estrecha-* mente el rio de Palemberg. ;</t>
  </si>
  <si>
    <t>Warnhagen</t>
  </si>
  <si>
    <t>…cial la que hizo á las mismas sobre aboli Descubrimiento.---- Moilo Je aumentar la fuerza de eron de diezmos, tenie'ndola por cosa decidida, los contri la pólv ra.---- El teniente coronel Warnhagen, empleado en buyentes se retraen de su pago. En su vista, y de otra de la el Brasil , ba descubierto que el serrín de madera, princi junt3 nacional del Crédito público, remitida por V. E. en palmente de las especies menos compactas, triplica la fuer 28 del mi…</t>
  </si>
  <si>
    <t>Watson</t>
  </si>
  <si>
    <t>…o en que está encerrado Thistlewood se llama el cuarto de la san gre por haber sido degollados en él antiguamente dos Príncipes por orden de su tio Ricardo, duque de Glocester. El doctor Watson fue el último preso de Estado que habitó este cuarto; el cual tiene dos camas, la una para el preso,.y la otra para los dos guardas de vista que están siempre presentes, y que duermen y velan alternativamente. El que está de servicio tiene siempre una espada…</t>
  </si>
  <si>
    <t>WeHington</t>
  </si>
  <si>
    <t>…que se observa con respecto al PAISES—BAJOS—UNIDOS. Austria y la Francia. Bruséfas 15 de Junto. Mehemet-Ali, Bajá de Egipto, que en nada piensa mas Un periódico ingles anuncia que lord WeHington haráque en el engrandecimiento de sus Estados, ha enviado un tm viage esté'Verano á la Bélgica, con el objeto de exami Cuerpo de tropas á la Libia para someter á su obediencia nar las obras de las fortalezas que se están construyendo en las tribus árabes que…</t>
  </si>
  <si>
    <t>Weliingron</t>
  </si>
  <si>
    <t>…n griega, hubo un anciano de mas dé 140 años; otro de mas de 135; 7 de mas de 130; 21 de mas de 125; 51 de mas de 120; 83 de mas de 115, y 783 de m3i de roo. Hoy ha legado á París lord Weliingron. Los periódicos ingleses que acaban de recibirse en esta capital refieren que se había frustrado en Londres una conjuración en el momenro en que mas se-, guros estaban de su egecucion los conjurados, cayó objeto era asesinar á to dos los ministros de S. M. Br…</t>
  </si>
  <si>
    <t>Weliington</t>
  </si>
  <si>
    <t>…to grado de esplendor la mariná britá nica, debiendo su mayor lustre á íos almirantes Howe* Lewis y Nelson: y aunque sus generales de tierra fueron por largo tiempo menos felices, lord Weliington se ha cubierto de una gloria inmarcesible. En él mismo reinado flore cieron los ministros Pítt y Fox* ios mas famosos.estadistas que ha tenido en ningún tiempo la Inglaterra. A los esfuerzos constantes de esta nación se debe la caída de Bonaparte * sin que ha…</t>
  </si>
  <si>
    <t>Welling-</t>
  </si>
  <si>
    <t>…que va indicado ; y en verdad que no es de mucha yor importancia que aquellos. importancia. »Ifay en el día (dice en un articulo de Francfort Parece que Mr. Wellesley, hermano del lord Welling- del 7 ) una grande unanimidad entre los periodistas, des ton , reemplazara en 'a embalada de Viena al lord Stewart, mintiendo todo lo que se ha dicho acerca de proyectos for hermano del lord Cattlereagr. mados en Troppau, con ei objeto Je hacer modificaciones…</t>
  </si>
  <si>
    <t>Wellingtom</t>
  </si>
  <si>
    <t>…ue Presenta un sobrante de 1**8.57,572 libras esterlinas. Entre las cargas que pesan' sobré los fondos consolidados i dé Inglaterra se cuentan 210® libras esterlinas consignadas á lord Wellingtom La suma total del dé ficit zn los años precedentes asciende á unos ocho millones de esterlinas; Dícese que S. A. R. el Duque de Sussex sucederá á lord Talbot como vixey de Irlanda. Secun un periódico mexicano Ja fuerza naval de los franceses en la Marti nica y°…</t>
  </si>
  <si>
    <t>Wellington</t>
  </si>
  <si>
    <t>…de siguiente á sus resultados generales. reforzar la escuadra del Mediterráneo; y hablan de la reti rada del ministerio del lord Liverpool, Mr. Canning y lord Ilarrotvby, y que el lord Wellington empuñaría la espa ANUNCIOS. Trisagro seráfico para venerar la muy augusta y santa Trida del poder, juntamente con el lord Castlereagh, quien nidad , y ofrecimiento devotísimo de la pasión de Cristo por lashabla triunfado de sus colegas mas moderados, quedando…</t>
  </si>
  <si>
    <t>Wencel, Carlos</t>
  </si>
  <si>
    <t>Carlos Wencel</t>
  </si>
  <si>
    <t>…e mas de una hora en Iá iglesia, acomodando su gunda de Legislación, reducido á que se concediesen cartas • explicación á la san3 moral y doctrina de Jesucristo, se de ciudadano á D. Carlos Wencel y otros dos extrangeros. toma ademas el trabajo de hacerlo con la mayor liberalidad y A la-de Infracciones de Constitución se pasó una expo entusiasmo , ilustrando á los labradores en el campo mien sición del gobernador comandante de Martos, vindicándose tras…</t>
  </si>
  <si>
    <t>Wiison, Roberto</t>
  </si>
  <si>
    <t>Roberto Wiison</t>
  </si>
  <si>
    <t>…na de diamantes que llevaba al cuello el embajador persa , y se la regaló S. M. Jorge iv con su retrato adornado de piedras preciosas de mucho valor. Ayer salió de ésta capital el general Roberto Wiison para asistir á las primeras sesiones ^el. Parlamento de Inglarerra. En la carrera de caballos que hubo en el pueblo de Newmarket, en In glaterra, el martes de la semana última, ganó el caballo del duque de Grafron 6® guineas (6oc® rs.) Concluidas las carreras…</t>
  </si>
  <si>
    <t>Wimpfen</t>
  </si>
  <si>
    <t>…ntación de Jos..documentos ea las mismas oficinas, El Sr. Romero Alpuente manifestó que debería leerse la sin-invertir el-ordcny.jrüUqo la responsabilidad de los em exposición del general Wimpfen, de que se había dado pleados. i- . 1 cuenta. Después de algunas .observaciones.; quedó suspendida Los Sres. Sánchez Salvador y Quiroga dijeron que ya hasta-la discusión de! &amp; comisión .de-Hacienda sobre el no debia permitirse la existencia de los regimientos…</t>
  </si>
  <si>
    <t>Wimpfen, Luís</t>
  </si>
  <si>
    <t>Luís Wimpfen</t>
  </si>
  <si>
    <t>…mita celebrar una feria en los dias 3 y 16 de cada mes. noticiando que MM. continuaban sin novedad en el Es A la de Guerra se pasó una representación del teniente ge corial. neral D. Luís Wimpfen , coronel general délos regimientos Las Cortes quedaron enteradas de una exposición de los suizos , manifestando los servicios que han hecho en la tillabradores de la provincia de Zamora, en que daban gra tima campaña, y los tratados ó convenios celebrados en…</t>
  </si>
  <si>
    <t>Wirn’.bs, Bartolomé</t>
  </si>
  <si>
    <t>Bartolomé Wirn’.bs</t>
  </si>
  <si>
    <t>…s Sicillas. =Tres grandes dúos concertantes de vista, es una cosa aparte , una monstruosidad éntrelas di para guitarra y violin, ópera rx del caballero Moretti , graba dos por. el profesor D. Bartolomé Wirn’.bs. Se hallarán á 46 rs. versas especies de despotismo que se conocen. Su apoyo es en el despacho de música de la calla del Turco , y en el almacén'la fuerza, y las formas de su administración son entecamen de la carrera de S. Gerónimo-, en donde hay un completo…</t>
  </si>
  <si>
    <t>Wlttgensteiin</t>
  </si>
  <si>
    <t>…f PB Mi l mil RUSIA. . . . 'Petersburgo 21 de Diciembre.. El cuerpo de comerciantes de esta capital celebró anteayer, por medio de una espléndida comida , la admisión del general conde Wlttgensteiin en clase desocio honorario. , Ha sido nombrado ministro de la Guerra el barón Miller-Zakomelski, ge neral de artillería; y presidente del tribunal de Justicia de fa Livonia y de Esthonia él consejero de Estado Mr. Friccíno. Por decreto de 8 de Noviem bre últi…</t>
  </si>
  <si>
    <t>Wollzogen</t>
  </si>
  <si>
    <t>46</t>
  </si>
  <si>
    <t>46 Dase por cierto que Mr. de Langenau, de acuerdo con el general Wollzogen, ha dirigido á la asamblea un informe muy circunstanciado sobre el proyecto de un sistema miiitar completo para la Confederación, que exami«aré'ia Admisión miiitar del Congreso con asistencia de los generales citados, para que en caso necesario suministren la…</t>
  </si>
  <si>
    <t>Wolterbock</t>
  </si>
  <si>
    <t>…solemne. Las numerosas tropas acantonadas en las inmedia tra-almirante Musquetier, encargado de reemplazar al con ciones de es-a capital se reunieron en un llano, donde se ce tra-almirante Wolterbock. lebraron los oficios divinos á campo raso. Corren voces de que para el mes de Agosto próximo se INGLATERRA* reunirá aquí una Dieta general. Londres 22 de Julio, Rusia* Se dice que la comisión de la Cámara de los Pares, en cargada de presentar un proyecto de…</t>
  </si>
  <si>
    <t>Woronzoff</t>
  </si>
  <si>
    <t>Uno de los Inventos que en este ramo ha merecido la mayor general Woronzoff, ayudante da campo del Emperador aceptación en Francia, y su autor un privilegio exclusivo, ha sido Alejandro; y en eí Monitor se publicaban noticias de Mi el de sustituir en lugar de márgenes de madera guarniciones huecas lán del 15 de Noviembre relativas á…</t>
  </si>
  <si>
    <t>Wurtemberg, Alejandro de</t>
  </si>
  <si>
    <t>Alejandro de Wurtemberg</t>
  </si>
  <si>
    <t>…el conde Antonio de Palfi, que se acaba de casar con una hija ael príncipe de Kaunitz. Corre la voz de que el archiduque Ranerio, virey de Lombardía, se casa con la hija del gran duque Alejandro de Wurtemberg, que se halla hace algún tiempo en esta corte con su madre, hermana del duque de Saxonia Cobourgo. Escriben de Constantinopla con fecha dd ro de Enero que ha depuesto repentinamente ei Gran Señor al gran visir, y ha nombrado para sucederle al bajá de Brussa.…</t>
  </si>
  <si>
    <t>…ho días la gala de corte .qué debía haber mañana. - « . Parece que no sé confirma la.noticia que baícorrido dias pasados del casa miento del virey Ranerio con la-Princesa hija del duque Alejandro de Wurtemberg: se dice al contrario que pedirá la mano de la Princesa de.Carignan, hermana del heredero presuntivo de la corona de Cerdeña. Se calculan en 30 ó 40$ el número de enfermos que hay en esta ciudad y sus arrabales, que viene á ser la quinta parte de su población…</t>
  </si>
  <si>
    <t>Xacultivo</t>
  </si>
  <si>
    <t>…examinando é ins Concluido el dictamen de la comisión se leyeron varias truyendo , propondrá lo que estime conveniente sobre el indicaciones , presentadas por los Sres. Martínez { D. Xacultivo , tráfico y libertad de tabaco en las provincias de y Desprat al pn i pío de la discusión; de las cualeyj Ultramar.” • la mavor parte eran contrarias‘ .1 ’los artículos aprobadosv* . También se aprobó el cuyo tenor era: pero' habiendo entre ellas úna dirigida…</t>
  </si>
  <si>
    <t>Xavier</t>
  </si>
  <si>
    <t>…erse puramente en los actos de servicio ; pero nombres de los declarados beneméritos de la patria.” habiendo dicho el Sr. Romero Alpuente, que se hallaba ya Otra del Sr. Martínez (D. Xavier) para que la comisión esta advertencia en otra parte del mismo reglamento, retiró tenga presente en su informe á los hijos y hermanos de Don aquel su indicación, y se aprobó el art. 47. Sintbriano López. A pesar de la observación del Sr. Martínez de la Rosa O…</t>
  </si>
  <si>
    <t>…¡a que se mandó agregar dista las siguientes reflexiones: el voto particular de los Sres. Perez Costa , Peñaiiel, Mar I Dos ciudadanos que viajaban con la entera confianza tínez (D. Xavier), Valcarcel, Navarro (D. Felipe), Mu que inspira la protección de las leyes; dos magistrados que ñoz Torrero, Quiroga, Rodriguez, Lorenzana, Vargas volvían á sus destinos, y el uno en el distrito de su juris Ponce , Cepeda, Díaz Moraies, Arnedo, F orez Estrad…</t>
  </si>
  <si>
    <t>…ingún escritor de derecho Toscano, Ca-raseca, Sierra Pambley, Martin Tauste, Trapúblico habia examinado la cuestión bajo las circunstancias ver, Perez Gesta, Lorenzana , Martínez (D. Xavier), Yanen que se habia hallado la España, en la que se habia visto diola, Novo»,, Suborcases, Crespo, Vecino, Gareli , Lá por una parte la Nación, y por otra un usurpador extran- zaro, Canavsl, Satidino, Caro, Zubia, Moya, Ribera, gero, la buena fe por una part…</t>
  </si>
  <si>
    <t>…na propiedad, tampoco se podría hacer la Zapata, Freire, Sánchez Toscano, Sancho, Marin Tauste, reducción y trasladarlos de un monasterio á otro ; en cuan Perez Costa , Martínez ( D. Xavier) , Yandiola , Novoa, to á la conservación de los edificios no faltarían comprado Subercases , Cantero, Vecino, Valcárcel, llernabeu, Flores , aunque solo fuese para demolerlos, y aprovechar sus jez Estrada , Romero Alpuente , Sánchez Salvador, Lázaro, escombr…</t>
  </si>
  <si>
    <t>…or lo mismo aun no esraba puesta ’en de Legislación?”planta, ni podían saberre su« efectos, la re iró su autor. Et Sr.'Artiedo opinó qne el mejor medio que podía E! Sr. Martínez ( D. Xavier) prerentó una exposición' adoptarse era hacer respons ihles A los pueblos de ¡os delitos de D. Juan Eontela ,■ manifestando haber sido comprendido- que se ‘comerte en en res t írmlnos.' en la.cau-a»del general Portier, y úrtimamente h tber sido- El-Sr. Sánche…</t>
  </si>
  <si>
    <t>Xavier'Martínez, Gregorio</t>
  </si>
  <si>
    <t>Gregorio Xavier'Martínez</t>
  </si>
  <si>
    <t>…a que se establezcan darán principio el dia i,°d.e Mayo próximo: los profesores que quieran hacer oposición deberán dirigir sus pretensiones antes del día 30 del presenté Abril á. D. Gregorio Xavier'Martínez, se cretario del ayuntamiento, con certificados de las justicias de los pueblos de su resi»dencia, que acrediten la buena vida y costumbres del pretendiente, y que se halla habilitado con título para enseñar este ramo de humanidades. La cátedra tiene de asign…</t>
  </si>
  <si>
    <t>Xavier, Francisco</t>
  </si>
  <si>
    <t>Francisco Xavier</t>
  </si>
  <si>
    <t>…mes de Diciembre, se vuelve á hacer saber por el presente periódico haberse señalado para su remate el día 31 del corriente, á la hora de las 11 de su mañana, en la audiencia del Sr. D. Francisco Xavier» de Ojeda , del Consejo deS. M en el supremo de Hacienda, juez asesor general de la Real Caáa y Pa trimonio , calle y casa déla Cruzada, cuarto principal; y asimismo se advierte para inte ligencia de los licitadores que la expresada dehesa, tasada en 5.030,42…</t>
  </si>
  <si>
    <t>…o próximo á Tas tres «a punto de su tarde en dicha escribanía; apercibidos que de no hacerlo les parará el perjuicio que haya l.gar. , * ' Por providencia de 20 del corriente cfel Sr. D. Francisco Xavier dé* ©jédhy d[el Consejo.de S. M en el supremo de Hacienda, juez asesor general dé la Real Gasa y Patrimonio, refrendada de D. Alfonso del Pozo, secretario de S. MV y sus Reale$. caballerizas., se ha mandado sacar á pública subasta por otros 15 dias más, conta…</t>
  </si>
  <si>
    <t>…e Ultra español sino en los casos que determine la ley ; y enterada mar, dado á consecuencia de los medios propuestos por S. A. de todo, y teniendo presente el dictamen que dio el D. Francisco Xavier deO-Lavarria, para la pacificación de las Consejo de Estado en otro expediente de caso igual qji la provincias disidentes de la América del Sur, reducido á que ciudad de Algeciras, en que se declaró que lo practicado se devolviese la exposición al ministerio…</t>
  </si>
  <si>
    <t>…pertenecía á sola la Península; Y á la de Caminos y Canales se pasó el dictamen par pues de la de América no se podia tratar por no haber los ticular que sobre este punto extendió D. Francisco Xavier datos suficientes. Por último, opinó que el dictamen de la Barra, individuo de la junta de Caminos y Canales, y re comisión era justo , pues proponía se hiciese la competente mida el Sr. secretario déla Gobernación de la Península. ' liquidación, con lo cual…</t>
  </si>
  <si>
    <t>…primera de Legisla de la comisión de Hacienda sobre crédito público, que decia ción , se pas &gt; una exposición que remitía el ministerio de «sin admitir otros.” Hacienda, hecha por D. Francisco Xavier de los Ríos, en Se admitió á discusión la siguiente indicación de tos se solicitud de una cruz pensionada de ia orden de Carlos 111 ñores Florez Estrada, Gutiérrez, Acuña y Ramonet: „QUe en atención á sus muchos y patrióticos servicios. se discutan a lo menos…</t>
  </si>
  <si>
    <t>Xavier, Josef</t>
  </si>
  <si>
    <t>Josef Xavier</t>
  </si>
  <si>
    <t>…ando en ella la mas enérgica de este ayuntamiento exámenes públicos de los niños que indignación contra tan abominable crimen, y la adhesión están bajo la dirección y enseñanza de D. Josef Xavier de mas sincera ai trono de los Borbones; y pidiendo al mismo Maiza, maestro de primeras letras de esta villa. tiempo el pronto castigo de los culpables. Se dio principio á este solemne acto con un discurso que pronunció el cura párroco, tomando por tcxro aque…</t>
  </si>
  <si>
    <t>Xfmenez, N.</t>
  </si>
  <si>
    <t>N. Xfmenez</t>
  </si>
  <si>
    <t>48 / otra de D. N. Xfmenez, reciño de Puerto-Rico, para que Comercio para que no se accediese á la Solicitud cc rna casa se le habilitase para servir la escribanía pública del puerto de comercio de Barcelona, que pwiia se le permit.ese en de Cabos. viar un barco neutral á la América co…</t>
  </si>
  <si>
    <t>Xímehez, Ramón García</t>
  </si>
  <si>
    <t>Ramón García Xímehez</t>
  </si>
  <si>
    <t>…tad de su dueño y. eñ virtud‘def ptbvidefíCiá^det Sr/ T).‘Angel Fernáhde? de los Ríos, del Consejo de S. primereen iente d^bórifegidór de esta müyuKeroica villa, refrendada del Sn D. Ramón García Xímehez , escribano de sü ntóefci se ha mandado sacar* á pública subasta', por término de ocho dias j! una hacienda 'sítá en la vllla de Colmenar de Oreja,* compuesta de una casa, dos rnolinosde aceitpha^ dos huertas, y diferentes víñatf; olivares y-ti erras -paralab…</t>
  </si>
  <si>
    <t>Xímenez, Juafl</t>
  </si>
  <si>
    <t>Juafl Xímenez</t>
  </si>
  <si>
    <t>…los baños de Pirmont, por tener que dar la última mano á esta Constitución j y que ya no partirá hasta después que se NOTICIAS DEL REINO. proclame. BOHEMIA. Badajoz ij&gt; de Julio. D. Juafl Xímenez, profesor de medicina de la villa de Carlsbad 4 de Julio. Campanario, ha dirigido á esta asamblea patriótica una car S. M. el Rey de Prusia ha llegado hoy aquí en un car- ta, cuyo extracto es como sigue: «Me tomo la libertad de ruage que le ha regalado el Emp…</t>
  </si>
  <si>
    <t>Ximenez, Pió</t>
  </si>
  <si>
    <t>Pió Ximenez</t>
  </si>
  <si>
    <t>…nutra ó nutria (animal anfibio), una partida de 20 hombres de aquel regimiento provin ó uno de los animales marinos que andan vagando por el cial , al mando del teniente del mismo D. Pió Ximenez de océano del Norte. Muñana. Este infatigable oficial , después de 13 dias de —-~Las cartas de Savannah del 24 de Setiembre anuncian continuas marchas de dia y de noche , logró aprehender á que la mortandad que reina en aquella ciudad hace inútiles dos en el…</t>
  </si>
  <si>
    <t>Ximenez, Teresa</t>
  </si>
  <si>
    <t>Teresa Ximenez</t>
  </si>
  <si>
    <t>…181^. do , con calidad de reintegro, la cantidad suficiente dé tri-í A la segunda de Legislación se pasó una exposición de go para la sementera de los ramos de Noveno y Excusado, Doña Teresa Ximenez, remitida por el ministerio, -para como se habia hecho con los de la provincia de Burgos. Pa t¡;ue se la permitiese continuar la curaduría de' sus hijos, ra esto hizo la correspondiente indicación; y habiéndola a pesar de haber pasado á segundas nupcias. apoy…</t>
  </si>
  <si>
    <t>XínieHallándose, Próspero</t>
  </si>
  <si>
    <t>Próspero XínieHallándose</t>
  </si>
  <si>
    <t>…tancia de esta heroica villa, refrendada del escribano MAYORDOMIA MAYOR DE S. 'M. del número de la misma D. Tomas María Manrique, se cita, llama y emplaza por término de 15 dias á D. Próspero XínieHallándose vacante una plaza de medico de la Real Fa nez , D. Miguel de Corres, D. Josef Calvo , D. Pantaleon Ruiz, milia por fallecimiento de D. Pedro Irigoyen , y teniendo y demas últimos tenedores é interesados en 5 vales Beales, resuelto S. M. que los citados destin…</t>
  </si>
  <si>
    <t>Xitnenez, Juan</t>
  </si>
  <si>
    <t>Juan Xitnenez</t>
  </si>
  <si>
    <t>…ncisco Pé tellano dice asi: rez Dávila, el de D. Vicente Talledo , coronel de ingenie «Ha aparecido en nuestros días un hombre de gran vir ros , ni el de igual clase de infantería D. Juan Xitnenez, co tud llamado Jesucristo, el cual vive aun entre nosotros. mandante del batallón de la Albuera; y que todos sean re Los gentiles le han recibido como un profeta de la verdad; puestos en sus respectivos empleos y en el goce de sus suel pero sus discípulos le…</t>
  </si>
  <si>
    <t>Xlmenez, Ramón García</t>
  </si>
  <si>
    <t>Ramón García Xlmenez</t>
  </si>
  <si>
    <t>…o, y en virtud de providencia del Sr. D. Angel Fernan dez de los Ríos, juez de primera instancia de esta heroica villa, dada por la escri banía del numero de la misma que despacha D. Ramón García Xlmenez , se ha,man dado volver '£ sacar á pública subasta la hacienda que se anunció al público en la ga ceta ^0) 2(5'de ¡Febrero :del corriente año, sita én la villa de Cólmenar de Oreja, Compuesta de; unacasa,dbs molinosdeácéite.dós huertas, cor diferentes viñas,…</t>
  </si>
  <si>
    <t>Xlrdoñéz, Anselmo</t>
  </si>
  <si>
    <t>Anselmo Xlrdoñéz</t>
  </si>
  <si>
    <t>…erjuicio al país. Por providencia,del .Sr. D. Manuel .Fernandez.Gamboa. juez primero letrado de primera instancia en esta muy heroica villa, refrendada del escribano de su námero, D. Anselmo Xlrdoñéz, se ha mandado citar y. emplazará cualesquiera persona que sé conceptúe con derecho á.los bienes de Doña María Tomasa Jordán, vecina que fue de esta córte, y que falleció en. 13 de Agosto de 18i 2, para que en el preciso y perentorio término de 30 dias/contad…</t>
  </si>
  <si>
    <t>Xo, Manuel</t>
  </si>
  <si>
    <t>Manuel Xo</t>
  </si>
  <si>
    <t>…;, pardos-y ^negros. Del mismo es- , tado resulta que dicho faeubativo;vacund desde el ano de 1804 hasta Diciem bre; de. 1817 : 28,378 personas*. iv¿. ; 5 1 ■ ■ ■ t ’ EEBxCmó. Sr.-D. Manuel Xo^«‘de Jlraíijóv:consejero dé..Estado , y caba llero grán:eiWdé lá Real y distinguida ord§n¿ española de^ Carlos ni,'ha hecho 'préseñld' ate;R fiY^ioesírd Señor lá’Viva %atísf&amp;ecidn *''del a^^untamrefitaíáe la ciudad de Vígo err Galiciá, por su'augusta y ápi’ec…</t>
  </si>
  <si>
    <t>Xt-, Juan Xímsnez y</t>
  </si>
  <si>
    <t>Juan Xímsnez y Xt-</t>
  </si>
  <si>
    <t>…duos propuestos por la suprema. convidados al efecto un magnífico refresco', en el que el se Se leyó y aprobó la minuta dé decreto redactada por ñor alcalde primero constitucional D. Juan Xímsnez y Xt- la comisión de Hacienda sobre las ventas de fincas dei menez brindó por la exaltación de la fe católica , salud y Crédito público. acierto de los Padres de la patria , felicidad de la Nación , y Se oyó con agrado, y se mandó hacer mención en el prosperidad de…</t>
  </si>
  <si>
    <t>Ya, Manuel Inca</t>
  </si>
  <si>
    <t>Manuel Inca Ya</t>
  </si>
  <si>
    <t>…males y desgracias con que una administración Morales, comandante de la escolta, quien para encentar la desatinada ha afligido hasta ahora á Portugal. orden que decía llevaba del intendente D. Manuel Inca Ya«Deben pues con este objeto reunirse las Cortes como pangui, sacó un cordel que llevaba á prevención , lo' ató , y representantes de la nación; pero deben reunirse del modo volvió con ellos á Granada, atravesando ¡as calles principa que mejor y mas perfectamen…</t>
  </si>
  <si>
    <t>Yandioia</t>
  </si>
  <si>
    <t>…as palabras: i&gt;y de la Hacienda nacional, aprobado por S. M. , y el expe ventilación.” diente instruido, en vista de lo expuesto por el ministro Se aprobó también la siguiente del Sr. Yandioia: »»Díde la corte de Berlin acerca de que en toda ¡a Alemania gase al Gobierno que si no se han destruido ya los potros y podian introducirse los tabacos de- las fabricas de Sevilla, demás instrumentos que anteriormente se usaban para dar remitidos por el mism…</t>
  </si>
  <si>
    <t>ñores Moreno Guerra y Freiré, conceptuándola injusta, y el Sr. ministro de Hacienda manifestó que ninguna noti contraria A la Constitución. Y el Sr. Yandioia, individuo cia existía sobre el particular en las cuentas de la tesorería, de la cnini-ion, confesando que es cierta la injusticia de ni habia entrado en ella ninguna cantidad procedente de di aquel impuesto, hizo presente que de extinguirle resultaría cha ma…</t>
  </si>
  <si>
    <t>Yandioía</t>
  </si>
  <si>
    <t>…é aprobar el solicita, tienen las Cortes determinado en la ley de arance dictamen se debia reformar aquel con arregló á 'i* riqueza ' les á lo que debe arreglarse. del clero; y el Sr. Yandioía hizo presenté que si se adop-J 3. a «Que en cuanto á la tercera petición se esté á lo tase lo que deseaba su preopinante, seria nula para este año* dispuesto en la ley de inventos, mejoras é introducciones." la contribución del subsidio por la dilación que re…</t>
  </si>
  <si>
    <t>Yandiola</t>
  </si>
  <si>
    <t>…lo suficientes ción de la ciudad de M llaga , solicitando se la erigiese en datos, podría pedirlo' al Crédito público. provincia separada é independiente de la de Granada , lo El Sr. Yandiola record ", que el Cr-dito público e'*n’-a qunl se habia pedido ya a las Cortes ordinarias. Se acordó obligado á dar cuenta anualmente; y oni.i ' que se de1 iu in pedir al Gobierno los expedientes de que hacia mérito la vitar á la dirección de aquel establecimi…</t>
  </si>
  <si>
    <t>…l Sr. Cepero que asi se decia en y que seria un espectáculo bien triste el que vieran las Cor el principio del informe. tes si su primer decreto en el ramo de Hacienda fuese re El Sr. Yandiola contestó también que al ministerio de ducir á tina gran cantidad del pueblo que se egercita en el Hacienda corre'pondia presentar los presupuestos de los de comercio del tabaco , á que le abandonare ó suscribiese á la mas, por lo que la memoria del ministro d…</t>
  </si>
  <si>
    <t>…perjuicio sado ministerio, en que se participaba que los Sres. conde de las costas , causándosele asi á. los interesados.. de Montenegro y D. Guillermo Morales , diputados por El Sr. Yandiola , como individuo de la comisión, convi las islas Baleares, deseosos de llegar cuanto antes al Con no en las dos adicione^ de los Sres. Romero Alpuente y greso á cumplir con su cargo, habían pasado al lazareto, Vadillo. donde permanecían desde el 11 de este me…</t>
  </si>
  <si>
    <t>…de 182c. = AD. Josef Canga Arguelles.” pudieran enterarse las Cortes del asunto, y que se señalara dia para la discusión. A consecuencia del oficio de los Sres. diputados secre El Sr. Yandiola dijo, que estos mal llamados privilegios tarios de las Cortes de 17 del corriente, dirigido al Sr. se que se habían dado para comerciar en los puertos de Ultra cretario del Despacho de la Gobernación de la Península, que mar con bandera extrangera pagando 4 p…</t>
  </si>
  <si>
    <t>…as; antes bien siguiesen estas por' mática castellana, -ortografía, geometría, urbanidad, cali ahora como Irasta aquí. grafía y doctrina cristiana; y fueron premiados los niños El Sr. Yandiola, después de dar gracias al Sr. Puig«n dos elaíes- blanch por sus buenos sentimientos, manifestó que el Go Madrid 2 ,9 de Julio* bierno trabajaba en uniformar aquellas provincias con las SS. A A.continúan sin la menor novedad en su impor demás de la Península,…</t>
  </si>
  <si>
    <t>…o la comisión hable del reglamento, expre-e cual El Sr. Vitorica se opuso al dictamen de la comHoo, es esre reglamento.” diciendo que no veía en él mas que medidas apenas de la El Sr. Yandiola presentó al Congreso una exposición autoridad de las Cortes, por cuanto estas no del-ian ocu de varios ciudadanos reunidos en el'Ateneo español acerca parse sino en dictar leyes: que al Gobierno tocaba, hacerlas de la prisión de D. Gaspar Aguilera, y se mandó…</t>
  </si>
  <si>
    <t>…hacer tales nombramientos, porque esto perte cienda concluyese el expediente relativo á la anulación de necía á las Cortes; debiendo restablecerse, según estaba privilegios, y el Sr. Yandiola que se reuniese con aquella la mandado, la antigua junta de Censura; y que si faltasen de Comercio, indicó el Sr. Subrié que no debían embara algunos individuos dé esta, la Junta suprema de Censura zar a la publicación del decreto sobre el punto de que se deb…</t>
  </si>
  <si>
    <t>…Ma que concluido el examen de todos los que tienen A su cargo riano Gil , del comercio de Barcelona , presentado por el se pudiera en vista de ellos hacer la regulación exacta del Sr. Yandiola, y una memoria de D. Joaquin Díaz de Cór mas ó el menos que A cada objeto se puede destinar. Muy doba sobre Crédito público y formación de un banco justo creyó que ;e aprobara este dictamen si se quería; pero nacional. le parecía mas propio y conveniente deja…</t>
  </si>
  <si>
    <t>…uos de la secretaría, para lo que acaso seria necesario las vacantes para no faltar al reglamento. Habiéndose opues echar mano de medios ruinosos que gravitasen sobre la par to el Sr. Yandiola, explicó el Sr. Cano Manuel las razones te productiva. que habia tenido la comisión para sentar el dictamen, y El Sr. secretario de la Gobernación manifestó que se ha quedó este aprobado. bia atacado el plan por el punto q :c menos esperaba, pues Se aprobó ot…</t>
  </si>
  <si>
    <t>Yandíola</t>
  </si>
  <si>
    <t>…blecí imea— Se leyó otro oficio del mismo secretario, en qce incluía tos; esto es, mantener un gran número de empleados. el del mayordomo mayor de palacio, que decía haber sabi El Sr. Yandíola, no pudiendo menos de convenir en do del administrador del sitio de S. Fernando que no se ha los principios generales con el preopinante y los demas in bían incluido en la lista'de los terrenos pertenecientes antes dividuos de la comisión, dijo que la comisió…</t>
  </si>
  <si>
    <t>…n nombrados los Sres. Fraile, Var como se habia verificado con las viudas de los que murieron gas Ponce, Martínez de ia llosa, Yandiola, Losada, Cas ea la batalla de Trafaigar; el Sr. Yandiola que subscribió tañedo, Sancho, Bahamonde y Romero Alpuente. á la opinión del Sr. Romero Alpuente, reservándose pedir Se leyeron por segunda vez los 10 artículos del informe que no se considerase degradado á Porlier ; el Sr. Castañe de la comisión de Legislaci…</t>
  </si>
  <si>
    <t>…el cuarto por D. Ildefonso Valenzitela, vecino de modestia que les han hecho guardar siempre en silencio sus Andújar; lodos sobre enagenacion y subrogaciones de fin servicios: el Sr. Yandiola anunció que llegaría pronto el cas vinculadas. cumplimiento del deseo manifestado por el Sr. Sánchez Sal Se leyó el dictamen de la comisión de Hacienda sobre vador de que se diesen las licencias á la tropa: el Sr. Quf- la deuda de Holanda, y después de una la…</t>
  </si>
  <si>
    <t>…quien corresponda, ratificarán ó rectificarán las Cortes el arancel de aduanas segun convenga;” pero habiendo hecho Se leyó el acta de la última sesión extraordinaria. presente el Sr. Yandiola que estaba muy vago este artículo Se mandó pasar á la coinióon de Instrucción pública por Jas palabras de quien corresponda , contestó el Sr. Ra un oñclo del ministro de la Gobernación de la Península, mos Arispe que podría hacer la propuesta él mismo ó cual…</t>
  </si>
  <si>
    <t>…Peni- formase, imprimiese y distribuyese un extracto de todas las ehe. = Conde de Feira.= Antonio Gómez Ribeiro.’* propuestas, la que retiró después, sustituyendo en su la gar el Sr. Yandiola la siguiente, que fue aprobada: «Que NOTICIAS DEL REINO. se imprima con los documentos el dictamen de la comisión de Hacienda sobre el expediente del empréstito que propo Madrid 2o de Setiembre. ne el Gobierno, y se reparta á los Sres. diputados para que SS.…</t>
  </si>
  <si>
    <t>…icación el curso que pe La comisión ordinaria de Hacienda presentó la minuta dia su autor. de decreto sobre conceder asilo á los extrangeros y sus Conformándose con esto último el Sr. Yandiola, indi propiedades, redactada con la adición del Sr. Calatrava al viduo también de la comisión , y conceptuando justísimo art. i.°, aprobada ya por las Cortes en la sesión del 18. lo que se proponía, deshizo la equivocación de su preopi Se mandó pasar á la com…</t>
  </si>
  <si>
    <t>…ión relativo á los 20 mi ordenanzas, la parada de bautismo, acompañada de la infor llones. mación de limpieza desangre, y de su buena vida y costum Convino en esta última parte el Sr. Yandiola , indivi bres , recibida ante la justicia ael pueblo de su naturaleza, duo de la comisión ; pero hizo ver que esta por una; parte coa intervención del síndico procurador del mismo. Y los se veía perpleja, pues no se había expresado para qué se de que quietan…</t>
  </si>
  <si>
    <t>…cluyesen anuncio, comparezca en dicho juzgado por la escribanía de los gastos de la admini traclon, especificándolos. D- Pedro Josef de Ibabe, por s.í ó por procurador conocido El Sr. Yandiola, individuo de la comisión, manifestó con suficiente poder, á justificar como debe y le está man que e(ta habia esperado para hacerlo la decisión del Con dado los hechos que sentó conrra los individuo.; de la junra greso. superior gubernativa de cirugía de est…</t>
  </si>
  <si>
    <t>…entir que se accediese á, Por el estado de los productos y gastos.-de las.rentas y. su súplica , y asi se aprobó. . a ramos que administra esta provincia desdeji.? hasta 31 de. El Sr. Yandiola, Individuo de la comisión de Hacien Agosto resultan 5.5 22,413 rs.y30mrs.decargo,y 4.202,042: da y Guerra reqnida?, dijo' que hacia dias se había repar rs. y. 26 mrs. de data, y 1.320,371 rs. y 4, mrs. de exis tido A todoj Jps Sres., diputados una representnc…</t>
  </si>
  <si>
    <t>…licia para introducir ganados mayores en parte tener un influjo muy desventajoso en la Opinión general. de la Península, se hiciese extensiva á toda ella, entendién Contestando el Sr. Yandiola á su preopinante, mani dose también el ganado lanar, y cuando no hubiese lugar á festó los fundamentos que habia tenido la comisión para esto se señalaran los derechos que designaba en la minuta sentar su dictamen ; siendo uno el enorme arraso .de los que aco…</t>
  </si>
  <si>
    <t>…ado, pues era el. bertades, á la moral pública, y aun i los intereses de la Ha único medio de evitar el contrabando. cienda nacional bien entendidos , porque esta nunca tendría El Sr. Yandíola, apocando al Sr. Toreno, manifestó que . derechos en las aduanas mientras un los baia'e todos al aunque se decía por varios Sres. preopinantes que el déficit. mínimo posible para que no haya contrabando, el cual es no seria tan considerable como la comisión c…</t>
  </si>
  <si>
    <t>…podría la Hacienda do , porque comprende medidas de tres clases: r.a medida^ pública deshacerse del que tuviera acumulado. ue dependen de las Cortes, y están ya adoptadas en el El Sr. Yandíola propuso que se sentara como quinta ba ecreto de aranceles: 2.a medidas que dependen del Go se , después de las cuatro presentadas por la comisión, la bierno , y que algunas están puestas en práctica ; y me abolición de rentas estancadas; y el Sr. conde de Tor…</t>
  </si>
  <si>
    <t>…e á la comisión para que resuelva lt&gt; que se acceda á la, instancia de la ciudad de Huesca, que conveniente.” pide arbitrios para la desecación de un pantano. Habiendo apojmdó el- Sr. Yandiola la indicación del A las comisiones especial de Hacienda y Comercio re Sr. Ezpeleta, se acordó que pasase á la comisión de Ha-» unidas se pasó otra representación de la misma diputación cienda. provincial, pidiendo que en atención al déficit que ofre Se public…</t>
  </si>
  <si>
    <t>…sa de los comprendidos en los nes del Gobierno , en caso de que faltase el empréstito.” sucesos de la noche del 8 de Julio último, y acerca de la Admitida á discusión manirestó el Sr. Yandiola que no solicitud del asesor interino para que se admitiese su dimi se oponía á eila, á pesar de que sabia que el estado de la sión. El Gobierno era de opinión que la causa se debía Nación no era tan penoso, que absolutamente dependiese ta continuar conforme á…</t>
  </si>
  <si>
    <t>…bierno de la compañía de Filipinas para que no dignos, antes bien era justo hacer observar la ley. se supriman sus privilegios, remitida por el Sr. secretario Después de hablar el Sr. Yandiola en el. mismo sentido de Hacienda. que él Sr. Toreno, manifestó el Sr. Sancho su deseo de que A la de Infracciones de Constitución se pasó una expo dijese expresamente el Gobierno si conceptuaba de precisa sición, del alcalde de. Oropesa, vindicándose de una q…</t>
  </si>
  <si>
    <t>…al tiempo de pre balleros, contra Evaristo Maroto , alcalde de aqi.día villa, sentar las plantas de sus secretarias. reducido A que nada puede resolverse en este negocio hasta El Sr. Yandíola las apoyó; se admitieron á discusión, que Eladio Díaz acredite sus quejas. y se aprobaron. Se aprobó ig al mente el dictamen de la comisión Ecle- A petición del Sr. Díaz de Morales se mandó dejar so sii'tica acerca uc una representación de la dipu.ación pro b…</t>
  </si>
  <si>
    <t>…reclamaciones de varios pueblos pago de atrasos los réditos de los mismos vales ; pero la re pa/a que se les permitiese el establecimiento de los puestos tiró, por haber pedido el Sr. Yandiola que la suspendiese públicos; y que ademas lo que proponia la comisión era hasta que la comisión presentara su dictamen sobre el Cré el medio mas liberal que podia adoptarse, pues dejaba en dito público. absoluta Libertad á los pueblos de hacer en este punto l…</t>
  </si>
  <si>
    <t>…de señal para la reunión y sición del consulado de Bilbao sobre el articulo i.° de la para la victoria. El' principado de Ultra y Capitanata da- ley de aduanas, presentada por el Sr. Yandiola. jfán, ademas de los veteranos que se han reunido en gran A la comisión segunda de Legislación se pasó una soli número al egército, 24© legionarios y milicianos, pues citud de D. Josef Gazon, de nación francés , para que se le «olo el batallón de Avelino, al…</t>
  </si>
  <si>
    <t>…rte del resultado de sus negociaciones con créditos sin ínteres, incluyendo en la primera los vales los interesados. sin darles una preferencia que conceptuaba injusta ; lo que El Sr. Yandiola expuso que la comisión no tenia incon fue adoptado por la comisión, quedando aprobado el artí veniente en adoptar la nota propuesta por el Sr. Toreno, culo con la variación referida. dejando en pie la cantidad que se expresaba, para que se Igualmente se aprob…</t>
  </si>
  <si>
    <t>…r un contrato celebrado entre- la Nación y comprendiesen las minas de plata de Guadalcanal y Cazada. un particular. Se mandó pasar al Gobierno otra del Sr. Lobato, en Manifestó el Sr. Yandiola que no estaba enteramente que aludiendo á los que siguieron al Gobierno intruso, pe conforme con el dictamen de la comisión en algunos pun dia que al núm. 27 de la lista de arbitrios destinados pa tos, particularmente en no haber reconocido la deuda con ra el…</t>
  </si>
  <si>
    <t>…nte discutido, quedó apro capitales de Los bienes vendidos de e-to' mismo1 estableci bado el dictamen de la comisión. mientos y los réditos vencidos fe retendrán y amortizaran, El Sr. Yandiola, individuo de la com'rion ordinaria de y lo mismo se hará con los de monacales. La j -nta pre Hacienda , leyó el presupuesto total de rentas y gastos pa sentará á las Cortes en la legislatura de Marzo próximo un ra este año, redactado con arreglo á lo acordad…</t>
  </si>
  <si>
    <t>…ón jle los la Gobernación de ¡a Península lo que sigue: créditos se rectificara por el capital primitivo. «SS. MM. y AA. continúan disfrutando en este Real Con este motivo dijo el Sr. Yandiola que tenia hecha sitio la mas perfecta salud.” una indicación sobre el mismo objeto, la que se leyó, y decía asi: «Que la extinción de la deuda consolidada se ve Circular del ministerio de la Guerra. rifique con arreglo á los capitales primitivos, esto es, á l…</t>
  </si>
  <si>
    <t>…ar curso á las propuestas para contadores generales, que desde Gerona hasta Finisrerre; pero que en cuanto á las han dé hacer estos, y proveer aquellas. primeras no había hecho el Sr. Yandiola masque prevenir 25. »La junta presentará á las Cortes en la próxima le af Gobierno, el cual creta justo y conforme á la buena fe el gislatura un plan de administración y operaciones de su reconocerlas, y tenia formado al efecto un expediente so cargo, y una p…</t>
  </si>
  <si>
    <t>Yanguas, Diego</t>
  </si>
  <si>
    <t>Diego Yanguas</t>
  </si>
  <si>
    <t>…ia requerían previamente la preparación de los- di acreedores que aun no se hubiesen presentado en la testamenta putados y la instrucción de una comisión, y que éntre tanto ría de D. Diego Yanguas, vecino que fue de esta corre, radi no se perdía tiempo en atender á las -proposiciones particu cada éh dicho juzgado y escribanía, para que en el término de lares ; observación que dijo hacia para que no se creyera go días , contados desde ay del pasado , ac…</t>
  </si>
  <si>
    <t>Yaridiola</t>
  </si>
  <si>
    <t>…a comisión de Premios* esté prescrito en la misma, tiene el carácter aparente de Apoyaron la indicación el Sr. presidente y los Sres. Yan- optimismo. diola y Romero Alpuente; y el Sr. Yaridiola insinuó que si Sé que se han tomado precauciones para la admisión de el Sr. Cuartero estuviera comprendido en algún monte pío individuos en las sociedades; pero ¿quién nos asegura que gozaría viudedad su esposa: recomendó el Sr. presidente el mañana no introd…</t>
  </si>
  <si>
    <t>Yela, Julián</t>
  </si>
  <si>
    <t>Julián Yela</t>
  </si>
  <si>
    <t>…de 1820. =s El capitán gefe principal interino Luis de Or á deducir de su derecho en el juzgado de primera instancia del tega. = El capitán comandante accidental del batallón Jai Sr. D. Julián Yela, por la escribanía del número de D. Cristóbal de Vicuña; entendido de que no lo haciendo , pasado que sea dme Neff. = Por la ciase de capitanes Gerónimo Párche cho término, sin mas citación ni emplazamiento se procederá í la. == Por los tenientes Jo'ef Víllal…</t>
  </si>
  <si>
    <t>Yela, Julián Diaz de</t>
  </si>
  <si>
    <t>Julián Diaz de Yela</t>
  </si>
  <si>
    <t>…de que los labradores y fabricantes El Rey se ha servido conceder á los juéces interinos no contribuyan sino en razón de las producciones-y efec de primera instancia de está corre D. Julián Diaz de Yela, tos que tengan que trasportar, corrigiendo err él ó amplifi D. Rámon Argos y D. Juan García Arias los honores de cando las ideas que no hago mas que anunciar en. este es ministros de. la audiencia territorial. - crito; cuyo objeto es el de excitar á que otro…</t>
  </si>
  <si>
    <t>Yela, Julián Díaz de</t>
  </si>
  <si>
    <t>Julián Díaz de Yela</t>
  </si>
  <si>
    <t>…áculos que la naturaleza , la opinión y En instancia del Excmo. Sr. ministro de la Guerra, y las leyes oponen á la felicidad pública, escritas por el conde de -por providencia del Sr. D. Julián Díaz de Yela de 18 déi Cabarrús al Sr. D. Gaspar de JoveLlanos, y precedidas de otra corriente, habiéndose calificado de injurioso por la junta al príncipe de la Paz : tercera edición, hecha con el mayor es -de Censura de esta provincia el periódico titulado la Ley, mero.…</t>
  </si>
  <si>
    <t>…empréstito, señaló para discutir dicho asunto el sábado 7 de En virtud de providencia del dia 28 de Setiembre dad* Octubre; y citando para sesión extraordinaria esta noche, por el Sr. D. Julián Diaz de Yela, ministro honorario de la levantó la de este día. audiencia territorial deCastilla la Nueva, y juez de primera instancia de esta heroica villa, refrendada de D. Donato ARTICULO DE OFICIO. Nuñez, escribano del número de la misma, previo examen El Rey ha expedi…</t>
  </si>
  <si>
    <t>…ndo al Gobierno los índices originales,ry -cui-v Se dió cuenta de un oficio del juez de primera instancia dando de su conservación hasta que las Cortes retuélvafa so de esta corte D. Julián Díaz de Yela, en que daba parte bre este punto' lo que tuvieren por conveniente. Madrid 2 de de que á consecuencia de haber examinado la junta provin Setiembre de -1820. = Ramón -Giraldo,- presidente. fc=Ma* cial de censura por denuncia de su fiscal el papel titulado nuel…</t>
  </si>
  <si>
    <t>…ndo, dándome aviso de su recibo. Palacio 22 de Se mayordomo mayor. tiembre de 1S20.” Circular del ministerio déla Gobernación de la Península. En virtud de providencia dada por el Sr. D. Julián Díaz de Yela , juez de primera instancia de asta heroica villa , con lecha «El ayuntamiento de Barcelona representó á las Cortes 26 del pasado, refrendada de D. Tomas María Manrique , es que á tíralo de refacción se estaba prestando en aquella ciu cribano del número de la…</t>
  </si>
  <si>
    <t>…"la discusión hasta mañana: e dicho papel, pasése la misma al tasador general para queencargó la pnnttial-asistericiará-hi'sesión extraordinaria de egecute la correspondiente. El Sr. D. Julián Díaz de Yela, la noche para empezar á las ocho;-y levantó la de este dia mjnistr.o togado honorario dé la audiencia de Castilla la á las tres y media. Nueva , y juez de primera instancia en Madrid, lo mandó á ARTICUIO DE OFÍCIO. 23 de Octubre de 1820. = Yela.=Tomas María…</t>
  </si>
  <si>
    <t>…que sale de la cárcel á la ex presada de la Simona. PROVINCIA DE. ZAMORA. ANUNCIOS. Partido de Toro. Una tierra en la raya de Pozo antiguo y Matilla* En virtud de providencia del Sr. D. Julián Díaz de Yela, LISTA 32. PROVINCIA DE MADRID. ministro togado honorario de la audiencia territorial de Castilla La Temporalidades. Nueva, juez letrado de primera instancia en esta M. H. villa de En ValJemoro una hacienda compuesra de casa de la Madrid, refrendada del escri…</t>
  </si>
  <si>
    <t>…j.í ó grande almirante. Los dos cazi-askers. El gran tesorero del imperio. El segundo tesorero, gefe del departamento de Guerra. ANUNCIOS. El gran proveedor, y Por providencia del Sr. D. Julián Díaz de Yela, ministro El que está encargado de poner el tughra ó cifra del honorario de la audiencia territorial, juez de primera instancia, Gran Señor en las actas públicas (i). se manda emplazar á los últimos tenedores de 6 vales reales re El palacio del gran visir, po…</t>
  </si>
  <si>
    <t>Yema, Julián Díaz de</t>
  </si>
  <si>
    <t>Julián Díaz de Yema</t>
  </si>
  <si>
    <t>…ltades.' Continuaban espar ción. ciéndose en Parts rumores desagradables, que se creían ser propagados por especuladores del agio , enemigos del siste En virtud de providencia del Sr. D. Julián Díaz de Yema constitucional. Habia llegado á París el secretario de la lá, ministro togado, y juez letrado en primera instancia de embajada de Ñapóles, y por él se sabia que Palermo conti esta heroica villa, su Fecha 16 del corriente, refrendada por nuaba en su independen…</t>
  </si>
  <si>
    <t>Yermo, Juan Josefde</t>
  </si>
  <si>
    <t>Juan Josefde Yermo</t>
  </si>
  <si>
    <t>…do durante este tiempo dicho destino, yuelva á la plaza; que le correspondería ahora en la biblioteca de S^. M. si hubiese cornimiadoen ?dif cho establecimiento. ¡ ■ í; .)• c&gt; isa D. Juan Josefde Yermo, vecino dS )Iá viilk'de Bilbao j*1 en el Gsenóríp de Viz caya. falleció en ella, el día 2-6-de Jimio» díPiBi 8- bajo disposición otorgada ante .D. Mariano de Olea, escribano del número de-la misma, nombrando por sus testamentados á D. Francisco de Zabalburu ,…</t>
  </si>
  <si>
    <t>Yupangui, Manuel Inca</t>
  </si>
  <si>
    <t>Manuel Inca Yupangui</t>
  </si>
  <si>
    <t>…pediente formado al que exponía. • ■ caso, bastaría para frustrar.los bienes de la prohibición acor A la que entendió en los antecedentes una exposición de dada por Ias Cortes. .. D. Manuel Inca Yupangui, intendente de Granada, vindi Los .Sres.-Ochoa y conde de Toreno expusieron que si so cándose de lo que pudiera atribuírsele con motivo de la ex aprobaba el dictamen, se derogabá la ley en que acababan posición de D. N. Jaime, juez de primera instancia de di…</t>
  </si>
  <si>
    <t>Za</t>
  </si>
  <si>
    <t>…a resolución, se declaró no el correspondiente sumario. haber lugar á votar. Se dió cuenta de otra de D. Baltasar de Antequera y Seie leyeron las tres proposiciones siguientes del Sr. Za— García, vecino de Infantes, en la Mancha, protestando las pata : 1. según los artículos 287, 290, 300, 301 , 304 y elecciones de diputados en Cortes por aquella provincia, 306 de la Constitución política de la Monarquía «pido que por no haber concurrido á el…</t>
  </si>
  <si>
    <t>…icación del Sr. Ro Nación ahorraría un gran número de empleados. Fue apro mero Alpuente, dirigida á modificar la fórmula del decre bado este dictamen á pesar de la observación del Sr. Za to de extinción de jesuítas, leído ayer. pata , de que eran mucho mayores las vejaciones en las épo Se leyeron dos proyectos de decreto de la comí ion es cas que estaban arrendados algunos de los artículos estan pecial encargada de proponer las medidas conven…</t>
  </si>
  <si>
    <t>…va, suprimido Consejo de Hacienda, y ministro de la audien Couto y Gareli.' cia de Charcas en el año de 1809, S. M. se ha servido man No se admitió á discusión otra indicación del Sr. Za dar que se le abonen Eos sueldos que haya dejado depsreipata , pidiendo á las Cortés que ínterin se forma el pro- bir correspondientes á su antigua plaza de magistrado de yecto de ley que proponed Sr. Alvarez Guerra, para evi Charcas, y devengados hasta el dí…</t>
  </si>
  <si>
    <t>…pueden ya correr libremente en lo inte ñalamiento , se aprobó el artículo. rior, sin mas exacciones, registros ni entorpecimientos. Se mandó agregar al acta un voto particular del Sr. Za 4.0 «Que las contadurías de aduanas sean independien pata , contrario á lo resuelto esta noche sobre el indulto cua tes de las administraciones, y superiores A ellas, lo mismo dragesimal. que ¡as de provincia, y que intervengan en el despacho ma« Se leyó una…</t>
  </si>
  <si>
    <t>Zabalburu, Francisco de</t>
  </si>
  <si>
    <t>Francisco de Zabalburu</t>
  </si>
  <si>
    <t>…Viz caya. falleció en ella, el día 2-6-de Jimio» díPiBi 8- bajo disposición otorgada ante .D. Mariano de Olea, escribano del número de-la misma, nombrando por sus testamentados á D. Francisco de Zabalburu , D. Agustín de Doistua, Doña Teresa y Doña María Antonia de Gordia, vecino^ de dicha villa; y. deseando -estos dar fin al cargo en. qué se hallan constituidos, sin que les quede 1% menor responsabilidad , avi san al publico que ¡cualquiera persona ó corporac…</t>
  </si>
  <si>
    <t>Zamora, Rosa</t>
  </si>
  <si>
    <t>Rosa Zamora</t>
  </si>
  <si>
    <t>…arado. comisión Eclesiástica, con otra del Sr. López (D. Marcial), Se mand í puar á la comisión de Premios la so icitud en que reclamó Un expediente sobre el minino asunto rela de Doña Rosa Zamora, viuda de D. N. Plaza, oficial del, tivo áDarocá. ' . regimiento de Húsares francos de Galicia, muerto en. I3 Se aprobó una adición del Sr. Vecino al art. 5.0: del horca en esta capital por comprendido en la causa de Riproyecto respectivo á sueldos de cesante…</t>
  </si>
  <si>
    <t>Zaonfa</t>
  </si>
  <si>
    <t>…e concep dia que en este artículo se dijese de »2o á 30 milicianos se tee oportuno , á juicio de la autoridad civil.” nombrará t:n sargento 2.a,” y á las que procuró satisfacer El Sr. Zaonfa creyó conveniente, para evitar las dispu el Sr. Ezpeleta. tas de preferencia, de que ya ha habido egemplares entre la El art. 6.° que decía: «Si hubiese de 30 a óo milicia milicia y la tropa permanente, que las Cortes fijaran el lu nos compondrán úna mitad de…</t>
  </si>
  <si>
    <t>Zapa</t>
  </si>
  <si>
    <t>…s, y quedó aprobado el dic sión para continuarla el día siguiente. tamen. ---- En un periódico de esta capital se han publicado las re No se admitió á discusión una indicación del Sr. Zapa flexiones sig.¡entes: ta, dirigida á que las Cortes determinaran lo que estimasen Son difíciles de calcular las tristes consecuencias que acar justo acerca del pago de contribución general de Navarra y reará el proceso de la Reina. No puede haber una cosa mas…</t>
  </si>
  <si>
    <t>Zapara</t>
  </si>
  <si>
    <t>…la comi mas cuando ninguna otra cosa promete ttn derecho de pro sión primera de Legislación, la proposición siguiente del piedad mayor que la invención de cualquiera instrumento ó Sr. Zapara: «Que las Cortes declaren que los ocho años que, máquina. Foresto la comisión juzgaba que se debía asegu se prefijan en el art. 375 de. la Constitución.deben princi rar- al inventor esta propiedad por medio de los certificados, piar desde el día 9 de Julio dé…</t>
  </si>
  <si>
    <t>Zapata</t>
  </si>
  <si>
    <t>…s documentos en que haya de expresarse su sobre lo cual opinaba la comisión debía venir desde luego al nombre. Congreso , por ser este encargo preferente á todo, según la Otra del Sr. Zapata para que los ocho años en que pres Constitución. cribe la Constitución no se pueda alterar ninguno de sus ar Conformándose las Cortes con el dictamen de la mis tículos, empiecen á contarse desde el dia en que la juró ma comisión de Poderes, aprobaron los de l…</t>
  </si>
  <si>
    <t>…men; ñor Martínez de la Rosa ) que para votar una indicación y no habiéndose admitido la votación nominal que propuso que habia ofrecido hacer sobre este asunto el Sr. Banqueó, el Sr. Zapata, resultaron aprobados el i.° y 2.°, retirando se llevasen al Congreso todos los documentos. la comisión el 3.0 como no necesario. Se dió cuenta de otro dictamen de ia comisión de Ha El Sr. Oliver indicó que se debia mandar entregasen el cienda acerca de seis…</t>
  </si>
  <si>
    <t>…ejando en su vigor lo propuesto para los que Se presentó una reclamación de la villa de S. Vicente la verificaron ames. de la Barquera, que se mandó pasar al Gobierno para cuan El Sr. Zapata presentó unas proposiciones relativas al do se haga la división de la provincia de Santander. punto de que se trataba ; y habiéndose leído la primera que Igualmente se leyó el dictamen de la comisión de Le decía-. ,,según el articulo 287, 290,300, 301,3043/-…</t>
  </si>
  <si>
    <t>…on el grano que estuviese fondeado, bas la Península y sus adyacentes al recibírsela decisión de este tando este quizá para el consumo hasta el mes de Marzo, decreto; á lo cual el Sr. Zapata hizo la advertencia de serian ilusorias las ventajas, y conceptuaba por esto mas que si no se trata de corregirlos abuso? que se observan dia útil proteger la propiedad, dando al labrador seguridad en, ria trien re en cuanto al trigo que viene de! extrangero,…</t>
  </si>
  <si>
    <t>…abra algunos otros señores diputados , se ANUNCIOS. procedió á la votación, y se aprobó la adición del señor Gaseo. Apuntes sobré el arresto de los vocales dé Cortes , egecu fa El Sr. Zapata presentó otra indicación relativa á que sé do en Mayo de 1814, escritos en la cárcel de la Corona por el pida por el Gobierno un breve general para que los expe diputado Villanueva, uno de los presos. Sé irá dando esta obra dientes de secularización de religi…</t>
  </si>
  <si>
    <t>…Villanueva. trucción , clases, ascensos y servicio A bordo. Se aprobó una indicación del Sr. Moreno Guerra, adi Capellanes. 24. ¿Si es absolutamente indispensable, cional á la del Sr. Zapata , para que el breve que se pidiera .i uti! y conveniente que haya un número permanente de ca Su Santidad , autorizando á los RR. arzobispos para secula pellanes para el servicio de los bajeles, acentúes y hospita rizar á las monjas, fuese también extensivo á…</t>
  </si>
  <si>
    <t>…ento corno un efecto de la obscu servándose para ea adelante el reclamar algunas otras pose ridad de las mismas, y se encargase la pronta formación del siones.” código militar. El Sr. Zapata hizo presente que bien conocieron los se El Sr. Navas manifestó que desde el arto de 181 o, en ñores diputados que formaron este artículo de la Constitu que se estableció la libertad de imprenta, es vocal de la jun ción el alto grado de las personas con quien…</t>
  </si>
  <si>
    <t>…ual plazo , pedia que se fijara es e del modo que se Las Cortes no admitieron á dheurion ni la adición que estimase útil al bien público. Las Cortes no tuvieron á bien presentó el Sr. Zapata a: art. í.\ ni la indicación del Sr. Loadmitido á discusión. renzana para que te ‘irvieran fijar la significación de la pa Se procedió á la lectura del art. 3.a, que dice asi: «En labra pueblo, contenida en el arr. 3.' ya aprobado, y se el pueblo donde el núm…</t>
  </si>
  <si>
    <t>…tamiento, y á costa del individuo á con desagrado la reprensible indiferencia y morosidad quien corresponda el servicio.” en que han caído muchos empleados residentes en la cor El Sr. Zapata opinó que debia ser á juicio del coman te, que en vez de correcponder con el exacto desempeño dante, y que el sustituto fuese También miliciano. Lo mis de sus deberes á la consideración de gratitud y de honor mo creyó el Sr. Golfín, y que se podria poner un s…</t>
  </si>
  <si>
    <t>…bia corrido su vida por la causa de la nación, exceptuadas en el artículo 2. ’, pueden dejar el servicioy manifestando que sin embargo vacilaba la opinión pública so estas dos del Sr. Zapata: 1.a «Que se determine po- quiéra bre su conducta política. Después de pedir el Sr. Zapata serán pagados Tos dos tambores y un pito que corresponde^ que se uniese á la exposición de López un extracto de su á cada compañía.” 2.a »Que„se fije el- tiempo que lia…</t>
  </si>
  <si>
    <t>…n dq dad que se hubiesen dado. poco ínteres. De todo se publicarán en adelante pormenores Se tuvo por proposición y primera lectura la de una in mas circunstanciados. dicación del Sr. Zapata, en que pedia se declarase que los ex-jesuitas tengan voto electivo y pasivo en las elecciones A R T IC ü «. O SE O FICI O. de diputados á Cortes. Se leyó por fin un oficio de la secretaría de Guerra, en ' Circular del tribunal especial de Guerra y Marina. qu…</t>
  </si>
  <si>
    <t>…Tomó la palabra elSr. presidente, como diputado, para Ig ámente qued '&gt; aprobado el artíc lo 4.0 desvanecer los escrúpulos que pudieran algunos tener en la Habiendo manifestado el Sr. Zapata convendria expre extinción de la Compañía de Jesús; haciendo ver que seria sar que las pensiones se paguen del fondo de temporalida en cierto modo proceder como cismáticos los españoles , si des , para no preci-ar á los obispos á que los mantengan, no atendié…</t>
  </si>
  <si>
    <t>…iles á la comisión de Instruc También se aprob) ei dictamen de las comisiones reuni ción pública! das de Guerra y Legislado 1, que debían examinar la duda Después de haber oído al Sr. Zapata , q&gt;&gt;e habí &gt; de la del Gobierno sobre el nombramiento del comándame de la necesidad de establecer esta enseñanza en todos los colegios, plaza de Ceuta. Este estaba reducido á que puesto c,ue, la y en todos los regimientos y batallones del reino , cora referi…</t>
  </si>
  <si>
    <t>…obre fomento del comercio. de otra de la misma na.uraleza, que habia presen ado un Al Gobierno una representación de D. N. Lorenzttna, alterez supernumerario de caballería Dijo el Sr. Zapata que presbítero . ‘obre la aclaración de cierta duda ; y una ins no era es;e negocio de la atribución de las Cortes, y que no tancia del ayuntamiento de la villa de Iznatovafe sobre se deliia deliberar sobre ello, sino pacarlo al Gobierno pasa perjuicios en la…</t>
  </si>
  <si>
    <t>…das. Polo y Monge; en Barcelona en la de Piferrer; en Valencia en Se leyó de nuevo el artículo, y se fueron aprobando la de Mallen , y en Pamplona en la de I.ongás. á petición del Sr. Zapata por partes las adiciones de la co Memoria sobre la epidemia de Andalucía del ano 1800 almisión. 839, por el Dr. D. Alonso de María, profesor en medicina y Después de aprobado el artículo pidió el Sr. Cepero que cirugía: un tomo en 4.°, á 1 5 rs. en rústica__…</t>
  </si>
  <si>
    <t>…ue se le Moreno Guerra para que se provean las plazas vacantes en yeron después de haber retirado la suya el Sr. Cepero. el Cornejo de Estado, y se repongan los que no hayan si El Sr. Zapata hizo dos indicaciones: r.J «Que las Cor do admitidos constitucionalmentc, ó no hayan merecido la tes declaren benemérito de la patria al general Porlier: i.* confianza de la Nación. «Que en su consecuencia pase esta resolución al Gobierno Se procedió á la dis…</t>
  </si>
  <si>
    <t>…que el Gobierno está prevenido, y no habia guientes. Palacio 29 de Agosto de 1820." tampoco motivo para tanta inquietud. El Sr. Florete Estra da habló en el mismo sentido; pero el Sr. Zapata tomó la La junta nacional del Crédito público, en cumplimien defensa de su indicación , y dijo que no podía extrañarse to de los artículos 6.a y 7.0 del decreto de las Cortes de 9 ue propusiera la suspensión de' las sesiones de unas socie- del pasado, señala…</t>
  </si>
  <si>
    <t>…, de comunidades de hospitalarios y de los de S. J„an que debería servirle de pauta en el encargo que &gt;e le confiaba. de Dios; la reforma y reunión de conventos é individuo^ de El Sr. Zapata, conviniendo en la indicación , pedia que las demas órdenes, exceptuando los escolapios y mi-ioneros se añadiera que el Gobierno d¿ cuenta á las Cortes de !o de Ui'.ramar hasta la decisión de los planes de instrucción que se está haciendo sobre este objeto; p…</t>
  </si>
  <si>
    <t>…., el subtenien ra la patria, y no podían elegir ni ser elegidos con los co te too, el sargento primero 40, el sargento segundo 18, nocimientos necesarios para el acierto; pero el Sr. Zapata el cabo primero ocho, eL cabo segundo cinco, y el solda replicó que se caminaba bajo un supuesto falso, porque los do, tambor, pito, corneta y trompeta tres rs. y 18 mrs. emigrados habian jurado la Constitución para obtener sus 2.0 Se concederá licencia tempo…</t>
  </si>
  <si>
    <t>…isfruten no respectivos extractos ó relaciones de méritos. rengan otra renta eclesiástica de que subsistir.” Este articulo se aprobó con la modificación propuesta ANUNCIOS. por el Sr. Zapata, en vez de la cláusula última , «otra ren Se halla vacante la plaza de preceptor de gramática de la ciu ta mavor ó equivalente: si fuese menor solo percibirá por dad de Tudela en Navarra: su dotación es de 4140 rs.vn. paga el Estado la diferencia entre esta y…</t>
  </si>
  <si>
    <t>…confianza pública ; y que para la calificación de los escritos dos desde que el autor presente por primera vez la obra.” bastaba solo un buen sentido común para conocer cuando El Sr. Zapata propuso que en vez de decir con su dic era injurioso ó subversivo, y que si el escrito sedicioso tamen se podría sustituir con sus observaciones'; é hizo era Jal que los jueces no lo conociesen, porque se necesita presente que en muchas ocasiones, por ser vol…</t>
  </si>
  <si>
    <t>…votación por partes el artículo, quedó aproba Se mandó pasar á la comisión la siguiente indicación do en su totalidad. del Sr. Sandino: «Que se añada al art. 3c3 que del mismo El Sr. Zapata hizo la siguiente adición: »Que declaren modo queda libre el autor de un papel contra algún parti las Cortes si las s itiras ó invectivas de que se habla en esta cular cuando egerza función pública, como en elecciones, ó parte han de dirigirse con ra la autor…</t>
  </si>
  <si>
    <t>…mas aumento que el de 10® reales, debiendo im en las 16 proposiciones anteriores.” portar poco la diferencia de nombres de algunos de sus in Leída la primera proposición , dijo el Sr. Zapata que le dividuos ; y probando su utilidad con respecto al segundo, parecía mucha fuerza la que se designaba : que creía debe no solo con lo que habia oido á muchos militares, sino con ría reducirse á la necesaria para la guarnición de las plazas el pronto desp…</t>
  </si>
  <si>
    <t>…tines de la Rosa que se leyeran las ob sentes las observaciones que se habían hecho, le arreglase. servaciones indicadas por la comisión , á lo que ce accedí-', Habiendo pedido el Sr. Zapata se declarase terminanre- habiendo hecho antes el Sr. presidente la advertencia de que ■ mente si debía ser en latín ó castellano la leyenda, se acor- se habia pasado ahora por muchas cosas, hijas del desorden ;• dó que fuese en castellano. anterior, d imposib…</t>
  </si>
  <si>
    <t>414 que esto no pertenecía sino al Gobierno, y otros á que se El Sr. Zapata, conceptuando que la contribución gene nombrase una comisión especial: habiéndose declarado el ral debia estar destinada á cubrir el déficit que resultase de punto suficientemente discutido, se declaró no haber nece los demas impuestos, opinó que debía ocupar…</t>
  </si>
  <si>
    <t>…miento de los jueces de hecho de otro medio me repongan los que vayan fallando.” jor que el propuesto por la comisión, y en parte ninguna No se admitió á discusión una adición del Sr. Zapata pueden aventajarnos en este pumo, si se exceptúan los Es at art. 37, que decia asi: «Podrán ser reelegidos los que no tados-Unidos, donde los jurados se sacan por suerte ; aun hayan egercido su cargo.” que este medio tiene sus dificultades, y no se puede adop…</t>
  </si>
  <si>
    <t>…scrito. calificarán el impreso, con arreglo á lo prescrito en el men Quedó aprobado después de algunas observaciones del cionado tít. 3.0, necesitándose á lo menos ocho votos para Sr. Zapata, contestadas por el Sr. Martínez de la Rosa, el calificar el escrito.” Propuso el Sr. Rovira que se exigiese la art. 50, que decía: «Procederá igualmente el juez á la ave unanimidad, y contestó el Sr. Martínez de la Rosa que es riguación de la persona que deb…</t>
  </si>
  <si>
    <t>…misión: otra del Sr. Carrasco al mismo artículo para que por los jueces de hecho y de derecho con arreglo áesta ley.” se impusiera un mes de prisión; no fue admitida : otra del El Sr. Zapata fe opuso á que los eclesiásticos fuesen juz Sr. Navas, pidiendo que en los artículos 14 y 15 se exclu gados por ¡os ¡ucees de hecho, perdiendo asi su fuero, y yesen los tres grados, y en los 21 y 22 las penas corres pidió que volviese á la comisión á fin de r…</t>
  </si>
  <si>
    <t>…evitar das en el tít. 3.0 de la ley de libertad de imprenta! Sí jure dudas, que no estaba sujeta á él la propiedad territorial. mos &amp;c." Después de una discusión, en que pidió el Sr. Zapata En la gaceta de ayer , col. 4.% lío. 16, dice: El tfel Sr. Ja que se señalaran los 25 millones á que le habia rebajado el vier &amp;c. Suprímase este voto. MADRID EN LA IMPRENTA NACIONAL.</t>
  </si>
  <si>
    <t>…les habían impuesto por las capellanías que La concurrencia del clero y ayuntamiento constitucio poseían.” nal y dé los señores oficiales, que en gran número asistie Otras dos del Sr. Zapata: i.a «Que los x25 millones ron con sus respectivos gefes, contribuyó á hacer mas no de reales y los 27 del derecho de puertas se repartan nue tables el desembarazo y soltura con que jóvenes aun de vamente en las provincias, pues de lo contrario estas solo tpu…</t>
  </si>
  <si>
    <t>…estancados, y pasar sus guna manera el empréstito , p- es el pueblo con razón ape fábricas á’ manos de particulares. drearía a los diputados que dejasen todos los males del an El Sr. Zapata, apoyando al Sr. preopinante, expaso tiguo sistema en los estancos, los del nuevo régimen en la que á pesar de los deseos dé la comisión, y de lo que de directa , y ademas un empréstito tan ruinoso: que era cía que se moderaran los precios de modo que no com…</t>
  </si>
  <si>
    <t>…n de la Península, acerca de sí los militares exma administrativo de esta renta.” trangeros podrían continuar actuando judicialmente según Tampoco se admitieron las siguientes del Sr. Zapata: prevenía la ordenanza. i.a «(.fue sin embargo de lo acordado sobre el tabaco, A la ordinaria de Hacienda y Comercio reunidas se desde el dia hasta t.° de Marzo se venda á los precios que. pasó el expediente seguido por la dirección general de Ha prefija la c…</t>
  </si>
  <si>
    <t>…e espolies, vacantes, medias anatas y mea ciones quedó aprobada la indicación. •' das eclesiásticas, de lo cual resulta el entorpecimiento de la No se admitió á discusión esta del Sr. Zapata: «Que jurisdicción quepor breves pontificios egercen con inhibición la dispema concedida á estos individuos se entienda en de todos- los tribunales y jueces, y grande morosidad en cuanto al tiempo de asistencia, sujetándose por tanto para las cobranzas, preci…</t>
  </si>
  <si>
    <t>…la opinión se algún tanto del texto de la ley. Conceptuó hallarse opues qjie presentaba la mayoría de la comisión. to al artículo 239 de la Constitución el medio conciliatorio Él Sr. Zapata consideró el asunso dividido en tres cues indicado por el Sr. Toreno si se les declaraba propietarios, tiones ; á saber: cuál debía ser el número de consejeros de y opinó que no se podía tomar otro que la interinidad que Estado; si habían de ser parte de este…</t>
  </si>
  <si>
    <t>…to de re.or de 1814, opinaban que debia establecerse en Vatladolid ina de regulares. el expresado depósito, con calidad de por ahora, y hasta Fue leída la indicación siguiente del Sr. Zapata : «Pido que tañ o que se vcrillca-e la división territorial de las prov.n- la comisión encargada de examinar el proyecto presentado cias; cuyo dictamen fue aprobado. por el ministerio para exterminio de maíhsi llores presente Igualmente se'aprobó el de la com…</t>
  </si>
  <si>
    <t>…país de premo, dispensador de todos ¡os bienes, vencerán todos los obstáculos, y desvanecerán todos los peligros. minas. El Sr. secretario'de Negocios interiores, í]ue se mani El Sr. Zapata apoyó el artículo , diciendo que el méto festó sumamente conmovido por este discurso , respondió do mejor de evitar las disputas escolásticas era hacer la en en una breve y elocuente arenga cjue lo harfa presente .4 señanza enteramente uniforme. jj. M. y a su…</t>
  </si>
  <si>
    <t>…cometan serán juzgados por la ju cienda, creia indispensable que ya que por ahora no se po risdicción ordinaria.” dían rectificar ios errores de los daros sobre que se estable El Sr. Zapata dijo que aumentándose los casos de desa ció el reparto, se egecurase á la mayor brevedad; á cu3-0 fuero, solo resultarían dudas y entorpecimientos, prescin fin habia formado un proyecto de instrucción ó reglamento diendo de que algunas veces seria inútil el q…</t>
  </si>
  <si>
    <t>Zapata, Baltasar</t>
  </si>
  <si>
    <t>Baltasar Zapata</t>
  </si>
  <si>
    <t>…oblación. cuyo rebultado, siendo feliz, enriquecería la farmacia con A la comisión de Agricultura se pasó una memoria de un febrífugo indígeno, que algunos países de Alemania lia» D. Baltasar Zapata sobre lanas finas, presentada por el se empleado ya en la medicina doméstica. ñor Sánchez Salvador. . Otra del Sr. Alvarez Sotomayor, para que en atención á haber cesado las circunstancias que probablemente influi rían en la suspensión expresada en el artícul…</t>
  </si>
  <si>
    <t>…. Nada mas justo y conforme á esta que proteger Se leyó otro dictamen de la comisión de Agricultura la libertad y los derechos de los ciudadanos en los casos y sobre la memoria de D. Baltasar Zapata, presentada por el reglas que sabiamente determina; mas también es justo con Sr. Sánchez Salvador, dirigida al fomento de las lanas y ga tener en los límites del deber las operaciones de los que for nado trashumante; y en el que ofrecía un proyecto de de mand…</t>
  </si>
  <si>
    <t>…e uso de ca tancias en. que se crearon; pero que en su concepto debie ballo padre y garañón, y otro acerca- de la memoria de ron haber imitado A la junta de Galicia; y concluyó pi D. Baltasar Zapata sobre el ganado trashumante; y para diendo que se tomate en consideración la indicación del se pasado mañana ía del ■ expediente sobre repartimiento de ñor Alvarez Guerra, reservándose la palabra para decir so baldío?. 1 , bre cuáles bases deberían continuar…</t>
  </si>
  <si>
    <t>…Sr. Castrillo, que proponía la con La misma habia pre entado Otro dictamen en i.° de Se servación de los conventos de nionges que se juzgaran úti tiembre eñ vista de la memoria de D. Baltasar Zapata so les en las provincias, y que en las reformas interviniese la bre los ganados trashumantes, y sobre medios de conseguir autoridad eclesi ¡stica en la parte que le correspondiese; y la mayor finura en nuestras lanas; y habiendo dado princi otro del Sr. Garel…</t>
  </si>
  <si>
    <t>Zapata, Baltasar Antonio</t>
  </si>
  <si>
    <t>Baltasar Antonio Zapata</t>
  </si>
  <si>
    <t>…eales. Total votar. 45.090,000 reales de vellón.” Se mandó pasar A la comisión de Agricultura con ur Concluida la lectura de este dictamen de la comisión de gencia una memoria de? D. Baltasar Antonio Zapata so Hacienda , dijo el Sr. Oliver que estaba muy bien que la co bre ganado lanar trashumante, presentada en la sesión del misión preparase estos trabajos para presentarlos A la deli 2 2 del pasado . con una proposición del Sr. Sánchez Salva beración de las Cor…</t>
  </si>
  <si>
    <t>Zappino, Manuel</t>
  </si>
  <si>
    <t>Manuel Zappino</t>
  </si>
  <si>
    <t>…e igual clase del egército Don Josef Cienfuegos , ambos ministros cesantes del extinguido Consejo supremo •de la Guerra ; y para la de gobernadores al teniente general-de egército Don Manuel Zappino, al ministro togado, también cesante como esté y los dos anteriores de dicho Consejo extinguido, D. Narciso de Heíedia y ai intenden te de egército D; Manuel Antonio de Echevarría; ademas del contador, te sorero y secretarlo, cuyas funciones desempeñará por a…</t>
  </si>
  <si>
    <t>Zarate, Joaquín Ortiz de</t>
  </si>
  <si>
    <t>Joaquín Ortiz de Zarate</t>
  </si>
  <si>
    <t>…bjetos que á los hospitales, hospicios, ca Sistema de organización de infantería y caballería muy sas de misericordia, niños expósitos y demas establecimien analítico, escrito por D. Joaquín Ortiz de Zarate, coronel tos de está clase á que están destinados estos caudales por de ingenieros. Jos breves de su concesión. Todo lo cual comunicamos á Proyecto sobre la dirección general de vestuario y mon V. E. para que sirviéndose ponerlo en noticia de S. M., ten tura,…</t>
  </si>
  <si>
    <t>Zayas</t>
  </si>
  <si>
    <t>…r lugar á la do por ninguna comisión, sino por un tribunal compe formación de causa. tente ; con lo que quiere decir que gozará de su fuero en Luego se leyó el voto particular del Sr. Zayas, que de cuanto á los tribunales, en cuanto á que todas las acciones cía verse en la necesidad de disentir del dictamen de la ma que cometa un militar sean juzgadas por un tribunal, mili yoría de las dos comisiones en el conflicto de dos leyes que tar , no por…</t>
  </si>
  <si>
    <t>…ueblos que hasta aquí han estado agregados, al par medidas, se lijara un término mas largo para aquellas pro tido, y cuto salario convencional será en aumento de dicha vincias. El Sr. Zayas manifestó que se reservaba hablar dotación, que ascenderá a 92) rs. poco mas ó menos. Los me de los inconvenientes que tiene el establecimiento de la mi moriales se dirigir ,n al ayuntamiento en todo el mes de Se-. licia en la ida de Cuba. El Sr. Palarea expu…</t>
  </si>
  <si>
    <t>…culados en echarlos por tierra, como pueden s.rlo ios que Durante este discurso volvió de palacio la comisión , y los poseen en sostenerlos. Luego dijo que en el estado actual el Sr. Zayas dijo que S. M. había mostrado recibir los c ade cosas, creía no ser oportuna la absoluta extinción de ma tro decretos con la benignidad que le caracteriza, á lo r¡ue yorazgos, y sí que seria preferible el que las reformas se respondió el Sr. presidente que no…</t>
  </si>
  <si>
    <t>. . 327el inspector, había desaparecido el espíritu de cuerpo. -que se estimen justas, un terreno útil solarftente para plan.Dijo el Sr. Zayas que no hay por que tener ese rezelo .tío de olivos. de injusticias, existiendo las hojas de servicio , y que era un A la de Infracciones una queja de los síndicos de la Hi temor de que se despojara á los oficiales de una cosa que en guera de la Serena contra…</t>
  </si>
  <si>
    <t>…de ahorro en los artículos á que este se habia re ma la dispo ieion adoptada en el decreto de regulares, para ferido. que estos pudieran obtener beneficios eclesiásticos, creia El Sr. Zayas, haciendo presente el miserable estado de preciso impedir que se diesen ordenes mayores en el clero las plazas fuerres, de las fábricas, armamento, y la nece secular, sol-re lo que pasó á extender una indicación. sidad de hacer acopios de maderas, hierro y de…</t>
  </si>
  <si>
    <t>…e 96. habia de expedir las cartas de ciudadano ; la que fue aprobada La segunda elección de diputado ultramarino recayó en Se aprobó el dictamen de la comisión segunda de Legis el señor Zayas por 67 votos de 112. lación , que opinaba debía aprobarse la venta hecha por Don La tercera de diputado peninsular recayó en el Sr. G¡- Josef Vázquez Franco, vecino de Molina de Aragón, de raldo por 8S votos de 1x2. una huerta vinculada, cuyos títulos de legi…</t>
  </si>
  <si>
    <t>Zayas, Josef de</t>
  </si>
  <si>
    <t>Josef de Zayas</t>
  </si>
  <si>
    <t>…Re* hatémdó &amp; bien nombrar para sus ayudantes de campo * -los. tenientes ¿generales d&gt;. -Francisco ballesteros y marques dé Campoverde; D. Juan Ó- Dono jó &gt; D. Pedro Vil tacampa y D. Josef de Zayas; á los ma riscales de campo D. Antonio Quiroga'y D. Rafael del Riego ; y sin que en ningún caso pueda hacer-egemplar, -yen atención á sus muy particulares ser» -viciost al brigadier conde de A!modof.'3r, capitán- general del cgército y pro vincia da Valencia;…</t>
  </si>
  <si>
    <t>Znyas</t>
  </si>
  <si>
    <t>Clemente xiv, y la ninguna formalidad con que se disol El Sr. Znyas dijo que quisiera no quedase tan vago el vió el cabildo de S. Isidro ; ppr último proponían las comi número de compañías; á lo q iC le con eraron los señores siones un proyecto de decreto, dividido en i o artículos O iroga y Pala rea ; y despees de haber habl…</t>
  </si>
  <si>
    <t>…a defender los hogares y términos de sus pueblos de los respectivos destinos. enemigos interiores ^ exteriores.” Para evitar la contiguación de este desorden se ha ser Preguntó el Sr. Znyas, si estando obligados ¡os indivi vido el Rey mandar que en el perentorio término de 1 j duos de la milicia nacional á defender sus bogares , se en días salgan de la corte, y marchen á los puntos de sus em tendía por esto que las milicias en una plaza sitiada…</t>
  </si>
  <si>
    <t>Zorrilla, Domingo</t>
  </si>
  <si>
    <t>Domingo Zorrilla</t>
  </si>
  <si>
    <t>…es del regimiento de Zara goza y realistas del valle del Maíz, mandados por el teniente de los primero» D. Manuel Lara, subiese á reconocer, la altura del.cerro del Oro, y&lt; que éb capitán D. Domingo Zorrilla, con lá caballería, costease su faldaseñalán doles el'parage donde debían reunirse, y hacer noche, si yo no me incorporaba con 20 caballos que tomé con el objeto de ver si daba alcance á la partida de rebeldes que había huido de nosotros con dirección al rio…</t>
  </si>
  <si>
    <t>…ro Agosto 2f dé 1819.=: Exorno. Sr. = Melchor Alvarez. = Excmo. Sr. virey conde del-Venadito.” Parte del coronel y comandante D. Josef Cristóbal Villaseñor. Con esta fecha digo al capitán D. Domingo Zorrilla, comandante del par tido de Rioverde, lo que á la letra copio. ,,Habiéndose concluido la pacificación de la Sierragorda, á cuyo interesante objeto fue vmd. destihada córela sección que formaban las -tropas de su mando, puede vmd. marcharse á su destino con el…</t>
  </si>
  <si>
    <t>Zu</t>
  </si>
  <si>
    <t>do ó preso por algún tribunal, solamente es un acusado de dehesas y otras heredades del campo ; y otra del Sr. Zu hasta que recae la sentenciapero algunos están empeñados bia sobre el mismo objeto, leida per primera vez'en la se-*, en persuadir que el hombre es criminal desde el momento sion del 1Se mandó pasar una y otra á la comjsion pri q te se le acusa. Esta es la do…</t>
  </si>
  <si>
    <t>Zuazo, Antonio</t>
  </si>
  <si>
    <t>Antonio Zuazo</t>
  </si>
  <si>
    <t>…lente. ha presentado, entregando al amor el producto' de,la edi Se dio cuenta de una exposición del mariscal de campo ción después de reintegrársela imprenta desu.primer coste.’', D. Antonio Zuazo, en que manifestaba .sus servicios, y pe Despee? de alguna discusión se acordó que los dos pro dia sede considerase abonado el año de aumento que se con yectos originales se quedasen .en la secretaría-, y tednsertasa cedió á los militares que se hallaron en l…</t>
  </si>
  <si>
    <t>Zubia</t>
  </si>
  <si>
    <t>…ron en la conocimiento de los intereses de la deuda de Holanda, res noche del 22 en la fragata de guerra la Constitución el Gefe pectivos á los seis años del Gobierno intruso; del Sr. Zubia, superior político D. Angel Josef de Soberon y el coman contrario á la resolución del tercer artículo del dictamen so dante general, nombrado por el nuevo Gobierno, el maris bre el reconocimiento de la misma; y de los Sres. Díaz cal de campo D. Juan Josef Ord…</t>
  </si>
  <si>
    <t>…mbién libremente los terrestres, Agustín Caminero para establecimiento de subgefes políticos. sin excepción ninguna, para evitar de esta manera los con Se leyó una proposición del Sr. Zubia para que el de tinuos pleitos que siempre ha habido entre los pescadores creto de 8 de Junio de 18x3, especialmente desde el artí matriculados y los de tierra, especialmente en los pueblos culo 2.0 hasta el 7.0 inclusive, sea extensivo á los arrenda de Asturi…</t>
  </si>
  <si>
    <t>…Rosa y Priego. remitía el ministerio de Hacienda para que se acordase una Se leyó por primera vez una proposición del Sr. Cres medida genera!. po, semejante á la que hizo ayer el Sr. Zubia, sobre ios ar A la segunda de Legislación una exposición remitida rendamientos de casas. por el ministerio de Gracia y Justicia de un comerciante La‘ Corres quedaron enteradas de un oficio del Sr. mi de Málaga, natural de Francia, solicitando carta de ciu nis…</t>
  </si>
  <si>
    <t>Zubiaurrey, Manuel Joaquín</t>
  </si>
  <si>
    <t>Manuel Joaquín Zubiaurrey</t>
  </si>
  <si>
    <t>…e Diciembre de dito público ¿rr. 1737 y D. Frrnando vii en 27 de Junio de 1814, con in VALLADOLID. serción de privilegios, y la provisión de 9 de Julio de i8j8 , que Capellanía de D. Manuel Joaquín Zubiaurrey sn mnger. contiene las alteraciones hechas á solicitud del mismo consula Una casa, calle de Zúñiga, núm. 31. do y comercio sobre los m'uns. 3. , 5.", 8 ", 9.“, 16. y 23. det PAMPLONA. cap. 2.J, el núm. 16 del cap. j.°, y los núms. 6C y y.’ del ca Capellanía d…</t>
  </si>
  <si>
    <t>Zunga</t>
  </si>
  <si>
    <t>…. curado formar partido entre los griegos, ofreciendo á sus gefes dividir con ellos el mando y sus tesoros, porque la Vi? na i.° de Julio. mala fe de Ali es demasiado conocida. El capitán Zunga, SS. MM. II. permanecen en Presburgo, y no se les es con una numerosa división de soldados griegos , ha abando pera en Viena de vuelta de la Alta Austria hasta el dia to nado su partido ; y se asegura que consternado Ali, se dis ó 12 de este mes.' pone á reti…</t>
  </si>
  <si>
    <t>Zuñiga, Luís</t>
  </si>
  <si>
    <t>Luís Zuñiga</t>
  </si>
  <si>
    <t>…ombrado el Hatillo, donde se hallaban Josef Andrés y Francisco Moren haciendo cartuchos con Ta pólvora y balas que lo graron sacar de la plaza, y les había remitido para el efecto D. Luís Zuñiga, que existía en ella con este objeto y el de espiar al enemigo. ,, Inmediatamente dispuse remitir tres individuos á los puntos en que es taba informado haber alguna gente, dándoles orden se me reuniesen á la ma ñana siguiente, y previniendo á los Moreus se tr…</t>
  </si>
  <si>
    <t>Züñiga, Luis</t>
  </si>
  <si>
    <t>Luis Züñiga</t>
  </si>
  <si>
    <t>…rché de. aquel sitio,, eosteáiíd.Qi^n.t&amp;’^telIos Jos gastos que se hicieron, y acompañándome el primero y últuriO: con ¡el obrje.to de estimular á los demas. Asimismo recomiendo á D. Luis Züñiga, al presbítero D. Francisco Garavito * Josef Andrés y ^.Francisco; Moren,,y Blas Válverde; pues este y JZúñiga ’ no solo &gt;se! hállacpny portaron bien* en-la ac-</t>
  </si>
  <si>
    <t>Zurita, Gabriel Simó</t>
  </si>
  <si>
    <t>Gabriel Simó Zurita</t>
  </si>
  <si>
    <t>…l alma cén de papel y estampas de Esparza , call^ de la Concepción Gerónima. Catecismo histórico ó¡ compendio deHeología dogmático-moral, coloquios en ver so castellano por el Dr. D. Gabriel Simó Zurita, cura propio de Vclez-Rubio. Se hallará en las librerías de Barco, calle de las Carretas, de Villa, plazuela de Sto, Do mingo, y de Barco * calle de la Cruz: dos tomos ea 12.°, i 16 rs. en pasta y 12 ea rústica. SUPLEMENTO</t>
  </si>
  <si>
    <t>Zurlo, Josef</t>
  </si>
  <si>
    <t>Josef Zurlo</t>
  </si>
  <si>
    <t>…eneral Carrascosa ministro interino de SS. A A., continúan sin la menor novedad en su imporla Guerra; al caballero D. Luis Macedonio ministro inte tante salud.rino de Hacienda; al conde D. Josef Zurlo ministro de Negocios extrangeros, y al caballero D. Rugiero Settimo CORTES. ministro de Marina. ' En el mismo dia 9 se publicó otro decreto, creando una Sesión del 3 de Agosto. Junta provisional de r &lt; personas, y nombrando para ella Se leyó el acta de la ses…</t>
  </si>
  <si>
    <t>Zweyer</t>
  </si>
  <si>
    <t>…debo poblar de delatores mi gabinete secreto, haciendo campo duque de Civitelli, y para la de Aquila al mariscal llegar á mí la verdad por el conducto de la infamia. No, de campo barón Zweyer. Ha hecho ademas otros varios ciudadanos; no es e&gt;-te el ministerio á que he sido llamado. nombramientos de igual clase. Súbditos y Soberanos alternativamente, legisladores y súb Por otro de la misma fecha ha decretado el Príncipe ditos á la disposición de la…</t>
  </si>
  <si>
    <t>Fuentes oficiales y criterio de elaboración · 1820</t>
  </si>
  <si>
    <t>288 archivos · 1479 páginas · enlaces al facsímil oficial</t>
  </si>
  <si>
    <t>Archivo</t>
  </si>
  <si>
    <t>Páginas PDF</t>
  </si>
  <si>
    <t>Registros del índice</t>
  </si>
  <si>
    <t>Facsímil completo</t>
  </si>
  <si>
    <t>GMD-1820-1.pdf</t>
  </si>
  <si>
    <t>GMD-1820-2.pdf</t>
  </si>
  <si>
    <t>GMD-1820-3.pdf</t>
  </si>
  <si>
    <t>GMD-1820-4.pdf</t>
  </si>
  <si>
    <t>GMD-1820-5.pdf</t>
  </si>
  <si>
    <t>GMD-1820-6.pdf</t>
  </si>
  <si>
    <t>GMD-1820-7.pdf</t>
  </si>
  <si>
    <t>GMD-1820-8.pdf</t>
  </si>
  <si>
    <t>GMD-1820-9.pdf</t>
  </si>
  <si>
    <t>GMD-1820-10.pdf</t>
  </si>
  <si>
    <t>GMD-1820-11.pdf</t>
  </si>
  <si>
    <t>GMD-1820-12.pdf</t>
  </si>
  <si>
    <t>GMD-1820-13.pdf</t>
  </si>
  <si>
    <t>GMD-1820-14.pdf</t>
  </si>
  <si>
    <t>GMD-1820-15.pdf</t>
  </si>
  <si>
    <t>GMD-1820-16.pdf</t>
  </si>
  <si>
    <t>GMD-1820-17.pdf</t>
  </si>
  <si>
    <t>GMD-1820-18.pdf</t>
  </si>
  <si>
    <t>GMD-1820-19.pdf</t>
  </si>
  <si>
    <t>GMD-1820-20.pdf</t>
  </si>
  <si>
    <t>GMD-1820-21.pdf</t>
  </si>
  <si>
    <t>GMD-1820-22.pdf</t>
  </si>
  <si>
    <t>GMD-1820-23.pdf</t>
  </si>
  <si>
    <t>GMD-1820-24.pdf</t>
  </si>
  <si>
    <t>GMD-1820-25.pdf</t>
  </si>
  <si>
    <t>GMD-1820-26.pdf</t>
  </si>
  <si>
    <t>GMD-1820-27.pdf</t>
  </si>
  <si>
    <t>GMD-1820-28.pdf</t>
  </si>
  <si>
    <t>GMD-1820-29.pdf</t>
  </si>
  <si>
    <t>Gaceta de Madrid n.º 30 (extraordinaria)</t>
  </si>
  <si>
    <t>GMD-1820-30E.pdf</t>
  </si>
  <si>
    <t>Gaceta de Madrid n.º 31 (extraordinaria)</t>
  </si>
  <si>
    <t>GMD-1820-31E.pdf</t>
  </si>
  <si>
    <t>GMD-1820-32.pdf</t>
  </si>
  <si>
    <t>GMD-1820-33E.pdf</t>
  </si>
  <si>
    <t>GMD-1820-34E.pdf</t>
  </si>
  <si>
    <t>GMD-1820-35E.pdf</t>
  </si>
  <si>
    <t>GMD-1820-36.pdf</t>
  </si>
  <si>
    <t>Gaceta de Madrid n.º 37 (extraordinaria)</t>
  </si>
  <si>
    <t>GMD-1820-37E.pdf</t>
  </si>
  <si>
    <t>GMD-1820-38E.pdf</t>
  </si>
  <si>
    <t>GMD-1820-39.pdf</t>
  </si>
  <si>
    <t>GMD-1820-40E.pdf</t>
  </si>
  <si>
    <t>GMD-1820-41E.pdf</t>
  </si>
  <si>
    <t>GMD-1820-42.pdf</t>
  </si>
  <si>
    <t>GMD-1820-43E.pdf</t>
  </si>
  <si>
    <t>GMD-1820-44.pdf</t>
  </si>
  <si>
    <t>GMD-1820-45E.pdf</t>
  </si>
  <si>
    <t>GMD-1820-47E.pdf</t>
  </si>
  <si>
    <t>GMD-1820-46.pdf</t>
  </si>
  <si>
    <t>GMD-1820-48E.pdf</t>
  </si>
  <si>
    <t>GMD-1820-49E.pdf</t>
  </si>
  <si>
    <t>GMD-1820-50E.pdf</t>
  </si>
  <si>
    <t>GMD-1820-51.pdf</t>
  </si>
  <si>
    <t>GMD-1820-52E.pdf</t>
  </si>
  <si>
    <t>GMD-1820-53.pdf</t>
  </si>
  <si>
    <t>GMD-1820-54E.pdf</t>
  </si>
  <si>
    <t>GMD-1820-55E.pdf</t>
  </si>
  <si>
    <t>GMD-1820-56.pdf</t>
  </si>
  <si>
    <t>Gaceta de Madrid n.º 57 (extraordinaria)</t>
  </si>
  <si>
    <t>GMD-1820-57E.pdf</t>
  </si>
  <si>
    <t>GMD-1820-58.pdf</t>
  </si>
  <si>
    <t>GMD-1820-59.pdf</t>
  </si>
  <si>
    <t>GMD-1820-60.pdf</t>
  </si>
  <si>
    <t>GMD-1820-61E.pdf</t>
  </si>
  <si>
    <t>GMD-1820-62.pdf</t>
  </si>
  <si>
    <t>GMD-1820-63.pdf</t>
  </si>
  <si>
    <t>GMD-1820-64.pdf</t>
  </si>
  <si>
    <t>GMD-1820-65.pdf</t>
  </si>
  <si>
    <t>GMD-1820-66.pdf</t>
  </si>
  <si>
    <t>GMD-1820-67.pdf</t>
  </si>
  <si>
    <t>GMD-1820-68.pdf</t>
  </si>
  <si>
    <t>GMD-1820-69.pdf</t>
  </si>
  <si>
    <t>GMD-1820-70.pdf</t>
  </si>
  <si>
    <t>GMD-1820-71E.pdf</t>
  </si>
  <si>
    <t>GMD-1820-72.pdf</t>
  </si>
  <si>
    <t>GMD-1820-73.pdf</t>
  </si>
  <si>
    <t>GMD-1820-74.pdf</t>
  </si>
  <si>
    <t>GMD-1820-75.pdf</t>
  </si>
  <si>
    <t>GMD-1820-76.pdf</t>
  </si>
  <si>
    <t>GMD-1820-77.pdf</t>
  </si>
  <si>
    <t>GMD-1820-78.pdf</t>
  </si>
  <si>
    <t>GMD-1820-79.pdf</t>
  </si>
  <si>
    <t>GMD-1820-80.pdf</t>
  </si>
  <si>
    <t>GMD-1820-81E.pdf</t>
  </si>
  <si>
    <t>GMD-1820-82.pdf</t>
  </si>
  <si>
    <t>GMD-1820-83.pdf</t>
  </si>
  <si>
    <t>GMD-1820-84.pdf</t>
  </si>
  <si>
    <t>GMD-1820-85.pdf</t>
  </si>
  <si>
    <t>GMD-1820-86.pdf</t>
  </si>
  <si>
    <t>GMD-1820-87.pdf</t>
  </si>
  <si>
    <t>GMD-1820-88.pdf</t>
  </si>
  <si>
    <t>GMD-1820-89.pdf</t>
  </si>
  <si>
    <t>GMD-1820-90.pdf</t>
  </si>
  <si>
    <t>GMD-1820-91.pdf</t>
  </si>
  <si>
    <t>GMD-1820-92.pdf</t>
  </si>
  <si>
    <t>GMD-1820-93.pdf</t>
  </si>
  <si>
    <t>GMD-1820-94.pdf</t>
  </si>
  <si>
    <t>GMD-1820-95.pdf</t>
  </si>
  <si>
    <t>GMD-1820-96.pdf</t>
  </si>
  <si>
    <t>GMD-1820-97.pdf</t>
  </si>
  <si>
    <t>GMD-1820-98.pdf</t>
  </si>
  <si>
    <t>GMD-1820-99.pdf</t>
  </si>
  <si>
    <t>GMD-1820-100.pdf</t>
  </si>
  <si>
    <t>GGB-1820-1.pdf</t>
  </si>
  <si>
    <t>GGB-1820-2.pdf</t>
  </si>
  <si>
    <t>GGB-1820-3.pdf</t>
  </si>
  <si>
    <t>GGB-1820-4.pdf</t>
  </si>
  <si>
    <t>GGB-1820-5.pdf</t>
  </si>
  <si>
    <t>GGB-1820-6.pdf</t>
  </si>
  <si>
    <t>GGB-1820-7E.pdf</t>
  </si>
  <si>
    <t>GGB-1820-8.pdf</t>
  </si>
  <si>
    <t>GGB-1820-9.pdf</t>
  </si>
  <si>
    <t>GGB-1820-10.pdf</t>
  </si>
  <si>
    <t>GGB-1820-11.pdf</t>
  </si>
  <si>
    <t>GGB-1820-12E.pdf</t>
  </si>
  <si>
    <t>GGB-1820-13.pdf</t>
  </si>
  <si>
    <t>GGB-1820-14.pdf</t>
  </si>
  <si>
    <t>GGB-1820-15.pdf</t>
  </si>
  <si>
    <t>GGB-1820-16.pdf</t>
  </si>
  <si>
    <t>GGB-1820-17.pdf</t>
  </si>
  <si>
    <t>GGB-1820-18.pdf</t>
  </si>
  <si>
    <t>GGB-1820-19.pdf</t>
  </si>
  <si>
    <t>GGB-1820-20.pdf</t>
  </si>
  <si>
    <t>GGB-1820-21.pdf</t>
  </si>
  <si>
    <t>GGB-1820-22.pdf</t>
  </si>
  <si>
    <t>GGB-1820-23.pdf</t>
  </si>
  <si>
    <t>GGB-1820-24.pdf</t>
  </si>
  <si>
    <t>GGB-1820-25.pdf</t>
  </si>
  <si>
    <t>GGB-1820-26.pdf</t>
  </si>
  <si>
    <t>GGB-1820-27.pdf</t>
  </si>
  <si>
    <t>GGB-1820-28.pdf</t>
  </si>
  <si>
    <t>GGB-1820-29.pdf</t>
  </si>
  <si>
    <t>GGB-1820-30.pdf</t>
  </si>
  <si>
    <t>GGB-1820-31.pdf</t>
  </si>
  <si>
    <t>GGB-1820-32.pdf</t>
  </si>
  <si>
    <t>GGB-1820-33.pdf</t>
  </si>
  <si>
    <t>GGB-1820-34.pdf</t>
  </si>
  <si>
    <t>GGB-1820-35.pdf</t>
  </si>
  <si>
    <t>GGB-1820-36.pdf</t>
  </si>
  <si>
    <t>GGB-1820-37.pdf</t>
  </si>
  <si>
    <t>GGB-1820-38.pdf</t>
  </si>
  <si>
    <t>GGB-1820-39.pdf</t>
  </si>
  <si>
    <t>GGB-1820-40.pdf</t>
  </si>
  <si>
    <t>GGB-1820-41.pdf</t>
  </si>
  <si>
    <t>GGB-1820-42.pdf</t>
  </si>
  <si>
    <t>GGB-1820-43.pdf</t>
  </si>
  <si>
    <t>GGB-1820-44.pdf</t>
  </si>
  <si>
    <t>GGB-1820-45.pdf</t>
  </si>
  <si>
    <t>GGB-1820-46.pdf</t>
  </si>
  <si>
    <t>GGB-1820-47.pdf</t>
  </si>
  <si>
    <t>GGB-1820-48.pdf</t>
  </si>
  <si>
    <t>GGB-1820-49.pdf</t>
  </si>
  <si>
    <t>GGB-1820-50.pdf</t>
  </si>
  <si>
    <t>GGB-1820-51.pdf</t>
  </si>
  <si>
    <t>GGB-1820-52.pdf</t>
  </si>
  <si>
    <t>GGB-1820-53.pdf</t>
  </si>
  <si>
    <t>GGB-1820-54.pdf</t>
  </si>
  <si>
    <t>GGB-1820-55.pdf</t>
  </si>
  <si>
    <t>GGB-1820-56.pdf</t>
  </si>
  <si>
    <t>GGB-1820-57.pdf</t>
  </si>
  <si>
    <t>GGB-1820-58.pdf</t>
  </si>
  <si>
    <t>GGB-1820-59.pdf</t>
  </si>
  <si>
    <t>GGB-1820-60.pdf</t>
  </si>
  <si>
    <t>GGB-1820-61.pdf</t>
  </si>
  <si>
    <t>GGB-1820-62.pdf</t>
  </si>
  <si>
    <t>GGB-1820-63.pdf</t>
  </si>
  <si>
    <t>GGB-1820-64.pdf</t>
  </si>
  <si>
    <t>GGB-1820-65.pdf</t>
  </si>
  <si>
    <t>GGB-1820-66.pdf</t>
  </si>
  <si>
    <t>GGB-1820-67.pdf</t>
  </si>
  <si>
    <t>GGB-1820-68.pdf</t>
  </si>
  <si>
    <t>GGB-1820-69.pdf</t>
  </si>
  <si>
    <t>GGB-1820-70.pdf</t>
  </si>
  <si>
    <t>GGB-1820-71.pdf</t>
  </si>
  <si>
    <t>GGB-1820-72.pdf</t>
  </si>
  <si>
    <t>GGB-1820-73.pdf</t>
  </si>
  <si>
    <t>GGB-1820-74.pdf</t>
  </si>
  <si>
    <t>GGB-1820-75.pdf</t>
  </si>
  <si>
    <t>GGB-1820-76.pdf</t>
  </si>
  <si>
    <t>GGB-1820-77.pdf</t>
  </si>
  <si>
    <t>GGB-1820-78.pdf</t>
  </si>
  <si>
    <t>GGB-1820-79.pdf</t>
  </si>
  <si>
    <t>GGB-1820-80.pdf</t>
  </si>
  <si>
    <t>GGB-1820-81.pdf</t>
  </si>
  <si>
    <t>GGB-1820-82.pdf</t>
  </si>
  <si>
    <t>GGB-1820-83.pdf</t>
  </si>
  <si>
    <t>GGB-1820-84.pdf</t>
  </si>
  <si>
    <t>GGB-1820-85.pdf</t>
  </si>
  <si>
    <t>GGB-1820-86.pdf</t>
  </si>
  <si>
    <t>GGB-1820-87.pdf</t>
  </si>
  <si>
    <t>GGB-1820-88.pdf</t>
  </si>
  <si>
    <t>GGB-1820-89.pdf</t>
  </si>
  <si>
    <t>GGB-1820-90.pdf</t>
  </si>
  <si>
    <t>GGB-1820-91.pdf</t>
  </si>
  <si>
    <t>GGB-1820-92.pdf</t>
  </si>
  <si>
    <t>GGB-1820-93.pdf</t>
  </si>
  <si>
    <t>GGB-1820-94.pdf</t>
  </si>
  <si>
    <t>GGB-1820-95.pdf</t>
  </si>
  <si>
    <t>GGB-1820-96.pdf</t>
  </si>
  <si>
    <t>GGB-1820-97.pdf</t>
  </si>
  <si>
    <t>GGB-1820-98.pdf</t>
  </si>
  <si>
    <t>GGB-1820-99.pdf</t>
  </si>
  <si>
    <t>GGB-1820-100.pdf</t>
  </si>
  <si>
    <t>GGB-1820-101.pdf</t>
  </si>
  <si>
    <t>GGB-1820-102.pdf</t>
  </si>
  <si>
    <t>GGB-1820-103.pdf</t>
  </si>
  <si>
    <t>GGB-1820-104.pdf</t>
  </si>
  <si>
    <t>GGB-1820-105.pdf</t>
  </si>
  <si>
    <t>GGB-1820-106.pdf</t>
  </si>
  <si>
    <t>GGB-1820-107.pdf</t>
  </si>
  <si>
    <t>GGB-1820-108.pdf</t>
  </si>
  <si>
    <t>GGB-1820-109.pdf</t>
  </si>
  <si>
    <t>GGB-1820-110.pdf</t>
  </si>
  <si>
    <t>GGB-1820-111.pdf</t>
  </si>
  <si>
    <t>GGB-1820-112.pdf</t>
  </si>
  <si>
    <t>GGB-1820-113.pdf</t>
  </si>
  <si>
    <t>GGB-1820-114.pdf</t>
  </si>
  <si>
    <t>GGB-1820-115.pdf</t>
  </si>
  <si>
    <t>GGB-1820-116.pdf</t>
  </si>
  <si>
    <t>GGB-1820-117.pdf</t>
  </si>
  <si>
    <t>GGB-1820-118.pdf</t>
  </si>
  <si>
    <t>GGB-1820-119.pdf</t>
  </si>
  <si>
    <t>GGB-1820-120.pdf</t>
  </si>
  <si>
    <t>GGB-1820-121.pdf</t>
  </si>
  <si>
    <t>GGB-1820-122.pdf</t>
  </si>
  <si>
    <t>GGB-1820-123.pdf</t>
  </si>
  <si>
    <t>GGB-1820-124.pdf</t>
  </si>
  <si>
    <t>GGB-1820-125.pdf</t>
  </si>
  <si>
    <t>GGB-1820-126.pdf</t>
  </si>
  <si>
    <t>GGB-1820-127.pdf</t>
  </si>
  <si>
    <t>GGB-1820-128.pdf</t>
  </si>
  <si>
    <t>GGB-1820-129.pdf</t>
  </si>
  <si>
    <t>GGB-1820-130.pdf</t>
  </si>
  <si>
    <t>GGB-1820-131.pdf</t>
  </si>
  <si>
    <t>GGB-1820-132.pdf</t>
  </si>
  <si>
    <t>GGB-1820-133.pdf</t>
  </si>
  <si>
    <t>GGB-1820-134.pdf</t>
  </si>
  <si>
    <t>Gaceta del Gobierno n.º 135 (extraordinaria)</t>
  </si>
  <si>
    <t>GGB-1820-135E.pdf</t>
  </si>
  <si>
    <t>GGB-1820-136.pdf</t>
  </si>
  <si>
    <t>GGB-1820-137.pdf</t>
  </si>
  <si>
    <t>GGB-1820-138.pdf</t>
  </si>
  <si>
    <t>GGB-1820-139.pdf</t>
  </si>
  <si>
    <t>GGB-1820-140.pdf</t>
  </si>
  <si>
    <t>GGB-1820-141.pdf</t>
  </si>
  <si>
    <t>GGB-1820-142.pdf</t>
  </si>
  <si>
    <t>GGB-1820-143.pdf</t>
  </si>
  <si>
    <t>GGB-1820-144.pdf</t>
  </si>
  <si>
    <t>Gaceta del Gobierno n.º 145 (extraordinaria)</t>
  </si>
  <si>
    <t>GGB-1820-145E.pdf</t>
  </si>
  <si>
    <t>GGB-1820-146.pdf</t>
  </si>
  <si>
    <t>GGB-1820-147.pdf</t>
  </si>
  <si>
    <t>GGB-1820-148.pdf</t>
  </si>
  <si>
    <t>GGB-1820-149.pdf</t>
  </si>
  <si>
    <t>GGB-1820-150.pdf</t>
  </si>
  <si>
    <t>GGB-1820-151.pdf</t>
  </si>
  <si>
    <t>GGB-1820-152.pdf</t>
  </si>
  <si>
    <t>GGB-1820-153.pdf</t>
  </si>
  <si>
    <t>GGB-1820-154.pdf</t>
  </si>
  <si>
    <t>GGB-1820-155.pdf</t>
  </si>
  <si>
    <t>GGB-1820-156.pdf</t>
  </si>
  <si>
    <t>GGB-1820-157.pdf</t>
  </si>
  <si>
    <t>GGB-1820-158.pdf</t>
  </si>
  <si>
    <t>GGB-1820-159.pdf</t>
  </si>
  <si>
    <t>GGB-1820-160.pdf</t>
  </si>
  <si>
    <t>GGB-1820-161.pdf</t>
  </si>
  <si>
    <t>GGB-1820-162.pdf</t>
  </si>
  <si>
    <t>GGB-1820-163.pdf</t>
  </si>
  <si>
    <t>GGB-1820-164.pdf</t>
  </si>
  <si>
    <t>GGB-1820-165.pdf</t>
  </si>
  <si>
    <t>GGB-1820-166.pdf</t>
  </si>
  <si>
    <t>GGB-1820-167.pdf</t>
  </si>
  <si>
    <t>GGB-1820-168.pdf</t>
  </si>
  <si>
    <t>GGB-1820-169.pdf</t>
  </si>
  <si>
    <t>GGB-1820-170.pdf</t>
  </si>
  <si>
    <t>GGB-1820-171.pdf</t>
  </si>
  <si>
    <t>GGB-1820-172.pdf</t>
  </si>
  <si>
    <t>GGB-1820-173.pdf</t>
  </si>
  <si>
    <t>GGB-1820-174.pdf</t>
  </si>
  <si>
    <t>GGB-1820-175.pdf</t>
  </si>
  <si>
    <t>GGB-1820-176.pdf</t>
  </si>
  <si>
    <t>GGB-1820-177.pdf</t>
  </si>
  <si>
    <t>GGB-1820-178.pdf</t>
  </si>
  <si>
    <t>GGB-1820-179.pdf</t>
  </si>
  <si>
    <t>GGB-1820-180.pdf</t>
  </si>
  <si>
    <t>GGB-1820-181.pdf</t>
  </si>
  <si>
    <t>GGB-1820-182.pdf</t>
  </si>
  <si>
    <t>GGB-1820-183.pdf</t>
  </si>
  <si>
    <t>GGB-1820-184.pdf</t>
  </si>
  <si>
    <t>GGB-1820-185.pdf</t>
  </si>
  <si>
    <t>GGB-1820-186.pdf</t>
  </si>
  <si>
    <t>GGB-1820-187.pdf</t>
  </si>
  <si>
    <t>GGB-1820-188.pdf</t>
  </si>
  <si>
    <t>Criterios, alcance y limitaciones</t>
  </si>
  <si>
    <t>Cobertura</t>
  </si>
  <si>
    <t>Se incluyen los 288 archivos localizados en la hemeroteca oficial entre el 1 de enero y el 31 de diciembre de 1820, incluidas 26 ediciones extraordinarias.</t>
  </si>
  <si>
    <t>Cabeceras</t>
  </si>
  <si>
    <t>Gaceta de Madrid (100 archivos); Gaceta del Gobierno (188 archivos).</t>
  </si>
  <si>
    <t>Numeración</t>
  </si>
  <si>
    <t>La numeración y las 26 ediciones extraordinarias se distinguen en la columna de publicación.</t>
  </si>
  <si>
    <t>Inclusión</t>
  </si>
  <si>
    <t>Se recogen nombres propios detectados tras tratamientos, cargos y títulos. Una misma persona puede aparecer varias veces en una página cuando el OCR ofrece variantes; dentro de cada página se eliminan duplicados idénticos.</t>
  </si>
  <si>
    <t>Orden</t>
  </si>
  <si>
    <t>La primera columna propone un orden por apellido estimado. En nombres extranjeros, nobiliarios o deteriorados por el OCR, el orden puede no coincidir con el uso catalográfico.</t>
  </si>
  <si>
    <t>Se muestra la página impresa cuando el encabezado pudo leerse con suficiente claridad; en caso contrario se indica la página interna del PDF.</t>
  </si>
  <si>
    <t>Enlaces</t>
  </si>
  <si>
    <t>Cada registro abre directamente el PDF oficial en la página interna correspondiente; la hoja de fuentes enlaza también el documento completo.</t>
  </si>
  <si>
    <t>OCR</t>
  </si>
  <si>
    <t>La ortografía histórica y los defectos de impresión producen variantes, cortes y errores. El extracto original permite valorar cada lectura sin ocultar esa incertidumbre.</t>
  </si>
  <si>
    <t>Uso recomendado</t>
  </si>
  <si>
    <t>Para citas académicas, jurídicas o genealógicas, comprobar siempre nombre, fecha y página en el facsímil enlazado.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</si>
</sst>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 &quot;de&quot;\ mmmm\ &quot;de&quot;\ yyyy"/>
  </numFmts>
  <fonts count="11">
    <font>
      <sz val="11"/>
      <name val="Carlito"/>
    </font>
    <font>
      <b/>
      <sz val="18"/>
      <color rgb="FFFFFFFF"/>
      <name val="Calibri"/>
      <family val="2"/>
    </font>
    <font>
      <sz val="11"/>
      <color rgb="FF1F1F1F"/>
      <name val="Calibri"/>
      <family val="2"/>
    </font>
    <font>
      <b/>
      <sz val="10"/>
      <color rgb="FF7F6000"/>
      <name val="Calibri"/>
      <family val="2"/>
    </font>
    <font>
      <b/>
      <sz val="10"/>
      <color rgb="FF375623"/>
      <name val="Calibri"/>
      <family val="2"/>
    </font>
    <font>
      <b/>
      <sz val="10"/>
      <color rgb="FFFFFFFF"/>
      <name val="Calibri"/>
      <family val="2"/>
    </font>
    <font>
      <sz val="9"/>
      <name val="Calibri"/>
      <family val="2"/>
    </font>
    <font>
      <sz val="11"/>
      <name val="Calibri"/>
      <family val="2"/>
    </font>
    <font>
      <b/>
      <sz val="11"/>
      <color rgb="FFFFFFFF"/>
      <name val="Arial"/>
      <family val="2"/>
    </font>
    <font>
      <b/>
      <sz val="10"/>
      <color rgb="FF1F4E78"/>
      <name val="Arial"/>
      <family val="2"/>
    </font>
    <font>
      <sz val="10"/>
      <color rgb="FF000000"/>
      <name val="Arial"/>
      <family val="2"/>
    </font>
  </fonts>
  <fills count="10">
    <fill>
      <patternFill patternType="none"/>
    </fill>
    <fill>
      <patternFill patternType="gray125"/>
    </fill>
    <fill>
      <patternFill patternType="solid">
        <fgColor rgb="FF1F4E78"/>
      </patternFill>
    </fill>
    <fill>
      <patternFill patternType="solid">
        <fgColor rgb="FFD9EAF7"/>
      </patternFill>
    </fill>
    <fill>
      <patternFill patternType="solid">
        <fgColor rgb="FFFFF2CC"/>
      </patternFill>
    </fill>
    <fill>
      <patternFill patternType="solid">
        <fgColor rgb="FFE2F0D9"/>
      </patternFill>
    </fill>
    <fill>
      <patternFill patternType="solid">
        <fgColor rgb="FF4472C4"/>
      </patternFill>
    </fill>
    <fill>
      <patternFill patternType="solid">
        <fgColor rgb="FF4472C4"/>
      </patternFill>
    </fill>
    <fill>
      <patternFill patternType="solid">
        <fgColor rgb="FFDDEBF7"/>
      </patternFill>
    </fill>
    <fill>
      <patternFill patternType="solid">
        <fgColor rgb="FFFFFFFF"/>
      </patternFill>
    </fill>
  </fills>
  <borders count="5">
    <border>
      <left/>
      <right/>
      <top/>
      <bottom/>
      <diagonal/>
    </border>
    <border>
      <left style="thin">
        <color rgb="FF9DC3E6"/>
      </left>
      <right/>
      <top style="thin">
        <color rgb="FF9DC3E6"/>
      </top>
      <bottom style="thin">
        <color rgb="FF9DC3E6"/>
      </bottom>
      <diagonal/>
    </border>
    <border>
      <left/>
      <right/>
      <top style="thin">
        <color rgb="FF9DC3E6"/>
      </top>
      <bottom style="thin">
        <color rgb="FF9DC3E6"/>
      </bottom>
      <diagonal/>
    </border>
    <border>
      <left/>
      <right style="thin">
        <color rgb="FF9DC3E6"/>
      </right>
      <top style="thin">
        <color rgb="FF9DC3E6"/>
      </top>
      <bottom style="thin">
        <color rgb="FF9DC3E6"/>
      </bottom>
      <diagonal/>
    </border>
    <border>
      <left style="thin">
        <color rgb="FF9DC3E6"/>
      </left>
      <right style="thin">
        <color rgb="FF9DC3E6"/>
      </right>
      <top style="thin">
        <color rgb="FF9DC3E6"/>
      </top>
      <bottom style="thin">
        <color rgb="FF9DC3E6"/>
      </bottom>
      <diagonal/>
    </border>
  </borders>
  <cellStyleXfs count="1">
    <xf numFmtId="0" fontId="0" fillId="0" borderId="0"/>
  </cellStyleXfs>
  <cellXfs count="19">
    <xf numFmtId="0" fontId="0" fillId="0" borderId="0" xfId="0"/>
    <xf numFmtId="0" fontId="5" fillId="6" borderId="0" xfId="0" applyFont="1" applyFill="1" applyAlignment="1">
      <alignment horizontal="center" vertical="center" wrapText="1"/>
    </xf>
    <xf numFmtId="0" fontId="6" fillId="0" borderId="0" xfId="0" applyFont="1" applyAlignment="1">
      <alignment vertical="top" wrapText="1"/>
    </xf>
    <xf numFmtId="0" fontId="6" fillId="0" borderId="0" xfId="0" applyFont="1" applyAlignment="1">
      <alignment horizontal="center" vertical="top" wrapText="1"/>
    </xf>
    <xf numFmtId="164" fontId="6" fillId="0" borderId="0" xfId="0" applyNumberFormat="1" applyFont="1" applyAlignment="1">
      <alignment vertical="top" wrapText="1"/>
    </xf>
    <xf numFmtId="14" fontId="6" fillId="0" borderId="0" xfId="0" applyNumberFormat="1" applyFont="1" applyAlignment="1">
      <alignment horizontal="center" vertical="top" wrapText="1"/>
    </xf>
    <xf numFmtId="14" fontId="6" fillId="0" borderId="0" xfId="0" applyNumberFormat="1" applyFont="1" applyAlignment="1">
      <alignment vertical="top" wrapText="1"/>
    </xf>
    <xf numFmtId="164" fontId="9" fillId="8" borderId="4" xfId="0" applyNumberFormat="1" applyFont="1" applyFill="1" applyBorder="1" applyAlignment="1">
      <alignment vertical="top" wrapText="1"/>
    </xf>
    <xf numFmtId="0" fontId="1" fillId="2" borderId="0" xfId="0" applyFont="1" applyFill="1" applyAlignment="1">
      <alignment vertical="center"/>
    </xf>
    <xf numFmtId="0" fontId="2" fillId="3" borderId="0" xfId="0" applyFont="1" applyFill="1" applyAlignment="1">
      <alignment vertical="center"/>
    </xf>
    <xf numFmtId="0" fontId="3" fillId="4" borderId="0" xfId="0" applyFont="1" applyFill="1" applyAlignment="1">
      <alignment vertical="center" wrapText="1"/>
    </xf>
    <xf numFmtId="0" fontId="4" fillId="5" borderId="0" xfId="0" applyFont="1" applyFill="1" applyAlignment="1">
      <alignment vertical="center"/>
    </xf>
    <xf numFmtId="0" fontId="7" fillId="3" borderId="0" xfId="0" applyFont="1" applyFill="1" applyAlignment="1">
      <alignment vertical="center"/>
    </xf>
    <xf numFmtId="164" fontId="8" fillId="7" borderId="1" xfId="0" applyNumberFormat="1" applyFont="1" applyFill="1" applyBorder="1" applyAlignment="1">
      <alignment vertical="center" wrapText="1"/>
    </xf>
    <xf numFmtId="0" fontId="8" fillId="7" borderId="2" xfId="0" applyFont="1" applyFill="1" applyBorder="1" applyAlignment="1">
      <alignment vertical="center" wrapText="1"/>
    </xf>
    <xf numFmtId="0" fontId="8" fillId="7" borderId="2" xfId="0" applyFont="1" applyFill="1" applyBorder="1" applyAlignment="1">
      <alignment horizontal="center" vertical="center" wrapText="1"/>
    </xf>
    <xf numFmtId="0" fontId="8" fillId="7" borderId="3" xfId="0" applyFont="1" applyFill="1" applyBorder="1" applyAlignment="1">
      <alignment horizontal="center" vertical="center" wrapText="1"/>
    </xf>
    <xf numFmtId="0" fontId="10" fillId="9" borderId="4" xfId="0" applyFont="1" applyFill="1" applyBorder="1" applyAlignment="1">
      <alignment vertical="top" wrapText="1"/>
    </xf>
    <xf numFmtId="0" fontId="10" fillId="9" borderId="4" xfId="0" applyFont="1" applyFill="1" applyBorder="1" applyAlignment="1">
      <alignment horizontal="center" vertical="top" wrapText="1"/>
    </xf>
  </cellXfs>
  <cellStyles count="1">
    <cellStyle name="Normal" xfId="0" builtinId="0"/>
  </cellStyles>
  <dxfs count="1">
    <dxf>
      <font>
        <b/>
        <color rgb="FFC00000"/>
      </font>
      <fill>
        <patternFill patternType="solid">
          <bgColor rgb="FFFCE4D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IndiceOnomasticoAnual1820" displayName="IndiceOnomasticoAnual1820" ref="A6:K7284" totalsRowShown="0">
  <autoFilter ref="A6:K7284" xr:uid="{00000000-0009-0000-0100-000001000000}"/>
  <tableColumns count="11">
    <tableColumn id="1" xr3:uid="{00000000-0010-0000-0000-000001000000}" name="Apellidos y nombre (orden estimado)"/>
    <tableColumn id="2" xr3:uid="{00000000-0010-0000-0000-000002000000}" name="Nombre leído"/>
    <tableColumn id="3" xr3:uid="{00000000-0010-0000-0000-000003000000}" name="Motivo de aparición"/>
    <tableColumn id="4" xr3:uid="{00000000-0010-0000-0000-000004000000}" name="Organismo o sección"/>
    <tableColumn id="5" xr3:uid="{00000000-0010-0000-0000-000005000000}" name="Fecha"/>
    <tableColumn id="6" xr3:uid="{00000000-0010-0000-0000-000006000000}" name="Publicación y nº"/>
    <tableColumn id="7" xr3:uid="{00000000-0010-0000-0000-000007000000}" name="Página"/>
    <tableColumn id="8" xr3:uid="{00000000-0010-0000-0000-000008000000}" name="Observaciones"/>
    <tableColumn id="9" xr3:uid="{00000000-0010-0000-0000-000009000000}" name="Extracto original OCR"/>
    <tableColumn id="10" xr3:uid="{00000000-0010-0000-0000-00000A000000}" name="Facsímil (página)"/>
    <tableColumn id="11" xr3:uid="{00000000-0010-0000-0000-00000B000000}" name="Estado de lectura"/>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FuentesGacetaAnual1820" displayName="FuentesGacetaAnual1820" ref="A4:F292" totalsRowShown="0">
  <autoFilter ref="A4:F292" xr:uid="{00000000-0009-0000-0100-000002000000}"/>
  <tableColumns count="6">
    <tableColumn id="1" xr3:uid="{00000000-0010-0000-0100-000001000000}" name="Fecha"/>
    <tableColumn id="2" xr3:uid="{00000000-0010-0000-0100-000002000000}" name="Publicación y nº"/>
    <tableColumn id="3" xr3:uid="{00000000-0010-0000-0100-000003000000}" name="Archivo"/>
    <tableColumn id="4" xr3:uid="{00000000-0010-0000-0100-000004000000}" name="Páginas PDF"/>
    <tableColumn id="5" xr3:uid="{00000000-0010-0000-0100-000005000000}" name="Registros del índice"/>
    <tableColumn id="6" xr3:uid="{00000000-0010-0000-0100-000006000000}" name="Facsímil completo"/>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F4E78"/>
  </sheetPr>
  <dimension ref="A1:K8846"/>
  <sheetViews>
    <sheetView showGridLines="0" tabSelected="1" workbookViewId="0">
      <pane xSplit="2" ySplit="6" topLeftCell="C7" activePane="bottomRight" state="frozen"/>
      <selection pane="topRight"/>
      <selection pane="bottomLeft"/>
      <selection pane="bottomRight" activeCell="C7" sqref="C7"/>
    </sheetView>
  </sheetViews>
  <sheetFormatPr baseColWidth="10" defaultColWidth="8.796875" defaultRowHeight="13.8"/>
  <cols>
    <col min="1" max="1" width="31" customWidth="1"/>
    <col min="2" max="2" width="28" customWidth="1"/>
    <col min="3" max="3" width="42" customWidth="1"/>
    <col min="4" max="4" width="38" customWidth="1"/>
    <col min="5" max="5" width="20" customWidth="1"/>
    <col min="6" max="6" width="30" customWidth="1"/>
    <col min="7" max="7" width="13" customWidth="1"/>
    <col min="8" max="8" width="38" customWidth="1"/>
    <col min="9" max="9" width="45" customWidth="1"/>
    <col min="10" max="10" width="18" customWidth="1"/>
    <col min="11" max="11" width="17" customWidth="1"/>
  </cols>
  <sheetData>
    <row r="1" spans="1:11" ht="30" customHeight="1">
      <c r="A1" s="8" t="s">
        <v>0</v>
      </c>
      <c r="B1" s="8"/>
      <c r="C1" s="8"/>
      <c r="D1" s="8"/>
      <c r="E1" s="8"/>
      <c r="F1" s="8"/>
      <c r="G1" s="8"/>
      <c r="H1" s="8"/>
      <c r="I1" s="8"/>
      <c r="J1" s="8"/>
      <c r="K1" s="8"/>
    </row>
    <row r="2" spans="1:11" ht="22.05" customHeight="1">
      <c r="A2" s="9" t="s">
        <v>1</v>
      </c>
      <c r="B2" s="9"/>
      <c r="C2" s="9"/>
      <c r="D2" s="9"/>
      <c r="E2" s="9"/>
      <c r="F2" s="9"/>
      <c r="G2" s="9"/>
      <c r="H2" s="9"/>
      <c r="I2" s="9"/>
      <c r="J2" s="9"/>
      <c r="K2" s="9"/>
    </row>
    <row r="3" spans="1:11" ht="34.049999999999997" customHeight="1">
      <c r="A3" s="10" t="s">
        <v>2</v>
      </c>
      <c r="B3" s="10"/>
      <c r="C3" s="10"/>
      <c r="D3" s="10"/>
      <c r="E3" s="10"/>
      <c r="F3" s="10"/>
      <c r="G3" s="10"/>
      <c r="H3" s="10"/>
      <c r="I3" s="10"/>
      <c r="J3" s="10"/>
      <c r="K3" s="10"/>
    </row>
    <row r="4" spans="1:11" ht="22.05" customHeight="1">
      <c r="A4" s="11" t="s">
        <v>3</v>
      </c>
      <c r="B4" s="11"/>
      <c r="C4" s="11"/>
      <c r="D4" s="11"/>
      <c r="E4" s="11"/>
      <c r="F4" s="11"/>
      <c r="G4" s="11"/>
      <c r="H4" s="11"/>
      <c r="I4" s="11"/>
      <c r="J4" s="11"/>
      <c r="K4" s="11"/>
    </row>
    <row r="6" spans="1:11" ht="31.95" customHeight="1">
      <c r="A6" s="1" t="s">
        <v>4</v>
      </c>
      <c r="B6" s="1" t="s">
        <v>5</v>
      </c>
      <c r="C6" s="1" t="s">
        <v>6</v>
      </c>
      <c r="D6" s="1" t="s">
        <v>7</v>
      </c>
      <c r="E6" s="1" t="s">
        <v>8</v>
      </c>
      <c r="F6" s="1" t="s">
        <v>9</v>
      </c>
      <c r="G6" s="1" t="s">
        <v>10</v>
      </c>
      <c r="H6" s="1" t="s">
        <v>11</v>
      </c>
      <c r="I6" s="1" t="s">
        <v>12</v>
      </c>
      <c r="J6" s="1" t="s">
        <v>13</v>
      </c>
      <c r="K6" s="1" t="s">
        <v>14</v>
      </c>
    </row>
    <row r="7" spans="1:11" ht="42" customHeight="1">
      <c r="A7" s="2" t="s">
        <v>15</v>
      </c>
      <c r="B7" s="2" t="s">
        <v>16</v>
      </c>
      <c r="C7" s="2" t="s">
        <v>17</v>
      </c>
      <c r="D7" s="2" t="s">
        <v>18</v>
      </c>
      <c r="E7" s="5">
        <v>-28917</v>
      </c>
      <c r="F7" s="3" t="s">
        <v>19</v>
      </c>
      <c r="G7" s="3" t="s">
        <v>20</v>
      </c>
      <c r="H7" s="2" t="s">
        <v>21</v>
      </c>
      <c r="I7" s="2" t="s">
        <v>22</v>
      </c>
      <c r="J7" s="3" t="str">
        <f>HYPERLINK("https://www.boe.es/gazeta/dias/1820/10/28/pdfs/GGB-1820-122.pdf#page=4","Abrir facsímil")</f>
        <v>Abrir facsímil</v>
      </c>
      <c r="K7" s="3" t="s">
        <v>23</v>
      </c>
    </row>
    <row r="8" spans="1:11" ht="42" customHeight="1">
      <c r="A8" s="2" t="s">
        <v>24</v>
      </c>
      <c r="B8" s="2" t="s">
        <v>25</v>
      </c>
      <c r="C8" s="2" t="s">
        <v>26</v>
      </c>
      <c r="D8" s="2" t="s">
        <v>27</v>
      </c>
      <c r="E8" s="5">
        <v>-28954</v>
      </c>
      <c r="F8" s="3" t="s">
        <v>28</v>
      </c>
      <c r="G8" s="3" t="s">
        <v>29</v>
      </c>
      <c r="H8" s="2" t="s">
        <v>30</v>
      </c>
      <c r="I8" s="2" t="s">
        <v>31</v>
      </c>
      <c r="J8" s="3" t="str">
        <f>HYPERLINK("https://www.boe.es/gazeta/dias/1820/09/21/pdfs/GGB-1820-85.pdf#page=2","Abrir facsímil")</f>
        <v>Abrir facsímil</v>
      </c>
      <c r="K8" s="3" t="s">
        <v>32</v>
      </c>
    </row>
    <row r="9" spans="1:11" ht="42" customHeight="1">
      <c r="A9" s="2" t="s">
        <v>33</v>
      </c>
      <c r="B9" s="2" t="s">
        <v>34</v>
      </c>
      <c r="C9" s="2" t="s">
        <v>35</v>
      </c>
      <c r="D9" s="2" t="s">
        <v>36</v>
      </c>
      <c r="E9" s="5">
        <v>-28959</v>
      </c>
      <c r="F9" s="3" t="s">
        <v>37</v>
      </c>
      <c r="G9" s="3" t="s">
        <v>38</v>
      </c>
      <c r="H9" s="2" t="s">
        <v>30</v>
      </c>
      <c r="I9" s="2" t="s">
        <v>39</v>
      </c>
      <c r="J9" s="3" t="str">
        <f>HYPERLINK("https://www.boe.es/gazeta/dias/1820/09/16/pdfs/GGB-1820-80.pdf#page=6","Abrir facsímil")</f>
        <v>Abrir facsímil</v>
      </c>
      <c r="K9" s="3" t="s">
        <v>32</v>
      </c>
    </row>
    <row r="10" spans="1:11" ht="42" customHeight="1">
      <c r="A10" s="2" t="s">
        <v>40</v>
      </c>
      <c r="B10" s="2" t="s">
        <v>41</v>
      </c>
      <c r="C10" s="2" t="s">
        <v>35</v>
      </c>
      <c r="D10" s="2" t="s">
        <v>36</v>
      </c>
      <c r="E10" s="5">
        <v>-28981</v>
      </c>
      <c r="F10" s="3" t="s">
        <v>42</v>
      </c>
      <c r="G10" s="3" t="s">
        <v>43</v>
      </c>
      <c r="H10" s="2" t="s">
        <v>30</v>
      </c>
      <c r="I10" s="2" t="s">
        <v>44</v>
      </c>
      <c r="J10" s="3" t="str">
        <f>HYPERLINK("https://www.boe.es/gazeta/dias/1820/08/25/pdfs/GGB-1820-58.pdf#page=2","Abrir facsímil")</f>
        <v>Abrir facsímil</v>
      </c>
      <c r="K10" s="3" t="s">
        <v>32</v>
      </c>
    </row>
    <row r="11" spans="1:11" ht="42" customHeight="1">
      <c r="A11" s="2" t="s">
        <v>45</v>
      </c>
      <c r="B11" s="2" t="s">
        <v>46</v>
      </c>
      <c r="C11" s="2" t="s">
        <v>47</v>
      </c>
      <c r="D11" s="2" t="s">
        <v>18</v>
      </c>
      <c r="E11" s="5">
        <v>-29197</v>
      </c>
      <c r="F11" s="3" t="s">
        <v>48</v>
      </c>
      <c r="G11" s="3" t="s">
        <v>38</v>
      </c>
      <c r="H11" s="2" t="s">
        <v>30</v>
      </c>
      <c r="I11" s="2" t="s">
        <v>49</v>
      </c>
      <c r="J11" s="3" t="str">
        <f>HYPERLINK("https://www.boe.es/gazeta/dias/1820/01/22/pdfs/GMD-1820-10.pdf#page=6","Abrir facsímil")</f>
        <v>Abrir facsímil</v>
      </c>
      <c r="K11" s="3" t="s">
        <v>32</v>
      </c>
    </row>
    <row r="12" spans="1:11" ht="42" customHeight="1">
      <c r="A12" s="2" t="s">
        <v>50</v>
      </c>
      <c r="B12" s="2" t="s">
        <v>51</v>
      </c>
      <c r="C12" s="2" t="s">
        <v>26</v>
      </c>
      <c r="D12" s="2" t="s">
        <v>27</v>
      </c>
      <c r="E12" s="5">
        <v>-29013</v>
      </c>
      <c r="F12" s="3" t="s">
        <v>52</v>
      </c>
      <c r="G12" s="3" t="s">
        <v>53</v>
      </c>
      <c r="H12" s="2" t="s">
        <v>30</v>
      </c>
      <c r="I12" s="2" t="s">
        <v>54</v>
      </c>
      <c r="J12" s="3" t="str">
        <f>HYPERLINK("https://www.boe.es/gazeta/dias/1820/07/24/pdfs/GGB-1820-26.pdf#page=3","Abrir facsímil")</f>
        <v>Abrir facsímil</v>
      </c>
      <c r="K12" s="3" t="s">
        <v>32</v>
      </c>
    </row>
    <row r="13" spans="1:11" ht="42" customHeight="1">
      <c r="A13" s="2" t="s">
        <v>55</v>
      </c>
      <c r="B13" s="2" t="s">
        <v>56</v>
      </c>
      <c r="C13" s="2" t="s">
        <v>17</v>
      </c>
      <c r="D13" s="2" t="s">
        <v>18</v>
      </c>
      <c r="E13" s="5">
        <v>-28881</v>
      </c>
      <c r="F13" s="3" t="s">
        <v>57</v>
      </c>
      <c r="G13" s="3" t="s">
        <v>20</v>
      </c>
      <c r="H13" s="2" t="s">
        <v>30</v>
      </c>
      <c r="I13" s="2" t="s">
        <v>58</v>
      </c>
      <c r="J13" s="3" t="str">
        <f>HYPERLINK("https://www.boe.es/gazeta/dias/1820/12/03/pdfs/GGB-1820-160.pdf#page=4","Abrir facsímil")</f>
        <v>Abrir facsímil</v>
      </c>
      <c r="K13" s="3" t="s">
        <v>32</v>
      </c>
    </row>
    <row r="14" spans="1:11" ht="42" customHeight="1">
      <c r="A14" s="2" t="s">
        <v>59</v>
      </c>
      <c r="B14" s="2" t="s">
        <v>60</v>
      </c>
      <c r="C14" s="2" t="s">
        <v>17</v>
      </c>
      <c r="D14" s="2" t="s">
        <v>18</v>
      </c>
      <c r="E14" s="5">
        <v>-28990</v>
      </c>
      <c r="F14" s="3" t="s">
        <v>61</v>
      </c>
      <c r="G14" s="3" t="s">
        <v>62</v>
      </c>
      <c r="H14" s="2" t="s">
        <v>30</v>
      </c>
      <c r="I14" s="2" t="s">
        <v>63</v>
      </c>
      <c r="J14" s="3" t="str">
        <f>HYPERLINK("https://www.boe.es/gazeta/dias/1820/08/16/pdfs/GGB-1820-49.pdf#page=3","Abrir facsímil")</f>
        <v>Abrir facsímil</v>
      </c>
      <c r="K14" s="3" t="s">
        <v>32</v>
      </c>
    </row>
    <row r="15" spans="1:11" ht="42" customHeight="1">
      <c r="A15" s="2" t="s">
        <v>64</v>
      </c>
      <c r="B15" s="2" t="s">
        <v>65</v>
      </c>
      <c r="C15" s="2" t="s">
        <v>35</v>
      </c>
      <c r="D15" s="2" t="s">
        <v>36</v>
      </c>
      <c r="E15" s="5">
        <v>-28968</v>
      </c>
      <c r="F15" s="3" t="s">
        <v>66</v>
      </c>
      <c r="G15" s="3" t="s">
        <v>62</v>
      </c>
      <c r="H15" s="2" t="s">
        <v>30</v>
      </c>
      <c r="I15" s="2" t="s">
        <v>67</v>
      </c>
      <c r="J15" s="3" t="str">
        <f>HYPERLINK("https://www.boe.es/gazeta/dias/1820/09/07/pdfs/GGB-1820-71.pdf#page=3","Abrir facsímil")</f>
        <v>Abrir facsímil</v>
      </c>
      <c r="K15" s="3" t="s">
        <v>32</v>
      </c>
    </row>
    <row r="16" spans="1:11" ht="42" customHeight="1">
      <c r="A16" s="2" t="s">
        <v>68</v>
      </c>
      <c r="B16" s="2" t="s">
        <v>69</v>
      </c>
      <c r="C16" s="2" t="s">
        <v>17</v>
      </c>
      <c r="D16" s="2" t="s">
        <v>18</v>
      </c>
      <c r="E16" s="5">
        <v>-29014</v>
      </c>
      <c r="F16" s="3" t="s">
        <v>70</v>
      </c>
      <c r="G16" s="3" t="s">
        <v>43</v>
      </c>
      <c r="H16" s="2" t="s">
        <v>30</v>
      </c>
      <c r="I16" s="2" t="s">
        <v>71</v>
      </c>
      <c r="J16" s="3" t="str">
        <f>HYPERLINK("https://www.boe.es/gazeta/dias/1820/07/23/pdfs/GGB-1820-25.pdf#page=2","Abrir facsímil")</f>
        <v>Abrir facsímil</v>
      </c>
      <c r="K16" s="3" t="s">
        <v>32</v>
      </c>
    </row>
    <row r="17" spans="1:11" ht="42" customHeight="1">
      <c r="A17" s="2" t="s">
        <v>68</v>
      </c>
      <c r="B17" s="2" t="s">
        <v>69</v>
      </c>
      <c r="C17" s="2" t="s">
        <v>26</v>
      </c>
      <c r="D17" s="2" t="s">
        <v>27</v>
      </c>
      <c r="E17" s="5">
        <v>-29012</v>
      </c>
      <c r="F17" s="3" t="s">
        <v>72</v>
      </c>
      <c r="G17" s="3" t="s">
        <v>62</v>
      </c>
      <c r="H17" s="2" t="s">
        <v>30</v>
      </c>
      <c r="I17" s="2" t="s">
        <v>73</v>
      </c>
      <c r="J17" s="3" t="str">
        <f>HYPERLINK("https://www.boe.es/gazeta/dias/1820/07/25/pdfs/GGB-1820-27.pdf#page=3","Abrir facsímil")</f>
        <v>Abrir facsímil</v>
      </c>
      <c r="K17" s="3" t="s">
        <v>32</v>
      </c>
    </row>
    <row r="18" spans="1:11" ht="42" customHeight="1">
      <c r="A18" s="2" t="s">
        <v>68</v>
      </c>
      <c r="B18" s="2" t="s">
        <v>69</v>
      </c>
      <c r="C18" s="2" t="s">
        <v>74</v>
      </c>
      <c r="D18" s="2" t="s">
        <v>18</v>
      </c>
      <c r="E18" s="5">
        <v>-29004</v>
      </c>
      <c r="F18" s="3" t="s">
        <v>75</v>
      </c>
      <c r="G18" s="3" t="s">
        <v>76</v>
      </c>
      <c r="H18" s="2" t="s">
        <v>30</v>
      </c>
      <c r="I18" s="2" t="s">
        <v>77</v>
      </c>
      <c r="J18" s="3" t="str">
        <f>HYPERLINK("https://www.boe.es/gazeta/dias/1820/08/02/pdfs/GGB-1820-35.pdf#page=2","Abrir facsímil")</f>
        <v>Abrir facsímil</v>
      </c>
      <c r="K18" s="3" t="s">
        <v>32</v>
      </c>
    </row>
    <row r="19" spans="1:11" ht="42" customHeight="1">
      <c r="A19" s="2" t="s">
        <v>68</v>
      </c>
      <c r="B19" s="2" t="s">
        <v>69</v>
      </c>
      <c r="C19" s="2" t="s">
        <v>17</v>
      </c>
      <c r="D19" s="2" t="s">
        <v>18</v>
      </c>
      <c r="E19" s="5">
        <v>-28924</v>
      </c>
      <c r="F19" s="3" t="s">
        <v>78</v>
      </c>
      <c r="G19" s="3" t="s">
        <v>43</v>
      </c>
      <c r="H19" s="2" t="s">
        <v>30</v>
      </c>
      <c r="I19" s="2" t="s">
        <v>79</v>
      </c>
      <c r="J19" s="3" t="str">
        <f>HYPERLINK("https://www.boe.es/gazeta/dias/1820/10/21/pdfs/GGB-1820-115.pdf#page=2","Abrir facsímil")</f>
        <v>Abrir facsímil</v>
      </c>
      <c r="K19" s="3" t="s">
        <v>32</v>
      </c>
    </row>
    <row r="20" spans="1:11" ht="42" customHeight="1">
      <c r="A20" s="2" t="s">
        <v>80</v>
      </c>
      <c r="B20" s="2" t="s">
        <v>81</v>
      </c>
      <c r="C20" s="2" t="s">
        <v>26</v>
      </c>
      <c r="D20" s="2" t="s">
        <v>27</v>
      </c>
      <c r="E20" s="5">
        <v>-28911</v>
      </c>
      <c r="F20" s="3" t="s">
        <v>82</v>
      </c>
      <c r="G20" s="3" t="s">
        <v>43</v>
      </c>
      <c r="H20" s="2" t="s">
        <v>30</v>
      </c>
      <c r="I20" s="2" t="s">
        <v>83</v>
      </c>
      <c r="J20" s="3" t="str">
        <f>HYPERLINK("https://www.boe.es/gazeta/dias/1820/11/03/pdfs/GGB-1820-128.pdf#page=2","Abrir facsímil")</f>
        <v>Abrir facsímil</v>
      </c>
      <c r="K20" s="3" t="s">
        <v>32</v>
      </c>
    </row>
    <row r="21" spans="1:11" ht="42" customHeight="1">
      <c r="A21" s="2" t="s">
        <v>84</v>
      </c>
      <c r="B21" s="2" t="s">
        <v>85</v>
      </c>
      <c r="C21" s="2" t="s">
        <v>26</v>
      </c>
      <c r="D21" s="2" t="s">
        <v>27</v>
      </c>
      <c r="E21" s="5">
        <v>-28928</v>
      </c>
      <c r="F21" s="3" t="s">
        <v>86</v>
      </c>
      <c r="G21" s="3" t="s">
        <v>43</v>
      </c>
      <c r="H21" s="2" t="s">
        <v>30</v>
      </c>
      <c r="I21" s="2" t="s">
        <v>87</v>
      </c>
      <c r="J21" s="3" t="str">
        <f>HYPERLINK("https://www.boe.es/gazeta/dias/1820/10/17/pdfs/GGB-1820-111.pdf#page=2","Abrir facsímil")</f>
        <v>Abrir facsímil</v>
      </c>
      <c r="K21" s="3" t="s">
        <v>32</v>
      </c>
    </row>
    <row r="22" spans="1:11" ht="42" customHeight="1">
      <c r="A22" s="2" t="s">
        <v>88</v>
      </c>
      <c r="B22" s="2" t="s">
        <v>89</v>
      </c>
      <c r="C22" s="2" t="s">
        <v>74</v>
      </c>
      <c r="D22" s="2" t="s">
        <v>18</v>
      </c>
      <c r="E22" s="5">
        <v>-28962</v>
      </c>
      <c r="F22" s="3" t="s">
        <v>90</v>
      </c>
      <c r="G22" s="3" t="s">
        <v>62</v>
      </c>
      <c r="H22" s="2" t="s">
        <v>30</v>
      </c>
      <c r="I22" s="2" t="s">
        <v>91</v>
      </c>
      <c r="J22" s="3" t="str">
        <f>HYPERLINK("https://www.boe.es/gazeta/dias/1820/09/13/pdfs/GGB-1820-77.pdf#page=3","Abrir facsímil")</f>
        <v>Abrir facsímil</v>
      </c>
      <c r="K22" s="3" t="s">
        <v>32</v>
      </c>
    </row>
    <row r="23" spans="1:11" ht="42" customHeight="1">
      <c r="A23" s="2" t="s">
        <v>92</v>
      </c>
      <c r="B23" s="2" t="s">
        <v>93</v>
      </c>
      <c r="C23" s="2" t="s">
        <v>26</v>
      </c>
      <c r="D23" s="2" t="s">
        <v>27</v>
      </c>
      <c r="E23" s="5">
        <v>-28963</v>
      </c>
      <c r="F23" s="3" t="s">
        <v>94</v>
      </c>
      <c r="G23" s="3" t="s">
        <v>95</v>
      </c>
      <c r="H23" s="2" t="s">
        <v>21</v>
      </c>
      <c r="I23" s="2" t="s">
        <v>96</v>
      </c>
      <c r="J23" s="3" t="str">
        <f>HYPERLINK("https://www.boe.es/gazeta/dias/1820/09/12/pdfs/GGB-1820-76.pdf#page=4","Abrir facsímil")</f>
        <v>Abrir facsímil</v>
      </c>
      <c r="K23" s="3" t="s">
        <v>23</v>
      </c>
    </row>
    <row r="24" spans="1:11" ht="42" customHeight="1">
      <c r="A24" s="2" t="s">
        <v>97</v>
      </c>
      <c r="B24" s="2" t="s">
        <v>98</v>
      </c>
      <c r="C24" s="2" t="s">
        <v>26</v>
      </c>
      <c r="D24" s="2" t="s">
        <v>27</v>
      </c>
      <c r="E24" s="5">
        <v>-28945</v>
      </c>
      <c r="F24" s="3" t="s">
        <v>99</v>
      </c>
      <c r="G24" s="3" t="s">
        <v>20</v>
      </c>
      <c r="H24" s="2" t="s">
        <v>30</v>
      </c>
      <c r="I24" s="2" t="s">
        <v>100</v>
      </c>
      <c r="J24" s="3" t="str">
        <f>HYPERLINK("https://www.boe.es/gazeta/dias/1820/09/30/pdfs/GGB-1820-94.pdf#page=4","Abrir facsímil")</f>
        <v>Abrir facsímil</v>
      </c>
      <c r="K24" s="3" t="s">
        <v>32</v>
      </c>
    </row>
    <row r="25" spans="1:11" ht="42" customHeight="1">
      <c r="A25" s="2" t="s">
        <v>101</v>
      </c>
      <c r="B25" s="2" t="s">
        <v>102</v>
      </c>
      <c r="C25" s="2" t="s">
        <v>35</v>
      </c>
      <c r="D25" s="2" t="s">
        <v>36</v>
      </c>
      <c r="E25" s="5">
        <v>-28874</v>
      </c>
      <c r="F25" s="3" t="s">
        <v>103</v>
      </c>
      <c r="G25" s="3" t="s">
        <v>62</v>
      </c>
      <c r="H25" s="2" t="s">
        <v>21</v>
      </c>
      <c r="I25" s="2" t="s">
        <v>104</v>
      </c>
      <c r="J25" s="3" t="str">
        <f>HYPERLINK("https://www.boe.es/gazeta/dias/1820/12/10/pdfs/GGB-1820-167.pdf#page=3","Abrir facsímil")</f>
        <v>Abrir facsímil</v>
      </c>
      <c r="K25" s="3" t="s">
        <v>23</v>
      </c>
    </row>
    <row r="26" spans="1:11" ht="42" customHeight="1">
      <c r="A26" s="2" t="s">
        <v>105</v>
      </c>
      <c r="B26" s="2" t="s">
        <v>106</v>
      </c>
      <c r="C26" s="2" t="s">
        <v>107</v>
      </c>
      <c r="D26" s="2" t="s">
        <v>18</v>
      </c>
      <c r="E26" s="5">
        <v>-28945</v>
      </c>
      <c r="F26" s="3" t="s">
        <v>99</v>
      </c>
      <c r="G26" s="3" t="s">
        <v>20</v>
      </c>
      <c r="H26" s="2" t="s">
        <v>21</v>
      </c>
      <c r="I26" s="2" t="s">
        <v>108</v>
      </c>
      <c r="J26" s="3" t="str">
        <f>HYPERLINK("https://www.boe.es/gazeta/dias/1820/09/30/pdfs/GGB-1820-94.pdf#page=4","Abrir facsímil")</f>
        <v>Abrir facsímil</v>
      </c>
      <c r="K26" s="3" t="s">
        <v>23</v>
      </c>
    </row>
    <row r="27" spans="1:11" ht="42" customHeight="1">
      <c r="A27" s="2" t="s">
        <v>109</v>
      </c>
      <c r="B27" s="2" t="s">
        <v>110</v>
      </c>
      <c r="C27" s="2" t="s">
        <v>111</v>
      </c>
      <c r="D27" s="2" t="s">
        <v>18</v>
      </c>
      <c r="E27" s="5">
        <v>-28888</v>
      </c>
      <c r="F27" s="3" t="s">
        <v>112</v>
      </c>
      <c r="G27" s="3" t="s">
        <v>113</v>
      </c>
      <c r="H27" s="2" t="s">
        <v>21</v>
      </c>
      <c r="I27" s="2" t="s">
        <v>114</v>
      </c>
      <c r="J27" s="3" t="str">
        <f>HYPERLINK("https://www.boe.es/gazeta/dias/1820/11/26/pdfs/GGB-1820-153.pdf#page=3","Abrir facsímil")</f>
        <v>Abrir facsímil</v>
      </c>
      <c r="K27" s="3" t="s">
        <v>23</v>
      </c>
    </row>
    <row r="28" spans="1:11" ht="42" customHeight="1">
      <c r="A28" s="2" t="s">
        <v>115</v>
      </c>
      <c r="B28" s="2" t="s">
        <v>116</v>
      </c>
      <c r="C28" s="2" t="s">
        <v>35</v>
      </c>
      <c r="D28" s="2" t="s">
        <v>36</v>
      </c>
      <c r="E28" s="5">
        <v>-28858</v>
      </c>
      <c r="F28" s="3" t="s">
        <v>117</v>
      </c>
      <c r="G28" s="3" t="s">
        <v>62</v>
      </c>
      <c r="H28" s="2" t="s">
        <v>21</v>
      </c>
      <c r="I28" s="2" t="s">
        <v>118</v>
      </c>
      <c r="J28" s="3" t="str">
        <f>HYPERLINK("https://www.boe.es/gazeta/dias/1820/12/26/pdfs/GGB-1820-183.pdf#page=3","Abrir facsímil")</f>
        <v>Abrir facsímil</v>
      </c>
      <c r="K28" s="3" t="s">
        <v>23</v>
      </c>
    </row>
    <row r="29" spans="1:11" ht="42" customHeight="1">
      <c r="A29" s="2" t="s">
        <v>119</v>
      </c>
      <c r="B29" s="2" t="s">
        <v>120</v>
      </c>
      <c r="C29" s="2" t="s">
        <v>47</v>
      </c>
      <c r="D29" s="2" t="s">
        <v>18</v>
      </c>
      <c r="E29" s="5">
        <v>-28924</v>
      </c>
      <c r="F29" s="3" t="s">
        <v>78</v>
      </c>
      <c r="G29" s="3" t="s">
        <v>20</v>
      </c>
      <c r="H29" s="2" t="s">
        <v>21</v>
      </c>
      <c r="I29" s="2" t="s">
        <v>121</v>
      </c>
      <c r="J29" s="3" t="str">
        <f>HYPERLINK("https://www.boe.es/gazeta/dias/1820/10/21/pdfs/GGB-1820-115.pdf#page=4","Abrir facsímil")</f>
        <v>Abrir facsímil</v>
      </c>
      <c r="K29" s="3" t="s">
        <v>23</v>
      </c>
    </row>
    <row r="30" spans="1:11" ht="42" customHeight="1">
      <c r="A30" s="2" t="s">
        <v>122</v>
      </c>
      <c r="B30" s="2" t="s">
        <v>123</v>
      </c>
      <c r="C30" s="2" t="s">
        <v>26</v>
      </c>
      <c r="D30" s="2" t="s">
        <v>27</v>
      </c>
      <c r="E30" s="5">
        <v>-29002</v>
      </c>
      <c r="F30" s="3" t="s">
        <v>124</v>
      </c>
      <c r="G30" s="3" t="s">
        <v>43</v>
      </c>
      <c r="H30" s="2" t="s">
        <v>21</v>
      </c>
      <c r="I30" s="2" t="s">
        <v>125</v>
      </c>
      <c r="J30" s="3" t="str">
        <f>HYPERLINK("https://www.boe.es/gazeta/dias/1820/08/04/pdfs/GGB-1820-37.pdf#page=2","Abrir facsímil")</f>
        <v>Abrir facsímil</v>
      </c>
      <c r="K30" s="3" t="s">
        <v>23</v>
      </c>
    </row>
    <row r="31" spans="1:11" ht="42" customHeight="1">
      <c r="A31" s="2" t="s">
        <v>126</v>
      </c>
      <c r="B31" s="2" t="s">
        <v>126</v>
      </c>
      <c r="C31" s="2" t="s">
        <v>26</v>
      </c>
      <c r="D31" s="2" t="s">
        <v>27</v>
      </c>
      <c r="E31" s="5">
        <v>-28947</v>
      </c>
      <c r="F31" s="3" t="s">
        <v>127</v>
      </c>
      <c r="G31" s="3" t="s">
        <v>128</v>
      </c>
      <c r="H31" s="2" t="s">
        <v>21</v>
      </c>
      <c r="I31" s="2" t="s">
        <v>129</v>
      </c>
      <c r="J31" s="3" t="str">
        <f>HYPERLINK("https://www.boe.es/gazeta/dias/1820/09/28/pdfs/GGB-1820-92.pdf#page=1","Abrir facsímil")</f>
        <v>Abrir facsímil</v>
      </c>
      <c r="K31" s="3" t="s">
        <v>23</v>
      </c>
    </row>
    <row r="32" spans="1:11" ht="42" customHeight="1">
      <c r="A32" s="2" t="s">
        <v>130</v>
      </c>
      <c r="B32" s="2" t="s">
        <v>131</v>
      </c>
      <c r="C32" s="2" t="s">
        <v>26</v>
      </c>
      <c r="D32" s="2" t="s">
        <v>27</v>
      </c>
      <c r="E32" s="5">
        <v>-29028</v>
      </c>
      <c r="F32" s="3" t="s">
        <v>132</v>
      </c>
      <c r="G32" s="3" t="s">
        <v>62</v>
      </c>
      <c r="H32" s="2" t="s">
        <v>21</v>
      </c>
      <c r="I32" s="2" t="s">
        <v>133</v>
      </c>
      <c r="J32" s="3" t="str">
        <f>HYPERLINK("https://www.boe.es/gazeta/dias/1820/07/09/pdfs/GGB-1820-10.pdf#page=3","Abrir facsímil")</f>
        <v>Abrir facsímil</v>
      </c>
      <c r="K32" s="3" t="s">
        <v>23</v>
      </c>
    </row>
    <row r="33" spans="1:11" ht="42" customHeight="1">
      <c r="A33" s="2" t="s">
        <v>134</v>
      </c>
      <c r="B33" s="2" t="s">
        <v>135</v>
      </c>
      <c r="C33" s="2" t="s">
        <v>26</v>
      </c>
      <c r="D33" s="2" t="s">
        <v>27</v>
      </c>
      <c r="E33" s="5">
        <v>-28865</v>
      </c>
      <c r="F33" s="3" t="s">
        <v>136</v>
      </c>
      <c r="G33" s="3" t="s">
        <v>137</v>
      </c>
      <c r="H33" s="2" t="s">
        <v>21</v>
      </c>
      <c r="I33" s="2" t="s">
        <v>138</v>
      </c>
      <c r="J33" s="3" t="str">
        <f>HYPERLINK("https://www.boe.es/gazeta/dias/1820/12/19/pdfs/GGB-1820-176.pdf#page=3","Abrir facsímil")</f>
        <v>Abrir facsímil</v>
      </c>
      <c r="K33" s="3" t="s">
        <v>23</v>
      </c>
    </row>
    <row r="34" spans="1:11" ht="42" customHeight="1">
      <c r="A34" s="2" t="s">
        <v>139</v>
      </c>
      <c r="B34" s="2" t="s">
        <v>140</v>
      </c>
      <c r="C34" s="2" t="s">
        <v>26</v>
      </c>
      <c r="D34" s="2" t="s">
        <v>27</v>
      </c>
      <c r="E34" s="5">
        <v>-28940</v>
      </c>
      <c r="F34" s="3" t="s">
        <v>141</v>
      </c>
      <c r="G34" s="3" t="s">
        <v>142</v>
      </c>
      <c r="H34" s="2" t="s">
        <v>21</v>
      </c>
      <c r="I34" s="2" t="s">
        <v>143</v>
      </c>
      <c r="J34" s="3" t="str">
        <f>HYPERLINK("https://www.boe.es/gazeta/dias/1820/10/05/pdfs/GGB-1820-99.pdf#page=4","Abrir facsímil")</f>
        <v>Abrir facsímil</v>
      </c>
      <c r="K34" s="3" t="s">
        <v>23</v>
      </c>
    </row>
    <row r="35" spans="1:11" ht="42" customHeight="1">
      <c r="A35" s="2" t="s">
        <v>144</v>
      </c>
      <c r="B35" s="2" t="s">
        <v>144</v>
      </c>
      <c r="C35" s="2" t="s">
        <v>35</v>
      </c>
      <c r="D35" s="2" t="s">
        <v>36</v>
      </c>
      <c r="E35" s="5">
        <v>-28981</v>
      </c>
      <c r="F35" s="3" t="s">
        <v>42</v>
      </c>
      <c r="G35" s="3" t="s">
        <v>43</v>
      </c>
      <c r="H35" s="2" t="s">
        <v>21</v>
      </c>
      <c r="I35" s="2" t="s">
        <v>145</v>
      </c>
      <c r="J35" s="3" t="str">
        <f>HYPERLINK("https://www.boe.es/gazeta/dias/1820/08/25/pdfs/GGB-1820-58.pdf#page=2","Abrir facsímil")</f>
        <v>Abrir facsímil</v>
      </c>
      <c r="K35" s="3" t="s">
        <v>23</v>
      </c>
    </row>
    <row r="36" spans="1:11" ht="42" customHeight="1">
      <c r="A36" s="2" t="s">
        <v>146</v>
      </c>
      <c r="B36" s="2" t="s">
        <v>146</v>
      </c>
      <c r="C36" s="2" t="s">
        <v>74</v>
      </c>
      <c r="D36" s="2" t="s">
        <v>18</v>
      </c>
      <c r="E36" s="5">
        <v>-28854</v>
      </c>
      <c r="F36" s="3" t="s">
        <v>147</v>
      </c>
      <c r="G36" s="3" t="s">
        <v>20</v>
      </c>
      <c r="H36" s="2" t="s">
        <v>21</v>
      </c>
      <c r="I36" s="2" t="s">
        <v>148</v>
      </c>
      <c r="J36" s="3" t="str">
        <f>HYPERLINK("https://www.boe.es/gazeta/dias/1820/12/30/pdfs/GGB-1820-187.pdf#page=4","Abrir facsímil")</f>
        <v>Abrir facsímil</v>
      </c>
      <c r="K36" s="3" t="s">
        <v>23</v>
      </c>
    </row>
    <row r="37" spans="1:11" ht="42" customHeight="1">
      <c r="A37" s="2" t="s">
        <v>149</v>
      </c>
      <c r="B37" s="2" t="s">
        <v>150</v>
      </c>
      <c r="C37" s="2" t="s">
        <v>35</v>
      </c>
      <c r="D37" s="2" t="s">
        <v>36</v>
      </c>
      <c r="E37" s="5">
        <v>-28973</v>
      </c>
      <c r="F37" s="3" t="s">
        <v>151</v>
      </c>
      <c r="G37" s="3" t="s">
        <v>43</v>
      </c>
      <c r="H37" s="2" t="s">
        <v>21</v>
      </c>
      <c r="I37" s="2" t="s">
        <v>152</v>
      </c>
      <c r="J37" s="3" t="str">
        <f>HYPERLINK("https://www.boe.es/gazeta/dias/1820/09/02/pdfs/GGB-1820-66.pdf#page=2","Abrir facsímil")</f>
        <v>Abrir facsímil</v>
      </c>
      <c r="K37" s="3" t="s">
        <v>23</v>
      </c>
    </row>
    <row r="38" spans="1:11" ht="42" customHeight="1">
      <c r="A38" s="2" t="s">
        <v>153</v>
      </c>
      <c r="B38" s="2" t="s">
        <v>154</v>
      </c>
      <c r="C38" s="2" t="s">
        <v>26</v>
      </c>
      <c r="D38" s="2" t="s">
        <v>27</v>
      </c>
      <c r="E38" s="5">
        <v>-29045</v>
      </c>
      <c r="F38" s="3" t="s">
        <v>155</v>
      </c>
      <c r="G38" s="3" t="s">
        <v>156</v>
      </c>
      <c r="H38" s="2" t="s">
        <v>30</v>
      </c>
      <c r="I38" s="2" t="s">
        <v>157</v>
      </c>
      <c r="J38" s="3" t="str">
        <f>HYPERLINK("https://www.boe.es/gazeta/dias/1820/06/22/pdfs/GMD-1820-97.pdf#page=7","Abrir facsímil")</f>
        <v>Abrir facsímil</v>
      </c>
      <c r="K38" s="3" t="s">
        <v>32</v>
      </c>
    </row>
    <row r="39" spans="1:11" ht="42" customHeight="1">
      <c r="A39" s="2" t="s">
        <v>158</v>
      </c>
      <c r="B39" s="2" t="s">
        <v>159</v>
      </c>
      <c r="C39" s="2" t="s">
        <v>107</v>
      </c>
      <c r="D39" s="2" t="s">
        <v>18</v>
      </c>
      <c r="E39" s="5">
        <v>-28918</v>
      </c>
      <c r="F39" s="3" t="s">
        <v>160</v>
      </c>
      <c r="G39" s="3" t="s">
        <v>43</v>
      </c>
      <c r="H39" s="2" t="s">
        <v>21</v>
      </c>
      <c r="I39" s="2" t="s">
        <v>161</v>
      </c>
      <c r="J39" s="3" t="str">
        <f>HYPERLINK("https://www.boe.es/gazeta/dias/1820/10/27/pdfs/GGB-1820-121.pdf#page=2","Abrir facsímil")</f>
        <v>Abrir facsímil</v>
      </c>
      <c r="K39" s="3" t="s">
        <v>23</v>
      </c>
    </row>
    <row r="40" spans="1:11" ht="42" customHeight="1">
      <c r="A40" s="2" t="s">
        <v>162</v>
      </c>
      <c r="B40" s="2" t="s">
        <v>162</v>
      </c>
      <c r="C40" s="2" t="s">
        <v>74</v>
      </c>
      <c r="D40" s="2" t="s">
        <v>18</v>
      </c>
      <c r="E40" s="5">
        <v>-28934</v>
      </c>
      <c r="F40" s="3" t="s">
        <v>163</v>
      </c>
      <c r="G40" s="3" t="s">
        <v>20</v>
      </c>
      <c r="H40" s="2" t="s">
        <v>21</v>
      </c>
      <c r="I40" s="2" t="s">
        <v>164</v>
      </c>
      <c r="J40" s="3" t="str">
        <f>HYPERLINK("https://www.boe.es/gazeta/dias/1820/10/11/pdfs/GGB-1820-105.pdf#page=4","Abrir facsímil")</f>
        <v>Abrir facsímil</v>
      </c>
      <c r="K40" s="3" t="s">
        <v>23</v>
      </c>
    </row>
    <row r="41" spans="1:11" ht="42" customHeight="1">
      <c r="A41" s="2" t="s">
        <v>165</v>
      </c>
      <c r="B41" s="2" t="s">
        <v>166</v>
      </c>
      <c r="C41" s="2" t="s">
        <v>26</v>
      </c>
      <c r="D41" s="2" t="s">
        <v>27</v>
      </c>
      <c r="E41" s="5">
        <v>-28936</v>
      </c>
      <c r="F41" s="3" t="s">
        <v>167</v>
      </c>
      <c r="G41" s="3" t="s">
        <v>20</v>
      </c>
      <c r="H41" s="2" t="s">
        <v>21</v>
      </c>
      <c r="I41" s="2" t="s">
        <v>168</v>
      </c>
      <c r="J41" s="3" t="str">
        <f>HYPERLINK("https://www.boe.es/gazeta/dias/1820/10/09/pdfs/GGB-1820-103.pdf#page=4","Abrir facsímil")</f>
        <v>Abrir facsímil</v>
      </c>
      <c r="K41" s="3" t="s">
        <v>23</v>
      </c>
    </row>
    <row r="42" spans="1:11" ht="42" customHeight="1">
      <c r="A42" s="2" t="s">
        <v>169</v>
      </c>
      <c r="B42" s="2" t="s">
        <v>170</v>
      </c>
      <c r="C42" s="2" t="s">
        <v>35</v>
      </c>
      <c r="D42" s="2" t="s">
        <v>36</v>
      </c>
      <c r="E42" s="5">
        <v>-28934</v>
      </c>
      <c r="F42" s="3" t="s">
        <v>163</v>
      </c>
      <c r="G42" s="3" t="s">
        <v>20</v>
      </c>
      <c r="H42" s="2" t="s">
        <v>21</v>
      </c>
      <c r="I42" s="2" t="s">
        <v>171</v>
      </c>
      <c r="J42" s="3" t="str">
        <f>HYPERLINK("https://www.boe.es/gazeta/dias/1820/10/11/pdfs/GGB-1820-105.pdf#page=4","Abrir facsímil")</f>
        <v>Abrir facsímil</v>
      </c>
      <c r="K42" s="3" t="s">
        <v>23</v>
      </c>
    </row>
    <row r="43" spans="1:11" ht="42" customHeight="1">
      <c r="A43" s="2" t="s">
        <v>172</v>
      </c>
      <c r="B43" s="2" t="s">
        <v>172</v>
      </c>
      <c r="C43" s="2" t="s">
        <v>26</v>
      </c>
      <c r="D43" s="2" t="s">
        <v>27</v>
      </c>
      <c r="E43" s="5">
        <v>-28982</v>
      </c>
      <c r="F43" s="3" t="s">
        <v>173</v>
      </c>
      <c r="G43" s="3" t="s">
        <v>62</v>
      </c>
      <c r="H43" s="2" t="s">
        <v>21</v>
      </c>
      <c r="I43" s="2" t="s">
        <v>174</v>
      </c>
      <c r="J43" s="3" t="str">
        <f>HYPERLINK("https://www.boe.es/gazeta/dias/1820/08/24/pdfs/GGB-1820-57.pdf#page=3","Abrir facsímil")</f>
        <v>Abrir facsímil</v>
      </c>
      <c r="K43" s="3" t="s">
        <v>23</v>
      </c>
    </row>
    <row r="44" spans="1:11" ht="42" customHeight="1">
      <c r="A44" s="2" t="s">
        <v>172</v>
      </c>
      <c r="B44" s="2" t="s">
        <v>172</v>
      </c>
      <c r="C44" s="2" t="s">
        <v>26</v>
      </c>
      <c r="D44" s="2" t="s">
        <v>27</v>
      </c>
      <c r="E44" s="5">
        <v>-28955</v>
      </c>
      <c r="F44" s="3" t="s">
        <v>175</v>
      </c>
      <c r="G44" s="3" t="s">
        <v>62</v>
      </c>
      <c r="H44" s="2" t="s">
        <v>21</v>
      </c>
      <c r="I44" s="2" t="s">
        <v>176</v>
      </c>
      <c r="J44" s="3" t="str">
        <f>HYPERLINK("https://www.boe.es/gazeta/dias/1820/09/20/pdfs/GGB-1820-84.pdf#page=3","Abrir facsímil")</f>
        <v>Abrir facsímil</v>
      </c>
      <c r="K44" s="3" t="s">
        <v>23</v>
      </c>
    </row>
    <row r="45" spans="1:11" ht="42" customHeight="1">
      <c r="A45" s="2" t="s">
        <v>172</v>
      </c>
      <c r="B45" s="2" t="s">
        <v>172</v>
      </c>
      <c r="C45" s="2" t="s">
        <v>26</v>
      </c>
      <c r="D45" s="2" t="s">
        <v>27</v>
      </c>
      <c r="E45" s="5">
        <v>-28954</v>
      </c>
      <c r="F45" s="3" t="s">
        <v>28</v>
      </c>
      <c r="G45" s="3" t="s">
        <v>29</v>
      </c>
      <c r="H45" s="2" t="s">
        <v>21</v>
      </c>
      <c r="I45" s="2" t="s">
        <v>177</v>
      </c>
      <c r="J45" s="3" t="str">
        <f>HYPERLINK("https://www.boe.es/gazeta/dias/1820/09/21/pdfs/GGB-1820-85.pdf#page=2","Abrir facsímil")</f>
        <v>Abrir facsímil</v>
      </c>
      <c r="K45" s="3" t="s">
        <v>23</v>
      </c>
    </row>
    <row r="46" spans="1:11" ht="42" customHeight="1">
      <c r="A46" s="2" t="s">
        <v>172</v>
      </c>
      <c r="B46" s="2" t="s">
        <v>172</v>
      </c>
      <c r="C46" s="2" t="s">
        <v>26</v>
      </c>
      <c r="D46" s="2" t="s">
        <v>27</v>
      </c>
      <c r="E46" s="5">
        <v>-28949</v>
      </c>
      <c r="F46" s="3" t="s">
        <v>178</v>
      </c>
      <c r="G46" s="3" t="s">
        <v>43</v>
      </c>
      <c r="H46" s="2" t="s">
        <v>21</v>
      </c>
      <c r="I46" s="2" t="s">
        <v>179</v>
      </c>
      <c r="J46" s="3" t="str">
        <f>HYPERLINK("https://www.boe.es/gazeta/dias/1820/09/26/pdfs/GGB-1820-90.pdf#page=2","Abrir facsímil")</f>
        <v>Abrir facsímil</v>
      </c>
      <c r="K46" s="3" t="s">
        <v>23</v>
      </c>
    </row>
    <row r="47" spans="1:11" ht="42" customHeight="1">
      <c r="A47" s="2" t="s">
        <v>180</v>
      </c>
      <c r="B47" s="2" t="s">
        <v>181</v>
      </c>
      <c r="C47" s="2" t="s">
        <v>107</v>
      </c>
      <c r="D47" s="2" t="s">
        <v>18</v>
      </c>
      <c r="E47" s="5">
        <v>-28975</v>
      </c>
      <c r="F47" s="3" t="s">
        <v>182</v>
      </c>
      <c r="G47" s="3" t="s">
        <v>183</v>
      </c>
      <c r="H47" s="2" t="s">
        <v>21</v>
      </c>
      <c r="I47" s="2" t="s">
        <v>184</v>
      </c>
      <c r="J47" s="3" t="str">
        <f>HYPERLINK("https://www.boe.es/gazeta/dias/1820/08/31/pdfs/GGB-1820-64.pdf#page=4","Abrir facsímil")</f>
        <v>Abrir facsímil</v>
      </c>
      <c r="K47" s="3" t="s">
        <v>23</v>
      </c>
    </row>
    <row r="48" spans="1:11" ht="42" customHeight="1">
      <c r="A48" s="2" t="s">
        <v>185</v>
      </c>
      <c r="B48" s="2" t="s">
        <v>186</v>
      </c>
      <c r="C48" s="2" t="s">
        <v>26</v>
      </c>
      <c r="D48" s="2" t="s">
        <v>27</v>
      </c>
      <c r="E48" s="5">
        <v>-28982</v>
      </c>
      <c r="F48" s="3" t="s">
        <v>173</v>
      </c>
      <c r="G48" s="3" t="s">
        <v>62</v>
      </c>
      <c r="H48" s="2" t="s">
        <v>21</v>
      </c>
      <c r="I48" s="2" t="s">
        <v>187</v>
      </c>
      <c r="J48" s="3" t="str">
        <f>HYPERLINK("https://www.boe.es/gazeta/dias/1820/08/24/pdfs/GGB-1820-57.pdf#page=3","Abrir facsímil")</f>
        <v>Abrir facsímil</v>
      </c>
      <c r="K48" s="3" t="s">
        <v>23</v>
      </c>
    </row>
    <row r="49" spans="1:11" ht="42" customHeight="1">
      <c r="A49" s="2" t="s">
        <v>188</v>
      </c>
      <c r="B49" s="2" t="s">
        <v>189</v>
      </c>
      <c r="C49" s="2" t="s">
        <v>26</v>
      </c>
      <c r="D49" s="2" t="s">
        <v>27</v>
      </c>
      <c r="E49" s="5">
        <v>-28956</v>
      </c>
      <c r="F49" s="3" t="s">
        <v>190</v>
      </c>
      <c r="G49" s="3" t="s">
        <v>20</v>
      </c>
      <c r="H49" s="2" t="s">
        <v>21</v>
      </c>
      <c r="I49" s="2" t="s">
        <v>191</v>
      </c>
      <c r="J49" s="3" t="str">
        <f>HYPERLINK("https://www.boe.es/gazeta/dias/1820/09/19/pdfs/GGB-1820-83.pdf#page=4","Abrir facsímil")</f>
        <v>Abrir facsímil</v>
      </c>
      <c r="K49" s="3" t="s">
        <v>23</v>
      </c>
    </row>
    <row r="50" spans="1:11" ht="42" customHeight="1">
      <c r="A50" s="2" t="s">
        <v>188</v>
      </c>
      <c r="B50" s="2" t="s">
        <v>189</v>
      </c>
      <c r="C50" s="2" t="s">
        <v>26</v>
      </c>
      <c r="D50" s="2" t="s">
        <v>27</v>
      </c>
      <c r="E50" s="5">
        <v>-28911</v>
      </c>
      <c r="F50" s="3" t="s">
        <v>82</v>
      </c>
      <c r="G50" s="3" t="s">
        <v>20</v>
      </c>
      <c r="H50" s="2" t="s">
        <v>21</v>
      </c>
      <c r="I50" s="2" t="s">
        <v>192</v>
      </c>
      <c r="J50" s="3" t="str">
        <f>HYPERLINK("https://www.boe.es/gazeta/dias/1820/11/03/pdfs/GGB-1820-128.pdf#page=4","Abrir facsímil")</f>
        <v>Abrir facsímil</v>
      </c>
      <c r="K50" s="3" t="s">
        <v>23</v>
      </c>
    </row>
    <row r="51" spans="1:11" ht="42" customHeight="1">
      <c r="A51" s="2" t="s">
        <v>193</v>
      </c>
      <c r="B51" s="2" t="s">
        <v>194</v>
      </c>
      <c r="C51" s="2" t="s">
        <v>26</v>
      </c>
      <c r="D51" s="2" t="s">
        <v>27</v>
      </c>
      <c r="E51" s="5">
        <v>-29213</v>
      </c>
      <c r="F51" s="3" t="s">
        <v>195</v>
      </c>
      <c r="G51" s="3" t="s">
        <v>196</v>
      </c>
      <c r="H51" s="2" t="s">
        <v>30</v>
      </c>
      <c r="I51" s="2" t="s">
        <v>197</v>
      </c>
      <c r="J51" s="3" t="str">
        <f>HYPERLINK("https://www.boe.es/gazeta/dias/1820/01/06/pdfs/GMD-1820-3.pdf#page=11","Abrir facsímil")</f>
        <v>Abrir facsímil</v>
      </c>
      <c r="K51" s="3" t="s">
        <v>32</v>
      </c>
    </row>
    <row r="52" spans="1:11" ht="42" customHeight="1">
      <c r="A52" s="2" t="s">
        <v>198</v>
      </c>
      <c r="B52" s="2" t="s">
        <v>199</v>
      </c>
      <c r="C52" s="2" t="s">
        <v>107</v>
      </c>
      <c r="D52" s="2" t="s">
        <v>18</v>
      </c>
      <c r="E52" s="5">
        <v>-29138</v>
      </c>
      <c r="F52" s="3" t="s">
        <v>200</v>
      </c>
      <c r="G52" s="3" t="s">
        <v>201</v>
      </c>
      <c r="H52" s="2" t="s">
        <v>21</v>
      </c>
      <c r="I52" s="2" t="s">
        <v>202</v>
      </c>
      <c r="J52" s="3" t="str">
        <f>HYPERLINK("https://www.boe.es/gazeta/dias/1820/03/21/pdfs/GMD-1820-46.pdf#page=7","Abrir facsímil")</f>
        <v>Abrir facsímil</v>
      </c>
      <c r="K52" s="3" t="s">
        <v>23</v>
      </c>
    </row>
    <row r="53" spans="1:11" ht="42" customHeight="1">
      <c r="A53" s="2" t="s">
        <v>198</v>
      </c>
      <c r="B53" s="2" t="s">
        <v>199</v>
      </c>
      <c r="C53" s="2" t="s">
        <v>74</v>
      </c>
      <c r="D53" s="2" t="s">
        <v>18</v>
      </c>
      <c r="E53" s="5">
        <v>-28978</v>
      </c>
      <c r="F53" s="3" t="s">
        <v>203</v>
      </c>
      <c r="G53" s="3" t="s">
        <v>62</v>
      </c>
      <c r="H53" s="2" t="s">
        <v>21</v>
      </c>
      <c r="I53" s="2" t="s">
        <v>204</v>
      </c>
      <c r="J53" s="3" t="str">
        <f>HYPERLINK("https://www.boe.es/gazeta/dias/1820/08/28/pdfs/GGB-1820-61.pdf#page=3","Abrir facsímil")</f>
        <v>Abrir facsímil</v>
      </c>
      <c r="K53" s="3" t="s">
        <v>23</v>
      </c>
    </row>
    <row r="54" spans="1:11" ht="42" customHeight="1">
      <c r="A54" s="2" t="s">
        <v>205</v>
      </c>
      <c r="B54" s="2" t="s">
        <v>206</v>
      </c>
      <c r="C54" s="2" t="s">
        <v>26</v>
      </c>
      <c r="D54" s="2" t="s">
        <v>27</v>
      </c>
      <c r="E54" s="5">
        <v>-29138</v>
      </c>
      <c r="F54" s="3" t="s">
        <v>200</v>
      </c>
      <c r="G54" s="3" t="s">
        <v>38</v>
      </c>
      <c r="H54" s="2" t="s">
        <v>21</v>
      </c>
      <c r="I54" s="2" t="s">
        <v>207</v>
      </c>
      <c r="J54" s="3" t="str">
        <f>HYPERLINK("https://www.boe.es/gazeta/dias/1820/03/21/pdfs/GMD-1820-46.pdf#page=6","Abrir facsímil")</f>
        <v>Abrir facsímil</v>
      </c>
      <c r="K54" s="3" t="s">
        <v>23</v>
      </c>
    </row>
    <row r="55" spans="1:11" ht="42" customHeight="1">
      <c r="A55" s="2" t="s">
        <v>208</v>
      </c>
      <c r="B55" s="2" t="s">
        <v>209</v>
      </c>
      <c r="C55" s="2" t="s">
        <v>26</v>
      </c>
      <c r="D55" s="2" t="s">
        <v>27</v>
      </c>
      <c r="E55" s="5">
        <v>-28928</v>
      </c>
      <c r="F55" s="3" t="s">
        <v>86</v>
      </c>
      <c r="G55" s="3" t="s">
        <v>128</v>
      </c>
      <c r="H55" s="2" t="s">
        <v>21</v>
      </c>
      <c r="I55" s="2" t="s">
        <v>210</v>
      </c>
      <c r="J55" s="3" t="str">
        <f>HYPERLINK("https://www.boe.es/gazeta/dias/1820/10/17/pdfs/GGB-1820-111.pdf#page=1","Abrir facsímil")</f>
        <v>Abrir facsímil</v>
      </c>
      <c r="K55" s="3" t="s">
        <v>23</v>
      </c>
    </row>
    <row r="56" spans="1:11" ht="42" customHeight="1">
      <c r="A56" s="2" t="s">
        <v>211</v>
      </c>
      <c r="B56" s="2" t="s">
        <v>212</v>
      </c>
      <c r="C56" s="2" t="s">
        <v>35</v>
      </c>
      <c r="D56" s="2" t="s">
        <v>36</v>
      </c>
      <c r="E56" s="5">
        <v>-28991</v>
      </c>
      <c r="F56" s="3" t="s">
        <v>213</v>
      </c>
      <c r="G56" s="3" t="s">
        <v>214</v>
      </c>
      <c r="H56" s="2" t="s">
        <v>21</v>
      </c>
      <c r="I56" s="2" t="s">
        <v>215</v>
      </c>
      <c r="J56" s="3" t="str">
        <f>HYPERLINK("https://www.boe.es/gazeta/dias/1820/08/15/pdfs/GGB-1820-48.pdf#page=2","Abrir facsímil")</f>
        <v>Abrir facsímil</v>
      </c>
      <c r="K56" s="3" t="s">
        <v>23</v>
      </c>
    </row>
    <row r="57" spans="1:11" ht="42" customHeight="1">
      <c r="A57" s="2" t="s">
        <v>216</v>
      </c>
      <c r="B57" s="2" t="s">
        <v>217</v>
      </c>
      <c r="C57" s="2" t="s">
        <v>35</v>
      </c>
      <c r="D57" s="2" t="s">
        <v>36</v>
      </c>
      <c r="E57" s="5">
        <v>-28979</v>
      </c>
      <c r="F57" s="3" t="s">
        <v>218</v>
      </c>
      <c r="G57" s="3" t="s">
        <v>62</v>
      </c>
      <c r="H57" s="2" t="s">
        <v>21</v>
      </c>
      <c r="I57" s="2" t="s">
        <v>219</v>
      </c>
      <c r="J57" s="3" t="str">
        <f>HYPERLINK("https://www.boe.es/gazeta/dias/1820/08/27/pdfs/GGB-1820-60.pdf#page=3","Abrir facsímil")</f>
        <v>Abrir facsímil</v>
      </c>
      <c r="K57" s="3" t="s">
        <v>23</v>
      </c>
    </row>
    <row r="58" spans="1:11" ht="42" customHeight="1">
      <c r="A58" s="2" t="s">
        <v>220</v>
      </c>
      <c r="B58" s="2" t="s">
        <v>221</v>
      </c>
      <c r="C58" s="2" t="s">
        <v>74</v>
      </c>
      <c r="D58" s="2" t="s">
        <v>18</v>
      </c>
      <c r="E58" s="5">
        <v>-28928</v>
      </c>
      <c r="F58" s="3" t="s">
        <v>86</v>
      </c>
      <c r="G58" s="3" t="s">
        <v>62</v>
      </c>
      <c r="H58" s="2" t="s">
        <v>21</v>
      </c>
      <c r="I58" s="2" t="s">
        <v>222</v>
      </c>
      <c r="J58" s="3" t="str">
        <f>HYPERLINK("https://www.boe.es/gazeta/dias/1820/10/17/pdfs/GGB-1820-111.pdf#page=3","Abrir facsímil")</f>
        <v>Abrir facsímil</v>
      </c>
      <c r="K58" s="3" t="s">
        <v>23</v>
      </c>
    </row>
    <row r="59" spans="1:11" ht="42" customHeight="1">
      <c r="A59" s="2" t="s">
        <v>223</v>
      </c>
      <c r="B59" s="2" t="s">
        <v>224</v>
      </c>
      <c r="C59" s="2" t="s">
        <v>74</v>
      </c>
      <c r="D59" s="2" t="s">
        <v>18</v>
      </c>
      <c r="E59" s="5">
        <v>-28969</v>
      </c>
      <c r="F59" s="3" t="s">
        <v>225</v>
      </c>
      <c r="G59" s="3" t="s">
        <v>226</v>
      </c>
      <c r="H59" s="2" t="s">
        <v>21</v>
      </c>
      <c r="I59" s="2" t="s">
        <v>227</v>
      </c>
      <c r="J59" s="3" t="str">
        <f>HYPERLINK("https://www.boe.es/gazeta/dias/1820/09/06/pdfs/GGB-1820-70.pdf#page=3","Abrir facsímil")</f>
        <v>Abrir facsímil</v>
      </c>
      <c r="K59" s="3" t="s">
        <v>23</v>
      </c>
    </row>
    <row r="60" spans="1:11" ht="42" customHeight="1">
      <c r="A60" s="2" t="s">
        <v>223</v>
      </c>
      <c r="B60" s="2" t="s">
        <v>224</v>
      </c>
      <c r="C60" s="2" t="s">
        <v>26</v>
      </c>
      <c r="D60" s="2" t="s">
        <v>27</v>
      </c>
      <c r="E60" s="5">
        <v>-28925</v>
      </c>
      <c r="F60" s="3" t="s">
        <v>228</v>
      </c>
      <c r="G60" s="3" t="s">
        <v>62</v>
      </c>
      <c r="H60" s="2" t="s">
        <v>21</v>
      </c>
      <c r="I60" s="2" t="s">
        <v>229</v>
      </c>
      <c r="J60" s="3" t="str">
        <f>HYPERLINK("https://www.boe.es/gazeta/dias/1820/10/20/pdfs/GGB-1820-114.pdf#page=3","Abrir facsímil")</f>
        <v>Abrir facsímil</v>
      </c>
      <c r="K60" s="3" t="s">
        <v>23</v>
      </c>
    </row>
    <row r="61" spans="1:11" ht="42" customHeight="1">
      <c r="A61" s="2" t="s">
        <v>223</v>
      </c>
      <c r="B61" s="2" t="s">
        <v>224</v>
      </c>
      <c r="C61" s="2" t="s">
        <v>35</v>
      </c>
      <c r="D61" s="2" t="s">
        <v>36</v>
      </c>
      <c r="E61" s="5">
        <v>-28913</v>
      </c>
      <c r="F61" s="3" t="s">
        <v>230</v>
      </c>
      <c r="G61" s="3" t="s">
        <v>43</v>
      </c>
      <c r="H61" s="2" t="s">
        <v>21</v>
      </c>
      <c r="I61" s="2" t="s">
        <v>231</v>
      </c>
      <c r="J61" s="3" t="str">
        <f>HYPERLINK("https://www.boe.es/gazeta/dias/1820/11/01/pdfs/GGB-1820-126.pdf#page=2","Abrir facsímil")</f>
        <v>Abrir facsímil</v>
      </c>
      <c r="K61" s="3" t="s">
        <v>23</v>
      </c>
    </row>
    <row r="62" spans="1:11" ht="42" customHeight="1">
      <c r="A62" s="2" t="s">
        <v>223</v>
      </c>
      <c r="B62" s="2" t="s">
        <v>224</v>
      </c>
      <c r="C62" s="2" t="s">
        <v>74</v>
      </c>
      <c r="D62" s="2" t="s">
        <v>18</v>
      </c>
      <c r="E62" s="5">
        <v>-28906</v>
      </c>
      <c r="F62" s="3" t="s">
        <v>232</v>
      </c>
      <c r="G62" s="3" t="s">
        <v>43</v>
      </c>
      <c r="H62" s="2" t="s">
        <v>21</v>
      </c>
      <c r="I62" s="2" t="s">
        <v>233</v>
      </c>
      <c r="J62" s="3" t="str">
        <f>HYPERLINK("https://www.boe.es/gazeta/dias/1820/11/08/pdfs/GGB-1820-133.pdf#page=2","Abrir facsímil")</f>
        <v>Abrir facsímil</v>
      </c>
      <c r="K62" s="3" t="s">
        <v>23</v>
      </c>
    </row>
    <row r="63" spans="1:11" ht="42" customHeight="1">
      <c r="A63" s="2" t="s">
        <v>234</v>
      </c>
      <c r="B63" s="2" t="s">
        <v>235</v>
      </c>
      <c r="C63" s="2" t="s">
        <v>74</v>
      </c>
      <c r="D63" s="2" t="s">
        <v>18</v>
      </c>
      <c r="E63" s="5">
        <v>-28969</v>
      </c>
      <c r="F63" s="3" t="s">
        <v>225</v>
      </c>
      <c r="G63" s="3" t="s">
        <v>43</v>
      </c>
      <c r="H63" s="2" t="s">
        <v>21</v>
      </c>
      <c r="I63" s="2" t="s">
        <v>236</v>
      </c>
      <c r="J63" s="3" t="str">
        <f>HYPERLINK("https://www.boe.es/gazeta/dias/1820/09/06/pdfs/GGB-1820-70.pdf#page=2","Abrir facsímil")</f>
        <v>Abrir facsímil</v>
      </c>
      <c r="K63" s="3" t="s">
        <v>23</v>
      </c>
    </row>
    <row r="64" spans="1:11" ht="42" customHeight="1">
      <c r="A64" s="2" t="s">
        <v>234</v>
      </c>
      <c r="B64" s="2" t="s">
        <v>235</v>
      </c>
      <c r="C64" s="2" t="s">
        <v>26</v>
      </c>
      <c r="D64" s="2" t="s">
        <v>27</v>
      </c>
      <c r="E64" s="5">
        <v>-28969</v>
      </c>
      <c r="F64" s="3" t="s">
        <v>225</v>
      </c>
      <c r="G64" s="3" t="s">
        <v>20</v>
      </c>
      <c r="H64" s="2" t="s">
        <v>21</v>
      </c>
      <c r="I64" s="2" t="s">
        <v>237</v>
      </c>
      <c r="J64" s="3" t="str">
        <f>HYPERLINK("https://www.boe.es/gazeta/dias/1820/09/06/pdfs/GGB-1820-70.pdf#page=4","Abrir facsímil")</f>
        <v>Abrir facsímil</v>
      </c>
      <c r="K64" s="3" t="s">
        <v>23</v>
      </c>
    </row>
    <row r="65" spans="1:11" ht="42" customHeight="1">
      <c r="A65" s="2" t="s">
        <v>234</v>
      </c>
      <c r="B65" s="2" t="s">
        <v>235</v>
      </c>
      <c r="C65" s="2" t="s">
        <v>111</v>
      </c>
      <c r="D65" s="2" t="s">
        <v>18</v>
      </c>
      <c r="E65" s="5">
        <v>-28967</v>
      </c>
      <c r="F65" s="3" t="s">
        <v>238</v>
      </c>
      <c r="G65" s="3" t="s">
        <v>38</v>
      </c>
      <c r="H65" s="2" t="s">
        <v>21</v>
      </c>
      <c r="I65" s="2" t="s">
        <v>239</v>
      </c>
      <c r="J65" s="3" t="str">
        <f>HYPERLINK("https://www.boe.es/gazeta/dias/1820/09/08/pdfs/GGB-1820-72.pdf#page=6","Abrir facsímil")</f>
        <v>Abrir facsímil</v>
      </c>
      <c r="K65" s="3" t="s">
        <v>23</v>
      </c>
    </row>
    <row r="66" spans="1:11" ht="42" customHeight="1">
      <c r="A66" s="2" t="s">
        <v>234</v>
      </c>
      <c r="B66" s="2" t="s">
        <v>235</v>
      </c>
      <c r="C66" s="2" t="s">
        <v>74</v>
      </c>
      <c r="D66" s="2" t="s">
        <v>18</v>
      </c>
      <c r="E66" s="5">
        <v>-28964</v>
      </c>
      <c r="F66" s="3" t="s">
        <v>240</v>
      </c>
      <c r="G66" s="3" t="s">
        <v>62</v>
      </c>
      <c r="H66" s="2" t="s">
        <v>21</v>
      </c>
      <c r="I66" s="2" t="s">
        <v>241</v>
      </c>
      <c r="J66" s="3" t="str">
        <f>HYPERLINK("https://www.boe.es/gazeta/dias/1820/09/11/pdfs/GGB-1820-75.pdf#page=3","Abrir facsímil")</f>
        <v>Abrir facsímil</v>
      </c>
      <c r="K66" s="3" t="s">
        <v>23</v>
      </c>
    </row>
    <row r="67" spans="1:11" ht="42" customHeight="1">
      <c r="A67" s="2" t="s">
        <v>234</v>
      </c>
      <c r="B67" s="2" t="s">
        <v>235</v>
      </c>
      <c r="C67" s="2" t="s">
        <v>26</v>
      </c>
      <c r="D67" s="2" t="s">
        <v>27</v>
      </c>
      <c r="E67" s="5">
        <v>-28961</v>
      </c>
      <c r="F67" s="3" t="s">
        <v>242</v>
      </c>
      <c r="G67" s="3" t="s">
        <v>43</v>
      </c>
      <c r="H67" s="2" t="s">
        <v>21</v>
      </c>
      <c r="I67" s="2" t="s">
        <v>243</v>
      </c>
      <c r="J67" s="3" t="str">
        <f>HYPERLINK("https://www.boe.es/gazeta/dias/1820/09/14/pdfs/GGB-1820-78.pdf#page=2","Abrir facsímil")</f>
        <v>Abrir facsímil</v>
      </c>
      <c r="K67" s="3" t="s">
        <v>23</v>
      </c>
    </row>
    <row r="68" spans="1:11" ht="42" customHeight="1">
      <c r="A68" s="2" t="s">
        <v>234</v>
      </c>
      <c r="B68" s="2" t="s">
        <v>235</v>
      </c>
      <c r="C68" s="2" t="s">
        <v>35</v>
      </c>
      <c r="D68" s="2" t="s">
        <v>36</v>
      </c>
      <c r="E68" s="5">
        <v>-28942</v>
      </c>
      <c r="F68" s="3" t="s">
        <v>244</v>
      </c>
      <c r="G68" s="3" t="s">
        <v>62</v>
      </c>
      <c r="H68" s="2" t="s">
        <v>21</v>
      </c>
      <c r="I68" s="2" t="s">
        <v>245</v>
      </c>
      <c r="J68" s="3" t="str">
        <f>HYPERLINK("https://www.boe.es/gazeta/dias/1820/10/03/pdfs/GGB-1820-97.pdf#page=3","Abrir facsímil")</f>
        <v>Abrir facsímil</v>
      </c>
      <c r="K68" s="3" t="s">
        <v>23</v>
      </c>
    </row>
    <row r="69" spans="1:11" ht="42" customHeight="1">
      <c r="A69" s="2" t="s">
        <v>234</v>
      </c>
      <c r="B69" s="2" t="s">
        <v>235</v>
      </c>
      <c r="C69" s="2" t="s">
        <v>26</v>
      </c>
      <c r="D69" s="2" t="s">
        <v>27</v>
      </c>
      <c r="E69" s="5">
        <v>-28928</v>
      </c>
      <c r="F69" s="3" t="s">
        <v>86</v>
      </c>
      <c r="G69" s="3" t="s">
        <v>20</v>
      </c>
      <c r="H69" s="2" t="s">
        <v>21</v>
      </c>
      <c r="I69" s="2" t="s">
        <v>246</v>
      </c>
      <c r="J69" s="3" t="str">
        <f>HYPERLINK("https://www.boe.es/gazeta/dias/1820/10/17/pdfs/GGB-1820-111.pdf#page=4","Abrir facsímil")</f>
        <v>Abrir facsímil</v>
      </c>
      <c r="K69" s="3" t="s">
        <v>23</v>
      </c>
    </row>
    <row r="70" spans="1:11" ht="42" customHeight="1">
      <c r="A70" s="2" t="s">
        <v>247</v>
      </c>
      <c r="B70" s="2" t="s">
        <v>247</v>
      </c>
      <c r="C70" s="2" t="s">
        <v>26</v>
      </c>
      <c r="D70" s="2" t="s">
        <v>27</v>
      </c>
      <c r="E70" s="5">
        <v>-28890</v>
      </c>
      <c r="F70" s="3" t="s">
        <v>248</v>
      </c>
      <c r="G70" s="3" t="s">
        <v>43</v>
      </c>
      <c r="H70" s="2" t="s">
        <v>21</v>
      </c>
      <c r="I70" s="2" t="s">
        <v>249</v>
      </c>
      <c r="J70" s="3" t="str">
        <f>HYPERLINK("https://www.boe.es/gazeta/dias/1820/11/24/pdfs/GGB-1820-151.pdf#page=2","Abrir facsímil")</f>
        <v>Abrir facsímil</v>
      </c>
      <c r="K70" s="3" t="s">
        <v>23</v>
      </c>
    </row>
    <row r="71" spans="1:11" ht="42" customHeight="1">
      <c r="A71" s="2" t="s">
        <v>250</v>
      </c>
      <c r="B71" s="2" t="s">
        <v>250</v>
      </c>
      <c r="C71" s="2" t="s">
        <v>17</v>
      </c>
      <c r="D71" s="2" t="s">
        <v>18</v>
      </c>
      <c r="E71" s="5">
        <v>-29007</v>
      </c>
      <c r="F71" s="3" t="s">
        <v>251</v>
      </c>
      <c r="G71" s="3" t="s">
        <v>20</v>
      </c>
      <c r="H71" s="2" t="s">
        <v>21</v>
      </c>
      <c r="I71" s="2" t="s">
        <v>252</v>
      </c>
      <c r="J71" s="3" t="str">
        <f>HYPERLINK("https://www.boe.es/gazeta/dias/1820/07/30/pdfs/GGB-1820-32.pdf#page=4","Abrir facsímil")</f>
        <v>Abrir facsímil</v>
      </c>
      <c r="K71" s="3" t="s">
        <v>23</v>
      </c>
    </row>
    <row r="72" spans="1:11" ht="42" customHeight="1">
      <c r="A72" s="2" t="s">
        <v>253</v>
      </c>
      <c r="B72" s="2" t="s">
        <v>254</v>
      </c>
      <c r="C72" s="2" t="s">
        <v>35</v>
      </c>
      <c r="D72" s="2" t="s">
        <v>36</v>
      </c>
      <c r="E72" s="5">
        <v>-29134</v>
      </c>
      <c r="F72" s="3" t="s">
        <v>255</v>
      </c>
      <c r="G72" s="3" t="s">
        <v>256</v>
      </c>
      <c r="H72" s="2" t="s">
        <v>21</v>
      </c>
      <c r="I72" s="2" t="s">
        <v>257</v>
      </c>
      <c r="J72" s="3" t="str">
        <f>HYPERLINK("https://www.boe.es/gazeta/dias/1820/03/25/pdfs/GMD-1820-53.pdf#page=5","Abrir facsímil")</f>
        <v>Abrir facsímil</v>
      </c>
      <c r="K72" s="3" t="s">
        <v>23</v>
      </c>
    </row>
    <row r="73" spans="1:11" ht="42" customHeight="1">
      <c r="A73" s="2" t="s">
        <v>258</v>
      </c>
      <c r="B73" s="2" t="s">
        <v>259</v>
      </c>
      <c r="C73" s="2" t="s">
        <v>35</v>
      </c>
      <c r="D73" s="2" t="s">
        <v>36</v>
      </c>
      <c r="E73" s="5">
        <v>-29078</v>
      </c>
      <c r="F73" s="3" t="s">
        <v>260</v>
      </c>
      <c r="G73" s="3" t="s">
        <v>261</v>
      </c>
      <c r="H73" s="2" t="s">
        <v>21</v>
      </c>
      <c r="I73" s="2" t="s">
        <v>262</v>
      </c>
      <c r="J73" s="3" t="str">
        <f>HYPERLINK("https://www.boe.es/gazeta/dias/1820/05/20/pdfs/GMD-1820-83.pdf#page=9","Abrir facsímil")</f>
        <v>Abrir facsímil</v>
      </c>
      <c r="K73" s="3" t="s">
        <v>23</v>
      </c>
    </row>
    <row r="74" spans="1:11" ht="42" customHeight="1">
      <c r="A74" s="2" t="s">
        <v>263</v>
      </c>
      <c r="B74" s="2" t="s">
        <v>264</v>
      </c>
      <c r="C74" s="2" t="s">
        <v>35</v>
      </c>
      <c r="D74" s="2" t="s">
        <v>36</v>
      </c>
      <c r="E74" s="5">
        <v>-28859</v>
      </c>
      <c r="F74" s="3" t="s">
        <v>265</v>
      </c>
      <c r="G74" s="3" t="s">
        <v>62</v>
      </c>
      <c r="H74" s="2" t="s">
        <v>21</v>
      </c>
      <c r="I74" s="2" t="s">
        <v>266</v>
      </c>
      <c r="J74" s="3" t="str">
        <f>HYPERLINK("https://www.boe.es/gazeta/dias/1820/12/25/pdfs/GGB-1820-182.pdf#page=3","Abrir facsímil")</f>
        <v>Abrir facsímil</v>
      </c>
      <c r="K74" s="3" t="s">
        <v>23</v>
      </c>
    </row>
    <row r="75" spans="1:11" ht="42" customHeight="1">
      <c r="A75" s="2" t="s">
        <v>267</v>
      </c>
      <c r="B75" s="2" t="s">
        <v>268</v>
      </c>
      <c r="C75" s="2" t="s">
        <v>26</v>
      </c>
      <c r="D75" s="2" t="s">
        <v>27</v>
      </c>
      <c r="E75" s="5">
        <v>-29129</v>
      </c>
      <c r="F75" s="3" t="s">
        <v>269</v>
      </c>
      <c r="G75" s="3" t="s">
        <v>270</v>
      </c>
      <c r="H75" s="2" t="s">
        <v>21</v>
      </c>
      <c r="I75" s="2" t="s">
        <v>271</v>
      </c>
      <c r="J75" s="3" t="str">
        <f>HYPERLINK("https://www.boe.es/gazeta/dias/1820/03/30/pdfs/GMD-1820-58.pdf#page=9","Abrir facsímil")</f>
        <v>Abrir facsímil</v>
      </c>
      <c r="K75" s="3" t="s">
        <v>23</v>
      </c>
    </row>
    <row r="76" spans="1:11" ht="42" customHeight="1">
      <c r="A76" s="2" t="s">
        <v>267</v>
      </c>
      <c r="B76" s="2" t="s">
        <v>268</v>
      </c>
      <c r="C76" s="2" t="s">
        <v>17</v>
      </c>
      <c r="D76" s="2" t="s">
        <v>18</v>
      </c>
      <c r="E76" s="5">
        <v>-29110</v>
      </c>
      <c r="F76" s="3" t="s">
        <v>272</v>
      </c>
      <c r="G76" s="3" t="s">
        <v>201</v>
      </c>
      <c r="H76" s="2" t="s">
        <v>21</v>
      </c>
      <c r="I76" s="2" t="s">
        <v>273</v>
      </c>
      <c r="J76" s="3" t="str">
        <f>HYPERLINK("https://www.boe.es/gazeta/dias/1820/04/18/pdfs/GMD-1820-67.pdf#page=7","Abrir facsímil")</f>
        <v>Abrir facsímil</v>
      </c>
      <c r="K76" s="3" t="s">
        <v>23</v>
      </c>
    </row>
    <row r="77" spans="1:11" ht="42" customHeight="1">
      <c r="A77" s="2" t="s">
        <v>267</v>
      </c>
      <c r="B77" s="2" t="s">
        <v>268</v>
      </c>
      <c r="C77" s="2" t="s">
        <v>26</v>
      </c>
      <c r="D77" s="2" t="s">
        <v>27</v>
      </c>
      <c r="E77" s="5">
        <v>-29017</v>
      </c>
      <c r="F77" s="3" t="s">
        <v>274</v>
      </c>
      <c r="G77" s="3" t="s">
        <v>20</v>
      </c>
      <c r="H77" s="2" t="s">
        <v>21</v>
      </c>
      <c r="I77" s="2" t="s">
        <v>275</v>
      </c>
      <c r="J77" s="3" t="str">
        <f>HYPERLINK("https://www.boe.es/gazeta/dias/1820/07/20/pdfs/GGB-1820-22.pdf#page=4","Abrir facsímil")</f>
        <v>Abrir facsímil</v>
      </c>
      <c r="K77" s="3" t="s">
        <v>23</v>
      </c>
    </row>
    <row r="78" spans="1:11" ht="42" customHeight="1">
      <c r="A78" s="2" t="s">
        <v>276</v>
      </c>
      <c r="B78" s="2" t="s">
        <v>277</v>
      </c>
      <c r="C78" s="2" t="s">
        <v>17</v>
      </c>
      <c r="D78" s="2" t="s">
        <v>18</v>
      </c>
      <c r="E78" s="5">
        <v>-28909</v>
      </c>
      <c r="F78" s="3" t="s">
        <v>278</v>
      </c>
      <c r="G78" s="3" t="s">
        <v>43</v>
      </c>
      <c r="H78" s="2" t="s">
        <v>21</v>
      </c>
      <c r="I78" s="2" t="s">
        <v>279</v>
      </c>
      <c r="J78" s="3" t="str">
        <f>HYPERLINK("https://www.boe.es/gazeta/dias/1820/11/05/pdfs/GGB-1820-130.pdf#page=2","Abrir facsímil")</f>
        <v>Abrir facsímil</v>
      </c>
      <c r="K78" s="3" t="s">
        <v>23</v>
      </c>
    </row>
    <row r="79" spans="1:11" ht="42" customHeight="1">
      <c r="A79" s="2" t="s">
        <v>280</v>
      </c>
      <c r="B79" s="2" t="s">
        <v>281</v>
      </c>
      <c r="C79" s="2" t="s">
        <v>26</v>
      </c>
      <c r="D79" s="2" t="s">
        <v>27</v>
      </c>
      <c r="E79" s="5">
        <v>-29029</v>
      </c>
      <c r="F79" s="3" t="s">
        <v>282</v>
      </c>
      <c r="G79" s="3" t="s">
        <v>62</v>
      </c>
      <c r="H79" s="2" t="s">
        <v>21</v>
      </c>
      <c r="I79" s="2" t="s">
        <v>283</v>
      </c>
      <c r="J79" s="3" t="str">
        <f>HYPERLINK("https://www.boe.es/gazeta/dias/1820/07/08/pdfs/GGB-1820-9.pdf#page=3","Abrir facsímil")</f>
        <v>Abrir facsímil</v>
      </c>
      <c r="K79" s="3" t="s">
        <v>23</v>
      </c>
    </row>
    <row r="80" spans="1:11" ht="42" customHeight="1">
      <c r="A80" s="2" t="s">
        <v>284</v>
      </c>
      <c r="B80" s="2" t="s">
        <v>284</v>
      </c>
      <c r="C80" s="2" t="s">
        <v>26</v>
      </c>
      <c r="D80" s="2" t="s">
        <v>27</v>
      </c>
      <c r="E80" s="5">
        <v>-28899</v>
      </c>
      <c r="F80" s="3" t="s">
        <v>285</v>
      </c>
      <c r="G80" s="3" t="s">
        <v>286</v>
      </c>
      <c r="H80" s="2" t="s">
        <v>21</v>
      </c>
      <c r="I80" s="2" t="s">
        <v>287</v>
      </c>
      <c r="J80" s="3" t="str">
        <f>HYPERLINK("https://www.boe.es/gazeta/dias/1820/11/15/pdfs/GGB-1820-141.pdf#page=2","Abrir facsímil")</f>
        <v>Abrir facsímil</v>
      </c>
      <c r="K80" s="3" t="s">
        <v>23</v>
      </c>
    </row>
    <row r="81" spans="1:11" ht="42" customHeight="1">
      <c r="A81" s="2" t="s">
        <v>288</v>
      </c>
      <c r="B81" s="2" t="s">
        <v>288</v>
      </c>
      <c r="C81" s="2" t="s">
        <v>74</v>
      </c>
      <c r="D81" s="2" t="s">
        <v>18</v>
      </c>
      <c r="E81" s="5">
        <v>-29115</v>
      </c>
      <c r="F81" s="3" t="s">
        <v>289</v>
      </c>
      <c r="G81" s="3" t="s">
        <v>142</v>
      </c>
      <c r="H81" s="2" t="s">
        <v>21</v>
      </c>
      <c r="I81" s="2" t="s">
        <v>290</v>
      </c>
      <c r="J81" s="3" t="str">
        <f>HYPERLINK("https://www.boe.es/gazeta/dias/1820/04/13/pdfs/GMD-1820-65.pdf#page=8","Abrir facsímil")</f>
        <v>Abrir facsímil</v>
      </c>
      <c r="K81" s="3" t="s">
        <v>23</v>
      </c>
    </row>
    <row r="82" spans="1:11" ht="42" customHeight="1">
      <c r="A82" s="2" t="s">
        <v>291</v>
      </c>
      <c r="B82" s="2" t="s">
        <v>292</v>
      </c>
      <c r="C82" s="2" t="s">
        <v>293</v>
      </c>
      <c r="D82" s="2" t="s">
        <v>18</v>
      </c>
      <c r="E82" s="5">
        <v>-29180</v>
      </c>
      <c r="F82" s="3" t="s">
        <v>294</v>
      </c>
      <c r="G82" s="3" t="s">
        <v>295</v>
      </c>
      <c r="H82" s="2" t="s">
        <v>21</v>
      </c>
      <c r="I82" s="2" t="s">
        <v>296</v>
      </c>
      <c r="J82" s="3" t="str">
        <f>HYPERLINK("https://www.boe.es/gazeta/dias/1820/02/08/pdfs/GMD-1820-17.pdf#page=8","Abrir facsímil")</f>
        <v>Abrir facsímil</v>
      </c>
      <c r="K82" s="3" t="s">
        <v>23</v>
      </c>
    </row>
    <row r="83" spans="1:11" ht="42" customHeight="1">
      <c r="A83" s="2" t="s">
        <v>297</v>
      </c>
      <c r="B83" s="2" t="s">
        <v>298</v>
      </c>
      <c r="C83" s="2" t="s">
        <v>35</v>
      </c>
      <c r="D83" s="2" t="s">
        <v>36</v>
      </c>
      <c r="E83" s="5">
        <v>-29150</v>
      </c>
      <c r="F83" s="3" t="s">
        <v>299</v>
      </c>
      <c r="G83" s="3" t="s">
        <v>300</v>
      </c>
      <c r="H83" s="2" t="s">
        <v>21</v>
      </c>
      <c r="I83" s="2" t="s">
        <v>301</v>
      </c>
      <c r="J83" s="3" t="str">
        <f>HYPERLINK("https://www.boe.es/gazeta/dias/1820/03/09/pdfs/GMD-1820-32.pdf#page=8","Abrir facsímil")</f>
        <v>Abrir facsímil</v>
      </c>
      <c r="K83" s="3" t="s">
        <v>23</v>
      </c>
    </row>
    <row r="84" spans="1:11" ht="42" customHeight="1">
      <c r="A84" s="2" t="s">
        <v>302</v>
      </c>
      <c r="B84" s="2" t="s">
        <v>303</v>
      </c>
      <c r="C84" s="2" t="s">
        <v>47</v>
      </c>
      <c r="D84" s="2" t="s">
        <v>18</v>
      </c>
      <c r="E84" s="5">
        <v>-29108</v>
      </c>
      <c r="F84" s="3" t="s">
        <v>304</v>
      </c>
      <c r="G84" s="3" t="s">
        <v>62</v>
      </c>
      <c r="H84" s="2" t="s">
        <v>21</v>
      </c>
      <c r="I84" s="2" t="s">
        <v>305</v>
      </c>
      <c r="J84" s="3" t="str">
        <f>HYPERLINK("https://www.boe.es/gazeta/dias/1820/04/20/pdfs/GMD-1820-68.pdf#page=3","Abrir facsímil")</f>
        <v>Abrir facsímil</v>
      </c>
      <c r="K84" s="3" t="s">
        <v>23</v>
      </c>
    </row>
    <row r="85" spans="1:11" ht="42" customHeight="1">
      <c r="A85" s="2" t="s">
        <v>302</v>
      </c>
      <c r="B85" s="2" t="s">
        <v>303</v>
      </c>
      <c r="C85" s="2" t="s">
        <v>26</v>
      </c>
      <c r="D85" s="2" t="s">
        <v>27</v>
      </c>
      <c r="E85" s="5">
        <v>-28883</v>
      </c>
      <c r="F85" s="3" t="s">
        <v>306</v>
      </c>
      <c r="G85" s="3" t="s">
        <v>20</v>
      </c>
      <c r="H85" s="2" t="s">
        <v>21</v>
      </c>
      <c r="I85" s="2" t="s">
        <v>307</v>
      </c>
      <c r="J85" s="3" t="str">
        <f>HYPERLINK("https://www.boe.es/gazeta/dias/1820/12/01/pdfs/GGB-1820-158.pdf#page=4","Abrir facsímil")</f>
        <v>Abrir facsímil</v>
      </c>
      <c r="K85" s="3" t="s">
        <v>23</v>
      </c>
    </row>
    <row r="86" spans="1:11" ht="42" customHeight="1">
      <c r="A86" s="2" t="s">
        <v>308</v>
      </c>
      <c r="B86" s="2" t="s">
        <v>309</v>
      </c>
      <c r="C86" s="2" t="s">
        <v>26</v>
      </c>
      <c r="D86" s="2" t="s">
        <v>310</v>
      </c>
      <c r="E86" s="5">
        <v>-29132</v>
      </c>
      <c r="F86" s="3" t="s">
        <v>311</v>
      </c>
      <c r="G86" s="3" t="s">
        <v>128</v>
      </c>
      <c r="H86" s="2" t="s">
        <v>21</v>
      </c>
      <c r="I86" s="2" t="s">
        <v>312</v>
      </c>
      <c r="J86" s="3" t="str">
        <f>HYPERLINK("https://www.boe.es/gazeta/dias/1820/03/27/pdfs/GMD-1820-55E.pdf#page=1","Abrir facsímil")</f>
        <v>Abrir facsímil</v>
      </c>
      <c r="K86" s="3" t="s">
        <v>23</v>
      </c>
    </row>
    <row r="87" spans="1:11" ht="42" customHeight="1">
      <c r="A87" s="2" t="s">
        <v>308</v>
      </c>
      <c r="B87" s="2" t="s">
        <v>309</v>
      </c>
      <c r="C87" s="2" t="s">
        <v>111</v>
      </c>
      <c r="D87" s="2" t="s">
        <v>18</v>
      </c>
      <c r="E87" s="5">
        <v>-29103</v>
      </c>
      <c r="F87" s="3" t="s">
        <v>313</v>
      </c>
      <c r="G87" s="3" t="s">
        <v>295</v>
      </c>
      <c r="H87" s="2" t="s">
        <v>21</v>
      </c>
      <c r="I87" s="2" t="s">
        <v>314</v>
      </c>
      <c r="J87" s="3" t="str">
        <f>HYPERLINK("https://www.boe.es/gazeta/dias/1820/04/25/pdfs/GMD-1820-70.pdf#page=8","Abrir facsímil")</f>
        <v>Abrir facsímil</v>
      </c>
      <c r="K87" s="3" t="s">
        <v>23</v>
      </c>
    </row>
    <row r="88" spans="1:11" ht="42" customHeight="1">
      <c r="A88" s="2" t="s">
        <v>308</v>
      </c>
      <c r="B88" s="2" t="s">
        <v>309</v>
      </c>
      <c r="C88" s="2" t="s">
        <v>26</v>
      </c>
      <c r="D88" s="2" t="s">
        <v>27</v>
      </c>
      <c r="E88" s="5">
        <v>-29096</v>
      </c>
      <c r="F88" s="3" t="s">
        <v>315</v>
      </c>
      <c r="G88" s="3" t="s">
        <v>295</v>
      </c>
      <c r="H88" s="2" t="s">
        <v>21</v>
      </c>
      <c r="I88" s="2" t="s">
        <v>316</v>
      </c>
      <c r="J88" s="3" t="str">
        <f>HYPERLINK("https://www.boe.es/gazeta/dias/1820/05/02/pdfs/GMD-1820-74.pdf#page=8","Abrir facsímil")</f>
        <v>Abrir facsímil</v>
      </c>
      <c r="K88" s="3" t="s">
        <v>23</v>
      </c>
    </row>
    <row r="89" spans="1:11" ht="42" customHeight="1">
      <c r="A89" s="2" t="s">
        <v>317</v>
      </c>
      <c r="B89" s="2" t="s">
        <v>318</v>
      </c>
      <c r="C89" s="2" t="s">
        <v>26</v>
      </c>
      <c r="D89" s="2" t="s">
        <v>27</v>
      </c>
      <c r="E89" s="5">
        <v>-29141</v>
      </c>
      <c r="F89" s="3" t="s">
        <v>319</v>
      </c>
      <c r="G89" s="3" t="s">
        <v>295</v>
      </c>
      <c r="H89" s="2" t="s">
        <v>21</v>
      </c>
      <c r="I89" s="2" t="s">
        <v>320</v>
      </c>
      <c r="J89" s="3" t="str">
        <f>HYPERLINK("https://www.boe.es/gazeta/dias/1820/03/18/pdfs/GMD-1820-44.pdf#page=8","Abrir facsímil")</f>
        <v>Abrir facsímil</v>
      </c>
      <c r="K89" s="3" t="s">
        <v>23</v>
      </c>
    </row>
    <row r="90" spans="1:11" ht="42" customHeight="1">
      <c r="A90" s="2" t="s">
        <v>321</v>
      </c>
      <c r="B90" s="2" t="s">
        <v>322</v>
      </c>
      <c r="C90" s="2" t="s">
        <v>26</v>
      </c>
      <c r="D90" s="2" t="s">
        <v>27</v>
      </c>
      <c r="E90" s="5">
        <v>-29045</v>
      </c>
      <c r="F90" s="3" t="s">
        <v>155</v>
      </c>
      <c r="G90" s="3" t="s">
        <v>38</v>
      </c>
      <c r="H90" s="2" t="s">
        <v>21</v>
      </c>
      <c r="I90" s="2" t="s">
        <v>323</v>
      </c>
      <c r="J90" s="3" t="str">
        <f>HYPERLINK("https://www.boe.es/gazeta/dias/1820/06/22/pdfs/GMD-1820-97.pdf#page=6","Abrir facsímil")</f>
        <v>Abrir facsímil</v>
      </c>
      <c r="K90" s="3" t="s">
        <v>23</v>
      </c>
    </row>
    <row r="91" spans="1:11" ht="42" customHeight="1">
      <c r="A91" s="2" t="s">
        <v>324</v>
      </c>
      <c r="B91" s="2" t="s">
        <v>325</v>
      </c>
      <c r="C91" s="2" t="s">
        <v>26</v>
      </c>
      <c r="D91" s="2" t="s">
        <v>27</v>
      </c>
      <c r="E91" s="5">
        <v>-29138</v>
      </c>
      <c r="F91" s="3" t="s">
        <v>200</v>
      </c>
      <c r="G91" s="3" t="s">
        <v>201</v>
      </c>
      <c r="H91" s="2" t="s">
        <v>21</v>
      </c>
      <c r="I91" s="2" t="s">
        <v>326</v>
      </c>
      <c r="J91" s="3" t="str">
        <f>HYPERLINK("https://www.boe.es/gazeta/dias/1820/03/21/pdfs/GMD-1820-46.pdf#page=7","Abrir facsímil")</f>
        <v>Abrir facsímil</v>
      </c>
      <c r="K91" s="3" t="s">
        <v>23</v>
      </c>
    </row>
    <row r="92" spans="1:11" ht="42" customHeight="1">
      <c r="A92" s="2" t="s">
        <v>327</v>
      </c>
      <c r="B92" s="2" t="s">
        <v>328</v>
      </c>
      <c r="C92" s="2" t="s">
        <v>47</v>
      </c>
      <c r="D92" s="2" t="s">
        <v>18</v>
      </c>
      <c r="E92" s="5">
        <v>-29071</v>
      </c>
      <c r="F92" s="3" t="s">
        <v>329</v>
      </c>
      <c r="G92" s="3" t="s">
        <v>330</v>
      </c>
      <c r="H92" s="2" t="s">
        <v>21</v>
      </c>
      <c r="I92" s="2" t="s">
        <v>331</v>
      </c>
      <c r="J92" s="3" t="str">
        <f>HYPERLINK("https://www.boe.es/gazeta/dias/1820/05/27/pdfs/GMD-1820-86.pdf#page=8","Abrir facsímil")</f>
        <v>Abrir facsímil</v>
      </c>
      <c r="K92" s="3" t="s">
        <v>23</v>
      </c>
    </row>
    <row r="93" spans="1:11" ht="42" customHeight="1">
      <c r="A93" s="2" t="s">
        <v>332</v>
      </c>
      <c r="B93" s="2" t="s">
        <v>333</v>
      </c>
      <c r="C93" s="2" t="s">
        <v>111</v>
      </c>
      <c r="D93" s="2" t="s">
        <v>18</v>
      </c>
      <c r="E93" s="5">
        <v>-29143</v>
      </c>
      <c r="F93" s="3" t="s">
        <v>334</v>
      </c>
      <c r="G93" s="3" t="s">
        <v>295</v>
      </c>
      <c r="H93" s="2" t="s">
        <v>30</v>
      </c>
      <c r="I93" s="2" t="s">
        <v>335</v>
      </c>
      <c r="J93" s="3" t="str">
        <f>HYPERLINK("https://www.boe.es/gazeta/dias/1820/03/16/pdfs/GMD-1820-42.pdf#page=8","Abrir facsímil")</f>
        <v>Abrir facsímil</v>
      </c>
      <c r="K93" s="3" t="s">
        <v>32</v>
      </c>
    </row>
    <row r="94" spans="1:11" ht="42" customHeight="1">
      <c r="A94" s="2" t="s">
        <v>336</v>
      </c>
      <c r="B94" s="2" t="s">
        <v>337</v>
      </c>
      <c r="C94" s="2" t="s">
        <v>111</v>
      </c>
      <c r="D94" s="2" t="s">
        <v>18</v>
      </c>
      <c r="E94" s="5">
        <v>-29011</v>
      </c>
      <c r="F94" s="3" t="s">
        <v>338</v>
      </c>
      <c r="G94" s="3" t="s">
        <v>62</v>
      </c>
      <c r="H94" s="2" t="s">
        <v>21</v>
      </c>
      <c r="I94" s="2" t="s">
        <v>339</v>
      </c>
      <c r="J94" s="3" t="str">
        <f>HYPERLINK("https://www.boe.es/gazeta/dias/1820/07/26/pdfs/GGB-1820-28.pdf#page=3","Abrir facsímil")</f>
        <v>Abrir facsímil</v>
      </c>
      <c r="K94" s="3" t="s">
        <v>23</v>
      </c>
    </row>
    <row r="95" spans="1:11" ht="42" customHeight="1">
      <c r="A95" s="2" t="s">
        <v>336</v>
      </c>
      <c r="B95" s="2" t="s">
        <v>337</v>
      </c>
      <c r="C95" s="2" t="s">
        <v>35</v>
      </c>
      <c r="D95" s="2" t="s">
        <v>36</v>
      </c>
      <c r="E95" s="5">
        <v>-29003</v>
      </c>
      <c r="F95" s="3" t="s">
        <v>340</v>
      </c>
      <c r="G95" s="3" t="s">
        <v>62</v>
      </c>
      <c r="H95" s="2" t="s">
        <v>21</v>
      </c>
      <c r="I95" s="2" t="s">
        <v>341</v>
      </c>
      <c r="J95" s="3" t="str">
        <f>HYPERLINK("https://www.boe.es/gazeta/dias/1820/08/03/pdfs/GGB-1820-36.pdf#page=3","Abrir facsímil")</f>
        <v>Abrir facsímil</v>
      </c>
      <c r="K95" s="3" t="s">
        <v>23</v>
      </c>
    </row>
    <row r="96" spans="1:11" ht="42" customHeight="1">
      <c r="A96" s="2" t="s">
        <v>336</v>
      </c>
      <c r="B96" s="2" t="s">
        <v>337</v>
      </c>
      <c r="C96" s="2" t="s">
        <v>26</v>
      </c>
      <c r="D96" s="2" t="s">
        <v>27</v>
      </c>
      <c r="E96" s="5">
        <v>-28999</v>
      </c>
      <c r="F96" s="3" t="s">
        <v>342</v>
      </c>
      <c r="G96" s="3" t="s">
        <v>343</v>
      </c>
      <c r="H96" s="2" t="s">
        <v>21</v>
      </c>
      <c r="I96" s="2" t="s">
        <v>344</v>
      </c>
      <c r="J96" s="3" t="str">
        <f>HYPERLINK("https://www.boe.es/gazeta/dias/1820/08/07/pdfs/GGB-1820-40.pdf#page=2","Abrir facsímil")</f>
        <v>Abrir facsímil</v>
      </c>
      <c r="K96" s="3" t="s">
        <v>23</v>
      </c>
    </row>
    <row r="97" spans="1:11" ht="42" customHeight="1">
      <c r="A97" s="2" t="s">
        <v>336</v>
      </c>
      <c r="B97" s="2" t="s">
        <v>337</v>
      </c>
      <c r="C97" s="2" t="s">
        <v>35</v>
      </c>
      <c r="D97" s="2" t="s">
        <v>36</v>
      </c>
      <c r="E97" s="5">
        <v>-28927</v>
      </c>
      <c r="F97" s="3" t="s">
        <v>345</v>
      </c>
      <c r="G97" s="3" t="s">
        <v>20</v>
      </c>
      <c r="H97" s="2" t="s">
        <v>21</v>
      </c>
      <c r="I97" s="2" t="s">
        <v>346</v>
      </c>
      <c r="J97" s="3" t="str">
        <f>HYPERLINK("https://www.boe.es/gazeta/dias/1820/10/18/pdfs/GGB-1820-112.pdf#page=4","Abrir facsímil")</f>
        <v>Abrir facsímil</v>
      </c>
      <c r="K97" s="3" t="s">
        <v>23</v>
      </c>
    </row>
    <row r="98" spans="1:11" ht="42" customHeight="1">
      <c r="A98" s="2" t="s">
        <v>336</v>
      </c>
      <c r="B98" s="2" t="s">
        <v>337</v>
      </c>
      <c r="C98" s="2" t="s">
        <v>26</v>
      </c>
      <c r="D98" s="2" t="s">
        <v>27</v>
      </c>
      <c r="E98" s="5">
        <v>-28895</v>
      </c>
      <c r="F98" s="3" t="s">
        <v>347</v>
      </c>
      <c r="G98" s="3" t="s">
        <v>62</v>
      </c>
      <c r="H98" s="2" t="s">
        <v>21</v>
      </c>
      <c r="I98" s="2" t="s">
        <v>348</v>
      </c>
      <c r="J98" s="3" t="str">
        <f>HYPERLINK("https://www.boe.es/gazeta/dias/1820/11/19/pdfs/GGB-1820-146.pdf#page=3","Abrir facsímil")</f>
        <v>Abrir facsímil</v>
      </c>
      <c r="K98" s="3" t="s">
        <v>23</v>
      </c>
    </row>
    <row r="99" spans="1:11" ht="42" customHeight="1">
      <c r="A99" s="2" t="s">
        <v>349</v>
      </c>
      <c r="B99" s="2" t="s">
        <v>350</v>
      </c>
      <c r="C99" s="2" t="s">
        <v>26</v>
      </c>
      <c r="D99" s="2" t="s">
        <v>27</v>
      </c>
      <c r="E99" s="5">
        <v>-28982</v>
      </c>
      <c r="F99" s="3" t="s">
        <v>173</v>
      </c>
      <c r="G99" s="3" t="s">
        <v>62</v>
      </c>
      <c r="H99" s="2" t="s">
        <v>21</v>
      </c>
      <c r="I99" s="2" t="s">
        <v>351</v>
      </c>
      <c r="J99" s="3" t="str">
        <f>HYPERLINK("https://www.boe.es/gazeta/dias/1820/08/24/pdfs/GGB-1820-57.pdf#page=3","Abrir facsímil")</f>
        <v>Abrir facsímil</v>
      </c>
      <c r="K99" s="3" t="s">
        <v>23</v>
      </c>
    </row>
    <row r="100" spans="1:11" ht="42" customHeight="1">
      <c r="A100" s="2" t="s">
        <v>352</v>
      </c>
      <c r="B100" s="2" t="s">
        <v>353</v>
      </c>
      <c r="C100" s="2" t="s">
        <v>26</v>
      </c>
      <c r="D100" s="2" t="s">
        <v>27</v>
      </c>
      <c r="E100" s="5">
        <v>-29029</v>
      </c>
      <c r="F100" s="3" t="s">
        <v>282</v>
      </c>
      <c r="G100" s="3" t="s">
        <v>62</v>
      </c>
      <c r="H100" s="2" t="s">
        <v>21</v>
      </c>
      <c r="I100" s="2" t="s">
        <v>354</v>
      </c>
      <c r="J100" s="3" t="str">
        <f>HYPERLINK("https://www.boe.es/gazeta/dias/1820/07/08/pdfs/GGB-1820-9.pdf#page=3","Abrir facsímil")</f>
        <v>Abrir facsímil</v>
      </c>
      <c r="K100" s="3" t="s">
        <v>23</v>
      </c>
    </row>
    <row r="101" spans="1:11" ht="42" customHeight="1">
      <c r="A101" s="2" t="s">
        <v>355</v>
      </c>
      <c r="B101" s="2" t="s">
        <v>356</v>
      </c>
      <c r="C101" s="2" t="s">
        <v>293</v>
      </c>
      <c r="D101" s="2" t="s">
        <v>18</v>
      </c>
      <c r="E101" s="5">
        <v>-29017</v>
      </c>
      <c r="F101" s="3" t="s">
        <v>274</v>
      </c>
      <c r="G101" s="3" t="s">
        <v>43</v>
      </c>
      <c r="H101" s="2" t="s">
        <v>30</v>
      </c>
      <c r="I101" s="2" t="s">
        <v>357</v>
      </c>
      <c r="J101" s="3" t="str">
        <f>HYPERLINK("https://www.boe.es/gazeta/dias/1820/07/20/pdfs/GGB-1820-22.pdf#page=2","Abrir facsímil")</f>
        <v>Abrir facsímil</v>
      </c>
      <c r="K101" s="3" t="s">
        <v>32</v>
      </c>
    </row>
    <row r="102" spans="1:11" ht="42" customHeight="1">
      <c r="A102" s="2" t="s">
        <v>358</v>
      </c>
      <c r="B102" s="2" t="s">
        <v>358</v>
      </c>
      <c r="C102" s="2" t="s">
        <v>47</v>
      </c>
      <c r="D102" s="2" t="s">
        <v>18</v>
      </c>
      <c r="E102" s="5">
        <v>-29015</v>
      </c>
      <c r="F102" s="3" t="s">
        <v>359</v>
      </c>
      <c r="G102" s="3" t="s">
        <v>20</v>
      </c>
      <c r="H102" s="2" t="s">
        <v>21</v>
      </c>
      <c r="I102" s="2" t="s">
        <v>360</v>
      </c>
      <c r="J102" s="3" t="str">
        <f>HYPERLINK("https://www.boe.es/gazeta/dias/1820/07/22/pdfs/GGB-1820-24.pdf#page=4","Abrir facsímil")</f>
        <v>Abrir facsímil</v>
      </c>
      <c r="K102" s="3" t="s">
        <v>23</v>
      </c>
    </row>
    <row r="103" spans="1:11" ht="42" customHeight="1">
      <c r="A103" s="2" t="s">
        <v>358</v>
      </c>
      <c r="B103" s="2" t="s">
        <v>358</v>
      </c>
      <c r="C103" s="2" t="s">
        <v>107</v>
      </c>
      <c r="D103" s="2" t="s">
        <v>18</v>
      </c>
      <c r="E103" s="5">
        <v>-28957</v>
      </c>
      <c r="F103" s="3" t="s">
        <v>361</v>
      </c>
      <c r="G103" s="3" t="s">
        <v>62</v>
      </c>
      <c r="H103" s="2" t="s">
        <v>21</v>
      </c>
      <c r="I103" s="2" t="s">
        <v>362</v>
      </c>
      <c r="J103" s="3" t="str">
        <f>HYPERLINK("https://www.boe.es/gazeta/dias/1820/09/18/pdfs/GGB-1820-82.pdf#page=3","Abrir facsímil")</f>
        <v>Abrir facsímil</v>
      </c>
      <c r="K103" s="3" t="s">
        <v>23</v>
      </c>
    </row>
    <row r="104" spans="1:11" ht="42" customHeight="1">
      <c r="A104" s="2" t="s">
        <v>363</v>
      </c>
      <c r="B104" s="2" t="s">
        <v>363</v>
      </c>
      <c r="C104" s="2" t="s">
        <v>26</v>
      </c>
      <c r="D104" s="2" t="s">
        <v>27</v>
      </c>
      <c r="E104" s="5">
        <v>-28991</v>
      </c>
      <c r="F104" s="3" t="s">
        <v>213</v>
      </c>
      <c r="G104" s="3" t="s">
        <v>62</v>
      </c>
      <c r="H104" s="2" t="s">
        <v>21</v>
      </c>
      <c r="I104" s="2" t="s">
        <v>364</v>
      </c>
      <c r="J104" s="3" t="str">
        <f>HYPERLINK("https://www.boe.es/gazeta/dias/1820/08/15/pdfs/GGB-1820-48.pdf#page=3","Abrir facsímil")</f>
        <v>Abrir facsímil</v>
      </c>
      <c r="K104" s="3" t="s">
        <v>23</v>
      </c>
    </row>
    <row r="105" spans="1:11" ht="42" customHeight="1">
      <c r="A105" s="2" t="s">
        <v>363</v>
      </c>
      <c r="B105" s="2" t="s">
        <v>363</v>
      </c>
      <c r="C105" s="2" t="s">
        <v>293</v>
      </c>
      <c r="D105" s="2" t="s">
        <v>18</v>
      </c>
      <c r="E105" s="5">
        <v>-28990</v>
      </c>
      <c r="F105" s="3" t="s">
        <v>61</v>
      </c>
      <c r="G105" s="3" t="s">
        <v>62</v>
      </c>
      <c r="H105" s="2" t="s">
        <v>21</v>
      </c>
      <c r="I105" s="2" t="s">
        <v>365</v>
      </c>
      <c r="J105" s="3" t="str">
        <f>HYPERLINK("https://www.boe.es/gazeta/dias/1820/08/16/pdfs/GGB-1820-49.pdf#page=3","Abrir facsímil")</f>
        <v>Abrir facsímil</v>
      </c>
      <c r="K105" s="3" t="s">
        <v>23</v>
      </c>
    </row>
    <row r="106" spans="1:11" ht="42" customHeight="1">
      <c r="A106" s="2" t="s">
        <v>363</v>
      </c>
      <c r="B106" s="2" t="s">
        <v>363</v>
      </c>
      <c r="C106" s="2" t="s">
        <v>26</v>
      </c>
      <c r="D106" s="2" t="s">
        <v>27</v>
      </c>
      <c r="E106" s="5">
        <v>-28973</v>
      </c>
      <c r="F106" s="3" t="s">
        <v>151</v>
      </c>
      <c r="G106" s="3" t="s">
        <v>43</v>
      </c>
      <c r="H106" s="2" t="s">
        <v>21</v>
      </c>
      <c r="I106" s="2" t="s">
        <v>366</v>
      </c>
      <c r="J106" s="3" t="str">
        <f>HYPERLINK("https://www.boe.es/gazeta/dias/1820/09/02/pdfs/GGB-1820-66.pdf#page=2","Abrir facsímil")</f>
        <v>Abrir facsímil</v>
      </c>
      <c r="K106" s="3" t="s">
        <v>23</v>
      </c>
    </row>
    <row r="107" spans="1:11" ht="42" customHeight="1">
      <c r="A107" s="2" t="s">
        <v>363</v>
      </c>
      <c r="B107" s="2" t="s">
        <v>363</v>
      </c>
      <c r="C107" s="2" t="s">
        <v>26</v>
      </c>
      <c r="D107" s="2" t="s">
        <v>27</v>
      </c>
      <c r="E107" s="5">
        <v>-28953</v>
      </c>
      <c r="F107" s="3" t="s">
        <v>367</v>
      </c>
      <c r="G107" s="3" t="s">
        <v>62</v>
      </c>
      <c r="H107" s="2" t="s">
        <v>21</v>
      </c>
      <c r="I107" s="2" t="s">
        <v>368</v>
      </c>
      <c r="J107" s="3" t="str">
        <f>HYPERLINK("https://www.boe.es/gazeta/dias/1820/09/22/pdfs/GGB-1820-86.pdf#page=3","Abrir facsímil")</f>
        <v>Abrir facsímil</v>
      </c>
      <c r="K107" s="3" t="s">
        <v>23</v>
      </c>
    </row>
    <row r="108" spans="1:11" ht="42" customHeight="1">
      <c r="A108" s="2" t="s">
        <v>369</v>
      </c>
      <c r="B108" s="2" t="s">
        <v>369</v>
      </c>
      <c r="C108" s="2" t="s">
        <v>17</v>
      </c>
      <c r="D108" s="2" t="s">
        <v>18</v>
      </c>
      <c r="E108" s="5">
        <v>-28952</v>
      </c>
      <c r="F108" s="3" t="s">
        <v>370</v>
      </c>
      <c r="G108" s="3" t="s">
        <v>20</v>
      </c>
      <c r="H108" s="2" t="s">
        <v>21</v>
      </c>
      <c r="I108" s="2" t="s">
        <v>371</v>
      </c>
      <c r="J108" s="3" t="str">
        <f>HYPERLINK("https://www.boe.es/gazeta/dias/1820/09/23/pdfs/GGB-1820-87.pdf#page=4","Abrir facsímil")</f>
        <v>Abrir facsímil</v>
      </c>
      <c r="K108" s="3" t="s">
        <v>23</v>
      </c>
    </row>
    <row r="109" spans="1:11" ht="42" customHeight="1">
      <c r="A109" s="2" t="s">
        <v>363</v>
      </c>
      <c r="B109" s="2" t="s">
        <v>363</v>
      </c>
      <c r="C109" s="2" t="s">
        <v>26</v>
      </c>
      <c r="D109" s="2" t="s">
        <v>27</v>
      </c>
      <c r="E109" s="5">
        <v>-28930</v>
      </c>
      <c r="F109" s="3" t="s">
        <v>372</v>
      </c>
      <c r="G109" s="3" t="s">
        <v>62</v>
      </c>
      <c r="H109" s="2" t="s">
        <v>21</v>
      </c>
      <c r="I109" s="2" t="s">
        <v>373</v>
      </c>
      <c r="J109" s="3" t="str">
        <f>HYPERLINK("https://www.boe.es/gazeta/dias/1820/10/15/pdfs/GGB-1820-109.pdf#page=3","Abrir facsímil")</f>
        <v>Abrir facsímil</v>
      </c>
      <c r="K109" s="3" t="s">
        <v>23</v>
      </c>
    </row>
    <row r="110" spans="1:11" ht="42" customHeight="1">
      <c r="A110" s="2" t="s">
        <v>363</v>
      </c>
      <c r="B110" s="2" t="s">
        <v>363</v>
      </c>
      <c r="C110" s="2" t="s">
        <v>26</v>
      </c>
      <c r="D110" s="2" t="s">
        <v>27</v>
      </c>
      <c r="E110" s="5">
        <v>-28907</v>
      </c>
      <c r="F110" s="3" t="s">
        <v>374</v>
      </c>
      <c r="G110" s="3" t="s">
        <v>43</v>
      </c>
      <c r="H110" s="2" t="s">
        <v>21</v>
      </c>
      <c r="I110" s="2" t="s">
        <v>375</v>
      </c>
      <c r="J110" s="3" t="str">
        <f>HYPERLINK("https://www.boe.es/gazeta/dias/1820/11/07/pdfs/GGB-1820-132.pdf#page=2","Abrir facsímil")</f>
        <v>Abrir facsímil</v>
      </c>
      <c r="K110" s="3" t="s">
        <v>23</v>
      </c>
    </row>
    <row r="111" spans="1:11" ht="42" customHeight="1">
      <c r="A111" s="2" t="s">
        <v>376</v>
      </c>
      <c r="B111" s="2" t="s">
        <v>376</v>
      </c>
      <c r="C111" s="2" t="s">
        <v>111</v>
      </c>
      <c r="D111" s="2" t="s">
        <v>18</v>
      </c>
      <c r="E111" s="5">
        <v>-29021</v>
      </c>
      <c r="F111" s="3" t="s">
        <v>377</v>
      </c>
      <c r="G111" s="3" t="s">
        <v>20</v>
      </c>
      <c r="H111" s="2" t="s">
        <v>21</v>
      </c>
      <c r="I111" s="2" t="s">
        <v>378</v>
      </c>
      <c r="J111" s="3" t="str">
        <f>HYPERLINK("https://www.boe.es/gazeta/dias/1820/07/16/pdfs/GGB-1820-18.pdf#page=4","Abrir facsímil")</f>
        <v>Abrir facsímil</v>
      </c>
      <c r="K111" s="3" t="s">
        <v>23</v>
      </c>
    </row>
    <row r="112" spans="1:11" ht="42" customHeight="1">
      <c r="A112" s="2" t="s">
        <v>379</v>
      </c>
      <c r="B112" s="2" t="s">
        <v>380</v>
      </c>
      <c r="C112" s="2" t="s">
        <v>293</v>
      </c>
      <c r="D112" s="2" t="s">
        <v>18</v>
      </c>
      <c r="E112" s="5">
        <v>-28957</v>
      </c>
      <c r="F112" s="3" t="s">
        <v>361</v>
      </c>
      <c r="G112" s="3" t="s">
        <v>62</v>
      </c>
      <c r="H112" s="2" t="s">
        <v>21</v>
      </c>
      <c r="I112" s="2" t="s">
        <v>381</v>
      </c>
      <c r="J112" s="3" t="str">
        <f>HYPERLINK("https://www.boe.es/gazeta/dias/1820/09/18/pdfs/GGB-1820-82.pdf#page=3","Abrir facsímil")</f>
        <v>Abrir facsímil</v>
      </c>
      <c r="K112" s="3" t="s">
        <v>23</v>
      </c>
    </row>
    <row r="113" spans="1:11" ht="42" customHeight="1">
      <c r="A113" s="2" t="s">
        <v>382</v>
      </c>
      <c r="B113" s="2" t="s">
        <v>383</v>
      </c>
      <c r="C113" s="2" t="s">
        <v>17</v>
      </c>
      <c r="D113" s="2" t="s">
        <v>18</v>
      </c>
      <c r="E113" s="5">
        <v>-29115</v>
      </c>
      <c r="F113" s="3" t="s">
        <v>289</v>
      </c>
      <c r="G113" s="3" t="s">
        <v>20</v>
      </c>
      <c r="H113" s="2" t="s">
        <v>21</v>
      </c>
      <c r="I113" s="2" t="s">
        <v>384</v>
      </c>
      <c r="J113" s="3" t="str">
        <f>HYPERLINK("https://www.boe.es/gazeta/dias/1820/04/13/pdfs/GMD-1820-65.pdf#page=4","Abrir facsímil")</f>
        <v>Abrir facsímil</v>
      </c>
      <c r="K113" s="3" t="s">
        <v>23</v>
      </c>
    </row>
    <row r="114" spans="1:11" ht="42" customHeight="1">
      <c r="A114" s="2" t="s">
        <v>385</v>
      </c>
      <c r="B114" s="2" t="s">
        <v>385</v>
      </c>
      <c r="C114" s="2" t="s">
        <v>111</v>
      </c>
      <c r="D114" s="2" t="s">
        <v>18</v>
      </c>
      <c r="E114" s="5">
        <v>-28940</v>
      </c>
      <c r="F114" s="3" t="s">
        <v>141</v>
      </c>
      <c r="G114" s="3" t="s">
        <v>142</v>
      </c>
      <c r="H114" s="2" t="s">
        <v>21</v>
      </c>
      <c r="I114" s="2" t="s">
        <v>386</v>
      </c>
      <c r="J114" s="3" t="str">
        <f>HYPERLINK("https://www.boe.es/gazeta/dias/1820/10/05/pdfs/GGB-1820-99.pdf#page=4","Abrir facsímil")</f>
        <v>Abrir facsímil</v>
      </c>
      <c r="K114" s="3" t="s">
        <v>23</v>
      </c>
    </row>
    <row r="115" spans="1:11" ht="42" customHeight="1">
      <c r="A115" s="2" t="s">
        <v>387</v>
      </c>
      <c r="B115" s="2" t="s">
        <v>388</v>
      </c>
      <c r="C115" s="2" t="s">
        <v>35</v>
      </c>
      <c r="D115" s="2" t="s">
        <v>36</v>
      </c>
      <c r="E115" s="5">
        <v>-28881</v>
      </c>
      <c r="F115" s="3" t="s">
        <v>57</v>
      </c>
      <c r="G115" s="3" t="s">
        <v>20</v>
      </c>
      <c r="H115" s="2" t="s">
        <v>21</v>
      </c>
      <c r="I115" s="2" t="s">
        <v>389</v>
      </c>
      <c r="J115" s="3" t="str">
        <f>HYPERLINK("https://www.boe.es/gazeta/dias/1820/12/03/pdfs/GGB-1820-160.pdf#page=4","Abrir facsímil")</f>
        <v>Abrir facsímil</v>
      </c>
      <c r="K115" s="3" t="s">
        <v>23</v>
      </c>
    </row>
    <row r="116" spans="1:11" ht="42" customHeight="1">
      <c r="A116" s="2" t="s">
        <v>390</v>
      </c>
      <c r="B116" s="2" t="s">
        <v>391</v>
      </c>
      <c r="C116" s="2" t="s">
        <v>26</v>
      </c>
      <c r="D116" s="2" t="s">
        <v>310</v>
      </c>
      <c r="E116" s="5">
        <v>-29145</v>
      </c>
      <c r="F116" s="3" t="s">
        <v>392</v>
      </c>
      <c r="G116" s="3" t="s">
        <v>128</v>
      </c>
      <c r="H116" s="2" t="s">
        <v>21</v>
      </c>
      <c r="I116" s="2" t="s">
        <v>393</v>
      </c>
      <c r="J116" s="3" t="str">
        <f>HYPERLINK("https://www.boe.es/gazeta/dias/1820/03/14/pdfs/GMD-1820-40E.pdf#page=1","Abrir facsímil")</f>
        <v>Abrir facsímil</v>
      </c>
      <c r="K116" s="3" t="s">
        <v>23</v>
      </c>
    </row>
    <row r="117" spans="1:11" ht="42" customHeight="1">
      <c r="A117" s="2" t="s">
        <v>394</v>
      </c>
      <c r="B117" s="2" t="s">
        <v>395</v>
      </c>
      <c r="C117" s="2" t="s">
        <v>26</v>
      </c>
      <c r="D117" s="2" t="s">
        <v>27</v>
      </c>
      <c r="E117" s="5">
        <v>-28973</v>
      </c>
      <c r="F117" s="3" t="s">
        <v>151</v>
      </c>
      <c r="G117" s="3" t="s">
        <v>20</v>
      </c>
      <c r="H117" s="2" t="s">
        <v>21</v>
      </c>
      <c r="I117" s="2" t="s">
        <v>396</v>
      </c>
      <c r="J117" s="3" t="str">
        <f>HYPERLINK("https://www.boe.es/gazeta/dias/1820/09/02/pdfs/GGB-1820-66.pdf#page=4","Abrir facsímil")</f>
        <v>Abrir facsímil</v>
      </c>
      <c r="K117" s="3" t="s">
        <v>23</v>
      </c>
    </row>
    <row r="118" spans="1:11" ht="42" customHeight="1">
      <c r="A118" s="2" t="s">
        <v>397</v>
      </c>
      <c r="B118" s="2" t="s">
        <v>398</v>
      </c>
      <c r="C118" s="2" t="s">
        <v>35</v>
      </c>
      <c r="D118" s="2" t="s">
        <v>36</v>
      </c>
      <c r="E118" s="5">
        <v>-28920</v>
      </c>
      <c r="F118" s="3" t="s">
        <v>399</v>
      </c>
      <c r="G118" s="3" t="s">
        <v>20</v>
      </c>
      <c r="H118" s="2" t="s">
        <v>21</v>
      </c>
      <c r="I118" s="2" t="s">
        <v>400</v>
      </c>
      <c r="J118" s="3" t="str">
        <f>HYPERLINK("https://www.boe.es/gazeta/dias/1820/10/25/pdfs/GGB-1820-119.pdf#page=4","Abrir facsímil")</f>
        <v>Abrir facsímil</v>
      </c>
      <c r="K118" s="3" t="s">
        <v>23</v>
      </c>
    </row>
    <row r="119" spans="1:11" ht="42" customHeight="1">
      <c r="A119" s="2" t="s">
        <v>401</v>
      </c>
      <c r="B119" s="2" t="s">
        <v>402</v>
      </c>
      <c r="C119" s="2" t="s">
        <v>35</v>
      </c>
      <c r="D119" s="2" t="s">
        <v>36</v>
      </c>
      <c r="E119" s="5">
        <v>-28968</v>
      </c>
      <c r="F119" s="3" t="s">
        <v>66</v>
      </c>
      <c r="G119" s="3" t="s">
        <v>403</v>
      </c>
      <c r="H119" s="2" t="s">
        <v>21</v>
      </c>
      <c r="I119" s="2" t="s">
        <v>404</v>
      </c>
      <c r="J119" s="3" t="str">
        <f>HYPERLINK("https://www.boe.es/gazeta/dias/1820/09/07/pdfs/GGB-1820-71.pdf#page=4","Abrir facsímil")</f>
        <v>Abrir facsímil</v>
      </c>
      <c r="K119" s="3" t="s">
        <v>23</v>
      </c>
    </row>
    <row r="120" spans="1:11" ht="42" customHeight="1">
      <c r="A120" s="2" t="s">
        <v>405</v>
      </c>
      <c r="B120" s="2" t="s">
        <v>406</v>
      </c>
      <c r="C120" s="2" t="s">
        <v>35</v>
      </c>
      <c r="D120" s="2" t="s">
        <v>36</v>
      </c>
      <c r="E120" s="5">
        <v>-28932</v>
      </c>
      <c r="F120" s="3" t="s">
        <v>407</v>
      </c>
      <c r="G120" s="3" t="s">
        <v>62</v>
      </c>
      <c r="H120" s="2" t="s">
        <v>21</v>
      </c>
      <c r="I120" s="2" t="s">
        <v>408</v>
      </c>
      <c r="J120" s="3" t="str">
        <f>HYPERLINK("https://www.boe.es/gazeta/dias/1820/10/13/pdfs/GGB-1820-107.pdf#page=3","Abrir facsímil")</f>
        <v>Abrir facsímil</v>
      </c>
      <c r="K120" s="3" t="s">
        <v>23</v>
      </c>
    </row>
    <row r="121" spans="1:11" ht="42" customHeight="1">
      <c r="A121" s="2" t="s">
        <v>409</v>
      </c>
      <c r="B121" s="2" t="s">
        <v>410</v>
      </c>
      <c r="C121" s="2" t="s">
        <v>26</v>
      </c>
      <c r="D121" s="2" t="s">
        <v>27</v>
      </c>
      <c r="E121" s="5">
        <v>-29201</v>
      </c>
      <c r="F121" s="3" t="s">
        <v>411</v>
      </c>
      <c r="G121" s="3" t="s">
        <v>412</v>
      </c>
      <c r="H121" s="2" t="s">
        <v>21</v>
      </c>
      <c r="I121" s="2" t="s">
        <v>413</v>
      </c>
      <c r="J121" s="3" t="str">
        <f>HYPERLINK("https://www.boe.es/gazeta/dias/1820/01/18/pdfs/GMD-1820-8.pdf#page=5","Abrir facsímil")</f>
        <v>Abrir facsímil</v>
      </c>
      <c r="K121" s="3" t="s">
        <v>23</v>
      </c>
    </row>
    <row r="122" spans="1:11" ht="42" customHeight="1">
      <c r="A122" s="2" t="s">
        <v>414</v>
      </c>
      <c r="B122" s="2" t="s">
        <v>415</v>
      </c>
      <c r="C122" s="2" t="s">
        <v>26</v>
      </c>
      <c r="D122" s="2" t="s">
        <v>27</v>
      </c>
      <c r="E122" s="5">
        <v>-29194</v>
      </c>
      <c r="F122" s="3" t="s">
        <v>416</v>
      </c>
      <c r="G122" s="3" t="s">
        <v>38</v>
      </c>
      <c r="H122" s="2" t="s">
        <v>21</v>
      </c>
      <c r="I122" s="2" t="s">
        <v>417</v>
      </c>
      <c r="J122" s="3" t="str">
        <f>HYPERLINK("https://www.boe.es/gazeta/dias/1820/01/25/pdfs/GMD-1820-11.pdf#page=6","Abrir facsímil")</f>
        <v>Abrir facsímil</v>
      </c>
      <c r="K122" s="3" t="s">
        <v>23</v>
      </c>
    </row>
    <row r="123" spans="1:11" ht="42" customHeight="1">
      <c r="A123" s="2" t="s">
        <v>418</v>
      </c>
      <c r="B123" s="2" t="s">
        <v>419</v>
      </c>
      <c r="C123" s="2" t="s">
        <v>35</v>
      </c>
      <c r="D123" s="2" t="s">
        <v>36</v>
      </c>
      <c r="E123" s="5">
        <v>-29004</v>
      </c>
      <c r="F123" s="3" t="s">
        <v>75</v>
      </c>
      <c r="G123" s="3" t="s">
        <v>62</v>
      </c>
      <c r="H123" s="2" t="s">
        <v>21</v>
      </c>
      <c r="I123" s="2" t="s">
        <v>420</v>
      </c>
      <c r="J123" s="3" t="str">
        <f>HYPERLINK("https://www.boe.es/gazeta/dias/1820/08/02/pdfs/GGB-1820-35.pdf#page=3","Abrir facsímil")</f>
        <v>Abrir facsímil</v>
      </c>
      <c r="K123" s="3" t="s">
        <v>23</v>
      </c>
    </row>
    <row r="124" spans="1:11" ht="42" customHeight="1">
      <c r="A124" s="2" t="s">
        <v>421</v>
      </c>
      <c r="B124" s="2" t="s">
        <v>422</v>
      </c>
      <c r="C124" s="2" t="s">
        <v>35</v>
      </c>
      <c r="D124" s="2" t="s">
        <v>36</v>
      </c>
      <c r="E124" s="5">
        <v>-29050</v>
      </c>
      <c r="F124" s="3" t="s">
        <v>423</v>
      </c>
      <c r="G124" s="3" t="s">
        <v>201</v>
      </c>
      <c r="H124" s="2" t="s">
        <v>21</v>
      </c>
      <c r="I124" s="2" t="s">
        <v>424</v>
      </c>
      <c r="J124" s="3" t="str">
        <f>HYPERLINK("https://www.boe.es/gazeta/dias/1820/06/17/pdfs/GMD-1820-95.pdf#page=7","Abrir facsímil")</f>
        <v>Abrir facsímil</v>
      </c>
      <c r="K124" s="3" t="s">
        <v>23</v>
      </c>
    </row>
    <row r="125" spans="1:11" ht="42" customHeight="1">
      <c r="A125" s="2" t="s">
        <v>425</v>
      </c>
      <c r="B125" s="2" t="s">
        <v>426</v>
      </c>
      <c r="C125" s="2" t="s">
        <v>35</v>
      </c>
      <c r="D125" s="2" t="s">
        <v>36</v>
      </c>
      <c r="E125" s="5">
        <v>-28982</v>
      </c>
      <c r="F125" s="3" t="s">
        <v>173</v>
      </c>
      <c r="G125" s="3" t="s">
        <v>62</v>
      </c>
      <c r="H125" s="2" t="s">
        <v>21</v>
      </c>
      <c r="I125" s="2" t="s">
        <v>427</v>
      </c>
      <c r="J125" s="3" t="str">
        <f>HYPERLINK("https://www.boe.es/gazeta/dias/1820/08/24/pdfs/GGB-1820-57.pdf#page=3","Abrir facsímil")</f>
        <v>Abrir facsímil</v>
      </c>
      <c r="K125" s="3" t="s">
        <v>23</v>
      </c>
    </row>
    <row r="126" spans="1:11" ht="42" customHeight="1">
      <c r="A126" s="2" t="s">
        <v>428</v>
      </c>
      <c r="B126" s="2" t="s">
        <v>429</v>
      </c>
      <c r="C126" s="2" t="s">
        <v>26</v>
      </c>
      <c r="D126" s="2" t="s">
        <v>27</v>
      </c>
      <c r="E126" s="5">
        <v>-29106</v>
      </c>
      <c r="F126" s="3" t="s">
        <v>430</v>
      </c>
      <c r="G126" s="3" t="s">
        <v>295</v>
      </c>
      <c r="H126" s="2" t="s">
        <v>21</v>
      </c>
      <c r="I126" s="2" t="s">
        <v>431</v>
      </c>
      <c r="J126" s="3" t="str">
        <f>HYPERLINK("https://www.boe.es/gazeta/dias/1820/04/22/pdfs/GMD-1820-69.pdf#page=8","Abrir facsímil")</f>
        <v>Abrir facsímil</v>
      </c>
      <c r="K126" s="3" t="s">
        <v>23</v>
      </c>
    </row>
    <row r="127" spans="1:11" ht="42" customHeight="1">
      <c r="A127" s="2" t="s">
        <v>432</v>
      </c>
      <c r="B127" s="2" t="s">
        <v>433</v>
      </c>
      <c r="C127" s="2" t="s">
        <v>35</v>
      </c>
      <c r="D127" s="2" t="s">
        <v>36</v>
      </c>
      <c r="E127" s="5">
        <v>-28914</v>
      </c>
      <c r="F127" s="3" t="s">
        <v>434</v>
      </c>
      <c r="G127" s="3" t="s">
        <v>43</v>
      </c>
      <c r="H127" s="2" t="s">
        <v>21</v>
      </c>
      <c r="I127" s="2" t="s">
        <v>435</v>
      </c>
      <c r="J127" s="3" t="str">
        <f>HYPERLINK("https://www.boe.es/gazeta/dias/1820/10/31/pdfs/GGB-1820-125.pdf#page=2","Abrir facsímil")</f>
        <v>Abrir facsímil</v>
      </c>
      <c r="K127" s="3" t="s">
        <v>23</v>
      </c>
    </row>
    <row r="128" spans="1:11" ht="42" customHeight="1">
      <c r="A128" s="2" t="s">
        <v>436</v>
      </c>
      <c r="B128" s="2" t="s">
        <v>437</v>
      </c>
      <c r="C128" s="2" t="s">
        <v>293</v>
      </c>
      <c r="D128" s="2" t="s">
        <v>18</v>
      </c>
      <c r="E128" s="5">
        <v>-29050</v>
      </c>
      <c r="F128" s="3" t="s">
        <v>423</v>
      </c>
      <c r="G128" s="3" t="s">
        <v>201</v>
      </c>
      <c r="H128" s="2" t="s">
        <v>21</v>
      </c>
      <c r="I128" s="2" t="s">
        <v>438</v>
      </c>
      <c r="J128" s="3" t="str">
        <f>HYPERLINK("https://www.boe.es/gazeta/dias/1820/06/17/pdfs/GMD-1820-95.pdf#page=7","Abrir facsímil")</f>
        <v>Abrir facsímil</v>
      </c>
      <c r="K128" s="3" t="s">
        <v>23</v>
      </c>
    </row>
    <row r="129" spans="1:11" ht="42" customHeight="1">
      <c r="A129" s="2" t="s">
        <v>439</v>
      </c>
      <c r="B129" s="2" t="s">
        <v>439</v>
      </c>
      <c r="C129" s="2" t="s">
        <v>26</v>
      </c>
      <c r="D129" s="2" t="s">
        <v>27</v>
      </c>
      <c r="E129" s="5">
        <v>-28902</v>
      </c>
      <c r="F129" s="3" t="s">
        <v>440</v>
      </c>
      <c r="G129" s="3" t="s">
        <v>62</v>
      </c>
      <c r="H129" s="2" t="s">
        <v>21</v>
      </c>
      <c r="I129" s="2" t="s">
        <v>441</v>
      </c>
      <c r="J129" s="3" t="str">
        <f>HYPERLINK("https://www.boe.es/gazeta/dias/1820/11/12/pdfs/GGB-1820-138.pdf#page=3","Abrir facsímil")</f>
        <v>Abrir facsímil</v>
      </c>
      <c r="K129" s="3" t="s">
        <v>23</v>
      </c>
    </row>
    <row r="130" spans="1:11" ht="42" customHeight="1">
      <c r="A130" s="2" t="s">
        <v>442</v>
      </c>
      <c r="B130" s="2" t="s">
        <v>443</v>
      </c>
      <c r="C130" s="2" t="s">
        <v>26</v>
      </c>
      <c r="D130" s="2" t="s">
        <v>27</v>
      </c>
      <c r="E130" s="5">
        <v>-29141</v>
      </c>
      <c r="F130" s="3" t="s">
        <v>319</v>
      </c>
      <c r="G130" s="3" t="s">
        <v>295</v>
      </c>
      <c r="H130" s="2" t="s">
        <v>21</v>
      </c>
      <c r="I130" s="2" t="s">
        <v>444</v>
      </c>
      <c r="J130" s="3" t="str">
        <f>HYPERLINK("https://www.boe.es/gazeta/dias/1820/03/18/pdfs/GMD-1820-44.pdf#page=8","Abrir facsímil")</f>
        <v>Abrir facsímil</v>
      </c>
      <c r="K130" s="3" t="s">
        <v>23</v>
      </c>
    </row>
    <row r="131" spans="1:11" ht="42" customHeight="1">
      <c r="A131" s="2" t="s">
        <v>445</v>
      </c>
      <c r="B131" s="2" t="s">
        <v>446</v>
      </c>
      <c r="C131" s="2" t="s">
        <v>17</v>
      </c>
      <c r="D131" s="2" t="s">
        <v>18</v>
      </c>
      <c r="E131" s="5">
        <v>-28959</v>
      </c>
      <c r="F131" s="3" t="s">
        <v>37</v>
      </c>
      <c r="G131" s="3" t="s">
        <v>38</v>
      </c>
      <c r="H131" s="2" t="s">
        <v>21</v>
      </c>
      <c r="I131" s="2" t="s">
        <v>447</v>
      </c>
      <c r="J131" s="3" t="str">
        <f>HYPERLINK("https://www.boe.es/gazeta/dias/1820/09/16/pdfs/GGB-1820-80.pdf#page=6","Abrir facsímil")</f>
        <v>Abrir facsímil</v>
      </c>
      <c r="K131" s="3" t="s">
        <v>23</v>
      </c>
    </row>
    <row r="132" spans="1:11" ht="42" customHeight="1">
      <c r="A132" s="2" t="s">
        <v>448</v>
      </c>
      <c r="B132" s="2" t="s">
        <v>448</v>
      </c>
      <c r="C132" s="2" t="s">
        <v>17</v>
      </c>
      <c r="D132" s="2" t="s">
        <v>18</v>
      </c>
      <c r="E132" s="5">
        <v>-28869</v>
      </c>
      <c r="F132" s="3" t="s">
        <v>449</v>
      </c>
      <c r="G132" s="3" t="s">
        <v>450</v>
      </c>
      <c r="H132" s="2" t="s">
        <v>21</v>
      </c>
      <c r="I132" s="2" t="s">
        <v>451</v>
      </c>
      <c r="J132" s="3" t="str">
        <f>HYPERLINK("https://www.boe.es/gazeta/dias/1820/12/15/pdfs/GGB-1820-172.pdf#page=4","Abrir facsímil")</f>
        <v>Abrir facsímil</v>
      </c>
      <c r="K132" s="3" t="s">
        <v>23</v>
      </c>
    </row>
    <row r="133" spans="1:11" ht="42" customHeight="1">
      <c r="A133" s="2" t="s">
        <v>452</v>
      </c>
      <c r="B133" s="2" t="s">
        <v>453</v>
      </c>
      <c r="C133" s="2" t="s">
        <v>26</v>
      </c>
      <c r="D133" s="2" t="s">
        <v>27</v>
      </c>
      <c r="E133" s="5">
        <v>-28865</v>
      </c>
      <c r="F133" s="3" t="s">
        <v>136</v>
      </c>
      <c r="G133" s="3" t="s">
        <v>137</v>
      </c>
      <c r="H133" s="2" t="s">
        <v>30</v>
      </c>
      <c r="I133" s="2" t="s">
        <v>454</v>
      </c>
      <c r="J133" s="3" t="str">
        <f>HYPERLINK("https://www.boe.es/gazeta/dias/1820/12/19/pdfs/GGB-1820-176.pdf#page=3","Abrir facsímil")</f>
        <v>Abrir facsímil</v>
      </c>
      <c r="K133" s="3" t="s">
        <v>32</v>
      </c>
    </row>
    <row r="134" spans="1:11" ht="42" customHeight="1">
      <c r="A134" s="2" t="s">
        <v>455</v>
      </c>
      <c r="B134" s="2" t="s">
        <v>456</v>
      </c>
      <c r="C134" s="2" t="s">
        <v>26</v>
      </c>
      <c r="D134" s="2" t="s">
        <v>27</v>
      </c>
      <c r="E134" s="5">
        <v>-28963</v>
      </c>
      <c r="F134" s="3" t="s">
        <v>94</v>
      </c>
      <c r="G134" s="3" t="s">
        <v>62</v>
      </c>
      <c r="H134" s="2" t="s">
        <v>30</v>
      </c>
      <c r="I134" s="2" t="s">
        <v>457</v>
      </c>
      <c r="J134" s="3" t="str">
        <f>HYPERLINK("https://www.boe.es/gazeta/dias/1820/09/12/pdfs/GGB-1820-76.pdf#page=3","Abrir facsímil")</f>
        <v>Abrir facsímil</v>
      </c>
      <c r="K134" s="3" t="s">
        <v>32</v>
      </c>
    </row>
    <row r="135" spans="1:11" ht="42" customHeight="1">
      <c r="A135" s="2" t="s">
        <v>458</v>
      </c>
      <c r="B135" s="2" t="s">
        <v>459</v>
      </c>
      <c r="C135" s="2" t="s">
        <v>111</v>
      </c>
      <c r="D135" s="2" t="s">
        <v>18</v>
      </c>
      <c r="E135" s="5">
        <v>-29034</v>
      </c>
      <c r="F135" s="3" t="s">
        <v>460</v>
      </c>
      <c r="G135" s="3" t="s">
        <v>461</v>
      </c>
      <c r="H135" s="2" t="s">
        <v>21</v>
      </c>
      <c r="I135" s="2" t="s">
        <v>462</v>
      </c>
      <c r="J135" s="3" t="str">
        <f>HYPERLINK("https://www.boe.es/gazeta/dias/1820/07/03/pdfs/GGB-1820-3.pdf#page=4","Abrir facsímil")</f>
        <v>Abrir facsímil</v>
      </c>
      <c r="K135" s="3" t="s">
        <v>23</v>
      </c>
    </row>
    <row r="136" spans="1:11" ht="42" customHeight="1">
      <c r="A136" s="2" t="s">
        <v>463</v>
      </c>
      <c r="B136" s="2" t="s">
        <v>464</v>
      </c>
      <c r="C136" s="2" t="s">
        <v>26</v>
      </c>
      <c r="D136" s="2" t="s">
        <v>27</v>
      </c>
      <c r="E136" s="5">
        <v>-28993</v>
      </c>
      <c r="F136" s="3" t="s">
        <v>465</v>
      </c>
      <c r="G136" s="3" t="s">
        <v>20</v>
      </c>
      <c r="H136" s="2" t="s">
        <v>21</v>
      </c>
      <c r="I136" s="2" t="s">
        <v>466</v>
      </c>
      <c r="J136" s="3" t="str">
        <f>HYPERLINK("https://www.boe.es/gazeta/dias/1820/08/13/pdfs/GGB-1820-46.pdf#page=4","Abrir facsímil")</f>
        <v>Abrir facsímil</v>
      </c>
      <c r="K136" s="3" t="s">
        <v>23</v>
      </c>
    </row>
    <row r="137" spans="1:11" ht="42" customHeight="1">
      <c r="A137" s="2" t="s">
        <v>467</v>
      </c>
      <c r="B137" s="2" t="s">
        <v>468</v>
      </c>
      <c r="C137" s="2" t="s">
        <v>107</v>
      </c>
      <c r="D137" s="2" t="s">
        <v>18</v>
      </c>
      <c r="E137" s="5">
        <v>-28894</v>
      </c>
      <c r="F137" s="3" t="s">
        <v>469</v>
      </c>
      <c r="G137" s="3" t="s">
        <v>20</v>
      </c>
      <c r="H137" s="2" t="s">
        <v>21</v>
      </c>
      <c r="I137" s="2" t="s">
        <v>470</v>
      </c>
      <c r="J137" s="3" t="str">
        <f>HYPERLINK("https://www.boe.es/gazeta/dias/1820/11/20/pdfs/GGB-1820-147.pdf#page=4","Abrir facsímil")</f>
        <v>Abrir facsímil</v>
      </c>
      <c r="K137" s="3" t="s">
        <v>23</v>
      </c>
    </row>
    <row r="138" spans="1:11" ht="42" customHeight="1">
      <c r="A138" s="2" t="s">
        <v>471</v>
      </c>
      <c r="B138" s="2" t="s">
        <v>472</v>
      </c>
      <c r="C138" s="2" t="s">
        <v>74</v>
      </c>
      <c r="D138" s="2" t="s">
        <v>18</v>
      </c>
      <c r="E138" s="5">
        <v>-28924</v>
      </c>
      <c r="F138" s="3" t="s">
        <v>78</v>
      </c>
      <c r="G138" s="3" t="s">
        <v>20</v>
      </c>
      <c r="H138" s="2" t="s">
        <v>21</v>
      </c>
      <c r="I138" s="2" t="s">
        <v>473</v>
      </c>
      <c r="J138" s="3" t="str">
        <f>HYPERLINK("https://www.boe.es/gazeta/dias/1820/10/21/pdfs/GGB-1820-115.pdf#page=4","Abrir facsímil")</f>
        <v>Abrir facsímil</v>
      </c>
      <c r="K138" s="3" t="s">
        <v>23</v>
      </c>
    </row>
    <row r="139" spans="1:11" ht="42" customHeight="1">
      <c r="A139" s="2" t="s">
        <v>474</v>
      </c>
      <c r="B139" s="2" t="s">
        <v>475</v>
      </c>
      <c r="C139" s="2" t="s">
        <v>26</v>
      </c>
      <c r="D139" s="2" t="s">
        <v>27</v>
      </c>
      <c r="E139" s="5">
        <v>-29183</v>
      </c>
      <c r="F139" s="3" t="s">
        <v>476</v>
      </c>
      <c r="G139" s="3" t="s">
        <v>295</v>
      </c>
      <c r="H139" s="2" t="s">
        <v>21</v>
      </c>
      <c r="I139" s="2" t="s">
        <v>477</v>
      </c>
      <c r="J139" s="3" t="str">
        <f>HYPERLINK("https://www.boe.es/gazeta/dias/1820/02/05/pdfs/GMD-1820-16.pdf#page=8","Abrir facsímil")</f>
        <v>Abrir facsímil</v>
      </c>
      <c r="K139" s="3" t="s">
        <v>23</v>
      </c>
    </row>
    <row r="140" spans="1:11" ht="42" customHeight="1">
      <c r="A140" s="2" t="s">
        <v>474</v>
      </c>
      <c r="B140" s="2" t="s">
        <v>475</v>
      </c>
      <c r="C140" s="2" t="s">
        <v>35</v>
      </c>
      <c r="D140" s="2" t="s">
        <v>36</v>
      </c>
      <c r="E140" s="5">
        <v>-29082</v>
      </c>
      <c r="F140" s="3" t="s">
        <v>478</v>
      </c>
      <c r="G140" s="3" t="s">
        <v>479</v>
      </c>
      <c r="H140" s="2" t="s">
        <v>21</v>
      </c>
      <c r="I140" s="2" t="s">
        <v>480</v>
      </c>
      <c r="J140" s="3" t="str">
        <f>HYPERLINK("https://www.boe.es/gazeta/dias/1820/05/16/pdfs/GMD-1820-80.pdf#page=12","Abrir facsímil")</f>
        <v>Abrir facsímil</v>
      </c>
      <c r="K140" s="3" t="s">
        <v>23</v>
      </c>
    </row>
    <row r="141" spans="1:11" ht="42" customHeight="1">
      <c r="A141" s="2" t="s">
        <v>474</v>
      </c>
      <c r="B141" s="2" t="s">
        <v>475</v>
      </c>
      <c r="C141" s="2" t="s">
        <v>35</v>
      </c>
      <c r="D141" s="2" t="s">
        <v>36</v>
      </c>
      <c r="E141" s="5">
        <v>-29054</v>
      </c>
      <c r="F141" s="3" t="s">
        <v>481</v>
      </c>
      <c r="G141" s="3" t="s">
        <v>479</v>
      </c>
      <c r="H141" s="2" t="s">
        <v>21</v>
      </c>
      <c r="I141" s="2" t="s">
        <v>482</v>
      </c>
      <c r="J141" s="3" t="str">
        <f>HYPERLINK("https://www.boe.es/gazeta/dias/1820/06/13/pdfs/GMD-1820-93.pdf#page=12","Abrir facsímil")</f>
        <v>Abrir facsímil</v>
      </c>
      <c r="K141" s="3" t="s">
        <v>23</v>
      </c>
    </row>
    <row r="142" spans="1:11" ht="42" customHeight="1">
      <c r="A142" s="2" t="s">
        <v>483</v>
      </c>
      <c r="B142" s="2" t="s">
        <v>484</v>
      </c>
      <c r="C142" s="2" t="s">
        <v>26</v>
      </c>
      <c r="D142" s="2" t="s">
        <v>27</v>
      </c>
      <c r="E142" s="5">
        <v>-29017</v>
      </c>
      <c r="F142" s="3" t="s">
        <v>274</v>
      </c>
      <c r="G142" s="3" t="s">
        <v>62</v>
      </c>
      <c r="H142" s="2" t="s">
        <v>21</v>
      </c>
      <c r="I142" s="2" t="s">
        <v>485</v>
      </c>
      <c r="J142" s="3" t="str">
        <f>HYPERLINK("https://www.boe.es/gazeta/dias/1820/07/20/pdfs/GGB-1820-22.pdf#page=3","Abrir facsímil")</f>
        <v>Abrir facsímil</v>
      </c>
      <c r="K142" s="3" t="s">
        <v>23</v>
      </c>
    </row>
    <row r="143" spans="1:11" ht="42" customHeight="1">
      <c r="A143" s="2" t="s">
        <v>486</v>
      </c>
      <c r="B143" s="2" t="s">
        <v>487</v>
      </c>
      <c r="C143" s="2" t="s">
        <v>293</v>
      </c>
      <c r="D143" s="2" t="s">
        <v>18</v>
      </c>
      <c r="E143" s="5">
        <v>-28986</v>
      </c>
      <c r="F143" s="3" t="s">
        <v>488</v>
      </c>
      <c r="G143" s="3" t="s">
        <v>489</v>
      </c>
      <c r="H143" s="2" t="s">
        <v>21</v>
      </c>
      <c r="I143" s="2" t="s">
        <v>490</v>
      </c>
      <c r="J143" s="3" t="str">
        <f>HYPERLINK("https://www.boe.es/gazeta/dias/1820/08/20/pdfs/GGB-1820-53.pdf#page=2","Abrir facsímil")</f>
        <v>Abrir facsímil</v>
      </c>
      <c r="K143" s="3" t="s">
        <v>23</v>
      </c>
    </row>
    <row r="144" spans="1:11" ht="42" customHeight="1">
      <c r="A144" s="2" t="s">
        <v>491</v>
      </c>
      <c r="B144" s="2" t="s">
        <v>492</v>
      </c>
      <c r="C144" s="2" t="s">
        <v>35</v>
      </c>
      <c r="D144" s="2" t="s">
        <v>36</v>
      </c>
      <c r="E144" s="5">
        <v>-29148</v>
      </c>
      <c r="F144" s="3" t="s">
        <v>493</v>
      </c>
      <c r="G144" s="3" t="s">
        <v>295</v>
      </c>
      <c r="H144" s="2" t="s">
        <v>21</v>
      </c>
      <c r="I144" s="2" t="s">
        <v>494</v>
      </c>
      <c r="J144" s="3" t="str">
        <f>HYPERLINK("https://www.boe.es/gazeta/dias/1820/03/11/pdfs/GMD-1820-36.pdf#page=8","Abrir facsímil")</f>
        <v>Abrir facsímil</v>
      </c>
      <c r="K144" s="3" t="s">
        <v>23</v>
      </c>
    </row>
    <row r="145" spans="1:11" ht="42" customHeight="1">
      <c r="A145" s="2" t="s">
        <v>495</v>
      </c>
      <c r="B145" s="2" t="s">
        <v>496</v>
      </c>
      <c r="C145" s="2" t="s">
        <v>293</v>
      </c>
      <c r="D145" s="2" t="s">
        <v>18</v>
      </c>
      <c r="E145" s="5">
        <v>-29192</v>
      </c>
      <c r="F145" s="3" t="s">
        <v>497</v>
      </c>
      <c r="G145" s="3" t="s">
        <v>498</v>
      </c>
      <c r="H145" s="2" t="s">
        <v>21</v>
      </c>
      <c r="I145" s="2" t="s">
        <v>499</v>
      </c>
      <c r="J145" s="3" t="str">
        <f>HYPERLINK("https://www.boe.es/gazeta/dias/1820/01/27/pdfs/GMD-1820-12.pdf#page=7","Abrir facsímil")</f>
        <v>Abrir facsímil</v>
      </c>
      <c r="K145" s="3" t="s">
        <v>23</v>
      </c>
    </row>
    <row r="146" spans="1:11" ht="42" customHeight="1">
      <c r="A146" s="2" t="s">
        <v>500</v>
      </c>
      <c r="B146" s="2" t="s">
        <v>500</v>
      </c>
      <c r="C146" s="2" t="s">
        <v>35</v>
      </c>
      <c r="D146" s="2" t="s">
        <v>36</v>
      </c>
      <c r="E146" s="5">
        <v>-29113</v>
      </c>
      <c r="F146" s="3" t="s">
        <v>501</v>
      </c>
      <c r="G146" s="3" t="s">
        <v>295</v>
      </c>
      <c r="H146" s="2" t="s">
        <v>21</v>
      </c>
      <c r="I146" s="2" t="s">
        <v>502</v>
      </c>
      <c r="J146" s="3" t="str">
        <f>HYPERLINK("https://www.boe.es/gazeta/dias/1820/04/15/pdfs/GMD-1820-66.pdf#page=8","Abrir facsímil")</f>
        <v>Abrir facsímil</v>
      </c>
      <c r="K146" s="3" t="s">
        <v>23</v>
      </c>
    </row>
    <row r="147" spans="1:11" ht="42" customHeight="1">
      <c r="A147" s="2" t="s">
        <v>500</v>
      </c>
      <c r="B147" s="2" t="s">
        <v>500</v>
      </c>
      <c r="C147" s="2" t="s">
        <v>26</v>
      </c>
      <c r="D147" s="2" t="s">
        <v>27</v>
      </c>
      <c r="E147" s="5">
        <v>-28934</v>
      </c>
      <c r="F147" s="3" t="s">
        <v>163</v>
      </c>
      <c r="G147" s="3" t="s">
        <v>62</v>
      </c>
      <c r="H147" s="2" t="s">
        <v>21</v>
      </c>
      <c r="I147" s="2" t="s">
        <v>503</v>
      </c>
      <c r="J147" s="3" t="str">
        <f>HYPERLINK("https://www.boe.es/gazeta/dias/1820/10/11/pdfs/GGB-1820-105.pdf#page=3","Abrir facsímil")</f>
        <v>Abrir facsímil</v>
      </c>
      <c r="K147" s="3" t="s">
        <v>23</v>
      </c>
    </row>
    <row r="148" spans="1:11" ht="42" customHeight="1">
      <c r="A148" s="2" t="s">
        <v>504</v>
      </c>
      <c r="B148" s="2" t="s">
        <v>504</v>
      </c>
      <c r="C148" s="2" t="s">
        <v>111</v>
      </c>
      <c r="D148" s="2" t="s">
        <v>18</v>
      </c>
      <c r="E148" s="5">
        <v>-29134</v>
      </c>
      <c r="F148" s="3" t="s">
        <v>255</v>
      </c>
      <c r="G148" s="3" t="s">
        <v>256</v>
      </c>
      <c r="H148" s="2" t="s">
        <v>21</v>
      </c>
      <c r="I148" s="2" t="s">
        <v>505</v>
      </c>
      <c r="J148" s="3" t="str">
        <f>HYPERLINK("https://www.boe.es/gazeta/dias/1820/03/25/pdfs/GMD-1820-53.pdf#page=5","Abrir facsímil")</f>
        <v>Abrir facsímil</v>
      </c>
      <c r="K148" s="3" t="s">
        <v>23</v>
      </c>
    </row>
    <row r="149" spans="1:11" ht="42" customHeight="1">
      <c r="A149" s="2" t="s">
        <v>506</v>
      </c>
      <c r="B149" s="2" t="s">
        <v>506</v>
      </c>
      <c r="C149" s="2" t="s">
        <v>107</v>
      </c>
      <c r="D149" s="2" t="s">
        <v>18</v>
      </c>
      <c r="E149" s="5">
        <v>-28866</v>
      </c>
      <c r="F149" s="3" t="s">
        <v>507</v>
      </c>
      <c r="G149" s="3" t="s">
        <v>62</v>
      </c>
      <c r="H149" s="2" t="s">
        <v>21</v>
      </c>
      <c r="I149" s="2" t="s">
        <v>508</v>
      </c>
      <c r="J149" s="3" t="str">
        <f>HYPERLINK("https://www.boe.es/gazeta/dias/1820/12/18/pdfs/GGB-1820-175.pdf#page=3","Abrir facsímil")</f>
        <v>Abrir facsímil</v>
      </c>
      <c r="K149" s="3" t="s">
        <v>23</v>
      </c>
    </row>
    <row r="150" spans="1:11" ht="42" customHeight="1">
      <c r="A150" s="2" t="s">
        <v>509</v>
      </c>
      <c r="B150" s="2" t="s">
        <v>510</v>
      </c>
      <c r="C150" s="2" t="s">
        <v>17</v>
      </c>
      <c r="D150" s="2" t="s">
        <v>18</v>
      </c>
      <c r="E150" s="5">
        <v>-29134</v>
      </c>
      <c r="F150" s="3" t="s">
        <v>255</v>
      </c>
      <c r="G150" s="3" t="s">
        <v>256</v>
      </c>
      <c r="H150" s="2" t="s">
        <v>21</v>
      </c>
      <c r="I150" s="2" t="s">
        <v>511</v>
      </c>
      <c r="J150" s="3" t="str">
        <f>HYPERLINK("https://www.boe.es/gazeta/dias/1820/03/25/pdfs/GMD-1820-53.pdf#page=5","Abrir facsímil")</f>
        <v>Abrir facsímil</v>
      </c>
      <c r="K150" s="3" t="s">
        <v>23</v>
      </c>
    </row>
    <row r="151" spans="1:11" ht="42" customHeight="1">
      <c r="A151" s="2" t="s">
        <v>512</v>
      </c>
      <c r="B151" s="2" t="s">
        <v>513</v>
      </c>
      <c r="C151" s="2" t="s">
        <v>26</v>
      </c>
      <c r="D151" s="2" t="s">
        <v>27</v>
      </c>
      <c r="E151" s="5">
        <v>-28949</v>
      </c>
      <c r="F151" s="3" t="s">
        <v>178</v>
      </c>
      <c r="G151" s="3" t="s">
        <v>20</v>
      </c>
      <c r="H151" s="2" t="s">
        <v>21</v>
      </c>
      <c r="I151" s="2" t="s">
        <v>514</v>
      </c>
      <c r="J151" s="3" t="str">
        <f>HYPERLINK("https://www.boe.es/gazeta/dias/1820/09/26/pdfs/GGB-1820-90.pdf#page=4","Abrir facsímil")</f>
        <v>Abrir facsímil</v>
      </c>
      <c r="K151" s="3" t="s">
        <v>23</v>
      </c>
    </row>
    <row r="152" spans="1:11" ht="42" customHeight="1">
      <c r="A152" s="2" t="s">
        <v>515</v>
      </c>
      <c r="B152" s="2" t="s">
        <v>515</v>
      </c>
      <c r="C152" s="2" t="s">
        <v>293</v>
      </c>
      <c r="D152" s="2" t="s">
        <v>18</v>
      </c>
      <c r="E152" s="5">
        <v>-28919</v>
      </c>
      <c r="F152" s="3" t="s">
        <v>516</v>
      </c>
      <c r="G152" s="3" t="s">
        <v>20</v>
      </c>
      <c r="H152" s="2" t="s">
        <v>21</v>
      </c>
      <c r="I152" s="2" t="s">
        <v>517</v>
      </c>
      <c r="J152" s="3" t="str">
        <f>HYPERLINK("https://www.boe.es/gazeta/dias/1820/10/26/pdfs/GGB-1820-120.pdf#page=4","Abrir facsímil")</f>
        <v>Abrir facsímil</v>
      </c>
      <c r="K152" s="3" t="s">
        <v>23</v>
      </c>
    </row>
    <row r="153" spans="1:11" ht="42" customHeight="1">
      <c r="A153" s="2" t="s">
        <v>518</v>
      </c>
      <c r="B153" s="2" t="s">
        <v>519</v>
      </c>
      <c r="C153" s="2" t="s">
        <v>17</v>
      </c>
      <c r="D153" s="2" t="s">
        <v>18</v>
      </c>
      <c r="E153" s="5">
        <v>-28984</v>
      </c>
      <c r="F153" s="3" t="s">
        <v>520</v>
      </c>
      <c r="G153" s="3" t="s">
        <v>62</v>
      </c>
      <c r="H153" s="2" t="s">
        <v>21</v>
      </c>
      <c r="I153" s="2" t="s">
        <v>521</v>
      </c>
      <c r="J153" s="3" t="str">
        <f>HYPERLINK("https://www.boe.es/gazeta/dias/1820/08/22/pdfs/GGB-1820-55.pdf#page=3","Abrir facsímil")</f>
        <v>Abrir facsímil</v>
      </c>
      <c r="K153" s="3" t="s">
        <v>23</v>
      </c>
    </row>
    <row r="154" spans="1:11" ht="42" customHeight="1">
      <c r="A154" s="2" t="s">
        <v>518</v>
      </c>
      <c r="B154" s="2" t="s">
        <v>519</v>
      </c>
      <c r="C154" s="2" t="s">
        <v>74</v>
      </c>
      <c r="D154" s="2" t="s">
        <v>18</v>
      </c>
      <c r="E154" s="5">
        <v>-28972</v>
      </c>
      <c r="F154" s="3" t="s">
        <v>522</v>
      </c>
      <c r="G154" s="3" t="s">
        <v>62</v>
      </c>
      <c r="H154" s="2" t="s">
        <v>21</v>
      </c>
      <c r="I154" s="2" t="s">
        <v>523</v>
      </c>
      <c r="J154" s="3" t="str">
        <f>HYPERLINK("https://www.boe.es/gazeta/dias/1820/09/03/pdfs/GGB-1820-67.pdf#page=3","Abrir facsímil")</f>
        <v>Abrir facsímil</v>
      </c>
      <c r="K154" s="3" t="s">
        <v>23</v>
      </c>
    </row>
    <row r="155" spans="1:11" ht="42" customHeight="1">
      <c r="A155" s="2" t="s">
        <v>518</v>
      </c>
      <c r="B155" s="2" t="s">
        <v>519</v>
      </c>
      <c r="C155" s="2" t="s">
        <v>26</v>
      </c>
      <c r="D155" s="2" t="s">
        <v>27</v>
      </c>
      <c r="E155" s="5">
        <v>-28919</v>
      </c>
      <c r="F155" s="3" t="s">
        <v>516</v>
      </c>
      <c r="G155" s="3" t="s">
        <v>20</v>
      </c>
      <c r="H155" s="2" t="s">
        <v>21</v>
      </c>
      <c r="I155" s="2" t="s">
        <v>524</v>
      </c>
      <c r="J155" s="3" t="str">
        <f>HYPERLINK("https://www.boe.es/gazeta/dias/1820/10/26/pdfs/GGB-1820-120.pdf#page=4","Abrir facsímil")</f>
        <v>Abrir facsímil</v>
      </c>
      <c r="K155" s="3" t="s">
        <v>23</v>
      </c>
    </row>
    <row r="156" spans="1:11" ht="42" customHeight="1">
      <c r="A156" s="2" t="s">
        <v>518</v>
      </c>
      <c r="B156" s="2" t="s">
        <v>519</v>
      </c>
      <c r="C156" s="2" t="s">
        <v>74</v>
      </c>
      <c r="D156" s="2" t="s">
        <v>18</v>
      </c>
      <c r="E156" s="5">
        <v>-28915</v>
      </c>
      <c r="F156" s="3" t="s">
        <v>525</v>
      </c>
      <c r="G156" s="3" t="s">
        <v>62</v>
      </c>
      <c r="H156" s="2" t="s">
        <v>21</v>
      </c>
      <c r="I156" s="2" t="s">
        <v>526</v>
      </c>
      <c r="J156" s="3" t="str">
        <f>HYPERLINK("https://www.boe.es/gazeta/dias/1820/10/30/pdfs/GGB-1820-124.pdf#page=3","Abrir facsímil")</f>
        <v>Abrir facsímil</v>
      </c>
      <c r="K156" s="3" t="s">
        <v>23</v>
      </c>
    </row>
    <row r="157" spans="1:11" ht="42" customHeight="1">
      <c r="A157" s="2" t="s">
        <v>527</v>
      </c>
      <c r="B157" s="2" t="s">
        <v>528</v>
      </c>
      <c r="C157" s="2" t="s">
        <v>35</v>
      </c>
      <c r="D157" s="2" t="s">
        <v>36</v>
      </c>
      <c r="E157" s="5">
        <v>-28982</v>
      </c>
      <c r="F157" s="3" t="s">
        <v>173</v>
      </c>
      <c r="G157" s="3" t="s">
        <v>529</v>
      </c>
      <c r="H157" s="2" t="s">
        <v>21</v>
      </c>
      <c r="I157" s="2" t="s">
        <v>530</v>
      </c>
      <c r="J157" s="3" t="str">
        <f>HYPERLINK("https://www.boe.es/gazeta/dias/1820/08/24/pdfs/GGB-1820-57.pdf#page=4","Abrir facsímil")</f>
        <v>Abrir facsímil</v>
      </c>
      <c r="K157" s="3" t="s">
        <v>23</v>
      </c>
    </row>
    <row r="158" spans="1:11" ht="42" customHeight="1">
      <c r="A158" s="2" t="s">
        <v>531</v>
      </c>
      <c r="B158" s="2" t="s">
        <v>532</v>
      </c>
      <c r="C158" s="2" t="s">
        <v>35</v>
      </c>
      <c r="D158" s="2" t="s">
        <v>310</v>
      </c>
      <c r="E158" s="5">
        <v>-29140</v>
      </c>
      <c r="F158" s="3" t="s">
        <v>533</v>
      </c>
      <c r="G158" s="3" t="s">
        <v>128</v>
      </c>
      <c r="H158" s="2" t="s">
        <v>21</v>
      </c>
      <c r="I158" s="2" t="s">
        <v>534</v>
      </c>
      <c r="J158" s="3" t="str">
        <f>HYPERLINK("https://www.boe.es/gazeta/dias/1820/03/19/pdfs/GMD-1820-45E.pdf#page=1","Abrir facsímil")</f>
        <v>Abrir facsímil</v>
      </c>
      <c r="K158" s="3" t="s">
        <v>23</v>
      </c>
    </row>
    <row r="159" spans="1:11" ht="42" customHeight="1">
      <c r="A159" s="2" t="s">
        <v>535</v>
      </c>
      <c r="B159" s="2" t="s">
        <v>536</v>
      </c>
      <c r="C159" s="2" t="s">
        <v>35</v>
      </c>
      <c r="D159" s="2" t="s">
        <v>36</v>
      </c>
      <c r="E159" s="5">
        <v>-29190</v>
      </c>
      <c r="F159" s="3" t="s">
        <v>537</v>
      </c>
      <c r="G159" s="3" t="s">
        <v>295</v>
      </c>
      <c r="H159" s="2" t="s">
        <v>21</v>
      </c>
      <c r="I159" s="2" t="s">
        <v>538</v>
      </c>
      <c r="J159" s="3" t="str">
        <f>HYPERLINK("https://www.boe.es/gazeta/dias/1820/01/29/pdfs/GMD-1820-13.pdf#page=8","Abrir facsímil")</f>
        <v>Abrir facsímil</v>
      </c>
      <c r="K159" s="3" t="s">
        <v>23</v>
      </c>
    </row>
    <row r="160" spans="1:11" ht="42" customHeight="1">
      <c r="A160" s="2" t="s">
        <v>539</v>
      </c>
      <c r="B160" s="2" t="s">
        <v>540</v>
      </c>
      <c r="C160" s="2" t="s">
        <v>35</v>
      </c>
      <c r="D160" s="2" t="s">
        <v>36</v>
      </c>
      <c r="E160" s="5">
        <v>-28904</v>
      </c>
      <c r="F160" s="3" t="s">
        <v>541</v>
      </c>
      <c r="G160" s="3" t="s">
        <v>20</v>
      </c>
      <c r="H160" s="2" t="s">
        <v>21</v>
      </c>
      <c r="I160" s="2" t="s">
        <v>542</v>
      </c>
      <c r="J160" s="3" t="str">
        <f>HYPERLINK("https://www.boe.es/gazeta/dias/1820/11/10/pdfs/GGB-1820-136.pdf#page=4","Abrir facsímil")</f>
        <v>Abrir facsímil</v>
      </c>
      <c r="K160" s="3" t="s">
        <v>23</v>
      </c>
    </row>
    <row r="161" spans="1:11" ht="42" customHeight="1">
      <c r="A161" s="2" t="s">
        <v>543</v>
      </c>
      <c r="B161" s="2" t="s">
        <v>543</v>
      </c>
      <c r="C161" s="2" t="s">
        <v>111</v>
      </c>
      <c r="D161" s="2" t="s">
        <v>18</v>
      </c>
      <c r="E161" s="5">
        <v>-28947</v>
      </c>
      <c r="F161" s="3" t="s">
        <v>127</v>
      </c>
      <c r="G161" s="3" t="s">
        <v>62</v>
      </c>
      <c r="H161" s="2" t="s">
        <v>21</v>
      </c>
      <c r="I161" s="2" t="s">
        <v>544</v>
      </c>
      <c r="J161" s="3" t="str">
        <f>HYPERLINK("https://www.boe.es/gazeta/dias/1820/09/28/pdfs/GGB-1820-92.pdf#page=3","Abrir facsímil")</f>
        <v>Abrir facsímil</v>
      </c>
      <c r="K161" s="3" t="s">
        <v>23</v>
      </c>
    </row>
    <row r="162" spans="1:11" ht="42" customHeight="1">
      <c r="A162" s="2" t="s">
        <v>543</v>
      </c>
      <c r="B162" s="2" t="s">
        <v>543</v>
      </c>
      <c r="C162" s="2" t="s">
        <v>35</v>
      </c>
      <c r="D162" s="2" t="s">
        <v>36</v>
      </c>
      <c r="E162" s="5">
        <v>-28918</v>
      </c>
      <c r="F162" s="3" t="s">
        <v>160</v>
      </c>
      <c r="G162" s="3" t="s">
        <v>20</v>
      </c>
      <c r="H162" s="2" t="s">
        <v>21</v>
      </c>
      <c r="I162" s="2" t="s">
        <v>545</v>
      </c>
      <c r="J162" s="3" t="str">
        <f>HYPERLINK("https://www.boe.es/gazeta/dias/1820/10/27/pdfs/GGB-1820-121.pdf#page=4","Abrir facsímil")</f>
        <v>Abrir facsímil</v>
      </c>
      <c r="K162" s="3" t="s">
        <v>23</v>
      </c>
    </row>
    <row r="163" spans="1:11" ht="42" customHeight="1">
      <c r="A163" s="2" t="s">
        <v>543</v>
      </c>
      <c r="B163" s="2" t="s">
        <v>543</v>
      </c>
      <c r="C163" s="2" t="s">
        <v>26</v>
      </c>
      <c r="D163" s="2" t="s">
        <v>27</v>
      </c>
      <c r="E163" s="5">
        <v>-28893</v>
      </c>
      <c r="F163" s="3" t="s">
        <v>546</v>
      </c>
      <c r="G163" s="3" t="s">
        <v>62</v>
      </c>
      <c r="H163" s="2" t="s">
        <v>21</v>
      </c>
      <c r="I163" s="2" t="s">
        <v>547</v>
      </c>
      <c r="J163" s="3" t="str">
        <f>HYPERLINK("https://www.boe.es/gazeta/dias/1820/11/21/pdfs/GGB-1820-148.pdf#page=3","Abrir facsímil")</f>
        <v>Abrir facsímil</v>
      </c>
      <c r="K163" s="3" t="s">
        <v>23</v>
      </c>
    </row>
    <row r="164" spans="1:11" ht="42" customHeight="1">
      <c r="A164" s="2" t="s">
        <v>548</v>
      </c>
      <c r="B164" s="2" t="s">
        <v>549</v>
      </c>
      <c r="C164" s="2" t="s">
        <v>26</v>
      </c>
      <c r="D164" s="2" t="s">
        <v>27</v>
      </c>
      <c r="E164" s="5">
        <v>-29045</v>
      </c>
      <c r="F164" s="3" t="s">
        <v>155</v>
      </c>
      <c r="G164" s="3" t="s">
        <v>38</v>
      </c>
      <c r="H164" s="2" t="s">
        <v>21</v>
      </c>
      <c r="I164" s="2" t="s">
        <v>550</v>
      </c>
      <c r="J164" s="3" t="str">
        <f>HYPERLINK("https://www.boe.es/gazeta/dias/1820/06/22/pdfs/GMD-1820-97.pdf#page=6","Abrir facsímil")</f>
        <v>Abrir facsímil</v>
      </c>
      <c r="K164" s="3" t="s">
        <v>23</v>
      </c>
    </row>
    <row r="165" spans="1:11" ht="42" customHeight="1">
      <c r="A165" s="2" t="s">
        <v>551</v>
      </c>
      <c r="B165" s="2" t="s">
        <v>552</v>
      </c>
      <c r="C165" s="2" t="s">
        <v>26</v>
      </c>
      <c r="D165" s="2" t="s">
        <v>27</v>
      </c>
      <c r="E165" s="5">
        <v>-29082</v>
      </c>
      <c r="F165" s="3" t="s">
        <v>478</v>
      </c>
      <c r="G165" s="3" t="s">
        <v>553</v>
      </c>
      <c r="H165" s="2" t="s">
        <v>21</v>
      </c>
      <c r="I165" s="2" t="s">
        <v>554</v>
      </c>
      <c r="J165" s="3" t="str">
        <f>HYPERLINK("https://www.boe.es/gazeta/dias/1820/05/16/pdfs/GMD-1820-80.pdf#page=10","Abrir facsímil")</f>
        <v>Abrir facsímil</v>
      </c>
      <c r="K165" s="3" t="s">
        <v>23</v>
      </c>
    </row>
    <row r="166" spans="1:11" ht="42" customHeight="1">
      <c r="A166" s="2" t="s">
        <v>555</v>
      </c>
      <c r="B166" s="2" t="s">
        <v>556</v>
      </c>
      <c r="C166" s="2" t="s">
        <v>35</v>
      </c>
      <c r="D166" s="2" t="s">
        <v>36</v>
      </c>
      <c r="E166" s="5">
        <v>-28866</v>
      </c>
      <c r="F166" s="3" t="s">
        <v>507</v>
      </c>
      <c r="G166" s="3" t="s">
        <v>62</v>
      </c>
      <c r="H166" s="2" t="s">
        <v>21</v>
      </c>
      <c r="I166" s="2" t="s">
        <v>557</v>
      </c>
      <c r="J166" s="3" t="str">
        <f>HYPERLINK("https://www.boe.es/gazeta/dias/1820/12/18/pdfs/GGB-1820-175.pdf#page=3","Abrir facsímil")</f>
        <v>Abrir facsímil</v>
      </c>
      <c r="K166" s="3" t="s">
        <v>23</v>
      </c>
    </row>
    <row r="167" spans="1:11" ht="42" customHeight="1">
      <c r="A167" s="2" t="s">
        <v>558</v>
      </c>
      <c r="B167" s="2" t="s">
        <v>559</v>
      </c>
      <c r="C167" s="2" t="s">
        <v>35</v>
      </c>
      <c r="D167" s="2" t="s">
        <v>36</v>
      </c>
      <c r="E167" s="5">
        <v>-29094</v>
      </c>
      <c r="F167" s="3" t="s">
        <v>560</v>
      </c>
      <c r="G167" s="3" t="s">
        <v>295</v>
      </c>
      <c r="H167" s="2" t="s">
        <v>21</v>
      </c>
      <c r="I167" s="2" t="s">
        <v>561</v>
      </c>
      <c r="J167" s="3" t="str">
        <f>HYPERLINK("https://www.boe.es/gazeta/dias/1820/05/04/pdfs/GMD-1820-75.pdf#page=8","Abrir facsímil")</f>
        <v>Abrir facsímil</v>
      </c>
      <c r="K167" s="3" t="s">
        <v>23</v>
      </c>
    </row>
    <row r="168" spans="1:11" ht="42" customHeight="1">
      <c r="A168" s="2" t="s">
        <v>562</v>
      </c>
      <c r="B168" s="2" t="s">
        <v>563</v>
      </c>
      <c r="C168" s="2" t="s">
        <v>26</v>
      </c>
      <c r="D168" s="2" t="s">
        <v>27</v>
      </c>
      <c r="E168" s="5">
        <v>-28881</v>
      </c>
      <c r="F168" s="3" t="s">
        <v>57</v>
      </c>
      <c r="G168" s="3" t="s">
        <v>43</v>
      </c>
      <c r="H168" s="2" t="s">
        <v>21</v>
      </c>
      <c r="I168" s="2" t="s">
        <v>564</v>
      </c>
      <c r="J168" s="3" t="str">
        <f>HYPERLINK("https://www.boe.es/gazeta/dias/1820/12/03/pdfs/GGB-1820-160.pdf#page=2","Abrir facsímil")</f>
        <v>Abrir facsímil</v>
      </c>
      <c r="K168" s="3" t="s">
        <v>23</v>
      </c>
    </row>
    <row r="169" spans="1:11" ht="42" customHeight="1">
      <c r="A169" s="2" t="s">
        <v>565</v>
      </c>
      <c r="B169" s="2" t="s">
        <v>566</v>
      </c>
      <c r="C169" s="2" t="s">
        <v>35</v>
      </c>
      <c r="D169" s="2" t="s">
        <v>36</v>
      </c>
      <c r="E169" s="5">
        <v>-29190</v>
      </c>
      <c r="F169" s="3" t="s">
        <v>537</v>
      </c>
      <c r="G169" s="3" t="s">
        <v>295</v>
      </c>
      <c r="H169" s="2" t="s">
        <v>21</v>
      </c>
      <c r="I169" s="2" t="s">
        <v>567</v>
      </c>
      <c r="J169" s="3" t="str">
        <f>HYPERLINK("https://www.boe.es/gazeta/dias/1820/01/29/pdfs/GMD-1820-13.pdf#page=8","Abrir facsímil")</f>
        <v>Abrir facsímil</v>
      </c>
      <c r="K169" s="3" t="s">
        <v>23</v>
      </c>
    </row>
    <row r="170" spans="1:11" ht="42" customHeight="1">
      <c r="A170" s="2" t="s">
        <v>568</v>
      </c>
      <c r="B170" s="2" t="s">
        <v>569</v>
      </c>
      <c r="C170" s="2" t="s">
        <v>35</v>
      </c>
      <c r="D170" s="2" t="s">
        <v>36</v>
      </c>
      <c r="E170" s="5">
        <v>-29143</v>
      </c>
      <c r="F170" s="3" t="s">
        <v>334</v>
      </c>
      <c r="G170" s="3" t="s">
        <v>38</v>
      </c>
      <c r="H170" s="2" t="s">
        <v>21</v>
      </c>
      <c r="I170" s="2" t="s">
        <v>570</v>
      </c>
      <c r="J170" s="3" t="str">
        <f>HYPERLINK("https://www.boe.es/gazeta/dias/1820/03/16/pdfs/GMD-1820-42.pdf#page=6","Abrir facsímil")</f>
        <v>Abrir facsímil</v>
      </c>
      <c r="K170" s="3" t="s">
        <v>23</v>
      </c>
    </row>
    <row r="171" spans="1:11" ht="42" customHeight="1">
      <c r="A171" s="2" t="s">
        <v>571</v>
      </c>
      <c r="B171" s="2" t="s">
        <v>572</v>
      </c>
      <c r="C171" s="2" t="s">
        <v>26</v>
      </c>
      <c r="D171" s="2" t="s">
        <v>310</v>
      </c>
      <c r="E171" s="5">
        <v>-29137</v>
      </c>
      <c r="F171" s="3" t="s">
        <v>573</v>
      </c>
      <c r="G171" s="3" t="s">
        <v>574</v>
      </c>
      <c r="H171" s="2" t="s">
        <v>21</v>
      </c>
      <c r="I171" s="2" t="s">
        <v>575</v>
      </c>
      <c r="J171" s="3" t="str">
        <f>HYPERLINK("https://www.boe.es/gazeta/dias/1820/03/22/pdfs/GMD-1820-50E.pdf#page=3","Abrir facsímil")</f>
        <v>Abrir facsímil</v>
      </c>
      <c r="K171" s="3" t="s">
        <v>23</v>
      </c>
    </row>
    <row r="172" spans="1:11" ht="42" customHeight="1">
      <c r="A172" s="2" t="s">
        <v>576</v>
      </c>
      <c r="B172" s="2" t="s">
        <v>577</v>
      </c>
      <c r="C172" s="2" t="s">
        <v>26</v>
      </c>
      <c r="D172" s="2" t="s">
        <v>27</v>
      </c>
      <c r="E172" s="5">
        <v>-29211</v>
      </c>
      <c r="F172" s="3" t="s">
        <v>578</v>
      </c>
      <c r="G172" s="3" t="s">
        <v>201</v>
      </c>
      <c r="H172" s="2" t="s">
        <v>21</v>
      </c>
      <c r="I172" s="2" t="s">
        <v>579</v>
      </c>
      <c r="J172" s="3" t="str">
        <f>HYPERLINK("https://www.boe.es/gazeta/dias/1820/01/08/pdfs/GMD-1820-4.pdf#page=7","Abrir facsímil")</f>
        <v>Abrir facsímil</v>
      </c>
      <c r="K172" s="3" t="s">
        <v>23</v>
      </c>
    </row>
    <row r="173" spans="1:11" ht="42" customHeight="1">
      <c r="A173" s="2" t="s">
        <v>576</v>
      </c>
      <c r="B173" s="2" t="s">
        <v>577</v>
      </c>
      <c r="C173" s="2" t="s">
        <v>35</v>
      </c>
      <c r="D173" s="2" t="s">
        <v>310</v>
      </c>
      <c r="E173" s="5">
        <v>-29140</v>
      </c>
      <c r="F173" s="3" t="s">
        <v>533</v>
      </c>
      <c r="G173" s="3" t="s">
        <v>43</v>
      </c>
      <c r="H173" s="2" t="s">
        <v>21</v>
      </c>
      <c r="I173" s="2" t="s">
        <v>580</v>
      </c>
      <c r="J173" s="3" t="str">
        <f>HYPERLINK("https://www.boe.es/gazeta/dias/1820/03/19/pdfs/GMD-1820-45E.pdf#page=2","Abrir facsímil")</f>
        <v>Abrir facsímil</v>
      </c>
      <c r="K173" s="3" t="s">
        <v>23</v>
      </c>
    </row>
    <row r="174" spans="1:11" ht="42" customHeight="1">
      <c r="A174" s="2" t="s">
        <v>581</v>
      </c>
      <c r="B174" s="2" t="s">
        <v>582</v>
      </c>
      <c r="C174" s="2" t="s">
        <v>26</v>
      </c>
      <c r="D174" s="2" t="s">
        <v>27</v>
      </c>
      <c r="E174" s="5">
        <v>-29127</v>
      </c>
      <c r="F174" s="3" t="s">
        <v>583</v>
      </c>
      <c r="G174" s="3" t="s">
        <v>20</v>
      </c>
      <c r="H174" s="2" t="s">
        <v>21</v>
      </c>
      <c r="I174" s="2" t="s">
        <v>584</v>
      </c>
      <c r="J174" s="3" t="str">
        <f>HYPERLINK("https://www.boe.es/gazeta/dias/1820/04/01/pdfs/GMD-1820-59.pdf#page=4","Abrir facsímil")</f>
        <v>Abrir facsímil</v>
      </c>
      <c r="K174" s="3" t="s">
        <v>23</v>
      </c>
    </row>
    <row r="175" spans="1:11" ht="42" customHeight="1">
      <c r="A175" s="2" t="s">
        <v>585</v>
      </c>
      <c r="B175" s="2" t="s">
        <v>586</v>
      </c>
      <c r="C175" s="2" t="s">
        <v>47</v>
      </c>
      <c r="D175" s="2" t="s">
        <v>18</v>
      </c>
      <c r="E175" s="5">
        <v>-28992</v>
      </c>
      <c r="F175" s="3" t="s">
        <v>587</v>
      </c>
      <c r="G175" s="3" t="s">
        <v>62</v>
      </c>
      <c r="H175" s="2" t="s">
        <v>21</v>
      </c>
      <c r="I175" s="2" t="s">
        <v>588</v>
      </c>
      <c r="J175" s="3" t="str">
        <f>HYPERLINK("https://www.boe.es/gazeta/dias/1820/08/14/pdfs/GGB-1820-47.pdf#page=3","Abrir facsímil")</f>
        <v>Abrir facsímil</v>
      </c>
      <c r="K175" s="3" t="s">
        <v>23</v>
      </c>
    </row>
    <row r="176" spans="1:11" ht="42" customHeight="1">
      <c r="A176" s="2" t="s">
        <v>589</v>
      </c>
      <c r="B176" s="2" t="s">
        <v>589</v>
      </c>
      <c r="C176" s="2" t="s">
        <v>26</v>
      </c>
      <c r="D176" s="2" t="s">
        <v>27</v>
      </c>
      <c r="E176" s="5">
        <v>-28867</v>
      </c>
      <c r="F176" s="3" t="s">
        <v>590</v>
      </c>
      <c r="G176" s="3" t="s">
        <v>62</v>
      </c>
      <c r="H176" s="2" t="s">
        <v>21</v>
      </c>
      <c r="I176" s="2" t="s">
        <v>591</v>
      </c>
      <c r="J176" s="3" t="str">
        <f>HYPERLINK("https://www.boe.es/gazeta/dias/1820/12/17/pdfs/GGB-1820-174.pdf#page=3","Abrir facsímil")</f>
        <v>Abrir facsímil</v>
      </c>
      <c r="K176" s="3" t="s">
        <v>23</v>
      </c>
    </row>
    <row r="177" spans="1:11" ht="42" customHeight="1">
      <c r="A177" s="2" t="s">
        <v>592</v>
      </c>
      <c r="B177" s="2" t="s">
        <v>593</v>
      </c>
      <c r="C177" s="2" t="s">
        <v>293</v>
      </c>
      <c r="D177" s="2" t="s">
        <v>18</v>
      </c>
      <c r="E177" s="5">
        <v>-28904</v>
      </c>
      <c r="F177" s="3" t="s">
        <v>541</v>
      </c>
      <c r="G177" s="3" t="s">
        <v>20</v>
      </c>
      <c r="H177" s="2" t="s">
        <v>21</v>
      </c>
      <c r="I177" s="2" t="s">
        <v>594</v>
      </c>
      <c r="J177" s="3" t="str">
        <f>HYPERLINK("https://www.boe.es/gazeta/dias/1820/11/10/pdfs/GGB-1820-136.pdf#page=4","Abrir facsímil")</f>
        <v>Abrir facsímil</v>
      </c>
      <c r="K177" s="3" t="s">
        <v>23</v>
      </c>
    </row>
    <row r="178" spans="1:11" ht="42" customHeight="1">
      <c r="A178" s="2" t="s">
        <v>595</v>
      </c>
      <c r="B178" s="2" t="s">
        <v>596</v>
      </c>
      <c r="C178" s="2" t="s">
        <v>35</v>
      </c>
      <c r="D178" s="2" t="s">
        <v>36</v>
      </c>
      <c r="E178" s="5">
        <v>-28926</v>
      </c>
      <c r="F178" s="3" t="s">
        <v>597</v>
      </c>
      <c r="G178" s="3" t="s">
        <v>43</v>
      </c>
      <c r="H178" s="2" t="s">
        <v>21</v>
      </c>
      <c r="I178" s="2" t="s">
        <v>598</v>
      </c>
      <c r="J178" s="3" t="str">
        <f>HYPERLINK("https://www.boe.es/gazeta/dias/1820/10/19/pdfs/GGB-1820-113.pdf#page=2","Abrir facsímil")</f>
        <v>Abrir facsímil</v>
      </c>
      <c r="K178" s="3" t="s">
        <v>23</v>
      </c>
    </row>
    <row r="179" spans="1:11" ht="42" customHeight="1">
      <c r="A179" s="2" t="s">
        <v>599</v>
      </c>
      <c r="B179" s="2" t="s">
        <v>600</v>
      </c>
      <c r="C179" s="2" t="s">
        <v>35</v>
      </c>
      <c r="D179" s="2" t="s">
        <v>36</v>
      </c>
      <c r="E179" s="5">
        <v>-29018</v>
      </c>
      <c r="F179" s="3" t="s">
        <v>601</v>
      </c>
      <c r="G179" s="3" t="s">
        <v>43</v>
      </c>
      <c r="H179" s="2" t="s">
        <v>21</v>
      </c>
      <c r="I179" s="2" t="s">
        <v>602</v>
      </c>
      <c r="J179" s="3" t="str">
        <f>HYPERLINK("https://www.boe.es/gazeta/dias/1820/07/19/pdfs/GGB-1820-21.pdf#page=2","Abrir facsímil")</f>
        <v>Abrir facsímil</v>
      </c>
      <c r="K179" s="3" t="s">
        <v>23</v>
      </c>
    </row>
    <row r="180" spans="1:11" ht="42" customHeight="1">
      <c r="A180" s="2" t="s">
        <v>603</v>
      </c>
      <c r="B180" s="2" t="s">
        <v>604</v>
      </c>
      <c r="C180" s="2" t="s">
        <v>47</v>
      </c>
      <c r="D180" s="2" t="s">
        <v>18</v>
      </c>
      <c r="E180" s="5">
        <v>-29009</v>
      </c>
      <c r="F180" s="3" t="s">
        <v>605</v>
      </c>
      <c r="G180" s="3" t="s">
        <v>62</v>
      </c>
      <c r="H180" s="2" t="s">
        <v>21</v>
      </c>
      <c r="I180" s="2" t="s">
        <v>606</v>
      </c>
      <c r="J180" s="3" t="str">
        <f>HYPERLINK("https://www.boe.es/gazeta/dias/1820/07/28/pdfs/GGB-1820-30.pdf#page=3","Abrir facsímil")</f>
        <v>Abrir facsímil</v>
      </c>
      <c r="K180" s="3" t="s">
        <v>23</v>
      </c>
    </row>
    <row r="181" spans="1:11" ht="42" customHeight="1">
      <c r="A181" s="2" t="s">
        <v>607</v>
      </c>
      <c r="B181" s="2" t="s">
        <v>608</v>
      </c>
      <c r="C181" s="2" t="s">
        <v>17</v>
      </c>
      <c r="D181" s="2" t="s">
        <v>18</v>
      </c>
      <c r="E181" s="5">
        <v>-29006</v>
      </c>
      <c r="F181" s="3" t="s">
        <v>609</v>
      </c>
      <c r="G181" s="3" t="s">
        <v>62</v>
      </c>
      <c r="H181" s="2" t="s">
        <v>21</v>
      </c>
      <c r="I181" s="2" t="s">
        <v>610</v>
      </c>
      <c r="J181" s="3" t="str">
        <f>HYPERLINK("https://www.boe.es/gazeta/dias/1820/07/31/pdfs/GGB-1820-33.pdf#page=3","Abrir facsímil")</f>
        <v>Abrir facsímil</v>
      </c>
      <c r="K181" s="3" t="s">
        <v>23</v>
      </c>
    </row>
    <row r="182" spans="1:11" ht="42" customHeight="1">
      <c r="A182" s="2" t="s">
        <v>603</v>
      </c>
      <c r="B182" s="2" t="s">
        <v>604</v>
      </c>
      <c r="C182" s="2" t="s">
        <v>17</v>
      </c>
      <c r="D182" s="2" t="s">
        <v>18</v>
      </c>
      <c r="E182" s="5">
        <v>-28964</v>
      </c>
      <c r="F182" s="3" t="s">
        <v>240</v>
      </c>
      <c r="G182" s="3" t="s">
        <v>43</v>
      </c>
      <c r="H182" s="2" t="s">
        <v>21</v>
      </c>
      <c r="I182" s="2" t="s">
        <v>611</v>
      </c>
      <c r="J182" s="3" t="str">
        <f>HYPERLINK("https://www.boe.es/gazeta/dias/1820/09/11/pdfs/GGB-1820-75.pdf#page=2","Abrir facsímil")</f>
        <v>Abrir facsímil</v>
      </c>
      <c r="K182" s="3" t="s">
        <v>23</v>
      </c>
    </row>
    <row r="183" spans="1:11" ht="42" customHeight="1">
      <c r="A183" s="2" t="s">
        <v>612</v>
      </c>
      <c r="B183" s="2" t="s">
        <v>613</v>
      </c>
      <c r="C183" s="2" t="s">
        <v>26</v>
      </c>
      <c r="D183" s="2" t="s">
        <v>27</v>
      </c>
      <c r="E183" s="5">
        <v>-28980</v>
      </c>
      <c r="F183" s="3" t="s">
        <v>614</v>
      </c>
      <c r="G183" s="3" t="s">
        <v>62</v>
      </c>
      <c r="H183" s="2" t="s">
        <v>21</v>
      </c>
      <c r="I183" s="2" t="s">
        <v>615</v>
      </c>
      <c r="J183" s="3" t="str">
        <f>HYPERLINK("https://www.boe.es/gazeta/dias/1820/08/26/pdfs/GGB-1820-59.pdf#page=3","Abrir facsímil")</f>
        <v>Abrir facsímil</v>
      </c>
      <c r="K183" s="3" t="s">
        <v>23</v>
      </c>
    </row>
    <row r="184" spans="1:11" ht="42" customHeight="1">
      <c r="A184" s="2" t="s">
        <v>616</v>
      </c>
      <c r="B184" s="2" t="s">
        <v>617</v>
      </c>
      <c r="C184" s="2" t="s">
        <v>17</v>
      </c>
      <c r="D184" s="2" t="s">
        <v>18</v>
      </c>
      <c r="E184" s="5">
        <v>-28988</v>
      </c>
      <c r="F184" s="3" t="s">
        <v>618</v>
      </c>
      <c r="G184" s="3" t="s">
        <v>20</v>
      </c>
      <c r="H184" s="2" t="s">
        <v>21</v>
      </c>
      <c r="I184" s="2" t="s">
        <v>619</v>
      </c>
      <c r="J184" s="3" t="str">
        <f>HYPERLINK("https://www.boe.es/gazeta/dias/1820/08/18/pdfs/GGB-1820-51.pdf#page=4","Abrir facsímil")</f>
        <v>Abrir facsímil</v>
      </c>
      <c r="K184" s="3" t="s">
        <v>23</v>
      </c>
    </row>
    <row r="185" spans="1:11" ht="42" customHeight="1">
      <c r="A185" s="2" t="s">
        <v>620</v>
      </c>
      <c r="B185" s="2" t="s">
        <v>621</v>
      </c>
      <c r="C185" s="2" t="s">
        <v>17</v>
      </c>
      <c r="D185" s="2" t="s">
        <v>18</v>
      </c>
      <c r="E185" s="5">
        <v>-28951</v>
      </c>
      <c r="F185" s="3" t="s">
        <v>622</v>
      </c>
      <c r="G185" s="3" t="s">
        <v>62</v>
      </c>
      <c r="H185" s="2" t="s">
        <v>21</v>
      </c>
      <c r="I185" s="2" t="s">
        <v>623</v>
      </c>
      <c r="J185" s="3" t="str">
        <f>HYPERLINK("https://www.boe.es/gazeta/dias/1820/09/24/pdfs/GGB-1820-88.pdf#page=3","Abrir facsímil")</f>
        <v>Abrir facsímil</v>
      </c>
      <c r="K185" s="3" t="s">
        <v>23</v>
      </c>
    </row>
    <row r="186" spans="1:11" ht="42" customHeight="1">
      <c r="A186" s="2" t="s">
        <v>624</v>
      </c>
      <c r="B186" s="2" t="s">
        <v>625</v>
      </c>
      <c r="C186" s="2" t="s">
        <v>293</v>
      </c>
      <c r="D186" s="2" t="s">
        <v>18</v>
      </c>
      <c r="E186" s="5">
        <v>-28962</v>
      </c>
      <c r="F186" s="3" t="s">
        <v>90</v>
      </c>
      <c r="G186" s="3" t="s">
        <v>62</v>
      </c>
      <c r="H186" s="2" t="s">
        <v>21</v>
      </c>
      <c r="I186" s="2" t="s">
        <v>626</v>
      </c>
      <c r="J186" s="3" t="str">
        <f>HYPERLINK("https://www.boe.es/gazeta/dias/1820/09/13/pdfs/GGB-1820-77.pdf#page=3","Abrir facsímil")</f>
        <v>Abrir facsímil</v>
      </c>
      <c r="K186" s="3" t="s">
        <v>23</v>
      </c>
    </row>
    <row r="187" spans="1:11" ht="42" customHeight="1">
      <c r="A187" s="2" t="s">
        <v>627</v>
      </c>
      <c r="B187" s="2" t="s">
        <v>628</v>
      </c>
      <c r="C187" s="2" t="s">
        <v>74</v>
      </c>
      <c r="D187" s="2" t="s">
        <v>18</v>
      </c>
      <c r="E187" s="5">
        <v>-28998</v>
      </c>
      <c r="F187" s="3" t="s">
        <v>629</v>
      </c>
      <c r="G187" s="3" t="s">
        <v>43</v>
      </c>
      <c r="H187" s="2" t="s">
        <v>21</v>
      </c>
      <c r="I187" s="2" t="s">
        <v>630</v>
      </c>
      <c r="J187" s="3" t="str">
        <f>HYPERLINK("https://www.boe.es/gazeta/dias/1820/08/08/pdfs/GGB-1820-41.pdf#page=2","Abrir facsímil")</f>
        <v>Abrir facsímil</v>
      </c>
      <c r="K187" s="3" t="s">
        <v>23</v>
      </c>
    </row>
    <row r="188" spans="1:11" ht="42" customHeight="1">
      <c r="A188" s="2" t="s">
        <v>631</v>
      </c>
      <c r="B188" s="2" t="s">
        <v>632</v>
      </c>
      <c r="C188" s="2" t="s">
        <v>74</v>
      </c>
      <c r="D188" s="2" t="s">
        <v>18</v>
      </c>
      <c r="E188" s="5">
        <v>-29001</v>
      </c>
      <c r="F188" s="3" t="s">
        <v>633</v>
      </c>
      <c r="G188" s="3" t="s">
        <v>62</v>
      </c>
      <c r="H188" s="2" t="s">
        <v>21</v>
      </c>
      <c r="I188" s="2" t="s">
        <v>634</v>
      </c>
      <c r="J188" s="3" t="str">
        <f>HYPERLINK("https://www.boe.es/gazeta/dias/1820/08/05/pdfs/GGB-1820-38.pdf#page=3","Abrir facsímil")</f>
        <v>Abrir facsímil</v>
      </c>
      <c r="K188" s="3" t="s">
        <v>23</v>
      </c>
    </row>
    <row r="189" spans="1:11" ht="42" customHeight="1">
      <c r="A189" s="2" t="s">
        <v>631</v>
      </c>
      <c r="B189" s="2" t="s">
        <v>632</v>
      </c>
      <c r="C189" s="2" t="s">
        <v>26</v>
      </c>
      <c r="D189" s="2" t="s">
        <v>27</v>
      </c>
      <c r="E189" s="5">
        <v>-28999</v>
      </c>
      <c r="F189" s="3" t="s">
        <v>342</v>
      </c>
      <c r="G189" s="3" t="s">
        <v>62</v>
      </c>
      <c r="H189" s="2" t="s">
        <v>21</v>
      </c>
      <c r="I189" s="2" t="s">
        <v>635</v>
      </c>
      <c r="J189" s="3" t="str">
        <f>HYPERLINK("https://www.boe.es/gazeta/dias/1820/08/07/pdfs/GGB-1820-40.pdf#page=3","Abrir facsímil")</f>
        <v>Abrir facsímil</v>
      </c>
      <c r="K189" s="3" t="s">
        <v>23</v>
      </c>
    </row>
    <row r="190" spans="1:11" ht="42" customHeight="1">
      <c r="A190" s="2" t="s">
        <v>631</v>
      </c>
      <c r="B190" s="2" t="s">
        <v>632</v>
      </c>
      <c r="C190" s="2" t="s">
        <v>26</v>
      </c>
      <c r="D190" s="2" t="s">
        <v>27</v>
      </c>
      <c r="E190" s="5">
        <v>-28996</v>
      </c>
      <c r="F190" s="3" t="s">
        <v>636</v>
      </c>
      <c r="G190" s="3" t="s">
        <v>637</v>
      </c>
      <c r="H190" s="2" t="s">
        <v>21</v>
      </c>
      <c r="I190" s="2" t="s">
        <v>638</v>
      </c>
      <c r="J190" s="3" t="str">
        <f>HYPERLINK("https://www.boe.es/gazeta/dias/1820/08/10/pdfs/GGB-1820-43.pdf#page=3","Abrir facsímil")</f>
        <v>Abrir facsímil</v>
      </c>
      <c r="K190" s="3" t="s">
        <v>23</v>
      </c>
    </row>
    <row r="191" spans="1:11" ht="42" customHeight="1">
      <c r="A191" s="2" t="s">
        <v>631</v>
      </c>
      <c r="B191" s="2" t="s">
        <v>632</v>
      </c>
      <c r="C191" s="2" t="s">
        <v>17</v>
      </c>
      <c r="D191" s="2" t="s">
        <v>18</v>
      </c>
      <c r="E191" s="5">
        <v>-28980</v>
      </c>
      <c r="F191" s="3" t="s">
        <v>614</v>
      </c>
      <c r="G191" s="3" t="s">
        <v>62</v>
      </c>
      <c r="H191" s="2" t="s">
        <v>21</v>
      </c>
      <c r="I191" s="2" t="s">
        <v>639</v>
      </c>
      <c r="J191" s="3" t="str">
        <f>HYPERLINK("https://www.boe.es/gazeta/dias/1820/08/26/pdfs/GGB-1820-59.pdf#page=3","Abrir facsímil")</f>
        <v>Abrir facsímil</v>
      </c>
      <c r="K191" s="3" t="s">
        <v>23</v>
      </c>
    </row>
    <row r="192" spans="1:11" ht="42" customHeight="1">
      <c r="A192" s="2" t="s">
        <v>631</v>
      </c>
      <c r="B192" s="2" t="s">
        <v>632</v>
      </c>
      <c r="C192" s="2" t="s">
        <v>35</v>
      </c>
      <c r="D192" s="2" t="s">
        <v>36</v>
      </c>
      <c r="E192" s="5">
        <v>-28940</v>
      </c>
      <c r="F192" s="3" t="s">
        <v>141</v>
      </c>
      <c r="G192" s="3" t="s">
        <v>43</v>
      </c>
      <c r="H192" s="2" t="s">
        <v>21</v>
      </c>
      <c r="I192" s="2" t="s">
        <v>640</v>
      </c>
      <c r="J192" s="3" t="str">
        <f>HYPERLINK("https://www.boe.es/gazeta/dias/1820/10/05/pdfs/GGB-1820-99.pdf#page=2","Abrir facsímil")</f>
        <v>Abrir facsímil</v>
      </c>
      <c r="K192" s="3" t="s">
        <v>23</v>
      </c>
    </row>
    <row r="193" spans="1:11" ht="42" customHeight="1">
      <c r="A193" s="2" t="s">
        <v>631</v>
      </c>
      <c r="B193" s="2" t="s">
        <v>632</v>
      </c>
      <c r="C193" s="2" t="s">
        <v>26</v>
      </c>
      <c r="D193" s="2" t="s">
        <v>27</v>
      </c>
      <c r="E193" s="5">
        <v>-28909</v>
      </c>
      <c r="F193" s="3" t="s">
        <v>278</v>
      </c>
      <c r="G193" s="3" t="s">
        <v>62</v>
      </c>
      <c r="H193" s="2" t="s">
        <v>21</v>
      </c>
      <c r="I193" s="2" t="s">
        <v>641</v>
      </c>
      <c r="J193" s="3" t="str">
        <f>HYPERLINK("https://www.boe.es/gazeta/dias/1820/11/05/pdfs/GGB-1820-130.pdf#page=3","Abrir facsímil")</f>
        <v>Abrir facsímil</v>
      </c>
      <c r="K193" s="3" t="s">
        <v>23</v>
      </c>
    </row>
    <row r="194" spans="1:11" ht="42" customHeight="1">
      <c r="A194" s="2" t="s">
        <v>642</v>
      </c>
      <c r="B194" s="2" t="s">
        <v>643</v>
      </c>
      <c r="C194" s="2" t="s">
        <v>17</v>
      </c>
      <c r="D194" s="2" t="s">
        <v>18</v>
      </c>
      <c r="E194" s="5">
        <v>-28993</v>
      </c>
      <c r="F194" s="3" t="s">
        <v>465</v>
      </c>
      <c r="G194" s="3" t="s">
        <v>62</v>
      </c>
      <c r="H194" s="2" t="s">
        <v>21</v>
      </c>
      <c r="I194" s="2" t="s">
        <v>644</v>
      </c>
      <c r="J194" s="3" t="str">
        <f>HYPERLINK("https://www.boe.es/gazeta/dias/1820/08/13/pdfs/GGB-1820-46.pdf#page=3","Abrir facsímil")</f>
        <v>Abrir facsímil</v>
      </c>
      <c r="K194" s="3" t="s">
        <v>23</v>
      </c>
    </row>
    <row r="195" spans="1:11" ht="42" customHeight="1">
      <c r="A195" s="2" t="s">
        <v>642</v>
      </c>
      <c r="B195" s="2" t="s">
        <v>643</v>
      </c>
      <c r="C195" s="2" t="s">
        <v>17</v>
      </c>
      <c r="D195" s="2" t="s">
        <v>18</v>
      </c>
      <c r="E195" s="5">
        <v>-28913</v>
      </c>
      <c r="F195" s="3" t="s">
        <v>230</v>
      </c>
      <c r="G195" s="3" t="s">
        <v>20</v>
      </c>
      <c r="H195" s="2" t="s">
        <v>21</v>
      </c>
      <c r="I195" s="2" t="s">
        <v>645</v>
      </c>
      <c r="J195" s="3" t="str">
        <f>HYPERLINK("https://www.boe.es/gazeta/dias/1820/11/01/pdfs/GGB-1820-126.pdf#page=4","Abrir facsímil")</f>
        <v>Abrir facsímil</v>
      </c>
      <c r="K195" s="3" t="s">
        <v>23</v>
      </c>
    </row>
    <row r="196" spans="1:11" ht="42" customHeight="1">
      <c r="A196" s="2" t="s">
        <v>646</v>
      </c>
      <c r="B196" s="2" t="s">
        <v>646</v>
      </c>
      <c r="C196" s="2" t="s">
        <v>47</v>
      </c>
      <c r="D196" s="2" t="s">
        <v>18</v>
      </c>
      <c r="E196" s="5">
        <v>-28932</v>
      </c>
      <c r="F196" s="3" t="s">
        <v>407</v>
      </c>
      <c r="G196" s="3" t="s">
        <v>43</v>
      </c>
      <c r="H196" s="2" t="s">
        <v>21</v>
      </c>
      <c r="I196" s="2" t="s">
        <v>647</v>
      </c>
      <c r="J196" s="3" t="str">
        <f>HYPERLINK("https://www.boe.es/gazeta/dias/1820/10/13/pdfs/GGB-1820-107.pdf#page=2","Abrir facsímil")</f>
        <v>Abrir facsímil</v>
      </c>
      <c r="K196" s="3" t="s">
        <v>23</v>
      </c>
    </row>
    <row r="197" spans="1:11" ht="42" customHeight="1">
      <c r="A197" s="2" t="s">
        <v>646</v>
      </c>
      <c r="B197" s="2" t="s">
        <v>646</v>
      </c>
      <c r="C197" s="2" t="s">
        <v>17</v>
      </c>
      <c r="D197" s="2" t="s">
        <v>18</v>
      </c>
      <c r="E197" s="5">
        <v>-28923</v>
      </c>
      <c r="F197" s="3" t="s">
        <v>648</v>
      </c>
      <c r="G197" s="3" t="s">
        <v>43</v>
      </c>
      <c r="H197" s="2" t="s">
        <v>21</v>
      </c>
      <c r="I197" s="2" t="s">
        <v>649</v>
      </c>
      <c r="J197" s="3" t="str">
        <f>HYPERLINK("https://www.boe.es/gazeta/dias/1820/10/22/pdfs/GGB-1820-116.pdf#page=2","Abrir facsímil")</f>
        <v>Abrir facsímil</v>
      </c>
      <c r="K197" s="3" t="s">
        <v>23</v>
      </c>
    </row>
    <row r="198" spans="1:11" ht="42" customHeight="1">
      <c r="A198" s="2" t="s">
        <v>650</v>
      </c>
      <c r="B198" s="2" t="s">
        <v>651</v>
      </c>
      <c r="C198" s="2" t="s">
        <v>17</v>
      </c>
      <c r="D198" s="2" t="s">
        <v>18</v>
      </c>
      <c r="E198" s="5">
        <v>-28917</v>
      </c>
      <c r="F198" s="3" t="s">
        <v>19</v>
      </c>
      <c r="G198" s="3" t="s">
        <v>20</v>
      </c>
      <c r="H198" s="2" t="s">
        <v>21</v>
      </c>
      <c r="I198" s="2" t="s">
        <v>652</v>
      </c>
      <c r="J198" s="3" t="str">
        <f>HYPERLINK("https://www.boe.es/gazeta/dias/1820/10/28/pdfs/GGB-1820-122.pdf#page=4","Abrir facsímil")</f>
        <v>Abrir facsímil</v>
      </c>
      <c r="K198" s="3" t="s">
        <v>23</v>
      </c>
    </row>
    <row r="199" spans="1:11" ht="42" customHeight="1">
      <c r="A199" s="2" t="s">
        <v>653</v>
      </c>
      <c r="B199" s="2" t="s">
        <v>654</v>
      </c>
      <c r="C199" s="2" t="s">
        <v>35</v>
      </c>
      <c r="D199" s="2" t="s">
        <v>36</v>
      </c>
      <c r="E199" s="5">
        <v>-29019</v>
      </c>
      <c r="F199" s="3" t="s">
        <v>655</v>
      </c>
      <c r="G199" s="3" t="s">
        <v>62</v>
      </c>
      <c r="H199" s="2" t="s">
        <v>21</v>
      </c>
      <c r="I199" s="2" t="s">
        <v>656</v>
      </c>
      <c r="J199" s="3" t="str">
        <f>HYPERLINK("https://www.boe.es/gazeta/dias/1820/07/18/pdfs/GGB-1820-20.pdf#page=3","Abrir facsímil")</f>
        <v>Abrir facsímil</v>
      </c>
      <c r="K199" s="3" t="s">
        <v>23</v>
      </c>
    </row>
    <row r="200" spans="1:11" ht="42" customHeight="1">
      <c r="A200" s="2" t="s">
        <v>653</v>
      </c>
      <c r="B200" s="2" t="s">
        <v>654</v>
      </c>
      <c r="C200" s="2" t="s">
        <v>26</v>
      </c>
      <c r="D200" s="2" t="s">
        <v>27</v>
      </c>
      <c r="E200" s="5">
        <v>-29016</v>
      </c>
      <c r="F200" s="3" t="s">
        <v>657</v>
      </c>
      <c r="G200" s="3" t="s">
        <v>62</v>
      </c>
      <c r="H200" s="2" t="s">
        <v>21</v>
      </c>
      <c r="I200" s="2" t="s">
        <v>658</v>
      </c>
      <c r="J200" s="3" t="str">
        <f>HYPERLINK("https://www.boe.es/gazeta/dias/1820/07/21/pdfs/GGB-1820-23.pdf#page=3","Abrir facsímil")</f>
        <v>Abrir facsímil</v>
      </c>
      <c r="K200" s="3" t="s">
        <v>23</v>
      </c>
    </row>
    <row r="201" spans="1:11" ht="42" customHeight="1">
      <c r="A201" s="2" t="s">
        <v>653</v>
      </c>
      <c r="B201" s="2" t="s">
        <v>654</v>
      </c>
      <c r="C201" s="2" t="s">
        <v>74</v>
      </c>
      <c r="D201" s="2" t="s">
        <v>18</v>
      </c>
      <c r="E201" s="5">
        <v>-29015</v>
      </c>
      <c r="F201" s="3" t="s">
        <v>359</v>
      </c>
      <c r="G201" s="3" t="s">
        <v>43</v>
      </c>
      <c r="H201" s="2" t="s">
        <v>21</v>
      </c>
      <c r="I201" s="2" t="s">
        <v>659</v>
      </c>
      <c r="J201" s="3" t="str">
        <f>HYPERLINK("https://www.boe.es/gazeta/dias/1820/07/22/pdfs/GGB-1820-24.pdf#page=2","Abrir facsímil")</f>
        <v>Abrir facsímil</v>
      </c>
      <c r="K201" s="3" t="s">
        <v>23</v>
      </c>
    </row>
    <row r="202" spans="1:11" ht="42" customHeight="1">
      <c r="A202" s="2" t="s">
        <v>653</v>
      </c>
      <c r="B202" s="2" t="s">
        <v>654</v>
      </c>
      <c r="C202" s="2" t="s">
        <v>74</v>
      </c>
      <c r="D202" s="2" t="s">
        <v>18</v>
      </c>
      <c r="E202" s="5">
        <v>-29013</v>
      </c>
      <c r="F202" s="3" t="s">
        <v>52</v>
      </c>
      <c r="G202" s="3" t="s">
        <v>53</v>
      </c>
      <c r="H202" s="2" t="s">
        <v>21</v>
      </c>
      <c r="I202" s="2" t="s">
        <v>660</v>
      </c>
      <c r="J202" s="3" t="str">
        <f>HYPERLINK("https://www.boe.es/gazeta/dias/1820/07/24/pdfs/GGB-1820-26.pdf#page=3","Abrir facsímil")</f>
        <v>Abrir facsímil</v>
      </c>
      <c r="K202" s="3" t="s">
        <v>23</v>
      </c>
    </row>
    <row r="203" spans="1:11" ht="42" customHeight="1">
      <c r="A203" s="2" t="s">
        <v>653</v>
      </c>
      <c r="B203" s="2" t="s">
        <v>654</v>
      </c>
      <c r="C203" s="2" t="s">
        <v>26</v>
      </c>
      <c r="D203" s="2" t="s">
        <v>27</v>
      </c>
      <c r="E203" s="5">
        <v>-29012</v>
      </c>
      <c r="F203" s="3" t="s">
        <v>72</v>
      </c>
      <c r="G203" s="3" t="s">
        <v>661</v>
      </c>
      <c r="H203" s="2" t="s">
        <v>21</v>
      </c>
      <c r="I203" s="2" t="s">
        <v>662</v>
      </c>
      <c r="J203" s="3" t="str">
        <f>HYPERLINK("https://www.boe.es/gazeta/dias/1820/07/25/pdfs/GGB-1820-27.pdf#page=2","Abrir facsímil")</f>
        <v>Abrir facsímil</v>
      </c>
      <c r="K203" s="3" t="s">
        <v>23</v>
      </c>
    </row>
    <row r="204" spans="1:11" ht="42" customHeight="1">
      <c r="A204" s="2" t="s">
        <v>653</v>
      </c>
      <c r="B204" s="2" t="s">
        <v>654</v>
      </c>
      <c r="C204" s="2" t="s">
        <v>35</v>
      </c>
      <c r="D204" s="2" t="s">
        <v>36</v>
      </c>
      <c r="E204" s="5">
        <v>-29012</v>
      </c>
      <c r="F204" s="3" t="s">
        <v>72</v>
      </c>
      <c r="G204" s="3" t="s">
        <v>62</v>
      </c>
      <c r="H204" s="2" t="s">
        <v>21</v>
      </c>
      <c r="I204" s="2" t="s">
        <v>663</v>
      </c>
      <c r="J204" s="3" t="str">
        <f>HYPERLINK("https://www.boe.es/gazeta/dias/1820/07/25/pdfs/GGB-1820-27.pdf#page=3","Abrir facsímil")</f>
        <v>Abrir facsímil</v>
      </c>
      <c r="K204" s="3" t="s">
        <v>23</v>
      </c>
    </row>
    <row r="205" spans="1:11" ht="42" customHeight="1">
      <c r="A205" s="2" t="s">
        <v>653</v>
      </c>
      <c r="B205" s="2" t="s">
        <v>654</v>
      </c>
      <c r="C205" s="2" t="s">
        <v>111</v>
      </c>
      <c r="D205" s="2" t="s">
        <v>18</v>
      </c>
      <c r="E205" s="5">
        <v>-29010</v>
      </c>
      <c r="F205" s="3" t="s">
        <v>664</v>
      </c>
      <c r="G205" s="3" t="s">
        <v>665</v>
      </c>
      <c r="H205" s="2" t="s">
        <v>21</v>
      </c>
      <c r="I205" s="2" t="s">
        <v>666</v>
      </c>
      <c r="J205" s="3" t="str">
        <f>HYPERLINK("https://www.boe.es/gazeta/dias/1820/07/27/pdfs/GGB-1820-29.pdf#page=2","Abrir facsímil")</f>
        <v>Abrir facsímil</v>
      </c>
      <c r="K205" s="3" t="s">
        <v>23</v>
      </c>
    </row>
    <row r="206" spans="1:11" ht="42" customHeight="1">
      <c r="A206" s="2" t="s">
        <v>653</v>
      </c>
      <c r="B206" s="2" t="s">
        <v>654</v>
      </c>
      <c r="C206" s="2" t="s">
        <v>74</v>
      </c>
      <c r="D206" s="2" t="s">
        <v>18</v>
      </c>
      <c r="E206" s="5">
        <v>-29009</v>
      </c>
      <c r="F206" s="3" t="s">
        <v>605</v>
      </c>
      <c r="G206" s="3" t="s">
        <v>43</v>
      </c>
      <c r="H206" s="2" t="s">
        <v>21</v>
      </c>
      <c r="I206" s="2" t="s">
        <v>667</v>
      </c>
      <c r="J206" s="3" t="str">
        <f>HYPERLINK("https://www.boe.es/gazeta/dias/1820/07/28/pdfs/GGB-1820-30.pdf#page=2","Abrir facsímil")</f>
        <v>Abrir facsímil</v>
      </c>
      <c r="K206" s="3" t="s">
        <v>23</v>
      </c>
    </row>
    <row r="207" spans="1:11" ht="42" customHeight="1">
      <c r="A207" s="2" t="s">
        <v>653</v>
      </c>
      <c r="B207" s="2" t="s">
        <v>654</v>
      </c>
      <c r="C207" s="2" t="s">
        <v>17</v>
      </c>
      <c r="D207" s="2" t="s">
        <v>18</v>
      </c>
      <c r="E207" s="5">
        <v>-29009</v>
      </c>
      <c r="F207" s="3" t="s">
        <v>605</v>
      </c>
      <c r="G207" s="3" t="s">
        <v>20</v>
      </c>
      <c r="H207" s="2" t="s">
        <v>21</v>
      </c>
      <c r="I207" s="2" t="s">
        <v>668</v>
      </c>
      <c r="J207" s="3" t="str">
        <f>HYPERLINK("https://www.boe.es/gazeta/dias/1820/07/28/pdfs/GGB-1820-30.pdf#page=4","Abrir facsímil")</f>
        <v>Abrir facsímil</v>
      </c>
      <c r="K207" s="3" t="s">
        <v>23</v>
      </c>
    </row>
    <row r="208" spans="1:11" ht="42" customHeight="1">
      <c r="A208" s="2" t="s">
        <v>653</v>
      </c>
      <c r="B208" s="2" t="s">
        <v>654</v>
      </c>
      <c r="C208" s="2" t="s">
        <v>293</v>
      </c>
      <c r="D208" s="2" t="s">
        <v>18</v>
      </c>
      <c r="E208" s="5">
        <v>-29004</v>
      </c>
      <c r="F208" s="3" t="s">
        <v>75</v>
      </c>
      <c r="G208" s="3" t="s">
        <v>62</v>
      </c>
      <c r="H208" s="2" t="s">
        <v>21</v>
      </c>
      <c r="I208" s="2" t="s">
        <v>669</v>
      </c>
      <c r="J208" s="3" t="str">
        <f>HYPERLINK("https://www.boe.es/gazeta/dias/1820/08/02/pdfs/GGB-1820-35.pdf#page=3","Abrir facsímil")</f>
        <v>Abrir facsímil</v>
      </c>
      <c r="K208" s="3" t="s">
        <v>23</v>
      </c>
    </row>
    <row r="209" spans="1:11" ht="42" customHeight="1">
      <c r="A209" s="2" t="s">
        <v>653</v>
      </c>
      <c r="B209" s="2" t="s">
        <v>654</v>
      </c>
      <c r="C209" s="2" t="s">
        <v>35</v>
      </c>
      <c r="D209" s="2" t="s">
        <v>36</v>
      </c>
      <c r="E209" s="5">
        <v>-29000</v>
      </c>
      <c r="F209" s="3" t="s">
        <v>670</v>
      </c>
      <c r="G209" s="3" t="s">
        <v>20</v>
      </c>
      <c r="H209" s="2" t="s">
        <v>21</v>
      </c>
      <c r="I209" s="2" t="s">
        <v>671</v>
      </c>
      <c r="J209" s="3" t="str">
        <f>HYPERLINK("https://www.boe.es/gazeta/dias/1820/08/06/pdfs/GGB-1820-39.pdf#page=4","Abrir facsímil")</f>
        <v>Abrir facsímil</v>
      </c>
      <c r="K209" s="3" t="s">
        <v>23</v>
      </c>
    </row>
    <row r="210" spans="1:11" ht="42" customHeight="1">
      <c r="A210" s="2" t="s">
        <v>653</v>
      </c>
      <c r="B210" s="2" t="s">
        <v>654</v>
      </c>
      <c r="C210" s="2" t="s">
        <v>17</v>
      </c>
      <c r="D210" s="2" t="s">
        <v>18</v>
      </c>
      <c r="E210" s="5">
        <v>-28995</v>
      </c>
      <c r="F210" s="3" t="s">
        <v>672</v>
      </c>
      <c r="G210" s="3" t="s">
        <v>62</v>
      </c>
      <c r="H210" s="2" t="s">
        <v>21</v>
      </c>
      <c r="I210" s="2" t="s">
        <v>673</v>
      </c>
      <c r="J210" s="3" t="str">
        <f>HYPERLINK("https://www.boe.es/gazeta/dias/1820/08/11/pdfs/GGB-1820-44.pdf#page=3","Abrir facsímil")</f>
        <v>Abrir facsímil</v>
      </c>
      <c r="K210" s="3" t="s">
        <v>23</v>
      </c>
    </row>
    <row r="211" spans="1:11" ht="42" customHeight="1">
      <c r="A211" s="2" t="s">
        <v>653</v>
      </c>
      <c r="B211" s="2" t="s">
        <v>654</v>
      </c>
      <c r="C211" s="2" t="s">
        <v>35</v>
      </c>
      <c r="D211" s="2" t="s">
        <v>36</v>
      </c>
      <c r="E211" s="5">
        <v>-28993</v>
      </c>
      <c r="F211" s="3" t="s">
        <v>465</v>
      </c>
      <c r="G211" s="3" t="s">
        <v>20</v>
      </c>
      <c r="H211" s="2" t="s">
        <v>21</v>
      </c>
      <c r="I211" s="2" t="s">
        <v>674</v>
      </c>
      <c r="J211" s="3" t="str">
        <f>HYPERLINK("https://www.boe.es/gazeta/dias/1820/08/13/pdfs/GGB-1820-46.pdf#page=4","Abrir facsímil")</f>
        <v>Abrir facsímil</v>
      </c>
      <c r="K211" s="3" t="s">
        <v>23</v>
      </c>
    </row>
    <row r="212" spans="1:11" ht="42" customHeight="1">
      <c r="A212" s="2" t="s">
        <v>653</v>
      </c>
      <c r="B212" s="2" t="s">
        <v>654</v>
      </c>
      <c r="C212" s="2" t="s">
        <v>35</v>
      </c>
      <c r="D212" s="2" t="s">
        <v>36</v>
      </c>
      <c r="E212" s="5">
        <v>-28991</v>
      </c>
      <c r="F212" s="3" t="s">
        <v>213</v>
      </c>
      <c r="G212" s="3" t="s">
        <v>675</v>
      </c>
      <c r="H212" s="2" t="s">
        <v>21</v>
      </c>
      <c r="I212" s="2" t="s">
        <v>676</v>
      </c>
      <c r="J212" s="3" t="str">
        <f>HYPERLINK("https://www.boe.es/gazeta/dias/1820/08/15/pdfs/GGB-1820-48.pdf#page=4","Abrir facsímil")</f>
        <v>Abrir facsímil</v>
      </c>
      <c r="K212" s="3" t="s">
        <v>23</v>
      </c>
    </row>
    <row r="213" spans="1:11" ht="42" customHeight="1">
      <c r="A213" s="2" t="s">
        <v>653</v>
      </c>
      <c r="B213" s="2" t="s">
        <v>654</v>
      </c>
      <c r="C213" s="2" t="s">
        <v>26</v>
      </c>
      <c r="D213" s="2" t="s">
        <v>27</v>
      </c>
      <c r="E213" s="5">
        <v>-28988</v>
      </c>
      <c r="F213" s="3" t="s">
        <v>618</v>
      </c>
      <c r="G213" s="3" t="s">
        <v>677</v>
      </c>
      <c r="H213" s="2" t="s">
        <v>21</v>
      </c>
      <c r="I213" s="2" t="s">
        <v>678</v>
      </c>
      <c r="J213" s="3" t="str">
        <f>HYPERLINK("https://www.boe.es/gazeta/dias/1820/08/18/pdfs/GGB-1820-51.pdf#page=2","Abrir facsímil")</f>
        <v>Abrir facsímil</v>
      </c>
      <c r="K213" s="3" t="s">
        <v>23</v>
      </c>
    </row>
    <row r="214" spans="1:11" ht="42" customHeight="1">
      <c r="A214" s="2" t="s">
        <v>653</v>
      </c>
      <c r="B214" s="2" t="s">
        <v>654</v>
      </c>
      <c r="C214" s="2" t="s">
        <v>111</v>
      </c>
      <c r="D214" s="2" t="s">
        <v>18</v>
      </c>
      <c r="E214" s="5">
        <v>-28988</v>
      </c>
      <c r="F214" s="3" t="s">
        <v>618</v>
      </c>
      <c r="G214" s="3" t="s">
        <v>62</v>
      </c>
      <c r="H214" s="2" t="s">
        <v>21</v>
      </c>
      <c r="I214" s="2" t="s">
        <v>679</v>
      </c>
      <c r="J214" s="3" t="str">
        <f>HYPERLINK("https://www.boe.es/gazeta/dias/1820/08/18/pdfs/GGB-1820-51.pdf#page=3","Abrir facsímil")</f>
        <v>Abrir facsímil</v>
      </c>
      <c r="K214" s="3" t="s">
        <v>23</v>
      </c>
    </row>
    <row r="215" spans="1:11" ht="42" customHeight="1">
      <c r="A215" s="2" t="s">
        <v>653</v>
      </c>
      <c r="B215" s="2" t="s">
        <v>654</v>
      </c>
      <c r="C215" s="2" t="s">
        <v>17</v>
      </c>
      <c r="D215" s="2" t="s">
        <v>18</v>
      </c>
      <c r="E215" s="5">
        <v>-28987</v>
      </c>
      <c r="F215" s="3" t="s">
        <v>680</v>
      </c>
      <c r="G215" s="3" t="s">
        <v>62</v>
      </c>
      <c r="H215" s="2" t="s">
        <v>21</v>
      </c>
      <c r="I215" s="2" t="s">
        <v>681</v>
      </c>
      <c r="J215" s="3" t="str">
        <f>HYPERLINK("https://www.boe.es/gazeta/dias/1820/08/19/pdfs/GGB-1820-52.pdf#page=3","Abrir facsímil")</f>
        <v>Abrir facsímil</v>
      </c>
      <c r="K215" s="3" t="s">
        <v>23</v>
      </c>
    </row>
    <row r="216" spans="1:11" ht="42" customHeight="1">
      <c r="A216" s="2" t="s">
        <v>653</v>
      </c>
      <c r="B216" s="2" t="s">
        <v>654</v>
      </c>
      <c r="C216" s="2" t="s">
        <v>17</v>
      </c>
      <c r="D216" s="2" t="s">
        <v>18</v>
      </c>
      <c r="E216" s="5">
        <v>-28983</v>
      </c>
      <c r="F216" s="3" t="s">
        <v>682</v>
      </c>
      <c r="G216" s="3" t="s">
        <v>20</v>
      </c>
      <c r="H216" s="2" t="s">
        <v>21</v>
      </c>
      <c r="I216" s="2" t="s">
        <v>683</v>
      </c>
      <c r="J216" s="3" t="str">
        <f>HYPERLINK("https://www.boe.es/gazeta/dias/1820/08/23/pdfs/GGB-1820-56.pdf#page=4","Abrir facsímil")</f>
        <v>Abrir facsímil</v>
      </c>
      <c r="K216" s="3" t="s">
        <v>23</v>
      </c>
    </row>
    <row r="217" spans="1:11" ht="42" customHeight="1">
      <c r="A217" s="2" t="s">
        <v>653</v>
      </c>
      <c r="B217" s="2" t="s">
        <v>654</v>
      </c>
      <c r="C217" s="2" t="s">
        <v>26</v>
      </c>
      <c r="D217" s="2" t="s">
        <v>27</v>
      </c>
      <c r="E217" s="5">
        <v>-28982</v>
      </c>
      <c r="F217" s="3" t="s">
        <v>173</v>
      </c>
      <c r="G217" s="3" t="s">
        <v>62</v>
      </c>
      <c r="H217" s="2" t="s">
        <v>21</v>
      </c>
      <c r="I217" s="2" t="s">
        <v>684</v>
      </c>
      <c r="J217" s="3" t="str">
        <f>HYPERLINK("https://www.boe.es/gazeta/dias/1820/08/24/pdfs/GGB-1820-57.pdf#page=3","Abrir facsímil")</f>
        <v>Abrir facsímil</v>
      </c>
      <c r="K217" s="3" t="s">
        <v>23</v>
      </c>
    </row>
    <row r="218" spans="1:11" ht="42" customHeight="1">
      <c r="A218" s="2" t="s">
        <v>653</v>
      </c>
      <c r="B218" s="2" t="s">
        <v>654</v>
      </c>
      <c r="C218" s="2" t="s">
        <v>293</v>
      </c>
      <c r="D218" s="2" t="s">
        <v>18</v>
      </c>
      <c r="E218" s="5">
        <v>-28980</v>
      </c>
      <c r="F218" s="3" t="s">
        <v>614</v>
      </c>
      <c r="G218" s="3" t="s">
        <v>62</v>
      </c>
      <c r="H218" s="2" t="s">
        <v>21</v>
      </c>
      <c r="I218" s="2" t="s">
        <v>685</v>
      </c>
      <c r="J218" s="3" t="str">
        <f>HYPERLINK("https://www.boe.es/gazeta/dias/1820/08/26/pdfs/GGB-1820-59.pdf#page=3","Abrir facsímil")</f>
        <v>Abrir facsímil</v>
      </c>
      <c r="K218" s="3" t="s">
        <v>23</v>
      </c>
    </row>
    <row r="219" spans="1:11" ht="42" customHeight="1">
      <c r="A219" s="2" t="s">
        <v>653</v>
      </c>
      <c r="B219" s="2" t="s">
        <v>654</v>
      </c>
      <c r="C219" s="2" t="s">
        <v>35</v>
      </c>
      <c r="D219" s="2" t="s">
        <v>36</v>
      </c>
      <c r="E219" s="5">
        <v>-28979</v>
      </c>
      <c r="F219" s="3" t="s">
        <v>218</v>
      </c>
      <c r="G219" s="3" t="s">
        <v>62</v>
      </c>
      <c r="H219" s="2" t="s">
        <v>21</v>
      </c>
      <c r="I219" s="2" t="s">
        <v>686</v>
      </c>
      <c r="J219" s="3" t="str">
        <f>HYPERLINK("https://www.boe.es/gazeta/dias/1820/08/27/pdfs/GGB-1820-60.pdf#page=3","Abrir facsímil")</f>
        <v>Abrir facsímil</v>
      </c>
      <c r="K219" s="3" t="s">
        <v>23</v>
      </c>
    </row>
    <row r="220" spans="1:11" ht="42" customHeight="1">
      <c r="A220" s="2" t="s">
        <v>653</v>
      </c>
      <c r="B220" s="2" t="s">
        <v>654</v>
      </c>
      <c r="C220" s="2" t="s">
        <v>17</v>
      </c>
      <c r="D220" s="2" t="s">
        <v>18</v>
      </c>
      <c r="E220" s="5">
        <v>-28977</v>
      </c>
      <c r="F220" s="3" t="s">
        <v>687</v>
      </c>
      <c r="G220" s="3" t="s">
        <v>20</v>
      </c>
      <c r="H220" s="2" t="s">
        <v>21</v>
      </c>
      <c r="I220" s="2" t="s">
        <v>688</v>
      </c>
      <c r="J220" s="3" t="str">
        <f>HYPERLINK("https://www.boe.es/gazeta/dias/1820/08/29/pdfs/GGB-1820-62.pdf#page=4","Abrir facsímil")</f>
        <v>Abrir facsímil</v>
      </c>
      <c r="K220" s="3" t="s">
        <v>23</v>
      </c>
    </row>
    <row r="221" spans="1:11" ht="42" customHeight="1">
      <c r="A221" s="2" t="s">
        <v>653</v>
      </c>
      <c r="B221" s="2" t="s">
        <v>654</v>
      </c>
      <c r="C221" s="2" t="s">
        <v>17</v>
      </c>
      <c r="D221" s="2" t="s">
        <v>18</v>
      </c>
      <c r="E221" s="5">
        <v>-28976</v>
      </c>
      <c r="F221" s="3" t="s">
        <v>689</v>
      </c>
      <c r="G221" s="3" t="s">
        <v>43</v>
      </c>
      <c r="H221" s="2" t="s">
        <v>21</v>
      </c>
      <c r="I221" s="2" t="s">
        <v>690</v>
      </c>
      <c r="J221" s="3" t="str">
        <f>HYPERLINK("https://www.boe.es/gazeta/dias/1820/08/30/pdfs/GGB-1820-63.pdf#page=2","Abrir facsímil")</f>
        <v>Abrir facsímil</v>
      </c>
      <c r="K221" s="3" t="s">
        <v>23</v>
      </c>
    </row>
    <row r="222" spans="1:11" ht="42" customHeight="1">
      <c r="A222" s="2" t="s">
        <v>653</v>
      </c>
      <c r="B222" s="2" t="s">
        <v>654</v>
      </c>
      <c r="C222" s="2" t="s">
        <v>111</v>
      </c>
      <c r="D222" s="2" t="s">
        <v>18</v>
      </c>
      <c r="E222" s="5">
        <v>-28971</v>
      </c>
      <c r="F222" s="3" t="s">
        <v>691</v>
      </c>
      <c r="G222" s="3" t="s">
        <v>62</v>
      </c>
      <c r="H222" s="2" t="s">
        <v>21</v>
      </c>
      <c r="I222" s="2" t="s">
        <v>692</v>
      </c>
      <c r="J222" s="3" t="str">
        <f>HYPERLINK("https://www.boe.es/gazeta/dias/1820/09/04/pdfs/GGB-1820-68.pdf#page=3","Abrir facsímil")</f>
        <v>Abrir facsímil</v>
      </c>
      <c r="K222" s="3" t="s">
        <v>23</v>
      </c>
    </row>
    <row r="223" spans="1:11" ht="42" customHeight="1">
      <c r="A223" s="2" t="s">
        <v>653</v>
      </c>
      <c r="B223" s="2" t="s">
        <v>654</v>
      </c>
      <c r="C223" s="2" t="s">
        <v>35</v>
      </c>
      <c r="D223" s="2" t="s">
        <v>36</v>
      </c>
      <c r="E223" s="5">
        <v>-28970</v>
      </c>
      <c r="F223" s="3" t="s">
        <v>693</v>
      </c>
      <c r="G223" s="3" t="s">
        <v>128</v>
      </c>
      <c r="H223" s="2" t="s">
        <v>21</v>
      </c>
      <c r="I223" s="2" t="s">
        <v>694</v>
      </c>
      <c r="J223" s="3" t="str">
        <f>HYPERLINK("https://www.boe.es/gazeta/dias/1820/09/05/pdfs/GGB-1820-69.pdf#page=1","Abrir facsímil")</f>
        <v>Abrir facsímil</v>
      </c>
      <c r="K223" s="3" t="s">
        <v>23</v>
      </c>
    </row>
    <row r="224" spans="1:11" ht="42" customHeight="1">
      <c r="A224" s="2" t="s">
        <v>653</v>
      </c>
      <c r="B224" s="2" t="s">
        <v>654</v>
      </c>
      <c r="C224" s="2" t="s">
        <v>35</v>
      </c>
      <c r="D224" s="2" t="s">
        <v>36</v>
      </c>
      <c r="E224" s="5">
        <v>-28970</v>
      </c>
      <c r="F224" s="3" t="s">
        <v>693</v>
      </c>
      <c r="G224" s="3" t="s">
        <v>43</v>
      </c>
      <c r="H224" s="2" t="s">
        <v>21</v>
      </c>
      <c r="I224" s="2" t="s">
        <v>695</v>
      </c>
      <c r="J224" s="3" t="str">
        <f>HYPERLINK("https://www.boe.es/gazeta/dias/1820/09/05/pdfs/GGB-1820-69.pdf#page=2","Abrir facsímil")</f>
        <v>Abrir facsímil</v>
      </c>
      <c r="K224" s="3" t="s">
        <v>23</v>
      </c>
    </row>
    <row r="225" spans="1:11" ht="42" customHeight="1">
      <c r="A225" s="2" t="s">
        <v>653</v>
      </c>
      <c r="B225" s="2" t="s">
        <v>654</v>
      </c>
      <c r="C225" s="2" t="s">
        <v>26</v>
      </c>
      <c r="D225" s="2" t="s">
        <v>27</v>
      </c>
      <c r="E225" s="5">
        <v>-28969</v>
      </c>
      <c r="F225" s="3" t="s">
        <v>225</v>
      </c>
      <c r="G225" s="3" t="s">
        <v>226</v>
      </c>
      <c r="H225" s="2" t="s">
        <v>21</v>
      </c>
      <c r="I225" s="2" t="s">
        <v>696</v>
      </c>
      <c r="J225" s="3" t="str">
        <f>HYPERLINK("https://www.boe.es/gazeta/dias/1820/09/06/pdfs/GGB-1820-70.pdf#page=3","Abrir facsímil")</f>
        <v>Abrir facsímil</v>
      </c>
      <c r="K225" s="3" t="s">
        <v>23</v>
      </c>
    </row>
    <row r="226" spans="1:11" ht="42" customHeight="1">
      <c r="A226" s="2" t="s">
        <v>653</v>
      </c>
      <c r="B226" s="2" t="s">
        <v>654</v>
      </c>
      <c r="C226" s="2" t="s">
        <v>26</v>
      </c>
      <c r="D226" s="2" t="s">
        <v>27</v>
      </c>
      <c r="E226" s="5">
        <v>-28969</v>
      </c>
      <c r="F226" s="3" t="s">
        <v>225</v>
      </c>
      <c r="G226" s="3" t="s">
        <v>43</v>
      </c>
      <c r="H226" s="2" t="s">
        <v>21</v>
      </c>
      <c r="I226" s="2" t="s">
        <v>697</v>
      </c>
      <c r="J226" s="3" t="str">
        <f>HYPERLINK("https://www.boe.es/gazeta/dias/1820/09/06/pdfs/GGB-1820-70.pdf#page=2","Abrir facsímil")</f>
        <v>Abrir facsímil</v>
      </c>
      <c r="K226" s="3" t="s">
        <v>23</v>
      </c>
    </row>
    <row r="227" spans="1:11" ht="42" customHeight="1">
      <c r="A227" s="2" t="s">
        <v>653</v>
      </c>
      <c r="B227" s="2" t="s">
        <v>654</v>
      </c>
      <c r="C227" s="2" t="s">
        <v>17</v>
      </c>
      <c r="D227" s="2" t="s">
        <v>18</v>
      </c>
      <c r="E227" s="5">
        <v>-28969</v>
      </c>
      <c r="F227" s="3" t="s">
        <v>225</v>
      </c>
      <c r="G227" s="3" t="s">
        <v>20</v>
      </c>
      <c r="H227" s="2" t="s">
        <v>21</v>
      </c>
      <c r="I227" s="2" t="s">
        <v>698</v>
      </c>
      <c r="J227" s="3" t="str">
        <f>HYPERLINK("https://www.boe.es/gazeta/dias/1820/09/06/pdfs/GGB-1820-70.pdf#page=4","Abrir facsímil")</f>
        <v>Abrir facsímil</v>
      </c>
      <c r="K227" s="3" t="s">
        <v>23</v>
      </c>
    </row>
    <row r="228" spans="1:11" ht="42" customHeight="1">
      <c r="A228" s="2" t="s">
        <v>653</v>
      </c>
      <c r="B228" s="2" t="s">
        <v>654</v>
      </c>
      <c r="C228" s="2" t="s">
        <v>35</v>
      </c>
      <c r="D228" s="2" t="s">
        <v>36</v>
      </c>
      <c r="E228" s="5">
        <v>-28967</v>
      </c>
      <c r="F228" s="3" t="s">
        <v>238</v>
      </c>
      <c r="G228" s="3" t="s">
        <v>62</v>
      </c>
      <c r="H228" s="2" t="s">
        <v>21</v>
      </c>
      <c r="I228" s="2" t="s">
        <v>699</v>
      </c>
      <c r="J228" s="3" t="str">
        <f>HYPERLINK("https://www.boe.es/gazeta/dias/1820/09/08/pdfs/GGB-1820-72.pdf#page=3","Abrir facsímil")</f>
        <v>Abrir facsímil</v>
      </c>
      <c r="K228" s="3" t="s">
        <v>23</v>
      </c>
    </row>
    <row r="229" spans="1:11" ht="42" customHeight="1">
      <c r="A229" s="2" t="s">
        <v>653</v>
      </c>
      <c r="B229" s="2" t="s">
        <v>654</v>
      </c>
      <c r="C229" s="2" t="s">
        <v>26</v>
      </c>
      <c r="D229" s="2" t="s">
        <v>27</v>
      </c>
      <c r="E229" s="5">
        <v>-28967</v>
      </c>
      <c r="F229" s="3" t="s">
        <v>238</v>
      </c>
      <c r="G229" s="3" t="s">
        <v>256</v>
      </c>
      <c r="H229" s="2" t="s">
        <v>21</v>
      </c>
      <c r="I229" s="2" t="s">
        <v>700</v>
      </c>
      <c r="J229" s="3" t="str">
        <f>HYPERLINK("https://www.boe.es/gazeta/dias/1820/09/08/pdfs/GGB-1820-72.pdf#page=5","Abrir facsímil")</f>
        <v>Abrir facsímil</v>
      </c>
      <c r="K229" s="3" t="s">
        <v>23</v>
      </c>
    </row>
    <row r="230" spans="1:11" ht="42" customHeight="1">
      <c r="A230" s="2" t="s">
        <v>653</v>
      </c>
      <c r="B230" s="2" t="s">
        <v>654</v>
      </c>
      <c r="C230" s="2" t="s">
        <v>17</v>
      </c>
      <c r="D230" s="2" t="s">
        <v>18</v>
      </c>
      <c r="E230" s="5">
        <v>-28966</v>
      </c>
      <c r="F230" s="3" t="s">
        <v>701</v>
      </c>
      <c r="G230" s="3" t="s">
        <v>62</v>
      </c>
      <c r="H230" s="2" t="s">
        <v>21</v>
      </c>
      <c r="I230" s="2" t="s">
        <v>702</v>
      </c>
      <c r="J230" s="3" t="str">
        <f>HYPERLINK("https://www.boe.es/gazeta/dias/1820/09/09/pdfs/GGB-1820-73.pdf#page=3","Abrir facsímil")</f>
        <v>Abrir facsímil</v>
      </c>
      <c r="K230" s="3" t="s">
        <v>23</v>
      </c>
    </row>
    <row r="231" spans="1:11" ht="42" customHeight="1">
      <c r="A231" s="2" t="s">
        <v>653</v>
      </c>
      <c r="B231" s="2" t="s">
        <v>654</v>
      </c>
      <c r="C231" s="2" t="s">
        <v>74</v>
      </c>
      <c r="D231" s="2" t="s">
        <v>18</v>
      </c>
      <c r="E231" s="5">
        <v>-28963</v>
      </c>
      <c r="F231" s="3" t="s">
        <v>94</v>
      </c>
      <c r="G231" s="3" t="s">
        <v>62</v>
      </c>
      <c r="H231" s="2" t="s">
        <v>21</v>
      </c>
      <c r="I231" s="2" t="s">
        <v>703</v>
      </c>
      <c r="J231" s="3" t="str">
        <f>HYPERLINK("https://www.boe.es/gazeta/dias/1820/09/12/pdfs/GGB-1820-76.pdf#page=3","Abrir facsímil")</f>
        <v>Abrir facsímil</v>
      </c>
      <c r="K231" s="3" t="s">
        <v>23</v>
      </c>
    </row>
    <row r="232" spans="1:11" ht="42" customHeight="1">
      <c r="A232" s="2" t="s">
        <v>653</v>
      </c>
      <c r="B232" s="2" t="s">
        <v>654</v>
      </c>
      <c r="C232" s="2" t="s">
        <v>74</v>
      </c>
      <c r="D232" s="2" t="s">
        <v>18</v>
      </c>
      <c r="E232" s="5">
        <v>-28960</v>
      </c>
      <c r="F232" s="3" t="s">
        <v>704</v>
      </c>
      <c r="G232" s="3" t="s">
        <v>62</v>
      </c>
      <c r="H232" s="2" t="s">
        <v>21</v>
      </c>
      <c r="I232" s="2" t="s">
        <v>705</v>
      </c>
      <c r="J232" s="3" t="str">
        <f>HYPERLINK("https://www.boe.es/gazeta/dias/1820/09/15/pdfs/GGB-1820-79.pdf#page=3","Abrir facsímil")</f>
        <v>Abrir facsímil</v>
      </c>
      <c r="K232" s="3" t="s">
        <v>23</v>
      </c>
    </row>
    <row r="233" spans="1:11" ht="42" customHeight="1">
      <c r="A233" s="2" t="s">
        <v>653</v>
      </c>
      <c r="B233" s="2" t="s">
        <v>654</v>
      </c>
      <c r="C233" s="2" t="s">
        <v>17</v>
      </c>
      <c r="D233" s="2" t="s">
        <v>18</v>
      </c>
      <c r="E233" s="5">
        <v>-28958</v>
      </c>
      <c r="F233" s="3" t="s">
        <v>706</v>
      </c>
      <c r="G233" s="3" t="s">
        <v>62</v>
      </c>
      <c r="H233" s="2" t="s">
        <v>21</v>
      </c>
      <c r="I233" s="2" t="s">
        <v>707</v>
      </c>
      <c r="J233" s="3" t="str">
        <f>HYPERLINK("https://www.boe.es/gazeta/dias/1820/09/17/pdfs/GGB-1820-81.pdf#page=3","Abrir facsímil")</f>
        <v>Abrir facsímil</v>
      </c>
      <c r="K233" s="3" t="s">
        <v>23</v>
      </c>
    </row>
    <row r="234" spans="1:11" ht="42" customHeight="1">
      <c r="A234" s="2" t="s">
        <v>653</v>
      </c>
      <c r="B234" s="2" t="s">
        <v>654</v>
      </c>
      <c r="C234" s="2" t="s">
        <v>293</v>
      </c>
      <c r="D234" s="2" t="s">
        <v>18</v>
      </c>
      <c r="E234" s="5">
        <v>-28957</v>
      </c>
      <c r="F234" s="3" t="s">
        <v>361</v>
      </c>
      <c r="G234" s="3" t="s">
        <v>708</v>
      </c>
      <c r="H234" s="2" t="s">
        <v>21</v>
      </c>
      <c r="I234" s="2" t="s">
        <v>709</v>
      </c>
      <c r="J234" s="3" t="str">
        <f>HYPERLINK("https://www.boe.es/gazeta/dias/1820/09/18/pdfs/GGB-1820-82.pdf#page=4","Abrir facsímil")</f>
        <v>Abrir facsímil</v>
      </c>
      <c r="K234" s="3" t="s">
        <v>23</v>
      </c>
    </row>
    <row r="235" spans="1:11" ht="42" customHeight="1">
      <c r="A235" s="2" t="s">
        <v>653</v>
      </c>
      <c r="B235" s="2" t="s">
        <v>654</v>
      </c>
      <c r="C235" s="2" t="s">
        <v>26</v>
      </c>
      <c r="D235" s="2" t="s">
        <v>27</v>
      </c>
      <c r="E235" s="5">
        <v>-28956</v>
      </c>
      <c r="F235" s="3" t="s">
        <v>190</v>
      </c>
      <c r="G235" s="3" t="s">
        <v>43</v>
      </c>
      <c r="H235" s="2" t="s">
        <v>21</v>
      </c>
      <c r="I235" s="2" t="s">
        <v>710</v>
      </c>
      <c r="J235" s="3" t="str">
        <f>HYPERLINK("https://www.boe.es/gazeta/dias/1820/09/19/pdfs/GGB-1820-83.pdf#page=2","Abrir facsímil")</f>
        <v>Abrir facsímil</v>
      </c>
      <c r="K235" s="3" t="s">
        <v>23</v>
      </c>
    </row>
    <row r="236" spans="1:11" ht="42" customHeight="1">
      <c r="A236" s="2" t="s">
        <v>653</v>
      </c>
      <c r="B236" s="2" t="s">
        <v>654</v>
      </c>
      <c r="C236" s="2" t="s">
        <v>74</v>
      </c>
      <c r="D236" s="2" t="s">
        <v>18</v>
      </c>
      <c r="E236" s="5">
        <v>-28956</v>
      </c>
      <c r="F236" s="3" t="s">
        <v>190</v>
      </c>
      <c r="G236" s="3" t="s">
        <v>62</v>
      </c>
      <c r="H236" s="2" t="s">
        <v>21</v>
      </c>
      <c r="I236" s="2" t="s">
        <v>711</v>
      </c>
      <c r="J236" s="3" t="str">
        <f>HYPERLINK("https://www.boe.es/gazeta/dias/1820/09/19/pdfs/GGB-1820-83.pdf#page=3","Abrir facsímil")</f>
        <v>Abrir facsímil</v>
      </c>
      <c r="K236" s="3" t="s">
        <v>23</v>
      </c>
    </row>
    <row r="237" spans="1:11" ht="42" customHeight="1">
      <c r="A237" s="2" t="s">
        <v>653</v>
      </c>
      <c r="B237" s="2" t="s">
        <v>654</v>
      </c>
      <c r="C237" s="2" t="s">
        <v>26</v>
      </c>
      <c r="D237" s="2" t="s">
        <v>27</v>
      </c>
      <c r="E237" s="5">
        <v>-28954</v>
      </c>
      <c r="F237" s="3" t="s">
        <v>28</v>
      </c>
      <c r="G237" s="3" t="s">
        <v>20</v>
      </c>
      <c r="H237" s="2" t="s">
        <v>21</v>
      </c>
      <c r="I237" s="2" t="s">
        <v>712</v>
      </c>
      <c r="J237" s="3" t="str">
        <f>HYPERLINK("https://www.boe.es/gazeta/dias/1820/09/21/pdfs/GGB-1820-85.pdf#page=4","Abrir facsímil")</f>
        <v>Abrir facsímil</v>
      </c>
      <c r="K237" s="3" t="s">
        <v>23</v>
      </c>
    </row>
    <row r="238" spans="1:11" ht="42" customHeight="1">
      <c r="A238" s="2" t="s">
        <v>653</v>
      </c>
      <c r="B238" s="2" t="s">
        <v>654</v>
      </c>
      <c r="C238" s="2" t="s">
        <v>74</v>
      </c>
      <c r="D238" s="2" t="s">
        <v>18</v>
      </c>
      <c r="E238" s="5">
        <v>-28953</v>
      </c>
      <c r="F238" s="3" t="s">
        <v>367</v>
      </c>
      <c r="G238" s="3" t="s">
        <v>20</v>
      </c>
      <c r="H238" s="2" t="s">
        <v>21</v>
      </c>
      <c r="I238" s="2" t="s">
        <v>713</v>
      </c>
      <c r="J238" s="3" t="str">
        <f>HYPERLINK("https://www.boe.es/gazeta/dias/1820/09/22/pdfs/GGB-1820-86.pdf#page=4","Abrir facsímil")</f>
        <v>Abrir facsímil</v>
      </c>
      <c r="K238" s="3" t="s">
        <v>23</v>
      </c>
    </row>
    <row r="239" spans="1:11" ht="42" customHeight="1">
      <c r="A239" s="2" t="s">
        <v>653</v>
      </c>
      <c r="B239" s="2" t="s">
        <v>654</v>
      </c>
      <c r="C239" s="2" t="s">
        <v>17</v>
      </c>
      <c r="D239" s="2" t="s">
        <v>18</v>
      </c>
      <c r="E239" s="5">
        <v>-28951</v>
      </c>
      <c r="F239" s="3" t="s">
        <v>622</v>
      </c>
      <c r="G239" s="3" t="s">
        <v>62</v>
      </c>
      <c r="H239" s="2" t="s">
        <v>21</v>
      </c>
      <c r="I239" s="2" t="s">
        <v>714</v>
      </c>
      <c r="J239" s="3" t="str">
        <f>HYPERLINK("https://www.boe.es/gazeta/dias/1820/09/24/pdfs/GGB-1820-88.pdf#page=3","Abrir facsímil")</f>
        <v>Abrir facsímil</v>
      </c>
      <c r="K239" s="3" t="s">
        <v>23</v>
      </c>
    </row>
    <row r="240" spans="1:11" ht="42" customHeight="1">
      <c r="A240" s="2" t="s">
        <v>653</v>
      </c>
      <c r="B240" s="2" t="s">
        <v>654</v>
      </c>
      <c r="C240" s="2" t="s">
        <v>35</v>
      </c>
      <c r="D240" s="2" t="s">
        <v>36</v>
      </c>
      <c r="E240" s="5">
        <v>-28942</v>
      </c>
      <c r="F240" s="3" t="s">
        <v>244</v>
      </c>
      <c r="G240" s="3" t="s">
        <v>62</v>
      </c>
      <c r="H240" s="2" t="s">
        <v>21</v>
      </c>
      <c r="I240" s="2" t="s">
        <v>715</v>
      </c>
      <c r="J240" s="3" t="str">
        <f>HYPERLINK("https://www.boe.es/gazeta/dias/1820/10/03/pdfs/GGB-1820-97.pdf#page=3","Abrir facsímil")</f>
        <v>Abrir facsímil</v>
      </c>
      <c r="K240" s="3" t="s">
        <v>23</v>
      </c>
    </row>
    <row r="241" spans="1:11" ht="42" customHeight="1">
      <c r="A241" s="2" t="s">
        <v>653</v>
      </c>
      <c r="B241" s="2" t="s">
        <v>654</v>
      </c>
      <c r="C241" s="2" t="s">
        <v>35</v>
      </c>
      <c r="D241" s="2" t="s">
        <v>36</v>
      </c>
      <c r="E241" s="5">
        <v>-28938</v>
      </c>
      <c r="F241" s="3" t="s">
        <v>716</v>
      </c>
      <c r="G241" s="3" t="s">
        <v>717</v>
      </c>
      <c r="H241" s="2" t="s">
        <v>21</v>
      </c>
      <c r="I241" s="2" t="s">
        <v>718</v>
      </c>
      <c r="J241" s="3" t="str">
        <f>HYPERLINK("https://www.boe.es/gazeta/dias/1820/10/07/pdfs/GGB-1820-101.pdf#page=2","Abrir facsímil")</f>
        <v>Abrir facsímil</v>
      </c>
      <c r="K241" s="3" t="s">
        <v>23</v>
      </c>
    </row>
    <row r="242" spans="1:11" ht="42" customHeight="1">
      <c r="A242" s="2" t="s">
        <v>653</v>
      </c>
      <c r="B242" s="2" t="s">
        <v>654</v>
      </c>
      <c r="C242" s="2" t="s">
        <v>26</v>
      </c>
      <c r="D242" s="2" t="s">
        <v>27</v>
      </c>
      <c r="E242" s="5">
        <v>-28936</v>
      </c>
      <c r="F242" s="3" t="s">
        <v>167</v>
      </c>
      <c r="G242" s="3" t="s">
        <v>62</v>
      </c>
      <c r="H242" s="2" t="s">
        <v>21</v>
      </c>
      <c r="I242" s="2" t="s">
        <v>719</v>
      </c>
      <c r="J242" s="3" t="str">
        <f>HYPERLINK("https://www.boe.es/gazeta/dias/1820/10/09/pdfs/GGB-1820-103.pdf#page=3","Abrir facsímil")</f>
        <v>Abrir facsímil</v>
      </c>
      <c r="K242" s="3" t="s">
        <v>23</v>
      </c>
    </row>
    <row r="243" spans="1:11" ht="42" customHeight="1">
      <c r="A243" s="2" t="s">
        <v>653</v>
      </c>
      <c r="B243" s="2" t="s">
        <v>654</v>
      </c>
      <c r="C243" s="2" t="s">
        <v>35</v>
      </c>
      <c r="D243" s="2" t="s">
        <v>36</v>
      </c>
      <c r="E243" s="5">
        <v>-28933</v>
      </c>
      <c r="F243" s="3" t="s">
        <v>720</v>
      </c>
      <c r="G243" s="3" t="s">
        <v>20</v>
      </c>
      <c r="H243" s="2" t="s">
        <v>21</v>
      </c>
      <c r="I243" s="2" t="s">
        <v>721</v>
      </c>
      <c r="J243" s="3" t="str">
        <f>HYPERLINK("https://www.boe.es/gazeta/dias/1820/10/12/pdfs/GGB-1820-106.pdf#page=4","Abrir facsímil")</f>
        <v>Abrir facsímil</v>
      </c>
      <c r="K243" s="3" t="s">
        <v>23</v>
      </c>
    </row>
    <row r="244" spans="1:11" ht="42" customHeight="1">
      <c r="A244" s="2" t="s">
        <v>653</v>
      </c>
      <c r="B244" s="2" t="s">
        <v>654</v>
      </c>
      <c r="C244" s="2" t="s">
        <v>47</v>
      </c>
      <c r="D244" s="2" t="s">
        <v>18</v>
      </c>
      <c r="E244" s="5">
        <v>-28932</v>
      </c>
      <c r="F244" s="3" t="s">
        <v>407</v>
      </c>
      <c r="G244" s="3" t="s">
        <v>128</v>
      </c>
      <c r="H244" s="2" t="s">
        <v>21</v>
      </c>
      <c r="I244" s="2" t="s">
        <v>722</v>
      </c>
      <c r="J244" s="3" t="str">
        <f>HYPERLINK("https://www.boe.es/gazeta/dias/1820/10/13/pdfs/GGB-1820-107.pdf#page=1","Abrir facsímil")</f>
        <v>Abrir facsímil</v>
      </c>
      <c r="K244" s="3" t="s">
        <v>23</v>
      </c>
    </row>
    <row r="245" spans="1:11" ht="42" customHeight="1">
      <c r="A245" s="2" t="s">
        <v>653</v>
      </c>
      <c r="B245" s="2" t="s">
        <v>654</v>
      </c>
      <c r="C245" s="2" t="s">
        <v>293</v>
      </c>
      <c r="D245" s="2" t="s">
        <v>18</v>
      </c>
      <c r="E245" s="5">
        <v>-28932</v>
      </c>
      <c r="F245" s="3" t="s">
        <v>407</v>
      </c>
      <c r="G245" s="3" t="s">
        <v>43</v>
      </c>
      <c r="H245" s="2" t="s">
        <v>21</v>
      </c>
      <c r="I245" s="2" t="s">
        <v>723</v>
      </c>
      <c r="J245" s="3" t="str">
        <f>HYPERLINK("https://www.boe.es/gazeta/dias/1820/10/13/pdfs/GGB-1820-107.pdf#page=2","Abrir facsímil")</f>
        <v>Abrir facsímil</v>
      </c>
      <c r="K245" s="3" t="s">
        <v>23</v>
      </c>
    </row>
    <row r="246" spans="1:11" ht="42" customHeight="1">
      <c r="A246" s="2" t="s">
        <v>653</v>
      </c>
      <c r="B246" s="2" t="s">
        <v>654</v>
      </c>
      <c r="C246" s="2" t="s">
        <v>74</v>
      </c>
      <c r="D246" s="2" t="s">
        <v>18</v>
      </c>
      <c r="E246" s="5">
        <v>-28931</v>
      </c>
      <c r="F246" s="3" t="s">
        <v>724</v>
      </c>
      <c r="G246" s="3" t="s">
        <v>725</v>
      </c>
      <c r="H246" s="2" t="s">
        <v>21</v>
      </c>
      <c r="I246" s="2" t="s">
        <v>726</v>
      </c>
      <c r="J246" s="3" t="str">
        <f>HYPERLINK("https://www.boe.es/gazeta/dias/1820/10/14/pdfs/GGB-1820-108.pdf#page=3","Abrir facsímil")</f>
        <v>Abrir facsímil</v>
      </c>
      <c r="K246" s="3" t="s">
        <v>23</v>
      </c>
    </row>
    <row r="247" spans="1:11" ht="42" customHeight="1">
      <c r="A247" s="2" t="s">
        <v>653</v>
      </c>
      <c r="B247" s="2" t="s">
        <v>654</v>
      </c>
      <c r="C247" s="2" t="s">
        <v>35</v>
      </c>
      <c r="D247" s="2" t="s">
        <v>36</v>
      </c>
      <c r="E247" s="5">
        <v>-28931</v>
      </c>
      <c r="F247" s="3" t="s">
        <v>724</v>
      </c>
      <c r="G247" s="3" t="s">
        <v>43</v>
      </c>
      <c r="H247" s="2" t="s">
        <v>21</v>
      </c>
      <c r="I247" s="2" t="s">
        <v>727</v>
      </c>
      <c r="J247" s="3" t="str">
        <f>HYPERLINK("https://www.boe.es/gazeta/dias/1820/10/14/pdfs/GGB-1820-108.pdf#page=2","Abrir facsímil")</f>
        <v>Abrir facsímil</v>
      </c>
      <c r="K247" s="3" t="s">
        <v>23</v>
      </c>
    </row>
    <row r="248" spans="1:11" ht="42" customHeight="1">
      <c r="A248" s="2" t="s">
        <v>653</v>
      </c>
      <c r="B248" s="2" t="s">
        <v>654</v>
      </c>
      <c r="C248" s="2" t="s">
        <v>17</v>
      </c>
      <c r="D248" s="2" t="s">
        <v>18</v>
      </c>
      <c r="E248" s="5">
        <v>-28929</v>
      </c>
      <c r="F248" s="3" t="s">
        <v>728</v>
      </c>
      <c r="G248" s="3" t="s">
        <v>20</v>
      </c>
      <c r="H248" s="2" t="s">
        <v>21</v>
      </c>
      <c r="I248" s="2" t="s">
        <v>729</v>
      </c>
      <c r="J248" s="3" t="str">
        <f>HYPERLINK("https://www.boe.es/gazeta/dias/1820/10/16/pdfs/GGB-1820-110.pdf#page=4","Abrir facsímil")</f>
        <v>Abrir facsímil</v>
      </c>
      <c r="K248" s="3" t="s">
        <v>23</v>
      </c>
    </row>
    <row r="249" spans="1:11" ht="42" customHeight="1">
      <c r="A249" s="2" t="s">
        <v>653</v>
      </c>
      <c r="B249" s="2" t="s">
        <v>654</v>
      </c>
      <c r="C249" s="2" t="s">
        <v>35</v>
      </c>
      <c r="D249" s="2" t="s">
        <v>36</v>
      </c>
      <c r="E249" s="5">
        <v>-28927</v>
      </c>
      <c r="F249" s="3" t="s">
        <v>345</v>
      </c>
      <c r="G249" s="3" t="s">
        <v>43</v>
      </c>
      <c r="H249" s="2" t="s">
        <v>21</v>
      </c>
      <c r="I249" s="2" t="s">
        <v>730</v>
      </c>
      <c r="J249" s="3" t="str">
        <f>HYPERLINK("https://www.boe.es/gazeta/dias/1820/10/18/pdfs/GGB-1820-112.pdf#page=2","Abrir facsímil")</f>
        <v>Abrir facsímil</v>
      </c>
      <c r="K249" s="3" t="s">
        <v>23</v>
      </c>
    </row>
    <row r="250" spans="1:11" ht="42" customHeight="1">
      <c r="A250" s="2" t="s">
        <v>653</v>
      </c>
      <c r="B250" s="2" t="s">
        <v>654</v>
      </c>
      <c r="C250" s="2" t="s">
        <v>35</v>
      </c>
      <c r="D250" s="2" t="s">
        <v>36</v>
      </c>
      <c r="E250" s="5">
        <v>-28927</v>
      </c>
      <c r="F250" s="3" t="s">
        <v>345</v>
      </c>
      <c r="G250" s="3" t="s">
        <v>20</v>
      </c>
      <c r="H250" s="2" t="s">
        <v>21</v>
      </c>
      <c r="I250" s="2" t="s">
        <v>731</v>
      </c>
      <c r="J250" s="3" t="str">
        <f>HYPERLINK("https://www.boe.es/gazeta/dias/1820/10/18/pdfs/GGB-1820-112.pdf#page=4","Abrir facsímil")</f>
        <v>Abrir facsímil</v>
      </c>
      <c r="K250" s="3" t="s">
        <v>23</v>
      </c>
    </row>
    <row r="251" spans="1:11" ht="42" customHeight="1">
      <c r="A251" s="2" t="s">
        <v>653</v>
      </c>
      <c r="B251" s="2" t="s">
        <v>654</v>
      </c>
      <c r="C251" s="2" t="s">
        <v>35</v>
      </c>
      <c r="D251" s="2" t="s">
        <v>36</v>
      </c>
      <c r="E251" s="5">
        <v>-28926</v>
      </c>
      <c r="F251" s="3" t="s">
        <v>597</v>
      </c>
      <c r="G251" s="3" t="s">
        <v>43</v>
      </c>
      <c r="H251" s="2" t="s">
        <v>21</v>
      </c>
      <c r="I251" s="2" t="s">
        <v>732</v>
      </c>
      <c r="J251" s="3" t="str">
        <f>HYPERLINK("https://www.boe.es/gazeta/dias/1820/10/19/pdfs/GGB-1820-113.pdf#page=2","Abrir facsímil")</f>
        <v>Abrir facsímil</v>
      </c>
      <c r="K251" s="3" t="s">
        <v>23</v>
      </c>
    </row>
    <row r="252" spans="1:11" ht="42" customHeight="1">
      <c r="A252" s="2" t="s">
        <v>653</v>
      </c>
      <c r="B252" s="2" t="s">
        <v>654</v>
      </c>
      <c r="C252" s="2" t="s">
        <v>74</v>
      </c>
      <c r="D252" s="2" t="s">
        <v>18</v>
      </c>
      <c r="E252" s="5">
        <v>-28925</v>
      </c>
      <c r="F252" s="3" t="s">
        <v>228</v>
      </c>
      <c r="G252" s="3" t="s">
        <v>20</v>
      </c>
      <c r="H252" s="2" t="s">
        <v>21</v>
      </c>
      <c r="I252" s="2" t="s">
        <v>733</v>
      </c>
      <c r="J252" s="3" t="str">
        <f>HYPERLINK("https://www.boe.es/gazeta/dias/1820/10/20/pdfs/GGB-1820-114.pdf#page=4","Abrir facsímil")</f>
        <v>Abrir facsímil</v>
      </c>
      <c r="K252" s="3" t="s">
        <v>23</v>
      </c>
    </row>
    <row r="253" spans="1:11" ht="42" customHeight="1">
      <c r="A253" s="2" t="s">
        <v>653</v>
      </c>
      <c r="B253" s="2" t="s">
        <v>654</v>
      </c>
      <c r="C253" s="2" t="s">
        <v>293</v>
      </c>
      <c r="D253" s="2" t="s">
        <v>18</v>
      </c>
      <c r="E253" s="5">
        <v>-28923</v>
      </c>
      <c r="F253" s="3" t="s">
        <v>648</v>
      </c>
      <c r="G253" s="3" t="s">
        <v>43</v>
      </c>
      <c r="H253" s="2" t="s">
        <v>21</v>
      </c>
      <c r="I253" s="2" t="s">
        <v>734</v>
      </c>
      <c r="J253" s="3" t="str">
        <f>HYPERLINK("https://www.boe.es/gazeta/dias/1820/10/22/pdfs/GGB-1820-116.pdf#page=2","Abrir facsímil")</f>
        <v>Abrir facsímil</v>
      </c>
      <c r="K253" s="3" t="s">
        <v>23</v>
      </c>
    </row>
    <row r="254" spans="1:11" ht="42" customHeight="1">
      <c r="A254" s="2" t="s">
        <v>653</v>
      </c>
      <c r="B254" s="2" t="s">
        <v>654</v>
      </c>
      <c r="C254" s="2" t="s">
        <v>17</v>
      </c>
      <c r="D254" s="2" t="s">
        <v>18</v>
      </c>
      <c r="E254" s="5">
        <v>-28922</v>
      </c>
      <c r="F254" s="3" t="s">
        <v>735</v>
      </c>
      <c r="G254" s="3" t="s">
        <v>43</v>
      </c>
      <c r="H254" s="2" t="s">
        <v>21</v>
      </c>
      <c r="I254" s="2" t="s">
        <v>736</v>
      </c>
      <c r="J254" s="3" t="str">
        <f>HYPERLINK("https://www.boe.es/gazeta/dias/1820/10/23/pdfs/GGB-1820-117.pdf#page=2","Abrir facsímil")</f>
        <v>Abrir facsímil</v>
      </c>
      <c r="K254" s="3" t="s">
        <v>23</v>
      </c>
    </row>
    <row r="255" spans="1:11" ht="42" customHeight="1">
      <c r="A255" s="2" t="s">
        <v>653</v>
      </c>
      <c r="B255" s="2" t="s">
        <v>654</v>
      </c>
      <c r="C255" s="2" t="s">
        <v>35</v>
      </c>
      <c r="D255" s="2" t="s">
        <v>36</v>
      </c>
      <c r="E255" s="5">
        <v>-28922</v>
      </c>
      <c r="F255" s="3" t="s">
        <v>735</v>
      </c>
      <c r="G255" s="3" t="s">
        <v>20</v>
      </c>
      <c r="H255" s="2" t="s">
        <v>21</v>
      </c>
      <c r="I255" s="2" t="s">
        <v>737</v>
      </c>
      <c r="J255" s="3" t="str">
        <f>HYPERLINK("https://www.boe.es/gazeta/dias/1820/10/23/pdfs/GGB-1820-117.pdf#page=4","Abrir facsímil")</f>
        <v>Abrir facsímil</v>
      </c>
      <c r="K255" s="3" t="s">
        <v>23</v>
      </c>
    </row>
    <row r="256" spans="1:11" ht="42" customHeight="1">
      <c r="A256" s="2" t="s">
        <v>653</v>
      </c>
      <c r="B256" s="2" t="s">
        <v>654</v>
      </c>
      <c r="C256" s="2" t="s">
        <v>17</v>
      </c>
      <c r="D256" s="2" t="s">
        <v>18</v>
      </c>
      <c r="E256" s="5">
        <v>-28921</v>
      </c>
      <c r="F256" s="3" t="s">
        <v>738</v>
      </c>
      <c r="G256" s="3" t="s">
        <v>20</v>
      </c>
      <c r="H256" s="2" t="s">
        <v>21</v>
      </c>
      <c r="I256" s="2" t="s">
        <v>739</v>
      </c>
      <c r="J256" s="3" t="str">
        <f>HYPERLINK("https://www.boe.es/gazeta/dias/1820/10/24/pdfs/GGB-1820-118.pdf#page=4","Abrir facsímil")</f>
        <v>Abrir facsímil</v>
      </c>
      <c r="K256" s="3" t="s">
        <v>23</v>
      </c>
    </row>
    <row r="257" spans="1:11" ht="42" customHeight="1">
      <c r="A257" s="2" t="s">
        <v>653</v>
      </c>
      <c r="B257" s="2" t="s">
        <v>654</v>
      </c>
      <c r="C257" s="2" t="s">
        <v>35</v>
      </c>
      <c r="D257" s="2" t="s">
        <v>36</v>
      </c>
      <c r="E257" s="5">
        <v>-28919</v>
      </c>
      <c r="F257" s="3" t="s">
        <v>516</v>
      </c>
      <c r="G257" s="3" t="s">
        <v>62</v>
      </c>
      <c r="H257" s="2" t="s">
        <v>21</v>
      </c>
      <c r="I257" s="2" t="s">
        <v>740</v>
      </c>
      <c r="J257" s="3" t="str">
        <f>HYPERLINK("https://www.boe.es/gazeta/dias/1820/10/26/pdfs/GGB-1820-120.pdf#page=3","Abrir facsímil")</f>
        <v>Abrir facsímil</v>
      </c>
      <c r="K257" s="3" t="s">
        <v>23</v>
      </c>
    </row>
    <row r="258" spans="1:11" ht="42" customHeight="1">
      <c r="A258" s="2" t="s">
        <v>653</v>
      </c>
      <c r="B258" s="2" t="s">
        <v>654</v>
      </c>
      <c r="C258" s="2" t="s">
        <v>26</v>
      </c>
      <c r="D258" s="2" t="s">
        <v>27</v>
      </c>
      <c r="E258" s="5">
        <v>-28917</v>
      </c>
      <c r="F258" s="3" t="s">
        <v>19</v>
      </c>
      <c r="G258" s="3" t="s">
        <v>62</v>
      </c>
      <c r="H258" s="2" t="s">
        <v>21</v>
      </c>
      <c r="I258" s="2" t="s">
        <v>741</v>
      </c>
      <c r="J258" s="3" t="str">
        <f>HYPERLINK("https://www.boe.es/gazeta/dias/1820/10/28/pdfs/GGB-1820-122.pdf#page=3","Abrir facsímil")</f>
        <v>Abrir facsímil</v>
      </c>
      <c r="K258" s="3" t="s">
        <v>23</v>
      </c>
    </row>
    <row r="259" spans="1:11" ht="42" customHeight="1">
      <c r="A259" s="2" t="s">
        <v>653</v>
      </c>
      <c r="B259" s="2" t="s">
        <v>654</v>
      </c>
      <c r="C259" s="2" t="s">
        <v>74</v>
      </c>
      <c r="D259" s="2" t="s">
        <v>18</v>
      </c>
      <c r="E259" s="5">
        <v>-28917</v>
      </c>
      <c r="F259" s="3" t="s">
        <v>19</v>
      </c>
      <c r="G259" s="3" t="s">
        <v>20</v>
      </c>
      <c r="H259" s="2" t="s">
        <v>21</v>
      </c>
      <c r="I259" s="2" t="s">
        <v>742</v>
      </c>
      <c r="J259" s="3" t="str">
        <f>HYPERLINK("https://www.boe.es/gazeta/dias/1820/10/28/pdfs/GGB-1820-122.pdf#page=4","Abrir facsímil")</f>
        <v>Abrir facsímil</v>
      </c>
      <c r="K259" s="3" t="s">
        <v>23</v>
      </c>
    </row>
    <row r="260" spans="1:11" ht="42" customHeight="1">
      <c r="A260" s="2" t="s">
        <v>653</v>
      </c>
      <c r="B260" s="2" t="s">
        <v>654</v>
      </c>
      <c r="C260" s="2" t="s">
        <v>35</v>
      </c>
      <c r="D260" s="2" t="s">
        <v>36</v>
      </c>
      <c r="E260" s="5">
        <v>-28914</v>
      </c>
      <c r="F260" s="3" t="s">
        <v>434</v>
      </c>
      <c r="G260" s="3" t="s">
        <v>43</v>
      </c>
      <c r="H260" s="2" t="s">
        <v>21</v>
      </c>
      <c r="I260" s="2" t="s">
        <v>743</v>
      </c>
      <c r="J260" s="3" t="str">
        <f>HYPERLINK("https://www.boe.es/gazeta/dias/1820/10/31/pdfs/GGB-1820-125.pdf#page=2","Abrir facsímil")</f>
        <v>Abrir facsímil</v>
      </c>
      <c r="K260" s="3" t="s">
        <v>23</v>
      </c>
    </row>
    <row r="261" spans="1:11" ht="42" customHeight="1">
      <c r="A261" s="2" t="s">
        <v>653</v>
      </c>
      <c r="B261" s="2" t="s">
        <v>654</v>
      </c>
      <c r="C261" s="2" t="s">
        <v>47</v>
      </c>
      <c r="D261" s="2" t="s">
        <v>18</v>
      </c>
      <c r="E261" s="5">
        <v>-28914</v>
      </c>
      <c r="F261" s="3" t="s">
        <v>434</v>
      </c>
      <c r="G261" s="3" t="s">
        <v>62</v>
      </c>
      <c r="H261" s="2" t="s">
        <v>21</v>
      </c>
      <c r="I261" s="2" t="s">
        <v>744</v>
      </c>
      <c r="J261" s="3" t="str">
        <f>HYPERLINK("https://www.boe.es/gazeta/dias/1820/10/31/pdfs/GGB-1820-125.pdf#page=3","Abrir facsímil")</f>
        <v>Abrir facsímil</v>
      </c>
      <c r="K261" s="3" t="s">
        <v>23</v>
      </c>
    </row>
    <row r="262" spans="1:11" ht="42" customHeight="1">
      <c r="A262" s="2" t="s">
        <v>653</v>
      </c>
      <c r="B262" s="2" t="s">
        <v>654</v>
      </c>
      <c r="C262" s="2" t="s">
        <v>47</v>
      </c>
      <c r="D262" s="2" t="s">
        <v>18</v>
      </c>
      <c r="E262" s="5">
        <v>-28911</v>
      </c>
      <c r="F262" s="3" t="s">
        <v>82</v>
      </c>
      <c r="G262" s="3" t="s">
        <v>20</v>
      </c>
      <c r="H262" s="2" t="s">
        <v>21</v>
      </c>
      <c r="I262" s="2" t="s">
        <v>745</v>
      </c>
      <c r="J262" s="3" t="str">
        <f>HYPERLINK("https://www.boe.es/gazeta/dias/1820/11/03/pdfs/GGB-1820-128.pdf#page=4","Abrir facsímil")</f>
        <v>Abrir facsímil</v>
      </c>
      <c r="K262" s="3" t="s">
        <v>23</v>
      </c>
    </row>
    <row r="263" spans="1:11" ht="42" customHeight="1">
      <c r="A263" s="2" t="s">
        <v>653</v>
      </c>
      <c r="B263" s="2" t="s">
        <v>654</v>
      </c>
      <c r="C263" s="2" t="s">
        <v>26</v>
      </c>
      <c r="D263" s="2" t="s">
        <v>27</v>
      </c>
      <c r="E263" s="5">
        <v>-28910</v>
      </c>
      <c r="F263" s="3" t="s">
        <v>746</v>
      </c>
      <c r="G263" s="3" t="s">
        <v>62</v>
      </c>
      <c r="H263" s="2" t="s">
        <v>21</v>
      </c>
      <c r="I263" s="2" t="s">
        <v>747</v>
      </c>
      <c r="J263" s="3" t="str">
        <f>HYPERLINK("https://www.boe.es/gazeta/dias/1820/11/04/pdfs/GGB-1820-129.pdf#page=3","Abrir facsímil")</f>
        <v>Abrir facsímil</v>
      </c>
      <c r="K263" s="3" t="s">
        <v>23</v>
      </c>
    </row>
    <row r="264" spans="1:11" ht="42" customHeight="1">
      <c r="A264" s="2" t="s">
        <v>653</v>
      </c>
      <c r="B264" s="2" t="s">
        <v>654</v>
      </c>
      <c r="C264" s="2" t="s">
        <v>26</v>
      </c>
      <c r="D264" s="2" t="s">
        <v>27</v>
      </c>
      <c r="E264" s="5">
        <v>-28910</v>
      </c>
      <c r="F264" s="3" t="s">
        <v>746</v>
      </c>
      <c r="G264" s="3" t="s">
        <v>20</v>
      </c>
      <c r="H264" s="2" t="s">
        <v>21</v>
      </c>
      <c r="I264" s="2" t="s">
        <v>748</v>
      </c>
      <c r="J264" s="3" t="str">
        <f>HYPERLINK("https://www.boe.es/gazeta/dias/1820/11/04/pdfs/GGB-1820-129.pdf#page=4","Abrir facsímil")</f>
        <v>Abrir facsímil</v>
      </c>
      <c r="K264" s="3" t="s">
        <v>23</v>
      </c>
    </row>
    <row r="265" spans="1:11" ht="42" customHeight="1">
      <c r="A265" s="2" t="s">
        <v>653</v>
      </c>
      <c r="B265" s="2" t="s">
        <v>654</v>
      </c>
      <c r="C265" s="2" t="s">
        <v>35</v>
      </c>
      <c r="D265" s="2" t="s">
        <v>36</v>
      </c>
      <c r="E265" s="5">
        <v>-28905</v>
      </c>
      <c r="F265" s="3" t="s">
        <v>749</v>
      </c>
      <c r="G265" s="3" t="s">
        <v>62</v>
      </c>
      <c r="H265" s="2" t="s">
        <v>21</v>
      </c>
      <c r="I265" s="2" t="s">
        <v>750</v>
      </c>
      <c r="J265" s="3" t="str">
        <f>HYPERLINK("https://www.boe.es/gazeta/dias/1820/11/09/pdfs/GGB-1820-134.pdf#page=3","Abrir facsímil")</f>
        <v>Abrir facsímil</v>
      </c>
      <c r="K265" s="3" t="s">
        <v>23</v>
      </c>
    </row>
    <row r="266" spans="1:11" ht="42" customHeight="1">
      <c r="A266" s="2" t="s">
        <v>653</v>
      </c>
      <c r="B266" s="2" t="s">
        <v>654</v>
      </c>
      <c r="C266" s="2" t="s">
        <v>35</v>
      </c>
      <c r="D266" s="2" t="s">
        <v>36</v>
      </c>
      <c r="E266" s="5">
        <v>-28904</v>
      </c>
      <c r="F266" s="3" t="s">
        <v>541</v>
      </c>
      <c r="G266" s="3" t="s">
        <v>43</v>
      </c>
      <c r="H266" s="2" t="s">
        <v>21</v>
      </c>
      <c r="I266" s="2" t="s">
        <v>751</v>
      </c>
      <c r="J266" s="3" t="str">
        <f>HYPERLINK("https://www.boe.es/gazeta/dias/1820/11/10/pdfs/GGB-1820-136.pdf#page=2","Abrir facsímil")</f>
        <v>Abrir facsímil</v>
      </c>
      <c r="K266" s="3" t="s">
        <v>23</v>
      </c>
    </row>
    <row r="267" spans="1:11" ht="42" customHeight="1">
      <c r="A267" s="2" t="s">
        <v>752</v>
      </c>
      <c r="B267" s="2" t="s">
        <v>752</v>
      </c>
      <c r="C267" s="2" t="s">
        <v>26</v>
      </c>
      <c r="D267" s="2" t="s">
        <v>27</v>
      </c>
      <c r="E267" s="5">
        <v>-29204</v>
      </c>
      <c r="F267" s="3" t="s">
        <v>753</v>
      </c>
      <c r="G267" s="3" t="s">
        <v>128</v>
      </c>
      <c r="H267" s="2" t="s">
        <v>21</v>
      </c>
      <c r="I267" s="2" t="s">
        <v>754</v>
      </c>
      <c r="J267" s="3" t="str">
        <f>HYPERLINK("https://www.boe.es/gazeta/dias/1820/01/15/pdfs/GMD-1820-7.pdf#page=1","Abrir facsímil")</f>
        <v>Abrir facsímil</v>
      </c>
      <c r="K267" s="3" t="s">
        <v>23</v>
      </c>
    </row>
    <row r="268" spans="1:11" ht="42" customHeight="1">
      <c r="A268" s="2" t="s">
        <v>755</v>
      </c>
      <c r="B268" s="2" t="s">
        <v>755</v>
      </c>
      <c r="C268" s="2" t="s">
        <v>26</v>
      </c>
      <c r="D268" s="2" t="s">
        <v>27</v>
      </c>
      <c r="E268" s="5">
        <v>-29020</v>
      </c>
      <c r="F268" s="3" t="s">
        <v>756</v>
      </c>
      <c r="G268" s="3" t="s">
        <v>62</v>
      </c>
      <c r="H268" s="2" t="s">
        <v>21</v>
      </c>
      <c r="I268" s="2" t="s">
        <v>757</v>
      </c>
      <c r="J268" s="3" t="str">
        <f>HYPERLINK("https://www.boe.es/gazeta/dias/1820/07/17/pdfs/GGB-1820-19.pdf#page=3","Abrir facsímil")</f>
        <v>Abrir facsímil</v>
      </c>
      <c r="K268" s="3" t="s">
        <v>23</v>
      </c>
    </row>
    <row r="269" spans="1:11" ht="42" customHeight="1">
      <c r="A269" s="2" t="s">
        <v>758</v>
      </c>
      <c r="B269" s="2" t="s">
        <v>759</v>
      </c>
      <c r="C269" s="2" t="s">
        <v>107</v>
      </c>
      <c r="D269" s="2" t="s">
        <v>18</v>
      </c>
      <c r="E269" s="5">
        <v>-28918</v>
      </c>
      <c r="F269" s="3" t="s">
        <v>160</v>
      </c>
      <c r="G269" s="3" t="s">
        <v>43</v>
      </c>
      <c r="H269" s="2" t="s">
        <v>21</v>
      </c>
      <c r="I269" s="2" t="s">
        <v>760</v>
      </c>
      <c r="J269" s="3" t="str">
        <f>HYPERLINK("https://www.boe.es/gazeta/dias/1820/10/27/pdfs/GGB-1820-121.pdf#page=2","Abrir facsímil")</f>
        <v>Abrir facsímil</v>
      </c>
      <c r="K269" s="3" t="s">
        <v>23</v>
      </c>
    </row>
    <row r="270" spans="1:11" ht="42" customHeight="1">
      <c r="A270" s="2" t="s">
        <v>761</v>
      </c>
      <c r="B270" s="2" t="s">
        <v>762</v>
      </c>
      <c r="C270" s="2" t="s">
        <v>26</v>
      </c>
      <c r="D270" s="2" t="s">
        <v>27</v>
      </c>
      <c r="E270" s="5">
        <v>-29183</v>
      </c>
      <c r="F270" s="3" t="s">
        <v>476</v>
      </c>
      <c r="G270" s="3" t="s">
        <v>256</v>
      </c>
      <c r="H270" s="2" t="s">
        <v>21</v>
      </c>
      <c r="I270" s="2" t="s">
        <v>763</v>
      </c>
      <c r="J270" s="3" t="str">
        <f>HYPERLINK("https://www.boe.es/gazeta/dias/1820/02/05/pdfs/GMD-1820-16.pdf#page=5","Abrir facsímil")</f>
        <v>Abrir facsímil</v>
      </c>
      <c r="K270" s="3" t="s">
        <v>23</v>
      </c>
    </row>
    <row r="271" spans="1:11" ht="42" customHeight="1">
      <c r="A271" s="2" t="s">
        <v>761</v>
      </c>
      <c r="B271" s="2" t="s">
        <v>762</v>
      </c>
      <c r="C271" s="2" t="s">
        <v>26</v>
      </c>
      <c r="D271" s="2" t="s">
        <v>27</v>
      </c>
      <c r="E271" s="5">
        <v>-29171</v>
      </c>
      <c r="F271" s="3" t="s">
        <v>764</v>
      </c>
      <c r="G271" s="3" t="s">
        <v>62</v>
      </c>
      <c r="H271" s="2" t="s">
        <v>21</v>
      </c>
      <c r="I271" s="2" t="s">
        <v>765</v>
      </c>
      <c r="J271" s="3" t="str">
        <f>HYPERLINK("https://www.boe.es/gazeta/dias/1820/02/17/pdfs/GMD-1820-21.pdf#page=3","Abrir facsímil")</f>
        <v>Abrir facsímil</v>
      </c>
      <c r="K271" s="3" t="s">
        <v>23</v>
      </c>
    </row>
    <row r="272" spans="1:11" ht="42" customHeight="1">
      <c r="A272" s="2" t="s">
        <v>766</v>
      </c>
      <c r="B272" s="2" t="s">
        <v>766</v>
      </c>
      <c r="C272" s="2" t="s">
        <v>26</v>
      </c>
      <c r="D272" s="2" t="s">
        <v>27</v>
      </c>
      <c r="E272" s="5">
        <v>-29171</v>
      </c>
      <c r="F272" s="3" t="s">
        <v>764</v>
      </c>
      <c r="G272" s="3" t="s">
        <v>256</v>
      </c>
      <c r="H272" s="2" t="s">
        <v>21</v>
      </c>
      <c r="I272" s="2" t="s">
        <v>767</v>
      </c>
      <c r="J272" s="3" t="str">
        <f>HYPERLINK("https://www.boe.es/gazeta/dias/1820/02/17/pdfs/GMD-1820-21.pdf#page=5","Abrir facsímil")</f>
        <v>Abrir facsímil</v>
      </c>
      <c r="K272" s="3" t="s">
        <v>23</v>
      </c>
    </row>
    <row r="273" spans="1:11" ht="42" customHeight="1">
      <c r="A273" s="2" t="s">
        <v>768</v>
      </c>
      <c r="B273" s="2" t="s">
        <v>769</v>
      </c>
      <c r="C273" s="2" t="s">
        <v>17</v>
      </c>
      <c r="D273" s="2" t="s">
        <v>18</v>
      </c>
      <c r="E273" s="5">
        <v>-29208</v>
      </c>
      <c r="F273" s="3" t="s">
        <v>770</v>
      </c>
      <c r="G273" s="3" t="s">
        <v>295</v>
      </c>
      <c r="H273" s="2" t="s">
        <v>21</v>
      </c>
      <c r="I273" s="2" t="s">
        <v>771</v>
      </c>
      <c r="J273" s="3" t="str">
        <f>HYPERLINK("https://www.boe.es/gazeta/dias/1820/01/11/pdfs/GMD-1820-5.pdf#page=8","Abrir facsímil")</f>
        <v>Abrir facsímil</v>
      </c>
      <c r="K273" s="3" t="s">
        <v>23</v>
      </c>
    </row>
    <row r="274" spans="1:11" ht="42" customHeight="1">
      <c r="A274" s="2" t="s">
        <v>768</v>
      </c>
      <c r="B274" s="2" t="s">
        <v>769</v>
      </c>
      <c r="C274" s="2" t="s">
        <v>17</v>
      </c>
      <c r="D274" s="2" t="s">
        <v>18</v>
      </c>
      <c r="E274" s="5">
        <v>-29185</v>
      </c>
      <c r="F274" s="3" t="s">
        <v>772</v>
      </c>
      <c r="G274" s="3" t="s">
        <v>773</v>
      </c>
      <c r="H274" s="2" t="s">
        <v>21</v>
      </c>
      <c r="I274" s="2" t="s">
        <v>774</v>
      </c>
      <c r="J274" s="3" t="str">
        <f>HYPERLINK("https://www.boe.es/gazeta/dias/1820/02/03/pdfs/GMD-1820-15.pdf#page=8","Abrir facsímil")</f>
        <v>Abrir facsímil</v>
      </c>
      <c r="K274" s="3" t="s">
        <v>23</v>
      </c>
    </row>
    <row r="275" spans="1:11" ht="42" customHeight="1">
      <c r="A275" s="2" t="s">
        <v>775</v>
      </c>
      <c r="B275" s="2" t="s">
        <v>776</v>
      </c>
      <c r="C275" s="2" t="s">
        <v>107</v>
      </c>
      <c r="D275" s="2" t="s">
        <v>18</v>
      </c>
      <c r="E275" s="5">
        <v>-28889</v>
      </c>
      <c r="F275" s="3" t="s">
        <v>777</v>
      </c>
      <c r="G275" s="3" t="s">
        <v>778</v>
      </c>
      <c r="H275" s="2" t="s">
        <v>21</v>
      </c>
      <c r="I275" s="2" t="s">
        <v>779</v>
      </c>
      <c r="J275" s="3" t="str">
        <f>HYPERLINK("https://www.boe.es/gazeta/dias/1820/11/25/pdfs/GGB-1820-152.pdf#page=4","Abrir facsímil")</f>
        <v>Abrir facsímil</v>
      </c>
      <c r="K275" s="3" t="s">
        <v>23</v>
      </c>
    </row>
    <row r="276" spans="1:11" ht="42" customHeight="1">
      <c r="A276" s="2" t="s">
        <v>780</v>
      </c>
      <c r="B276" s="2" t="s">
        <v>781</v>
      </c>
      <c r="C276" s="2" t="s">
        <v>26</v>
      </c>
      <c r="D276" s="2" t="s">
        <v>27</v>
      </c>
      <c r="E276" s="5">
        <v>-29178</v>
      </c>
      <c r="F276" s="3" t="s">
        <v>782</v>
      </c>
      <c r="G276" s="3" t="s">
        <v>76</v>
      </c>
      <c r="H276" s="2" t="s">
        <v>21</v>
      </c>
      <c r="I276" s="2" t="s">
        <v>783</v>
      </c>
      <c r="J276" s="3" t="str">
        <f>HYPERLINK("https://www.boe.es/gazeta/dias/1820/02/10/pdfs/GMD-1820-18.pdf#page=6","Abrir facsímil")</f>
        <v>Abrir facsímil</v>
      </c>
      <c r="K276" s="3" t="s">
        <v>23</v>
      </c>
    </row>
    <row r="277" spans="1:11" ht="42" customHeight="1">
      <c r="A277" s="2" t="s">
        <v>784</v>
      </c>
      <c r="B277" s="2" t="s">
        <v>785</v>
      </c>
      <c r="C277" s="2" t="s">
        <v>26</v>
      </c>
      <c r="D277" s="2" t="s">
        <v>27</v>
      </c>
      <c r="E277" s="5">
        <v>-29171</v>
      </c>
      <c r="F277" s="3" t="s">
        <v>764</v>
      </c>
      <c r="G277" s="3" t="s">
        <v>256</v>
      </c>
      <c r="H277" s="2" t="s">
        <v>21</v>
      </c>
      <c r="I277" s="2" t="s">
        <v>786</v>
      </c>
      <c r="J277" s="3" t="str">
        <f>HYPERLINK("https://www.boe.es/gazeta/dias/1820/02/17/pdfs/GMD-1820-21.pdf#page=5","Abrir facsímil")</f>
        <v>Abrir facsímil</v>
      </c>
      <c r="K277" s="3" t="s">
        <v>23</v>
      </c>
    </row>
    <row r="278" spans="1:11" ht="42" customHeight="1">
      <c r="A278" s="2" t="s">
        <v>787</v>
      </c>
      <c r="B278" s="2" t="s">
        <v>788</v>
      </c>
      <c r="C278" s="2" t="s">
        <v>35</v>
      </c>
      <c r="D278" s="2" t="s">
        <v>36</v>
      </c>
      <c r="E278" s="5">
        <v>-29030</v>
      </c>
      <c r="F278" s="3" t="s">
        <v>789</v>
      </c>
      <c r="G278" s="3" t="s">
        <v>62</v>
      </c>
      <c r="H278" s="2" t="s">
        <v>21</v>
      </c>
      <c r="I278" s="2" t="s">
        <v>790</v>
      </c>
      <c r="J278" s="3" t="str">
        <f>HYPERLINK("https://www.boe.es/gazeta/dias/1820/07/07/pdfs/GGB-1820-8.pdf#page=3","Abrir facsímil")</f>
        <v>Abrir facsímil</v>
      </c>
      <c r="K278" s="3" t="s">
        <v>23</v>
      </c>
    </row>
    <row r="279" spans="1:11" ht="42" customHeight="1">
      <c r="A279" s="2" t="s">
        <v>787</v>
      </c>
      <c r="B279" s="2" t="s">
        <v>788</v>
      </c>
      <c r="C279" s="2" t="s">
        <v>111</v>
      </c>
      <c r="D279" s="2" t="s">
        <v>18</v>
      </c>
      <c r="E279" s="5">
        <v>-29016</v>
      </c>
      <c r="F279" s="3" t="s">
        <v>657</v>
      </c>
      <c r="G279" s="3" t="s">
        <v>43</v>
      </c>
      <c r="H279" s="2" t="s">
        <v>21</v>
      </c>
      <c r="I279" s="2" t="s">
        <v>791</v>
      </c>
      <c r="J279" s="3" t="str">
        <f>HYPERLINK("https://www.boe.es/gazeta/dias/1820/07/21/pdfs/GGB-1820-23.pdf#page=2","Abrir facsímil")</f>
        <v>Abrir facsímil</v>
      </c>
      <c r="K279" s="3" t="s">
        <v>23</v>
      </c>
    </row>
    <row r="280" spans="1:11" ht="42" customHeight="1">
      <c r="A280" s="2" t="s">
        <v>792</v>
      </c>
      <c r="B280" s="2" t="s">
        <v>793</v>
      </c>
      <c r="C280" s="2" t="s">
        <v>17</v>
      </c>
      <c r="D280" s="2" t="s">
        <v>18</v>
      </c>
      <c r="E280" s="5">
        <v>-29183</v>
      </c>
      <c r="F280" s="3" t="s">
        <v>476</v>
      </c>
      <c r="G280" s="3" t="s">
        <v>201</v>
      </c>
      <c r="H280" s="2" t="s">
        <v>21</v>
      </c>
      <c r="I280" s="2" t="s">
        <v>794</v>
      </c>
      <c r="J280" s="3" t="str">
        <f>HYPERLINK("https://www.boe.es/gazeta/dias/1820/02/05/pdfs/GMD-1820-16.pdf#page=7","Abrir facsímil")</f>
        <v>Abrir facsímil</v>
      </c>
      <c r="K280" s="3" t="s">
        <v>23</v>
      </c>
    </row>
    <row r="281" spans="1:11" ht="42" customHeight="1">
      <c r="A281" s="2" t="s">
        <v>792</v>
      </c>
      <c r="B281" s="2" t="s">
        <v>793</v>
      </c>
      <c r="C281" s="2" t="s">
        <v>26</v>
      </c>
      <c r="D281" s="2" t="s">
        <v>27</v>
      </c>
      <c r="E281" s="5">
        <v>-29178</v>
      </c>
      <c r="F281" s="3" t="s">
        <v>782</v>
      </c>
      <c r="G281" s="3" t="s">
        <v>76</v>
      </c>
      <c r="H281" s="2" t="s">
        <v>21</v>
      </c>
      <c r="I281" s="2" t="s">
        <v>795</v>
      </c>
      <c r="J281" s="3" t="str">
        <f>HYPERLINK("https://www.boe.es/gazeta/dias/1820/02/10/pdfs/GMD-1820-18.pdf#page=6","Abrir facsímil")</f>
        <v>Abrir facsímil</v>
      </c>
      <c r="K281" s="3" t="s">
        <v>23</v>
      </c>
    </row>
    <row r="282" spans="1:11" ht="42" customHeight="1">
      <c r="A282" s="2" t="s">
        <v>792</v>
      </c>
      <c r="B282" s="2" t="s">
        <v>793</v>
      </c>
      <c r="C282" s="2" t="s">
        <v>26</v>
      </c>
      <c r="D282" s="2" t="s">
        <v>27</v>
      </c>
      <c r="E282" s="5">
        <v>-29178</v>
      </c>
      <c r="F282" s="3" t="s">
        <v>782</v>
      </c>
      <c r="G282" s="3" t="s">
        <v>256</v>
      </c>
      <c r="H282" s="2" t="s">
        <v>21</v>
      </c>
      <c r="I282" s="2" t="s">
        <v>796</v>
      </c>
      <c r="J282" s="3" t="str">
        <f>HYPERLINK("https://www.boe.es/gazeta/dias/1820/02/10/pdfs/GMD-1820-18.pdf#page=5","Abrir facsímil")</f>
        <v>Abrir facsímil</v>
      </c>
      <c r="K282" s="3" t="s">
        <v>23</v>
      </c>
    </row>
    <row r="283" spans="1:11" ht="42" customHeight="1">
      <c r="A283" s="2" t="s">
        <v>792</v>
      </c>
      <c r="B283" s="2" t="s">
        <v>793</v>
      </c>
      <c r="C283" s="2" t="s">
        <v>26</v>
      </c>
      <c r="D283" s="2" t="s">
        <v>27</v>
      </c>
      <c r="E283" s="5">
        <v>-29176</v>
      </c>
      <c r="F283" s="3" t="s">
        <v>797</v>
      </c>
      <c r="G283" s="3" t="s">
        <v>38</v>
      </c>
      <c r="H283" s="2" t="s">
        <v>21</v>
      </c>
      <c r="I283" s="2" t="s">
        <v>798</v>
      </c>
      <c r="J283" s="3" t="str">
        <f>HYPERLINK("https://www.boe.es/gazeta/dias/1820/02/12/pdfs/GMD-1820-19.pdf#page=6","Abrir facsímil")</f>
        <v>Abrir facsímil</v>
      </c>
      <c r="K283" s="3" t="s">
        <v>23</v>
      </c>
    </row>
    <row r="284" spans="1:11" ht="42" customHeight="1">
      <c r="A284" s="2" t="s">
        <v>792</v>
      </c>
      <c r="B284" s="2" t="s">
        <v>793</v>
      </c>
      <c r="C284" s="2" t="s">
        <v>26</v>
      </c>
      <c r="D284" s="2" t="s">
        <v>27</v>
      </c>
      <c r="E284" s="5">
        <v>-29166</v>
      </c>
      <c r="F284" s="3" t="s">
        <v>799</v>
      </c>
      <c r="G284" s="3" t="s">
        <v>201</v>
      </c>
      <c r="H284" s="2" t="s">
        <v>21</v>
      </c>
      <c r="I284" s="2" t="s">
        <v>800</v>
      </c>
      <c r="J284" s="3" t="str">
        <f>HYPERLINK("https://www.boe.es/gazeta/dias/1820/02/22/pdfs/GMD-1820-23.pdf#page=7","Abrir facsímil")</f>
        <v>Abrir facsímil</v>
      </c>
      <c r="K284" s="3" t="s">
        <v>23</v>
      </c>
    </row>
    <row r="285" spans="1:11" ht="42" customHeight="1">
      <c r="A285" s="2" t="s">
        <v>801</v>
      </c>
      <c r="B285" s="2" t="s">
        <v>802</v>
      </c>
      <c r="C285" s="2" t="s">
        <v>17</v>
      </c>
      <c r="D285" s="2" t="s">
        <v>18</v>
      </c>
      <c r="E285" s="5">
        <v>-28881</v>
      </c>
      <c r="F285" s="3" t="s">
        <v>57</v>
      </c>
      <c r="G285" s="3" t="s">
        <v>20</v>
      </c>
      <c r="H285" s="2" t="s">
        <v>21</v>
      </c>
      <c r="I285" s="2" t="s">
        <v>803</v>
      </c>
      <c r="J285" s="3" t="str">
        <f>HYPERLINK("https://www.boe.es/gazeta/dias/1820/12/03/pdfs/GGB-1820-160.pdf#page=4","Abrir facsímil")</f>
        <v>Abrir facsímil</v>
      </c>
      <c r="K285" s="3" t="s">
        <v>23</v>
      </c>
    </row>
    <row r="286" spans="1:11" ht="42" customHeight="1">
      <c r="A286" s="2" t="s">
        <v>804</v>
      </c>
      <c r="B286" s="2" t="s">
        <v>805</v>
      </c>
      <c r="C286" s="2" t="s">
        <v>35</v>
      </c>
      <c r="D286" s="2" t="s">
        <v>36</v>
      </c>
      <c r="E286" s="5">
        <v>-28919</v>
      </c>
      <c r="F286" s="3" t="s">
        <v>516</v>
      </c>
      <c r="G286" s="3" t="s">
        <v>62</v>
      </c>
      <c r="H286" s="2" t="s">
        <v>21</v>
      </c>
      <c r="I286" s="2" t="s">
        <v>806</v>
      </c>
      <c r="J286" s="3" t="str">
        <f>HYPERLINK("https://www.boe.es/gazeta/dias/1820/10/26/pdfs/GGB-1820-120.pdf#page=3","Abrir facsímil")</f>
        <v>Abrir facsímil</v>
      </c>
      <c r="K286" s="3" t="s">
        <v>23</v>
      </c>
    </row>
    <row r="287" spans="1:11" ht="42" customHeight="1">
      <c r="A287" s="2" t="s">
        <v>807</v>
      </c>
      <c r="B287" s="2" t="s">
        <v>808</v>
      </c>
      <c r="C287" s="2" t="s">
        <v>26</v>
      </c>
      <c r="D287" s="2" t="s">
        <v>27</v>
      </c>
      <c r="E287" s="5">
        <v>-28989</v>
      </c>
      <c r="F287" s="3" t="s">
        <v>809</v>
      </c>
      <c r="G287" s="3" t="s">
        <v>43</v>
      </c>
      <c r="H287" s="2" t="s">
        <v>21</v>
      </c>
      <c r="I287" s="2" t="s">
        <v>810</v>
      </c>
      <c r="J287" s="3" t="str">
        <f>HYPERLINK("https://www.boe.es/gazeta/dias/1820/08/17/pdfs/GGB-1820-50.pdf#page=2","Abrir facsímil")</f>
        <v>Abrir facsímil</v>
      </c>
      <c r="K287" s="3" t="s">
        <v>23</v>
      </c>
    </row>
    <row r="288" spans="1:11" ht="42" customHeight="1">
      <c r="A288" s="2" t="s">
        <v>811</v>
      </c>
      <c r="B288" s="2" t="s">
        <v>812</v>
      </c>
      <c r="C288" s="2" t="s">
        <v>26</v>
      </c>
      <c r="D288" s="2" t="s">
        <v>27</v>
      </c>
      <c r="E288" s="5">
        <v>-28958</v>
      </c>
      <c r="F288" s="3" t="s">
        <v>706</v>
      </c>
      <c r="G288" s="3" t="s">
        <v>43</v>
      </c>
      <c r="H288" s="2" t="s">
        <v>21</v>
      </c>
      <c r="I288" s="2" t="s">
        <v>813</v>
      </c>
      <c r="J288" s="3" t="str">
        <f>HYPERLINK("https://www.boe.es/gazeta/dias/1820/09/17/pdfs/GGB-1820-81.pdf#page=2","Abrir facsímil")</f>
        <v>Abrir facsímil</v>
      </c>
      <c r="K288" s="3" t="s">
        <v>23</v>
      </c>
    </row>
    <row r="289" spans="1:11" ht="42" customHeight="1">
      <c r="A289" s="2" t="s">
        <v>814</v>
      </c>
      <c r="B289" s="2" t="s">
        <v>815</v>
      </c>
      <c r="C289" s="2" t="s">
        <v>26</v>
      </c>
      <c r="D289" s="2" t="s">
        <v>27</v>
      </c>
      <c r="E289" s="5">
        <v>-29029</v>
      </c>
      <c r="F289" s="3" t="s">
        <v>282</v>
      </c>
      <c r="G289" s="3" t="s">
        <v>20</v>
      </c>
      <c r="H289" s="2" t="s">
        <v>21</v>
      </c>
      <c r="I289" s="2" t="s">
        <v>816</v>
      </c>
      <c r="J289" s="3" t="str">
        <f>HYPERLINK("https://www.boe.es/gazeta/dias/1820/07/08/pdfs/GGB-1820-9.pdf#page=4","Abrir facsímil")</f>
        <v>Abrir facsímil</v>
      </c>
      <c r="K289" s="3" t="s">
        <v>23</v>
      </c>
    </row>
    <row r="290" spans="1:11" ht="42" customHeight="1">
      <c r="A290" s="2" t="s">
        <v>817</v>
      </c>
      <c r="B290" s="2" t="s">
        <v>817</v>
      </c>
      <c r="C290" s="2" t="s">
        <v>35</v>
      </c>
      <c r="D290" s="2" t="s">
        <v>36</v>
      </c>
      <c r="E290" s="5">
        <v>-28926</v>
      </c>
      <c r="F290" s="3" t="s">
        <v>597</v>
      </c>
      <c r="G290" s="3" t="s">
        <v>43</v>
      </c>
      <c r="H290" s="2" t="s">
        <v>21</v>
      </c>
      <c r="I290" s="2" t="s">
        <v>818</v>
      </c>
      <c r="J290" s="3" t="str">
        <f>HYPERLINK("https://www.boe.es/gazeta/dias/1820/10/19/pdfs/GGB-1820-113.pdf#page=2","Abrir facsímil")</f>
        <v>Abrir facsímil</v>
      </c>
      <c r="K290" s="3" t="s">
        <v>23</v>
      </c>
    </row>
    <row r="291" spans="1:11" ht="42" customHeight="1">
      <c r="A291" s="2" t="s">
        <v>819</v>
      </c>
      <c r="B291" s="2" t="s">
        <v>820</v>
      </c>
      <c r="C291" s="2" t="s">
        <v>111</v>
      </c>
      <c r="D291" s="2" t="s">
        <v>18</v>
      </c>
      <c r="E291" s="5">
        <v>-29213</v>
      </c>
      <c r="F291" s="3" t="s">
        <v>195</v>
      </c>
      <c r="G291" s="3" t="s">
        <v>821</v>
      </c>
      <c r="H291" s="2" t="s">
        <v>21</v>
      </c>
      <c r="I291" s="2" t="s">
        <v>822</v>
      </c>
      <c r="J291" s="3" t="str">
        <f>HYPERLINK("https://www.boe.es/gazeta/dias/1820/01/06/pdfs/GMD-1820-3.pdf#page=6","Abrir facsímil")</f>
        <v>Abrir facsímil</v>
      </c>
      <c r="K291" s="3" t="s">
        <v>23</v>
      </c>
    </row>
    <row r="292" spans="1:11" ht="42" customHeight="1">
      <c r="A292" s="2" t="s">
        <v>819</v>
      </c>
      <c r="B292" s="2" t="s">
        <v>820</v>
      </c>
      <c r="C292" s="2" t="s">
        <v>17</v>
      </c>
      <c r="D292" s="2" t="s">
        <v>18</v>
      </c>
      <c r="E292" s="5">
        <v>-29194</v>
      </c>
      <c r="F292" s="3" t="s">
        <v>416</v>
      </c>
      <c r="G292" s="3" t="s">
        <v>201</v>
      </c>
      <c r="H292" s="2" t="s">
        <v>21</v>
      </c>
      <c r="I292" s="2" t="s">
        <v>823</v>
      </c>
      <c r="J292" s="3" t="str">
        <f>HYPERLINK("https://www.boe.es/gazeta/dias/1820/01/25/pdfs/GMD-1820-11.pdf#page=7","Abrir facsímil")</f>
        <v>Abrir facsímil</v>
      </c>
      <c r="K292" s="3" t="s">
        <v>23</v>
      </c>
    </row>
    <row r="293" spans="1:11" ht="42" customHeight="1">
      <c r="A293" s="2" t="s">
        <v>819</v>
      </c>
      <c r="B293" s="2" t="s">
        <v>820</v>
      </c>
      <c r="C293" s="2" t="s">
        <v>17</v>
      </c>
      <c r="D293" s="2" t="s">
        <v>18</v>
      </c>
      <c r="E293" s="5">
        <v>-29166</v>
      </c>
      <c r="F293" s="3" t="s">
        <v>799</v>
      </c>
      <c r="G293" s="3" t="s">
        <v>201</v>
      </c>
      <c r="H293" s="2" t="s">
        <v>21</v>
      </c>
      <c r="I293" s="2" t="s">
        <v>824</v>
      </c>
      <c r="J293" s="3" t="str">
        <f>HYPERLINK("https://www.boe.es/gazeta/dias/1820/02/22/pdfs/GMD-1820-23.pdf#page=7","Abrir facsímil")</f>
        <v>Abrir facsímil</v>
      </c>
      <c r="K293" s="3" t="s">
        <v>23</v>
      </c>
    </row>
    <row r="294" spans="1:11" ht="42" customHeight="1">
      <c r="A294" s="2" t="s">
        <v>825</v>
      </c>
      <c r="B294" s="2" t="s">
        <v>826</v>
      </c>
      <c r="C294" s="2" t="s">
        <v>35</v>
      </c>
      <c r="D294" s="2" t="s">
        <v>36</v>
      </c>
      <c r="E294" s="5">
        <v>-29215</v>
      </c>
      <c r="F294" s="3" t="s">
        <v>827</v>
      </c>
      <c r="G294" s="3" t="s">
        <v>461</v>
      </c>
      <c r="H294" s="2" t="s">
        <v>21</v>
      </c>
      <c r="I294" s="2" t="s">
        <v>828</v>
      </c>
      <c r="J294" s="3" t="str">
        <f>HYPERLINK("https://www.boe.es/gazeta/dias/1820/01/04/pdfs/GMD-1820-2.pdf#page=6","Abrir facsímil")</f>
        <v>Abrir facsímil</v>
      </c>
      <c r="K294" s="3" t="s">
        <v>23</v>
      </c>
    </row>
    <row r="295" spans="1:11" ht="42" customHeight="1">
      <c r="A295" s="2" t="s">
        <v>825</v>
      </c>
      <c r="B295" s="2" t="s">
        <v>826</v>
      </c>
      <c r="C295" s="2" t="s">
        <v>293</v>
      </c>
      <c r="D295" s="2" t="s">
        <v>18</v>
      </c>
      <c r="E295" s="5">
        <v>-29173</v>
      </c>
      <c r="F295" s="3" t="s">
        <v>829</v>
      </c>
      <c r="G295" s="3" t="s">
        <v>830</v>
      </c>
      <c r="H295" s="2" t="s">
        <v>21</v>
      </c>
      <c r="I295" s="2" t="s">
        <v>831</v>
      </c>
      <c r="J295" s="3" t="str">
        <f>HYPERLINK("https://www.boe.es/gazeta/dias/1820/02/15/pdfs/GMD-1820-20.pdf#page=8","Abrir facsímil")</f>
        <v>Abrir facsímil</v>
      </c>
      <c r="K295" s="3" t="s">
        <v>23</v>
      </c>
    </row>
    <row r="296" spans="1:11" ht="42" customHeight="1">
      <c r="A296" s="2" t="s">
        <v>832</v>
      </c>
      <c r="B296" s="2" t="s">
        <v>833</v>
      </c>
      <c r="C296" s="2" t="s">
        <v>17</v>
      </c>
      <c r="D296" s="2" t="s">
        <v>18</v>
      </c>
      <c r="E296" s="5">
        <v>-29218</v>
      </c>
      <c r="F296" s="3" t="s">
        <v>834</v>
      </c>
      <c r="G296" s="3" t="s">
        <v>20</v>
      </c>
      <c r="H296" s="2" t="s">
        <v>21</v>
      </c>
      <c r="I296" s="2" t="s">
        <v>835</v>
      </c>
      <c r="J296" s="3" t="str">
        <f>HYPERLINK("https://www.boe.es/gazeta/dias/1820/01/01/pdfs/GMD-1820-1.pdf#page=4","Abrir facsímil")</f>
        <v>Abrir facsímil</v>
      </c>
      <c r="K296" s="3" t="s">
        <v>23</v>
      </c>
    </row>
    <row r="297" spans="1:11" ht="42" customHeight="1">
      <c r="A297" s="2" t="s">
        <v>836</v>
      </c>
      <c r="B297" s="2" t="s">
        <v>837</v>
      </c>
      <c r="C297" s="2" t="s">
        <v>26</v>
      </c>
      <c r="D297" s="2" t="s">
        <v>27</v>
      </c>
      <c r="E297" s="5">
        <v>-28883</v>
      </c>
      <c r="F297" s="3" t="s">
        <v>306</v>
      </c>
      <c r="G297" s="3" t="s">
        <v>20</v>
      </c>
      <c r="H297" s="2" t="s">
        <v>21</v>
      </c>
      <c r="I297" s="2" t="s">
        <v>838</v>
      </c>
      <c r="J297" s="3" t="str">
        <f>HYPERLINK("https://www.boe.es/gazeta/dias/1820/12/01/pdfs/GGB-1820-158.pdf#page=4","Abrir facsímil")</f>
        <v>Abrir facsímil</v>
      </c>
      <c r="K297" s="3" t="s">
        <v>23</v>
      </c>
    </row>
    <row r="298" spans="1:11" ht="42" customHeight="1">
      <c r="A298" s="2" t="s">
        <v>839</v>
      </c>
      <c r="B298" s="2" t="s">
        <v>840</v>
      </c>
      <c r="C298" s="2" t="s">
        <v>111</v>
      </c>
      <c r="D298" s="2" t="s">
        <v>18</v>
      </c>
      <c r="E298" s="5">
        <v>-29115</v>
      </c>
      <c r="F298" s="3" t="s">
        <v>289</v>
      </c>
      <c r="G298" s="3" t="s">
        <v>20</v>
      </c>
      <c r="H298" s="2" t="s">
        <v>21</v>
      </c>
      <c r="I298" s="2" t="s">
        <v>841</v>
      </c>
      <c r="J298" s="3" t="str">
        <f>HYPERLINK("https://www.boe.es/gazeta/dias/1820/04/13/pdfs/GMD-1820-65.pdf#page=4","Abrir facsímil")</f>
        <v>Abrir facsímil</v>
      </c>
      <c r="K298" s="3" t="s">
        <v>23</v>
      </c>
    </row>
    <row r="299" spans="1:11" ht="42" customHeight="1">
      <c r="A299" s="2" t="s">
        <v>842</v>
      </c>
      <c r="B299" s="2" t="s">
        <v>843</v>
      </c>
      <c r="C299" s="2" t="s">
        <v>111</v>
      </c>
      <c r="D299" s="2" t="s">
        <v>18</v>
      </c>
      <c r="E299" s="5">
        <v>-29122</v>
      </c>
      <c r="F299" s="3" t="s">
        <v>844</v>
      </c>
      <c r="G299" s="3" t="s">
        <v>845</v>
      </c>
      <c r="H299" s="2" t="s">
        <v>21</v>
      </c>
      <c r="I299" s="2" t="s">
        <v>846</v>
      </c>
      <c r="J299" s="3" t="str">
        <f>HYPERLINK("https://www.boe.es/gazeta/dias/1820/04/06/pdfs/GMD-1820-62.pdf#page=8","Abrir facsímil")</f>
        <v>Abrir facsímil</v>
      </c>
      <c r="K299" s="3" t="s">
        <v>23</v>
      </c>
    </row>
    <row r="300" spans="1:11" ht="42" customHeight="1">
      <c r="A300" s="2" t="s">
        <v>847</v>
      </c>
      <c r="B300" s="2" t="s">
        <v>848</v>
      </c>
      <c r="C300" s="2" t="s">
        <v>26</v>
      </c>
      <c r="D300" s="2" t="s">
        <v>27</v>
      </c>
      <c r="E300" s="5">
        <v>-29122</v>
      </c>
      <c r="F300" s="3" t="s">
        <v>844</v>
      </c>
      <c r="G300" s="3" t="s">
        <v>256</v>
      </c>
      <c r="H300" s="2" t="s">
        <v>21</v>
      </c>
      <c r="I300" s="2" t="s">
        <v>849</v>
      </c>
      <c r="J300" s="3" t="str">
        <f>HYPERLINK("https://www.boe.es/gazeta/dias/1820/04/06/pdfs/GMD-1820-62.pdf#page=5","Abrir facsímil")</f>
        <v>Abrir facsímil</v>
      </c>
      <c r="K300" s="3" t="s">
        <v>23</v>
      </c>
    </row>
    <row r="301" spans="1:11" ht="42" customHeight="1">
      <c r="A301" s="2" t="s">
        <v>850</v>
      </c>
      <c r="B301" s="2" t="s">
        <v>851</v>
      </c>
      <c r="C301" s="2" t="s">
        <v>35</v>
      </c>
      <c r="D301" s="2" t="s">
        <v>36</v>
      </c>
      <c r="E301" s="5">
        <v>-29120</v>
      </c>
      <c r="F301" s="3" t="s">
        <v>852</v>
      </c>
      <c r="G301" s="3" t="s">
        <v>201</v>
      </c>
      <c r="H301" s="2" t="s">
        <v>21</v>
      </c>
      <c r="I301" s="2" t="s">
        <v>853</v>
      </c>
      <c r="J301" s="3" t="str">
        <f>HYPERLINK("https://www.boe.es/gazeta/dias/1820/04/08/pdfs/GMD-1820-63.pdf#page=7","Abrir facsímil")</f>
        <v>Abrir facsímil</v>
      </c>
      <c r="K301" s="3" t="s">
        <v>23</v>
      </c>
    </row>
    <row r="302" spans="1:11" ht="42" customHeight="1">
      <c r="A302" s="2" t="s">
        <v>854</v>
      </c>
      <c r="B302" s="2" t="s">
        <v>855</v>
      </c>
      <c r="C302" s="2" t="s">
        <v>17</v>
      </c>
      <c r="D302" s="2" t="s">
        <v>18</v>
      </c>
      <c r="E302" s="5">
        <v>-28866</v>
      </c>
      <c r="F302" s="3" t="s">
        <v>507</v>
      </c>
      <c r="G302" s="3" t="s">
        <v>62</v>
      </c>
      <c r="H302" s="2" t="s">
        <v>21</v>
      </c>
      <c r="I302" s="2" t="s">
        <v>856</v>
      </c>
      <c r="J302" s="3" t="str">
        <f>HYPERLINK("https://www.boe.es/gazeta/dias/1820/12/18/pdfs/GGB-1820-175.pdf#page=3","Abrir facsímil")</f>
        <v>Abrir facsímil</v>
      </c>
      <c r="K302" s="3" t="s">
        <v>23</v>
      </c>
    </row>
    <row r="303" spans="1:11" ht="42" customHeight="1">
      <c r="A303" s="2" t="s">
        <v>857</v>
      </c>
      <c r="B303" s="2" t="s">
        <v>858</v>
      </c>
      <c r="C303" s="2" t="s">
        <v>17</v>
      </c>
      <c r="D303" s="2" t="s">
        <v>18</v>
      </c>
      <c r="E303" s="5">
        <v>-29187</v>
      </c>
      <c r="F303" s="3" t="s">
        <v>859</v>
      </c>
      <c r="G303" s="3" t="s">
        <v>256</v>
      </c>
      <c r="H303" s="2" t="s">
        <v>21</v>
      </c>
      <c r="I303" s="2" t="s">
        <v>860</v>
      </c>
      <c r="J303" s="3" t="str">
        <f>HYPERLINK("https://www.boe.es/gazeta/dias/1820/02/01/pdfs/GMD-1820-14.pdf#page=5","Abrir facsímil")</f>
        <v>Abrir facsímil</v>
      </c>
      <c r="K303" s="3" t="s">
        <v>23</v>
      </c>
    </row>
    <row r="304" spans="1:11" ht="42" customHeight="1">
      <c r="A304" s="2" t="s">
        <v>861</v>
      </c>
      <c r="B304" s="2" t="s">
        <v>861</v>
      </c>
      <c r="C304" s="2" t="s">
        <v>293</v>
      </c>
      <c r="D304" s="2" t="s">
        <v>18</v>
      </c>
      <c r="E304" s="5">
        <v>-28963</v>
      </c>
      <c r="F304" s="3" t="s">
        <v>94</v>
      </c>
      <c r="G304" s="3" t="s">
        <v>95</v>
      </c>
      <c r="H304" s="2" t="s">
        <v>21</v>
      </c>
      <c r="I304" s="2" t="s">
        <v>862</v>
      </c>
      <c r="J304" s="3" t="str">
        <f>HYPERLINK("https://www.boe.es/gazeta/dias/1820/09/12/pdfs/GGB-1820-76.pdf#page=4","Abrir facsímil")</f>
        <v>Abrir facsímil</v>
      </c>
      <c r="K304" s="3" t="s">
        <v>23</v>
      </c>
    </row>
    <row r="305" spans="1:11" ht="42" customHeight="1">
      <c r="A305" s="2" t="s">
        <v>861</v>
      </c>
      <c r="B305" s="2" t="s">
        <v>861</v>
      </c>
      <c r="C305" s="2" t="s">
        <v>111</v>
      </c>
      <c r="D305" s="2" t="s">
        <v>18</v>
      </c>
      <c r="E305" s="5">
        <v>-28962</v>
      </c>
      <c r="F305" s="3" t="s">
        <v>90</v>
      </c>
      <c r="G305" s="3" t="s">
        <v>20</v>
      </c>
      <c r="H305" s="2" t="s">
        <v>21</v>
      </c>
      <c r="I305" s="2" t="s">
        <v>863</v>
      </c>
      <c r="J305" s="3" t="str">
        <f>HYPERLINK("https://www.boe.es/gazeta/dias/1820/09/13/pdfs/GGB-1820-77.pdf#page=4","Abrir facsímil")</f>
        <v>Abrir facsímil</v>
      </c>
      <c r="K305" s="3" t="s">
        <v>23</v>
      </c>
    </row>
    <row r="306" spans="1:11" ht="42" customHeight="1">
      <c r="A306" s="2" t="s">
        <v>861</v>
      </c>
      <c r="B306" s="2" t="s">
        <v>861</v>
      </c>
      <c r="C306" s="2" t="s">
        <v>74</v>
      </c>
      <c r="D306" s="2" t="s">
        <v>18</v>
      </c>
      <c r="E306" s="5">
        <v>-28913</v>
      </c>
      <c r="F306" s="3" t="s">
        <v>230</v>
      </c>
      <c r="G306" s="3" t="s">
        <v>20</v>
      </c>
      <c r="H306" s="2" t="s">
        <v>21</v>
      </c>
      <c r="I306" s="2" t="s">
        <v>864</v>
      </c>
      <c r="J306" s="3" t="str">
        <f>HYPERLINK("https://www.boe.es/gazeta/dias/1820/11/01/pdfs/GGB-1820-126.pdf#page=4","Abrir facsímil")</f>
        <v>Abrir facsímil</v>
      </c>
      <c r="K306" s="3" t="s">
        <v>23</v>
      </c>
    </row>
    <row r="307" spans="1:11" ht="42" customHeight="1">
      <c r="A307" s="2" t="s">
        <v>865</v>
      </c>
      <c r="B307" s="2" t="s">
        <v>865</v>
      </c>
      <c r="C307" s="2" t="s">
        <v>74</v>
      </c>
      <c r="D307" s="2" t="s">
        <v>18</v>
      </c>
      <c r="E307" s="5">
        <v>-28878</v>
      </c>
      <c r="F307" s="3" t="s">
        <v>866</v>
      </c>
      <c r="G307" s="3" t="s">
        <v>128</v>
      </c>
      <c r="H307" s="2" t="s">
        <v>21</v>
      </c>
      <c r="I307" s="2" t="s">
        <v>867</v>
      </c>
      <c r="J307" s="3" t="str">
        <f>HYPERLINK("https://www.boe.es/gazeta/dias/1820/12/06/pdfs/GGB-1820-163.pdf#page=1","Abrir facsímil")</f>
        <v>Abrir facsímil</v>
      </c>
      <c r="K307" s="3" t="s">
        <v>23</v>
      </c>
    </row>
    <row r="308" spans="1:11" ht="42" customHeight="1">
      <c r="A308" s="2" t="s">
        <v>868</v>
      </c>
      <c r="B308" s="2" t="s">
        <v>869</v>
      </c>
      <c r="C308" s="2" t="s">
        <v>111</v>
      </c>
      <c r="D308" s="2" t="s">
        <v>18</v>
      </c>
      <c r="E308" s="5">
        <v>-29187</v>
      </c>
      <c r="F308" s="3" t="s">
        <v>859</v>
      </c>
      <c r="G308" s="3" t="s">
        <v>295</v>
      </c>
      <c r="H308" s="2" t="s">
        <v>21</v>
      </c>
      <c r="I308" s="2" t="s">
        <v>870</v>
      </c>
      <c r="J308" s="3" t="str">
        <f>HYPERLINK("https://www.boe.es/gazeta/dias/1820/02/01/pdfs/GMD-1820-14.pdf#page=8","Abrir facsímil")</f>
        <v>Abrir facsímil</v>
      </c>
      <c r="K308" s="3" t="s">
        <v>23</v>
      </c>
    </row>
    <row r="309" spans="1:11" ht="42" customHeight="1">
      <c r="A309" s="2" t="s">
        <v>868</v>
      </c>
      <c r="B309" s="2" t="s">
        <v>869</v>
      </c>
      <c r="C309" s="2" t="s">
        <v>111</v>
      </c>
      <c r="D309" s="2" t="s">
        <v>18</v>
      </c>
      <c r="E309" s="5">
        <v>-29099</v>
      </c>
      <c r="F309" s="3" t="s">
        <v>871</v>
      </c>
      <c r="G309" s="3" t="s">
        <v>295</v>
      </c>
      <c r="H309" s="2" t="s">
        <v>21</v>
      </c>
      <c r="I309" s="2" t="s">
        <v>872</v>
      </c>
      <c r="J309" s="3" t="str">
        <f>HYPERLINK("https://www.boe.es/gazeta/dias/1820/04/29/pdfs/GMD-1820-73.pdf#page=8","Abrir facsímil")</f>
        <v>Abrir facsímil</v>
      </c>
      <c r="K309" s="3" t="s">
        <v>23</v>
      </c>
    </row>
    <row r="310" spans="1:11" ht="42" customHeight="1">
      <c r="A310" s="2" t="s">
        <v>873</v>
      </c>
      <c r="B310" s="2" t="s">
        <v>873</v>
      </c>
      <c r="C310" s="2" t="s">
        <v>17</v>
      </c>
      <c r="D310" s="2" t="s">
        <v>18</v>
      </c>
      <c r="E310" s="5">
        <v>-28886</v>
      </c>
      <c r="F310" s="3" t="s">
        <v>874</v>
      </c>
      <c r="G310" s="3" t="s">
        <v>20</v>
      </c>
      <c r="H310" s="2" t="s">
        <v>21</v>
      </c>
      <c r="I310" s="2" t="s">
        <v>875</v>
      </c>
      <c r="J310" s="3" t="str">
        <f>HYPERLINK("https://www.boe.es/gazeta/dias/1820/11/28/pdfs/GGB-1820-155.pdf#page=4","Abrir facsímil")</f>
        <v>Abrir facsímil</v>
      </c>
      <c r="K310" s="3" t="s">
        <v>23</v>
      </c>
    </row>
    <row r="311" spans="1:11" ht="42" customHeight="1">
      <c r="A311" s="2" t="s">
        <v>876</v>
      </c>
      <c r="B311" s="2" t="s">
        <v>877</v>
      </c>
      <c r="C311" s="2" t="s">
        <v>26</v>
      </c>
      <c r="D311" s="2" t="s">
        <v>27</v>
      </c>
      <c r="E311" s="5">
        <v>-28900</v>
      </c>
      <c r="F311" s="3" t="s">
        <v>878</v>
      </c>
      <c r="G311" s="3" t="s">
        <v>20</v>
      </c>
      <c r="H311" s="2" t="s">
        <v>21</v>
      </c>
      <c r="I311" s="2" t="s">
        <v>879</v>
      </c>
      <c r="J311" s="3" t="str">
        <f>HYPERLINK("https://www.boe.es/gazeta/dias/1820/11/14/pdfs/GGB-1820-140.pdf#page=4","Abrir facsímil")</f>
        <v>Abrir facsímil</v>
      </c>
      <c r="K311" s="3" t="s">
        <v>23</v>
      </c>
    </row>
    <row r="312" spans="1:11" ht="42" customHeight="1">
      <c r="A312" s="2" t="s">
        <v>880</v>
      </c>
      <c r="B312" s="2" t="s">
        <v>881</v>
      </c>
      <c r="C312" s="2" t="s">
        <v>35</v>
      </c>
      <c r="D312" s="2" t="s">
        <v>36</v>
      </c>
      <c r="E312" s="5">
        <v>-28884</v>
      </c>
      <c r="F312" s="3" t="s">
        <v>882</v>
      </c>
      <c r="G312" s="3" t="s">
        <v>256</v>
      </c>
      <c r="H312" s="2" t="s">
        <v>21</v>
      </c>
      <c r="I312" s="2" t="s">
        <v>883</v>
      </c>
      <c r="J312" s="3" t="str">
        <f>HYPERLINK("https://www.boe.es/gazeta/dias/1820/11/30/pdfs/GGB-1820-157.pdf#page=5","Abrir facsímil")</f>
        <v>Abrir facsímil</v>
      </c>
      <c r="K312" s="3" t="s">
        <v>23</v>
      </c>
    </row>
    <row r="313" spans="1:11" ht="42" customHeight="1">
      <c r="A313" s="2" t="s">
        <v>884</v>
      </c>
      <c r="B313" s="2" t="s">
        <v>885</v>
      </c>
      <c r="C313" s="2" t="s">
        <v>26</v>
      </c>
      <c r="D313" s="2" t="s">
        <v>27</v>
      </c>
      <c r="E313" s="5">
        <v>-28973</v>
      </c>
      <c r="F313" s="3" t="s">
        <v>151</v>
      </c>
      <c r="G313" s="3" t="s">
        <v>20</v>
      </c>
      <c r="H313" s="2" t="s">
        <v>30</v>
      </c>
      <c r="I313" s="2" t="s">
        <v>886</v>
      </c>
      <c r="J313" s="3" t="str">
        <f>HYPERLINK("https://www.boe.es/gazeta/dias/1820/09/02/pdfs/GGB-1820-66.pdf#page=4","Abrir facsímil")</f>
        <v>Abrir facsímil</v>
      </c>
      <c r="K313" s="3" t="s">
        <v>32</v>
      </c>
    </row>
    <row r="314" spans="1:11" ht="42" customHeight="1">
      <c r="A314" s="2" t="s">
        <v>887</v>
      </c>
      <c r="B314" s="2" t="s">
        <v>888</v>
      </c>
      <c r="C314" s="2" t="s">
        <v>17</v>
      </c>
      <c r="D314" s="2" t="s">
        <v>18</v>
      </c>
      <c r="E314" s="5">
        <v>-28857</v>
      </c>
      <c r="F314" s="3" t="s">
        <v>889</v>
      </c>
      <c r="G314" s="3" t="s">
        <v>890</v>
      </c>
      <c r="H314" s="2" t="s">
        <v>21</v>
      </c>
      <c r="I314" s="2" t="s">
        <v>891</v>
      </c>
      <c r="J314" s="3" t="str">
        <f>HYPERLINK("https://www.boe.es/gazeta/dias/1820/12/27/pdfs/GGB-1820-184.pdf#page=4","Abrir facsímil")</f>
        <v>Abrir facsímil</v>
      </c>
      <c r="K314" s="3" t="s">
        <v>23</v>
      </c>
    </row>
    <row r="315" spans="1:11" ht="42" customHeight="1">
      <c r="A315" s="2" t="s">
        <v>892</v>
      </c>
      <c r="B315" s="2" t="s">
        <v>893</v>
      </c>
      <c r="C315" s="2" t="s">
        <v>107</v>
      </c>
      <c r="D315" s="2" t="s">
        <v>18</v>
      </c>
      <c r="E315" s="5">
        <v>-28861</v>
      </c>
      <c r="F315" s="3" t="s">
        <v>894</v>
      </c>
      <c r="G315" s="3" t="s">
        <v>20</v>
      </c>
      <c r="H315" s="2" t="s">
        <v>21</v>
      </c>
      <c r="I315" s="2" t="s">
        <v>895</v>
      </c>
      <c r="J315" s="3" t="str">
        <f>HYPERLINK("https://www.boe.es/gazeta/dias/1820/12/23/pdfs/GGB-1820-180.pdf#page=4","Abrir facsímil")</f>
        <v>Abrir facsímil</v>
      </c>
      <c r="K315" s="3" t="s">
        <v>23</v>
      </c>
    </row>
    <row r="316" spans="1:11" ht="42" customHeight="1">
      <c r="A316" s="2" t="s">
        <v>896</v>
      </c>
      <c r="B316" s="2" t="s">
        <v>896</v>
      </c>
      <c r="C316" s="2" t="s">
        <v>26</v>
      </c>
      <c r="D316" s="2" t="s">
        <v>27</v>
      </c>
      <c r="E316" s="5">
        <v>-29206</v>
      </c>
      <c r="F316" s="3" t="s">
        <v>897</v>
      </c>
      <c r="G316" s="3" t="s">
        <v>38</v>
      </c>
      <c r="H316" s="2" t="s">
        <v>21</v>
      </c>
      <c r="I316" s="2" t="s">
        <v>898</v>
      </c>
      <c r="J316" s="3" t="str">
        <f>HYPERLINK("https://www.boe.es/gazeta/dias/1820/01/13/pdfs/GMD-1820-6.pdf#page=6","Abrir facsímil")</f>
        <v>Abrir facsímil</v>
      </c>
      <c r="K316" s="3" t="s">
        <v>23</v>
      </c>
    </row>
    <row r="317" spans="1:11" ht="42" customHeight="1">
      <c r="A317" s="2" t="s">
        <v>896</v>
      </c>
      <c r="B317" s="2" t="s">
        <v>896</v>
      </c>
      <c r="C317" s="2" t="s">
        <v>17</v>
      </c>
      <c r="D317" s="2" t="s">
        <v>310</v>
      </c>
      <c r="E317" s="5">
        <v>-29102</v>
      </c>
      <c r="F317" s="3" t="s">
        <v>899</v>
      </c>
      <c r="G317" s="3" t="s">
        <v>128</v>
      </c>
      <c r="H317" s="2" t="s">
        <v>21</v>
      </c>
      <c r="I317" s="2" t="s">
        <v>900</v>
      </c>
      <c r="J317" s="3" t="str">
        <f>HYPERLINK("https://www.boe.es/gazeta/dias/1820/04/26/pdfs/GMD-1820-71E.pdf#page=1","Abrir facsímil")</f>
        <v>Abrir facsímil</v>
      </c>
      <c r="K317" s="3" t="s">
        <v>23</v>
      </c>
    </row>
    <row r="318" spans="1:11" ht="42" customHeight="1">
      <c r="A318" s="2" t="s">
        <v>896</v>
      </c>
      <c r="B318" s="2" t="s">
        <v>896</v>
      </c>
      <c r="C318" s="2" t="s">
        <v>35</v>
      </c>
      <c r="D318" s="2" t="s">
        <v>36</v>
      </c>
      <c r="E318" s="5">
        <v>-29045</v>
      </c>
      <c r="F318" s="3" t="s">
        <v>155</v>
      </c>
      <c r="G318" s="3" t="s">
        <v>38</v>
      </c>
      <c r="H318" s="2" t="s">
        <v>21</v>
      </c>
      <c r="I318" s="2" t="s">
        <v>901</v>
      </c>
      <c r="J318" s="3" t="str">
        <f>HYPERLINK("https://www.boe.es/gazeta/dias/1820/06/22/pdfs/GMD-1820-97.pdf#page=6","Abrir facsímil")</f>
        <v>Abrir facsímil</v>
      </c>
      <c r="K318" s="3" t="s">
        <v>23</v>
      </c>
    </row>
    <row r="319" spans="1:11" ht="42" customHeight="1">
      <c r="A319" s="2" t="s">
        <v>896</v>
      </c>
      <c r="B319" s="2" t="s">
        <v>896</v>
      </c>
      <c r="C319" s="2" t="s">
        <v>26</v>
      </c>
      <c r="D319" s="2" t="s">
        <v>27</v>
      </c>
      <c r="E319" s="5">
        <v>-29025</v>
      </c>
      <c r="F319" s="3" t="s">
        <v>902</v>
      </c>
      <c r="G319" s="3" t="s">
        <v>128</v>
      </c>
      <c r="H319" s="2" t="s">
        <v>21</v>
      </c>
      <c r="I319" s="2" t="s">
        <v>903</v>
      </c>
      <c r="J319" s="3" t="str">
        <f>HYPERLINK("https://www.boe.es/gazeta/dias/1820/07/12/pdfs/GGB-1820-14.pdf#page=1","Abrir facsímil")</f>
        <v>Abrir facsímil</v>
      </c>
      <c r="K319" s="3" t="s">
        <v>23</v>
      </c>
    </row>
    <row r="320" spans="1:11" ht="42" customHeight="1">
      <c r="A320" s="2" t="s">
        <v>896</v>
      </c>
      <c r="B320" s="2" t="s">
        <v>896</v>
      </c>
      <c r="C320" s="2" t="s">
        <v>26</v>
      </c>
      <c r="D320" s="2" t="s">
        <v>27</v>
      </c>
      <c r="E320" s="5">
        <v>-29000</v>
      </c>
      <c r="F320" s="3" t="s">
        <v>670</v>
      </c>
      <c r="G320" s="3" t="s">
        <v>20</v>
      </c>
      <c r="H320" s="2" t="s">
        <v>21</v>
      </c>
      <c r="I320" s="2" t="s">
        <v>904</v>
      </c>
      <c r="J320" s="3" t="str">
        <f>HYPERLINK("https://www.boe.es/gazeta/dias/1820/08/06/pdfs/GGB-1820-39.pdf#page=4","Abrir facsímil")</f>
        <v>Abrir facsímil</v>
      </c>
      <c r="K320" s="3" t="s">
        <v>23</v>
      </c>
    </row>
    <row r="321" spans="1:11" ht="42" customHeight="1">
      <c r="A321" s="2" t="s">
        <v>896</v>
      </c>
      <c r="B321" s="2" t="s">
        <v>896</v>
      </c>
      <c r="C321" s="2" t="s">
        <v>26</v>
      </c>
      <c r="D321" s="2" t="s">
        <v>27</v>
      </c>
      <c r="E321" s="5">
        <v>-28985</v>
      </c>
      <c r="F321" s="3" t="s">
        <v>905</v>
      </c>
      <c r="G321" s="3" t="s">
        <v>43</v>
      </c>
      <c r="H321" s="2" t="s">
        <v>21</v>
      </c>
      <c r="I321" s="2" t="s">
        <v>906</v>
      </c>
      <c r="J321" s="3" t="str">
        <f>HYPERLINK("https://www.boe.es/gazeta/dias/1820/08/21/pdfs/GGB-1820-54.pdf#page=2","Abrir facsímil")</f>
        <v>Abrir facsímil</v>
      </c>
      <c r="K321" s="3" t="s">
        <v>23</v>
      </c>
    </row>
    <row r="322" spans="1:11" ht="42" customHeight="1">
      <c r="A322" s="2" t="s">
        <v>896</v>
      </c>
      <c r="B322" s="2" t="s">
        <v>896</v>
      </c>
      <c r="C322" s="2" t="s">
        <v>26</v>
      </c>
      <c r="D322" s="2" t="s">
        <v>27</v>
      </c>
      <c r="E322" s="5">
        <v>-28982</v>
      </c>
      <c r="F322" s="3" t="s">
        <v>173</v>
      </c>
      <c r="G322" s="3" t="s">
        <v>43</v>
      </c>
      <c r="H322" s="2" t="s">
        <v>21</v>
      </c>
      <c r="I322" s="2" t="s">
        <v>907</v>
      </c>
      <c r="J322" s="3" t="str">
        <f>HYPERLINK("https://www.boe.es/gazeta/dias/1820/08/24/pdfs/GGB-1820-57.pdf#page=2","Abrir facsímil")</f>
        <v>Abrir facsímil</v>
      </c>
      <c r="K322" s="3" t="s">
        <v>23</v>
      </c>
    </row>
    <row r="323" spans="1:11" ht="42" customHeight="1">
      <c r="A323" s="2" t="s">
        <v>896</v>
      </c>
      <c r="B323" s="2" t="s">
        <v>896</v>
      </c>
      <c r="C323" s="2" t="s">
        <v>17</v>
      </c>
      <c r="D323" s="2" t="s">
        <v>18</v>
      </c>
      <c r="E323" s="5">
        <v>-28900</v>
      </c>
      <c r="F323" s="3" t="s">
        <v>878</v>
      </c>
      <c r="G323" s="3" t="s">
        <v>20</v>
      </c>
      <c r="H323" s="2" t="s">
        <v>21</v>
      </c>
      <c r="I323" s="2" t="s">
        <v>908</v>
      </c>
      <c r="J323" s="3" t="str">
        <f>HYPERLINK("https://www.boe.es/gazeta/dias/1820/11/14/pdfs/GGB-1820-140.pdf#page=4","Abrir facsímil")</f>
        <v>Abrir facsímil</v>
      </c>
      <c r="K323" s="3" t="s">
        <v>23</v>
      </c>
    </row>
    <row r="324" spans="1:11" ht="42" customHeight="1">
      <c r="A324" s="2" t="s">
        <v>896</v>
      </c>
      <c r="B324" s="2" t="s">
        <v>896</v>
      </c>
      <c r="C324" s="2" t="s">
        <v>47</v>
      </c>
      <c r="D324" s="2" t="s">
        <v>18</v>
      </c>
      <c r="E324" s="5">
        <v>-28859</v>
      </c>
      <c r="F324" s="3" t="s">
        <v>265</v>
      </c>
      <c r="G324" s="3" t="s">
        <v>62</v>
      </c>
      <c r="H324" s="2" t="s">
        <v>21</v>
      </c>
      <c r="I324" s="2" t="s">
        <v>909</v>
      </c>
      <c r="J324" s="3" t="str">
        <f>HYPERLINK("https://www.boe.es/gazeta/dias/1820/12/25/pdfs/GGB-1820-182.pdf#page=3","Abrir facsímil")</f>
        <v>Abrir facsímil</v>
      </c>
      <c r="K324" s="3" t="s">
        <v>23</v>
      </c>
    </row>
    <row r="325" spans="1:11" ht="42" customHeight="1">
      <c r="A325" s="2" t="s">
        <v>910</v>
      </c>
      <c r="B325" s="2" t="s">
        <v>911</v>
      </c>
      <c r="C325" s="2" t="s">
        <v>17</v>
      </c>
      <c r="D325" s="2" t="s">
        <v>18</v>
      </c>
      <c r="E325" s="5">
        <v>-28881</v>
      </c>
      <c r="F325" s="3" t="s">
        <v>57</v>
      </c>
      <c r="G325" s="3" t="s">
        <v>20</v>
      </c>
      <c r="H325" s="2" t="s">
        <v>21</v>
      </c>
      <c r="I325" s="2" t="s">
        <v>912</v>
      </c>
      <c r="J325" s="3" t="str">
        <f>HYPERLINK("https://www.boe.es/gazeta/dias/1820/12/03/pdfs/GGB-1820-160.pdf#page=4","Abrir facsímil")</f>
        <v>Abrir facsímil</v>
      </c>
      <c r="K325" s="3" t="s">
        <v>23</v>
      </c>
    </row>
    <row r="326" spans="1:11" ht="42" customHeight="1">
      <c r="A326" s="2" t="s">
        <v>913</v>
      </c>
      <c r="B326" s="2" t="s">
        <v>914</v>
      </c>
      <c r="C326" s="2" t="s">
        <v>293</v>
      </c>
      <c r="D326" s="2" t="s">
        <v>18</v>
      </c>
      <c r="E326" s="5">
        <v>-29015</v>
      </c>
      <c r="F326" s="3" t="s">
        <v>359</v>
      </c>
      <c r="G326" s="3" t="s">
        <v>20</v>
      </c>
      <c r="H326" s="2" t="s">
        <v>21</v>
      </c>
      <c r="I326" s="2" t="s">
        <v>915</v>
      </c>
      <c r="J326" s="3" t="str">
        <f>HYPERLINK("https://www.boe.es/gazeta/dias/1820/07/22/pdfs/GGB-1820-24.pdf#page=4","Abrir facsímil")</f>
        <v>Abrir facsímil</v>
      </c>
      <c r="K326" s="3" t="s">
        <v>23</v>
      </c>
    </row>
    <row r="327" spans="1:11" ht="42" customHeight="1">
      <c r="A327" s="2" t="s">
        <v>916</v>
      </c>
      <c r="B327" s="2" t="s">
        <v>917</v>
      </c>
      <c r="C327" s="2" t="s">
        <v>26</v>
      </c>
      <c r="D327" s="2" t="s">
        <v>27</v>
      </c>
      <c r="E327" s="5">
        <v>-28931</v>
      </c>
      <c r="F327" s="3" t="s">
        <v>724</v>
      </c>
      <c r="G327" s="3" t="s">
        <v>43</v>
      </c>
      <c r="H327" s="2" t="s">
        <v>21</v>
      </c>
      <c r="I327" s="2" t="s">
        <v>918</v>
      </c>
      <c r="J327" s="3" t="str">
        <f>HYPERLINK("https://www.boe.es/gazeta/dias/1820/10/14/pdfs/GGB-1820-108.pdf#page=2","Abrir facsímil")</f>
        <v>Abrir facsímil</v>
      </c>
      <c r="K327" s="3" t="s">
        <v>23</v>
      </c>
    </row>
    <row r="328" spans="1:11" ht="42" customHeight="1">
      <c r="A328" s="2" t="s">
        <v>919</v>
      </c>
      <c r="B328" s="2" t="s">
        <v>920</v>
      </c>
      <c r="C328" s="2" t="s">
        <v>17</v>
      </c>
      <c r="D328" s="2" t="s">
        <v>18</v>
      </c>
      <c r="E328" s="5">
        <v>-28866</v>
      </c>
      <c r="F328" s="3" t="s">
        <v>507</v>
      </c>
      <c r="G328" s="3" t="s">
        <v>62</v>
      </c>
      <c r="H328" s="2" t="s">
        <v>21</v>
      </c>
      <c r="I328" s="2" t="s">
        <v>921</v>
      </c>
      <c r="J328" s="3" t="str">
        <f>HYPERLINK("https://www.boe.es/gazeta/dias/1820/12/18/pdfs/GGB-1820-175.pdf#page=3","Abrir facsímil")</f>
        <v>Abrir facsímil</v>
      </c>
      <c r="K328" s="3" t="s">
        <v>23</v>
      </c>
    </row>
    <row r="329" spans="1:11" ht="42" customHeight="1">
      <c r="A329" s="2" t="s">
        <v>922</v>
      </c>
      <c r="B329" s="2" t="s">
        <v>922</v>
      </c>
      <c r="C329" s="2" t="s">
        <v>47</v>
      </c>
      <c r="D329" s="2" t="s">
        <v>18</v>
      </c>
      <c r="E329" s="5">
        <v>-28893</v>
      </c>
      <c r="F329" s="3" t="s">
        <v>546</v>
      </c>
      <c r="G329" s="3" t="s">
        <v>20</v>
      </c>
      <c r="H329" s="2" t="s">
        <v>21</v>
      </c>
      <c r="I329" s="2" t="s">
        <v>923</v>
      </c>
      <c r="J329" s="3" t="str">
        <f>HYPERLINK("https://www.boe.es/gazeta/dias/1820/11/21/pdfs/GGB-1820-148.pdf#page=4","Abrir facsímil")</f>
        <v>Abrir facsímil</v>
      </c>
      <c r="K329" s="3" t="s">
        <v>23</v>
      </c>
    </row>
    <row r="330" spans="1:11" ht="42" customHeight="1">
      <c r="A330" s="2" t="s">
        <v>924</v>
      </c>
      <c r="B330" s="2" t="s">
        <v>924</v>
      </c>
      <c r="C330" s="2" t="s">
        <v>26</v>
      </c>
      <c r="D330" s="2" t="s">
        <v>27</v>
      </c>
      <c r="E330" s="5">
        <v>-28987</v>
      </c>
      <c r="F330" s="3" t="s">
        <v>680</v>
      </c>
      <c r="G330" s="3" t="s">
        <v>20</v>
      </c>
      <c r="H330" s="2" t="s">
        <v>21</v>
      </c>
      <c r="I330" s="2" t="s">
        <v>925</v>
      </c>
      <c r="J330" s="3" t="str">
        <f>HYPERLINK("https://www.boe.es/gazeta/dias/1820/08/19/pdfs/GGB-1820-52.pdf#page=4","Abrir facsímil")</f>
        <v>Abrir facsímil</v>
      </c>
      <c r="K330" s="3" t="s">
        <v>23</v>
      </c>
    </row>
    <row r="331" spans="1:11" ht="42" customHeight="1">
      <c r="A331" s="2" t="s">
        <v>926</v>
      </c>
      <c r="B331" s="2" t="s">
        <v>927</v>
      </c>
      <c r="C331" s="2" t="s">
        <v>35</v>
      </c>
      <c r="D331" s="2" t="s">
        <v>36</v>
      </c>
      <c r="E331" s="5">
        <v>-28985</v>
      </c>
      <c r="F331" s="3" t="s">
        <v>905</v>
      </c>
      <c r="G331" s="3" t="s">
        <v>928</v>
      </c>
      <c r="H331" s="2" t="s">
        <v>21</v>
      </c>
      <c r="I331" s="2" t="s">
        <v>929</v>
      </c>
      <c r="J331" s="3" t="str">
        <f>HYPERLINK("https://www.boe.es/gazeta/dias/1820/08/21/pdfs/GGB-1820-54.pdf#page=4","Abrir facsímil")</f>
        <v>Abrir facsímil</v>
      </c>
      <c r="K331" s="3" t="s">
        <v>23</v>
      </c>
    </row>
    <row r="332" spans="1:11" ht="42" customHeight="1">
      <c r="A332" s="2" t="s">
        <v>930</v>
      </c>
      <c r="B332" s="2" t="s">
        <v>931</v>
      </c>
      <c r="C332" s="2" t="s">
        <v>17</v>
      </c>
      <c r="D332" s="2" t="s">
        <v>18</v>
      </c>
      <c r="E332" s="5">
        <v>-29078</v>
      </c>
      <c r="F332" s="3" t="s">
        <v>260</v>
      </c>
      <c r="G332" s="3" t="s">
        <v>261</v>
      </c>
      <c r="H332" s="2" t="s">
        <v>21</v>
      </c>
      <c r="I332" s="2" t="s">
        <v>932</v>
      </c>
      <c r="J332" s="3" t="str">
        <f>HYPERLINK("https://www.boe.es/gazeta/dias/1820/05/20/pdfs/GMD-1820-83.pdf#page=9","Abrir facsímil")</f>
        <v>Abrir facsímil</v>
      </c>
      <c r="K332" s="3" t="s">
        <v>23</v>
      </c>
    </row>
    <row r="333" spans="1:11" ht="42" customHeight="1">
      <c r="A333" s="2" t="s">
        <v>933</v>
      </c>
      <c r="B333" s="2" t="s">
        <v>933</v>
      </c>
      <c r="C333" s="2" t="s">
        <v>26</v>
      </c>
      <c r="D333" s="2" t="s">
        <v>27</v>
      </c>
      <c r="E333" s="5">
        <v>-29007</v>
      </c>
      <c r="F333" s="3" t="s">
        <v>251</v>
      </c>
      <c r="G333" s="3" t="s">
        <v>128</v>
      </c>
      <c r="H333" s="2" t="s">
        <v>21</v>
      </c>
      <c r="I333" s="2" t="s">
        <v>934</v>
      </c>
      <c r="J333" s="3" t="str">
        <f>HYPERLINK("https://www.boe.es/gazeta/dias/1820/07/30/pdfs/GGB-1820-32.pdf#page=1","Abrir facsímil")</f>
        <v>Abrir facsímil</v>
      </c>
      <c r="K333" s="3" t="s">
        <v>23</v>
      </c>
    </row>
    <row r="334" spans="1:11" ht="42" customHeight="1">
      <c r="A334" s="2" t="s">
        <v>935</v>
      </c>
      <c r="B334" s="2" t="s">
        <v>936</v>
      </c>
      <c r="C334" s="2" t="s">
        <v>293</v>
      </c>
      <c r="D334" s="2" t="s">
        <v>18</v>
      </c>
      <c r="E334" s="5">
        <v>-29027</v>
      </c>
      <c r="F334" s="3" t="s">
        <v>937</v>
      </c>
      <c r="G334" s="3" t="s">
        <v>62</v>
      </c>
      <c r="H334" s="2" t="s">
        <v>21</v>
      </c>
      <c r="I334" s="2" t="s">
        <v>938</v>
      </c>
      <c r="J334" s="3" t="str">
        <f>HYPERLINK("https://www.boe.es/gazeta/dias/1820/07/10/pdfs/GGB-1820-11.pdf#page=3","Abrir facsímil")</f>
        <v>Abrir facsímil</v>
      </c>
      <c r="K334" s="3" t="s">
        <v>23</v>
      </c>
    </row>
    <row r="335" spans="1:11" ht="42" customHeight="1">
      <c r="A335" s="2" t="s">
        <v>939</v>
      </c>
      <c r="B335" s="2" t="s">
        <v>940</v>
      </c>
      <c r="C335" s="2" t="s">
        <v>26</v>
      </c>
      <c r="D335" s="2" t="s">
        <v>27</v>
      </c>
      <c r="E335" s="5">
        <v>-28961</v>
      </c>
      <c r="F335" s="3" t="s">
        <v>242</v>
      </c>
      <c r="G335" s="3" t="s">
        <v>62</v>
      </c>
      <c r="H335" s="2" t="s">
        <v>21</v>
      </c>
      <c r="I335" s="2" t="s">
        <v>941</v>
      </c>
      <c r="J335" s="3" t="str">
        <f>HYPERLINK("https://www.boe.es/gazeta/dias/1820/09/14/pdfs/GGB-1820-78.pdf#page=3","Abrir facsímil")</f>
        <v>Abrir facsímil</v>
      </c>
      <c r="K335" s="3" t="s">
        <v>23</v>
      </c>
    </row>
    <row r="336" spans="1:11" ht="42" customHeight="1">
      <c r="A336" s="2" t="s">
        <v>942</v>
      </c>
      <c r="B336" s="2" t="s">
        <v>942</v>
      </c>
      <c r="C336" s="2" t="s">
        <v>26</v>
      </c>
      <c r="D336" s="2" t="s">
        <v>27</v>
      </c>
      <c r="E336" s="5">
        <v>-29068</v>
      </c>
      <c r="F336" s="3" t="s">
        <v>943</v>
      </c>
      <c r="G336" s="3" t="s">
        <v>256</v>
      </c>
      <c r="H336" s="2" t="s">
        <v>21</v>
      </c>
      <c r="I336" s="2" t="s">
        <v>944</v>
      </c>
      <c r="J336" s="3" t="str">
        <f>HYPERLINK("https://www.boe.es/gazeta/dias/1820/05/30/pdfs/GMD-1820-87.pdf#page=5","Abrir facsímil")</f>
        <v>Abrir facsímil</v>
      </c>
      <c r="K336" s="3" t="s">
        <v>23</v>
      </c>
    </row>
    <row r="337" spans="1:11" ht="42" customHeight="1">
      <c r="A337" s="2" t="s">
        <v>942</v>
      </c>
      <c r="B337" s="2" t="s">
        <v>942</v>
      </c>
      <c r="C337" s="2" t="s">
        <v>26</v>
      </c>
      <c r="D337" s="2" t="s">
        <v>27</v>
      </c>
      <c r="E337" s="5">
        <v>-29019</v>
      </c>
      <c r="F337" s="3" t="s">
        <v>655</v>
      </c>
      <c r="G337" s="3" t="s">
        <v>945</v>
      </c>
      <c r="H337" s="2" t="s">
        <v>21</v>
      </c>
      <c r="I337" s="2" t="s">
        <v>946</v>
      </c>
      <c r="J337" s="3" t="str">
        <f>HYPERLINK("https://www.boe.es/gazeta/dias/1820/07/18/pdfs/GGB-1820-20.pdf#page=2","Abrir facsímil")</f>
        <v>Abrir facsímil</v>
      </c>
      <c r="K337" s="3" t="s">
        <v>23</v>
      </c>
    </row>
    <row r="338" spans="1:11" ht="42" customHeight="1">
      <c r="A338" s="2" t="s">
        <v>942</v>
      </c>
      <c r="B338" s="2" t="s">
        <v>942</v>
      </c>
      <c r="C338" s="2" t="s">
        <v>293</v>
      </c>
      <c r="D338" s="2" t="s">
        <v>18</v>
      </c>
      <c r="E338" s="5">
        <v>-28991</v>
      </c>
      <c r="F338" s="3" t="s">
        <v>213</v>
      </c>
      <c r="G338" s="3" t="s">
        <v>214</v>
      </c>
      <c r="H338" s="2" t="s">
        <v>21</v>
      </c>
      <c r="I338" s="2" t="s">
        <v>947</v>
      </c>
      <c r="J338" s="3" t="str">
        <f>HYPERLINK("https://www.boe.es/gazeta/dias/1820/08/15/pdfs/GGB-1820-48.pdf#page=2","Abrir facsímil")</f>
        <v>Abrir facsímil</v>
      </c>
      <c r="K338" s="3" t="s">
        <v>23</v>
      </c>
    </row>
    <row r="339" spans="1:11" ht="42" customHeight="1">
      <c r="A339" s="2" t="s">
        <v>942</v>
      </c>
      <c r="B339" s="2" t="s">
        <v>942</v>
      </c>
      <c r="C339" s="2" t="s">
        <v>26</v>
      </c>
      <c r="D339" s="2" t="s">
        <v>27</v>
      </c>
      <c r="E339" s="5">
        <v>-28977</v>
      </c>
      <c r="F339" s="3" t="s">
        <v>687</v>
      </c>
      <c r="G339" s="3" t="s">
        <v>43</v>
      </c>
      <c r="H339" s="2" t="s">
        <v>21</v>
      </c>
      <c r="I339" s="2" t="s">
        <v>948</v>
      </c>
      <c r="J339" s="3" t="str">
        <f>HYPERLINK("https://www.boe.es/gazeta/dias/1820/08/29/pdfs/GGB-1820-62.pdf#page=2","Abrir facsímil")</f>
        <v>Abrir facsímil</v>
      </c>
      <c r="K339" s="3" t="s">
        <v>23</v>
      </c>
    </row>
    <row r="340" spans="1:11" ht="42" customHeight="1">
      <c r="A340" s="2" t="s">
        <v>942</v>
      </c>
      <c r="B340" s="2" t="s">
        <v>942</v>
      </c>
      <c r="C340" s="2" t="s">
        <v>17</v>
      </c>
      <c r="D340" s="2" t="s">
        <v>18</v>
      </c>
      <c r="E340" s="5">
        <v>-28960</v>
      </c>
      <c r="F340" s="3" t="s">
        <v>704</v>
      </c>
      <c r="G340" s="3" t="s">
        <v>62</v>
      </c>
      <c r="H340" s="2" t="s">
        <v>21</v>
      </c>
      <c r="I340" s="2" t="s">
        <v>949</v>
      </c>
      <c r="J340" s="3" t="str">
        <f>HYPERLINK("https://www.boe.es/gazeta/dias/1820/09/15/pdfs/GGB-1820-79.pdf#page=3","Abrir facsímil")</f>
        <v>Abrir facsímil</v>
      </c>
      <c r="K340" s="3" t="s">
        <v>23</v>
      </c>
    </row>
    <row r="341" spans="1:11" ht="42" customHeight="1">
      <c r="A341" s="2" t="s">
        <v>942</v>
      </c>
      <c r="B341" s="2" t="s">
        <v>942</v>
      </c>
      <c r="C341" s="2" t="s">
        <v>26</v>
      </c>
      <c r="D341" s="2" t="s">
        <v>27</v>
      </c>
      <c r="E341" s="5">
        <v>-28953</v>
      </c>
      <c r="F341" s="3" t="s">
        <v>367</v>
      </c>
      <c r="G341" s="3" t="s">
        <v>62</v>
      </c>
      <c r="H341" s="2" t="s">
        <v>21</v>
      </c>
      <c r="I341" s="2" t="s">
        <v>950</v>
      </c>
      <c r="J341" s="3" t="str">
        <f>HYPERLINK("https://www.boe.es/gazeta/dias/1820/09/22/pdfs/GGB-1820-86.pdf#page=3","Abrir facsímil")</f>
        <v>Abrir facsímil</v>
      </c>
      <c r="K341" s="3" t="s">
        <v>23</v>
      </c>
    </row>
    <row r="342" spans="1:11" ht="42" customHeight="1">
      <c r="A342" s="2" t="s">
        <v>942</v>
      </c>
      <c r="B342" s="2" t="s">
        <v>942</v>
      </c>
      <c r="C342" s="2" t="s">
        <v>74</v>
      </c>
      <c r="D342" s="2" t="s">
        <v>18</v>
      </c>
      <c r="E342" s="5">
        <v>-28952</v>
      </c>
      <c r="F342" s="3" t="s">
        <v>370</v>
      </c>
      <c r="G342" s="3" t="s">
        <v>20</v>
      </c>
      <c r="H342" s="2" t="s">
        <v>21</v>
      </c>
      <c r="I342" s="2" t="s">
        <v>951</v>
      </c>
      <c r="J342" s="3" t="str">
        <f>HYPERLINK("https://www.boe.es/gazeta/dias/1820/09/23/pdfs/GGB-1820-87.pdf#page=4","Abrir facsímil")</f>
        <v>Abrir facsímil</v>
      </c>
      <c r="K342" s="3" t="s">
        <v>23</v>
      </c>
    </row>
    <row r="343" spans="1:11" ht="42" customHeight="1">
      <c r="A343" s="2" t="s">
        <v>942</v>
      </c>
      <c r="B343" s="2" t="s">
        <v>942</v>
      </c>
      <c r="C343" s="2" t="s">
        <v>35</v>
      </c>
      <c r="D343" s="2" t="s">
        <v>36</v>
      </c>
      <c r="E343" s="5">
        <v>-28907</v>
      </c>
      <c r="F343" s="3" t="s">
        <v>374</v>
      </c>
      <c r="G343" s="3" t="s">
        <v>43</v>
      </c>
      <c r="H343" s="2" t="s">
        <v>21</v>
      </c>
      <c r="I343" s="2" t="s">
        <v>952</v>
      </c>
      <c r="J343" s="3" t="str">
        <f>HYPERLINK("https://www.boe.es/gazeta/dias/1820/11/07/pdfs/GGB-1820-132.pdf#page=2","Abrir facsímil")</f>
        <v>Abrir facsímil</v>
      </c>
      <c r="K343" s="3" t="s">
        <v>23</v>
      </c>
    </row>
    <row r="344" spans="1:11" ht="42" customHeight="1">
      <c r="A344" s="2" t="s">
        <v>942</v>
      </c>
      <c r="B344" s="2" t="s">
        <v>942</v>
      </c>
      <c r="C344" s="2" t="s">
        <v>35</v>
      </c>
      <c r="D344" s="2" t="s">
        <v>36</v>
      </c>
      <c r="E344" s="5">
        <v>-28879</v>
      </c>
      <c r="F344" s="3" t="s">
        <v>953</v>
      </c>
      <c r="G344" s="3" t="s">
        <v>62</v>
      </c>
      <c r="H344" s="2" t="s">
        <v>21</v>
      </c>
      <c r="I344" s="2" t="s">
        <v>954</v>
      </c>
      <c r="J344" s="3" t="str">
        <f>HYPERLINK("https://www.boe.es/gazeta/dias/1820/12/05/pdfs/GGB-1820-162.pdf#page=3","Abrir facsímil")</f>
        <v>Abrir facsímil</v>
      </c>
      <c r="K344" s="3" t="s">
        <v>23</v>
      </c>
    </row>
    <row r="345" spans="1:11" ht="42" customHeight="1">
      <c r="A345" s="2" t="s">
        <v>955</v>
      </c>
      <c r="B345" s="2" t="s">
        <v>956</v>
      </c>
      <c r="C345" s="2" t="s">
        <v>26</v>
      </c>
      <c r="D345" s="2" t="s">
        <v>27</v>
      </c>
      <c r="E345" s="5">
        <v>-29038</v>
      </c>
      <c r="F345" s="3" t="s">
        <v>957</v>
      </c>
      <c r="G345" s="3" t="s">
        <v>201</v>
      </c>
      <c r="H345" s="2" t="s">
        <v>21</v>
      </c>
      <c r="I345" s="2" t="s">
        <v>958</v>
      </c>
      <c r="J345" s="3" t="str">
        <f>HYPERLINK("https://www.boe.es/gazeta/dias/1820/06/29/pdfs/GMD-1820-100.pdf#page=7","Abrir facsímil")</f>
        <v>Abrir facsímil</v>
      </c>
      <c r="K345" s="3" t="s">
        <v>23</v>
      </c>
    </row>
    <row r="346" spans="1:11" ht="42" customHeight="1">
      <c r="A346" s="2" t="s">
        <v>959</v>
      </c>
      <c r="B346" s="2" t="s">
        <v>959</v>
      </c>
      <c r="C346" s="2" t="s">
        <v>26</v>
      </c>
      <c r="D346" s="2" t="s">
        <v>27</v>
      </c>
      <c r="E346" s="5">
        <v>-28990</v>
      </c>
      <c r="F346" s="3" t="s">
        <v>61</v>
      </c>
      <c r="G346" s="3" t="s">
        <v>128</v>
      </c>
      <c r="H346" s="2" t="s">
        <v>21</v>
      </c>
      <c r="I346" s="2" t="s">
        <v>960</v>
      </c>
      <c r="J346" s="3" t="str">
        <f>HYPERLINK("https://www.boe.es/gazeta/dias/1820/08/16/pdfs/GGB-1820-49.pdf#page=1","Abrir facsímil")</f>
        <v>Abrir facsímil</v>
      </c>
      <c r="K346" s="3" t="s">
        <v>23</v>
      </c>
    </row>
    <row r="347" spans="1:11" ht="42" customHeight="1">
      <c r="A347" s="2" t="s">
        <v>961</v>
      </c>
      <c r="B347" s="2" t="s">
        <v>961</v>
      </c>
      <c r="C347" s="2" t="s">
        <v>26</v>
      </c>
      <c r="D347" s="2" t="s">
        <v>27</v>
      </c>
      <c r="E347" s="5">
        <v>-29169</v>
      </c>
      <c r="F347" s="3" t="s">
        <v>962</v>
      </c>
      <c r="G347" s="3" t="s">
        <v>201</v>
      </c>
      <c r="H347" s="2" t="s">
        <v>21</v>
      </c>
      <c r="I347" s="2" t="s">
        <v>963</v>
      </c>
      <c r="J347" s="3" t="str">
        <f>HYPERLINK("https://www.boe.es/gazeta/dias/1820/02/19/pdfs/GMD-1820-22.pdf#page=7","Abrir facsímil")</f>
        <v>Abrir facsímil</v>
      </c>
      <c r="K347" s="3" t="s">
        <v>23</v>
      </c>
    </row>
    <row r="348" spans="1:11" ht="42" customHeight="1">
      <c r="A348" s="2" t="s">
        <v>961</v>
      </c>
      <c r="B348" s="2" t="s">
        <v>961</v>
      </c>
      <c r="C348" s="2" t="s">
        <v>26</v>
      </c>
      <c r="D348" s="2" t="s">
        <v>27</v>
      </c>
      <c r="E348" s="5">
        <v>-29138</v>
      </c>
      <c r="F348" s="3" t="s">
        <v>200</v>
      </c>
      <c r="G348" s="3" t="s">
        <v>38</v>
      </c>
      <c r="H348" s="2" t="s">
        <v>21</v>
      </c>
      <c r="I348" s="2" t="s">
        <v>964</v>
      </c>
      <c r="J348" s="3" t="str">
        <f>HYPERLINK("https://www.boe.es/gazeta/dias/1820/03/21/pdfs/GMD-1820-46.pdf#page=6","Abrir facsímil")</f>
        <v>Abrir facsímil</v>
      </c>
      <c r="K348" s="3" t="s">
        <v>23</v>
      </c>
    </row>
    <row r="349" spans="1:11" ht="42" customHeight="1">
      <c r="A349" s="2" t="s">
        <v>961</v>
      </c>
      <c r="B349" s="2" t="s">
        <v>961</v>
      </c>
      <c r="C349" s="2" t="s">
        <v>26</v>
      </c>
      <c r="D349" s="2" t="s">
        <v>27</v>
      </c>
      <c r="E349" s="5">
        <v>-28891</v>
      </c>
      <c r="F349" s="3" t="s">
        <v>965</v>
      </c>
      <c r="G349" s="3" t="s">
        <v>20</v>
      </c>
      <c r="H349" s="2" t="s">
        <v>21</v>
      </c>
      <c r="I349" s="2" t="s">
        <v>966</v>
      </c>
      <c r="J349" s="3" t="str">
        <f>HYPERLINK("https://www.boe.es/gazeta/dias/1820/11/23/pdfs/GGB-1820-150.pdf#page=4","Abrir facsímil")</f>
        <v>Abrir facsímil</v>
      </c>
      <c r="K349" s="3" t="s">
        <v>23</v>
      </c>
    </row>
    <row r="350" spans="1:11" ht="42" customHeight="1">
      <c r="A350" s="2" t="s">
        <v>967</v>
      </c>
      <c r="B350" s="2" t="s">
        <v>968</v>
      </c>
      <c r="C350" s="2" t="s">
        <v>17</v>
      </c>
      <c r="D350" s="2" t="s">
        <v>18</v>
      </c>
      <c r="E350" s="5">
        <v>-29078</v>
      </c>
      <c r="F350" s="3" t="s">
        <v>260</v>
      </c>
      <c r="G350" s="3" t="s">
        <v>261</v>
      </c>
      <c r="H350" s="2" t="s">
        <v>30</v>
      </c>
      <c r="I350" s="2" t="s">
        <v>969</v>
      </c>
      <c r="J350" s="3" t="str">
        <f>HYPERLINK("https://www.boe.es/gazeta/dias/1820/05/20/pdfs/GMD-1820-83.pdf#page=9","Abrir facsímil")</f>
        <v>Abrir facsímil</v>
      </c>
      <c r="K350" s="3" t="s">
        <v>32</v>
      </c>
    </row>
    <row r="351" spans="1:11" ht="42" customHeight="1">
      <c r="A351" s="2" t="s">
        <v>970</v>
      </c>
      <c r="B351" s="2" t="s">
        <v>971</v>
      </c>
      <c r="C351" s="2" t="s">
        <v>17</v>
      </c>
      <c r="D351" s="2" t="s">
        <v>18</v>
      </c>
      <c r="E351" s="5">
        <v>-28866</v>
      </c>
      <c r="F351" s="3" t="s">
        <v>507</v>
      </c>
      <c r="G351" s="3" t="s">
        <v>62</v>
      </c>
      <c r="H351" s="2" t="s">
        <v>21</v>
      </c>
      <c r="I351" s="2" t="s">
        <v>972</v>
      </c>
      <c r="J351" s="3" t="str">
        <f>HYPERLINK("https://www.boe.es/gazeta/dias/1820/12/18/pdfs/GGB-1820-175.pdf#page=3","Abrir facsímil")</f>
        <v>Abrir facsímil</v>
      </c>
      <c r="K351" s="3" t="s">
        <v>23</v>
      </c>
    </row>
    <row r="352" spans="1:11" ht="42" customHeight="1">
      <c r="A352" s="2" t="s">
        <v>973</v>
      </c>
      <c r="B352" s="2" t="s">
        <v>974</v>
      </c>
      <c r="C352" s="2" t="s">
        <v>26</v>
      </c>
      <c r="D352" s="2" t="s">
        <v>27</v>
      </c>
      <c r="E352" s="5">
        <v>-29068</v>
      </c>
      <c r="F352" s="3" t="s">
        <v>943</v>
      </c>
      <c r="G352" s="3" t="s">
        <v>975</v>
      </c>
      <c r="H352" s="2" t="s">
        <v>30</v>
      </c>
      <c r="I352" s="2" t="s">
        <v>976</v>
      </c>
      <c r="J352" s="3" t="str">
        <f>HYPERLINK("https://www.boe.es/gazeta/dias/1820/05/30/pdfs/GMD-1820-87.pdf#page=12","Abrir facsímil")</f>
        <v>Abrir facsímil</v>
      </c>
      <c r="K352" s="3" t="s">
        <v>32</v>
      </c>
    </row>
    <row r="353" spans="1:11" ht="42" customHeight="1">
      <c r="A353" s="2" t="s">
        <v>977</v>
      </c>
      <c r="B353" s="2" t="s">
        <v>977</v>
      </c>
      <c r="C353" s="2" t="s">
        <v>74</v>
      </c>
      <c r="D353" s="2" t="s">
        <v>18</v>
      </c>
      <c r="E353" s="5">
        <v>-28909</v>
      </c>
      <c r="F353" s="3" t="s">
        <v>278</v>
      </c>
      <c r="G353" s="3" t="s">
        <v>62</v>
      </c>
      <c r="H353" s="2" t="s">
        <v>21</v>
      </c>
      <c r="I353" s="2" t="s">
        <v>978</v>
      </c>
      <c r="J353" s="3" t="str">
        <f>HYPERLINK("https://www.boe.es/gazeta/dias/1820/11/05/pdfs/GGB-1820-130.pdf#page=3","Abrir facsímil")</f>
        <v>Abrir facsímil</v>
      </c>
      <c r="K353" s="3" t="s">
        <v>23</v>
      </c>
    </row>
    <row r="354" spans="1:11" ht="42" customHeight="1">
      <c r="A354" s="2" t="s">
        <v>979</v>
      </c>
      <c r="B354" s="2" t="s">
        <v>979</v>
      </c>
      <c r="C354" s="2" t="s">
        <v>26</v>
      </c>
      <c r="D354" s="2" t="s">
        <v>27</v>
      </c>
      <c r="E354" s="5">
        <v>-28906</v>
      </c>
      <c r="F354" s="3" t="s">
        <v>232</v>
      </c>
      <c r="G354" s="3" t="s">
        <v>43</v>
      </c>
      <c r="H354" s="2" t="s">
        <v>21</v>
      </c>
      <c r="I354" s="2" t="s">
        <v>980</v>
      </c>
      <c r="J354" s="3" t="str">
        <f>HYPERLINK("https://www.boe.es/gazeta/dias/1820/11/08/pdfs/GGB-1820-133.pdf#page=2","Abrir facsímil")</f>
        <v>Abrir facsímil</v>
      </c>
      <c r="K354" s="3" t="s">
        <v>23</v>
      </c>
    </row>
    <row r="355" spans="1:11" ht="42" customHeight="1">
      <c r="A355" s="2" t="s">
        <v>981</v>
      </c>
      <c r="B355" s="2" t="s">
        <v>981</v>
      </c>
      <c r="C355" s="2" t="s">
        <v>35</v>
      </c>
      <c r="D355" s="2" t="s">
        <v>36</v>
      </c>
      <c r="E355" s="5">
        <v>-29120</v>
      </c>
      <c r="F355" s="3" t="s">
        <v>852</v>
      </c>
      <c r="G355" s="3" t="s">
        <v>201</v>
      </c>
      <c r="H355" s="2" t="s">
        <v>21</v>
      </c>
      <c r="I355" s="2" t="s">
        <v>982</v>
      </c>
      <c r="J355" s="3" t="str">
        <f>HYPERLINK("https://www.boe.es/gazeta/dias/1820/04/08/pdfs/GMD-1820-63.pdf#page=7","Abrir facsímil")</f>
        <v>Abrir facsímil</v>
      </c>
      <c r="K355" s="3" t="s">
        <v>23</v>
      </c>
    </row>
    <row r="356" spans="1:11" ht="42" customHeight="1">
      <c r="A356" s="2" t="s">
        <v>983</v>
      </c>
      <c r="B356" s="2" t="s">
        <v>984</v>
      </c>
      <c r="C356" s="2" t="s">
        <v>107</v>
      </c>
      <c r="D356" s="2" t="s">
        <v>18</v>
      </c>
      <c r="E356" s="5">
        <v>-28982</v>
      </c>
      <c r="F356" s="3" t="s">
        <v>173</v>
      </c>
      <c r="G356" s="3" t="s">
        <v>62</v>
      </c>
      <c r="H356" s="2" t="s">
        <v>21</v>
      </c>
      <c r="I356" s="2" t="s">
        <v>985</v>
      </c>
      <c r="J356" s="3" t="str">
        <f>HYPERLINK("https://www.boe.es/gazeta/dias/1820/08/24/pdfs/GGB-1820-57.pdf#page=3","Abrir facsímil")</f>
        <v>Abrir facsímil</v>
      </c>
      <c r="K356" s="3" t="s">
        <v>23</v>
      </c>
    </row>
    <row r="357" spans="1:11" ht="42" customHeight="1">
      <c r="A357" s="2" t="s">
        <v>983</v>
      </c>
      <c r="B357" s="2" t="s">
        <v>984</v>
      </c>
      <c r="C357" s="2" t="s">
        <v>35</v>
      </c>
      <c r="D357" s="2" t="s">
        <v>36</v>
      </c>
      <c r="E357" s="5">
        <v>-28918</v>
      </c>
      <c r="F357" s="3" t="s">
        <v>160</v>
      </c>
      <c r="G357" s="3" t="s">
        <v>20</v>
      </c>
      <c r="H357" s="2" t="s">
        <v>21</v>
      </c>
      <c r="I357" s="2" t="s">
        <v>986</v>
      </c>
      <c r="J357" s="3" t="str">
        <f>HYPERLINK("https://www.boe.es/gazeta/dias/1820/10/27/pdfs/GGB-1820-121.pdf#page=4","Abrir facsímil")</f>
        <v>Abrir facsímil</v>
      </c>
      <c r="K357" s="3" t="s">
        <v>23</v>
      </c>
    </row>
    <row r="358" spans="1:11" ht="42" customHeight="1">
      <c r="A358" s="2" t="s">
        <v>987</v>
      </c>
      <c r="B358" s="2" t="s">
        <v>987</v>
      </c>
      <c r="C358" s="2" t="s">
        <v>17</v>
      </c>
      <c r="D358" s="2" t="s">
        <v>18</v>
      </c>
      <c r="E358" s="5">
        <v>-29211</v>
      </c>
      <c r="F358" s="3" t="s">
        <v>578</v>
      </c>
      <c r="G358" s="3" t="s">
        <v>295</v>
      </c>
      <c r="H358" s="2" t="s">
        <v>21</v>
      </c>
      <c r="I358" s="2" t="s">
        <v>988</v>
      </c>
      <c r="J358" s="3" t="str">
        <f>HYPERLINK("https://www.boe.es/gazeta/dias/1820/01/08/pdfs/GMD-1820-4.pdf#page=8","Abrir facsímil")</f>
        <v>Abrir facsímil</v>
      </c>
      <c r="K358" s="3" t="s">
        <v>23</v>
      </c>
    </row>
    <row r="359" spans="1:11" ht="42" customHeight="1">
      <c r="A359" s="2" t="s">
        <v>987</v>
      </c>
      <c r="B359" s="2" t="s">
        <v>987</v>
      </c>
      <c r="C359" s="2" t="s">
        <v>35</v>
      </c>
      <c r="D359" s="2" t="s">
        <v>36</v>
      </c>
      <c r="E359" s="5">
        <v>-29017</v>
      </c>
      <c r="F359" s="3" t="s">
        <v>274</v>
      </c>
      <c r="G359" s="3" t="s">
        <v>43</v>
      </c>
      <c r="H359" s="2" t="s">
        <v>21</v>
      </c>
      <c r="I359" s="2" t="s">
        <v>989</v>
      </c>
      <c r="J359" s="3" t="str">
        <f>HYPERLINK("https://www.boe.es/gazeta/dias/1820/07/20/pdfs/GGB-1820-22.pdf#page=2","Abrir facsímil")</f>
        <v>Abrir facsímil</v>
      </c>
      <c r="K359" s="3" t="s">
        <v>23</v>
      </c>
    </row>
    <row r="360" spans="1:11" ht="42" customHeight="1">
      <c r="A360" s="2" t="s">
        <v>987</v>
      </c>
      <c r="B360" s="2" t="s">
        <v>987</v>
      </c>
      <c r="C360" s="2" t="s">
        <v>74</v>
      </c>
      <c r="D360" s="2" t="s">
        <v>18</v>
      </c>
      <c r="E360" s="5">
        <v>-28944</v>
      </c>
      <c r="F360" s="3" t="s">
        <v>990</v>
      </c>
      <c r="G360" s="3" t="s">
        <v>62</v>
      </c>
      <c r="H360" s="2" t="s">
        <v>21</v>
      </c>
      <c r="I360" s="2" t="s">
        <v>991</v>
      </c>
      <c r="J360" s="3" t="str">
        <f>HYPERLINK("https://www.boe.es/gazeta/dias/1820/10/01/pdfs/GGB-1820-95.pdf#page=3","Abrir facsímil")</f>
        <v>Abrir facsímil</v>
      </c>
      <c r="K360" s="3" t="s">
        <v>23</v>
      </c>
    </row>
    <row r="361" spans="1:11" ht="42" customHeight="1">
      <c r="A361" s="2" t="s">
        <v>987</v>
      </c>
      <c r="B361" s="2" t="s">
        <v>987</v>
      </c>
      <c r="C361" s="2" t="s">
        <v>26</v>
      </c>
      <c r="D361" s="2" t="s">
        <v>27</v>
      </c>
      <c r="E361" s="5">
        <v>-28939</v>
      </c>
      <c r="F361" s="3" t="s">
        <v>992</v>
      </c>
      <c r="G361" s="3" t="s">
        <v>62</v>
      </c>
      <c r="H361" s="2" t="s">
        <v>21</v>
      </c>
      <c r="I361" s="2" t="s">
        <v>993</v>
      </c>
      <c r="J361" s="3" t="str">
        <f>HYPERLINK("https://www.boe.es/gazeta/dias/1820/10/06/pdfs/GGB-1820-100.pdf#page=3","Abrir facsímil")</f>
        <v>Abrir facsímil</v>
      </c>
      <c r="K361" s="3" t="s">
        <v>23</v>
      </c>
    </row>
    <row r="362" spans="1:11" ht="42" customHeight="1">
      <c r="A362" s="2" t="s">
        <v>994</v>
      </c>
      <c r="B362" s="2" t="s">
        <v>995</v>
      </c>
      <c r="C362" s="2" t="s">
        <v>35</v>
      </c>
      <c r="D362" s="2" t="s">
        <v>36</v>
      </c>
      <c r="E362" s="5">
        <v>-28955</v>
      </c>
      <c r="F362" s="3" t="s">
        <v>175</v>
      </c>
      <c r="G362" s="3" t="s">
        <v>62</v>
      </c>
      <c r="H362" s="2" t="s">
        <v>21</v>
      </c>
      <c r="I362" s="2" t="s">
        <v>996</v>
      </c>
      <c r="J362" s="3" t="str">
        <f>HYPERLINK("https://www.boe.es/gazeta/dias/1820/09/20/pdfs/GGB-1820-84.pdf#page=3","Abrir facsímil")</f>
        <v>Abrir facsímil</v>
      </c>
      <c r="K362" s="3" t="s">
        <v>23</v>
      </c>
    </row>
    <row r="363" spans="1:11" ht="42" customHeight="1">
      <c r="A363" s="2" t="s">
        <v>997</v>
      </c>
      <c r="B363" s="2" t="s">
        <v>998</v>
      </c>
      <c r="C363" s="2" t="s">
        <v>26</v>
      </c>
      <c r="D363" s="2" t="s">
        <v>27</v>
      </c>
      <c r="E363" s="5">
        <v>-29101</v>
      </c>
      <c r="F363" s="3" t="s">
        <v>999</v>
      </c>
      <c r="G363" s="3" t="s">
        <v>183</v>
      </c>
      <c r="H363" s="2" t="s">
        <v>21</v>
      </c>
      <c r="I363" s="2" t="s">
        <v>1000</v>
      </c>
      <c r="J363" s="3" t="str">
        <f>HYPERLINK("https://www.boe.es/gazeta/dias/1820/04/27/pdfs/GMD-1820-72.pdf#page=10","Abrir facsímil")</f>
        <v>Abrir facsímil</v>
      </c>
      <c r="K363" s="3" t="s">
        <v>23</v>
      </c>
    </row>
    <row r="364" spans="1:11" ht="42" customHeight="1">
      <c r="A364" s="2" t="s">
        <v>1001</v>
      </c>
      <c r="B364" s="2" t="s">
        <v>1002</v>
      </c>
      <c r="C364" s="2" t="s">
        <v>26</v>
      </c>
      <c r="D364" s="2" t="s">
        <v>27</v>
      </c>
      <c r="E364" s="5">
        <v>-28958</v>
      </c>
      <c r="F364" s="3" t="s">
        <v>706</v>
      </c>
      <c r="G364" s="3" t="s">
        <v>43</v>
      </c>
      <c r="H364" s="2" t="s">
        <v>21</v>
      </c>
      <c r="I364" s="2" t="s">
        <v>1003</v>
      </c>
      <c r="J364" s="3" t="str">
        <f>HYPERLINK("https://www.boe.es/gazeta/dias/1820/09/17/pdfs/GGB-1820-81.pdf#page=2","Abrir facsímil")</f>
        <v>Abrir facsímil</v>
      </c>
      <c r="K364" s="3" t="s">
        <v>23</v>
      </c>
    </row>
    <row r="365" spans="1:11" ht="42" customHeight="1">
      <c r="A365" s="2" t="s">
        <v>1004</v>
      </c>
      <c r="B365" s="2" t="s">
        <v>1005</v>
      </c>
      <c r="C365" s="2" t="s">
        <v>35</v>
      </c>
      <c r="D365" s="2" t="s">
        <v>36</v>
      </c>
      <c r="E365" s="5">
        <v>-29078</v>
      </c>
      <c r="F365" s="3" t="s">
        <v>260</v>
      </c>
      <c r="G365" s="3" t="s">
        <v>261</v>
      </c>
      <c r="H365" s="2" t="s">
        <v>21</v>
      </c>
      <c r="I365" s="2" t="s">
        <v>1006</v>
      </c>
      <c r="J365" s="3" t="str">
        <f>HYPERLINK("https://www.boe.es/gazeta/dias/1820/05/20/pdfs/GMD-1820-83.pdf#page=9","Abrir facsímil")</f>
        <v>Abrir facsímil</v>
      </c>
      <c r="K365" s="3" t="s">
        <v>23</v>
      </c>
    </row>
    <row r="366" spans="1:11" ht="42" customHeight="1">
      <c r="A366" s="2" t="s">
        <v>1007</v>
      </c>
      <c r="B366" s="2" t="s">
        <v>1008</v>
      </c>
      <c r="C366" s="2" t="s">
        <v>26</v>
      </c>
      <c r="D366" s="2" t="s">
        <v>27</v>
      </c>
      <c r="E366" s="5">
        <v>-28942</v>
      </c>
      <c r="F366" s="3" t="s">
        <v>244</v>
      </c>
      <c r="G366" s="3" t="s">
        <v>43</v>
      </c>
      <c r="H366" s="2" t="s">
        <v>21</v>
      </c>
      <c r="I366" s="2" t="s">
        <v>1009</v>
      </c>
      <c r="J366" s="3" t="str">
        <f>HYPERLINK("https://www.boe.es/gazeta/dias/1820/10/03/pdfs/GGB-1820-97.pdf#page=2","Abrir facsímil")</f>
        <v>Abrir facsímil</v>
      </c>
      <c r="K366" s="3" t="s">
        <v>23</v>
      </c>
    </row>
    <row r="367" spans="1:11" ht="42" customHeight="1">
      <c r="A367" s="2" t="s">
        <v>1010</v>
      </c>
      <c r="B367" s="2" t="s">
        <v>1010</v>
      </c>
      <c r="C367" s="2" t="s">
        <v>47</v>
      </c>
      <c r="D367" s="2" t="s">
        <v>18</v>
      </c>
      <c r="E367" s="5">
        <v>-28973</v>
      </c>
      <c r="F367" s="3" t="s">
        <v>151</v>
      </c>
      <c r="G367" s="3" t="s">
        <v>20</v>
      </c>
      <c r="H367" s="2" t="s">
        <v>21</v>
      </c>
      <c r="I367" s="2" t="s">
        <v>1011</v>
      </c>
      <c r="J367" s="3" t="str">
        <f>HYPERLINK("https://www.boe.es/gazeta/dias/1820/09/02/pdfs/GGB-1820-66.pdf#page=4","Abrir facsímil")</f>
        <v>Abrir facsímil</v>
      </c>
      <c r="K367" s="3" t="s">
        <v>23</v>
      </c>
    </row>
    <row r="368" spans="1:11" ht="42" customHeight="1">
      <c r="A368" s="2" t="s">
        <v>1012</v>
      </c>
      <c r="B368" s="2" t="s">
        <v>1013</v>
      </c>
      <c r="C368" s="2" t="s">
        <v>17</v>
      </c>
      <c r="D368" s="2" t="s">
        <v>18</v>
      </c>
      <c r="E368" s="5">
        <v>-28870</v>
      </c>
      <c r="F368" s="3" t="s">
        <v>1014</v>
      </c>
      <c r="G368" s="3" t="s">
        <v>20</v>
      </c>
      <c r="H368" s="2" t="s">
        <v>21</v>
      </c>
      <c r="I368" s="2" t="s">
        <v>1015</v>
      </c>
      <c r="J368" s="3" t="str">
        <f>HYPERLINK("https://www.boe.es/gazeta/dias/1820/12/14/pdfs/GGB-1820-171.pdf#page=4","Abrir facsímil")</f>
        <v>Abrir facsímil</v>
      </c>
      <c r="K368" s="3" t="s">
        <v>23</v>
      </c>
    </row>
    <row r="369" spans="1:11" ht="42" customHeight="1">
      <c r="A369" s="2" t="s">
        <v>1016</v>
      </c>
      <c r="B369" s="2" t="s">
        <v>1017</v>
      </c>
      <c r="C369" s="2" t="s">
        <v>293</v>
      </c>
      <c r="D369" s="2" t="s">
        <v>18</v>
      </c>
      <c r="E369" s="5">
        <v>-29087</v>
      </c>
      <c r="F369" s="3" t="s">
        <v>1018</v>
      </c>
      <c r="G369" s="3" t="s">
        <v>295</v>
      </c>
      <c r="H369" s="2" t="s">
        <v>21</v>
      </c>
      <c r="I369" s="2" t="s">
        <v>1019</v>
      </c>
      <c r="J369" s="3" t="str">
        <f>HYPERLINK("https://www.boe.es/gazeta/dias/1820/05/11/pdfs/GMD-1820-78.pdf#page=8","Abrir facsímil")</f>
        <v>Abrir facsímil</v>
      </c>
      <c r="K369" s="3" t="s">
        <v>23</v>
      </c>
    </row>
    <row r="370" spans="1:11" ht="42" customHeight="1">
      <c r="A370" s="2" t="s">
        <v>1020</v>
      </c>
      <c r="B370" s="2" t="s">
        <v>1021</v>
      </c>
      <c r="C370" s="2" t="s">
        <v>26</v>
      </c>
      <c r="D370" s="2" t="s">
        <v>27</v>
      </c>
      <c r="E370" s="5">
        <v>-29159</v>
      </c>
      <c r="F370" s="3" t="s">
        <v>1022</v>
      </c>
      <c r="G370" s="3" t="s">
        <v>1023</v>
      </c>
      <c r="H370" s="2" t="s">
        <v>21</v>
      </c>
      <c r="I370" s="2" t="s">
        <v>1024</v>
      </c>
      <c r="J370" s="3" t="str">
        <f>HYPERLINK("https://www.boe.es/gazeta/dias/1820/02/29/pdfs/GMD-1820-26.pdf#page=4","Abrir facsímil")</f>
        <v>Abrir facsímil</v>
      </c>
      <c r="K370" s="3" t="s">
        <v>23</v>
      </c>
    </row>
    <row r="371" spans="1:11" ht="42" customHeight="1">
      <c r="A371" s="2" t="s">
        <v>1020</v>
      </c>
      <c r="B371" s="2" t="s">
        <v>1021</v>
      </c>
      <c r="C371" s="2" t="s">
        <v>26</v>
      </c>
      <c r="D371" s="2" t="s">
        <v>27</v>
      </c>
      <c r="E371" s="5">
        <v>-29159</v>
      </c>
      <c r="F371" s="3" t="s">
        <v>1022</v>
      </c>
      <c r="G371" s="3" t="s">
        <v>256</v>
      </c>
      <c r="H371" s="2" t="s">
        <v>21</v>
      </c>
      <c r="I371" s="2" t="s">
        <v>1025</v>
      </c>
      <c r="J371" s="3" t="str">
        <f>HYPERLINK("https://www.boe.es/gazeta/dias/1820/02/29/pdfs/GMD-1820-26.pdf#page=5","Abrir facsímil")</f>
        <v>Abrir facsímil</v>
      </c>
      <c r="K371" s="3" t="s">
        <v>23</v>
      </c>
    </row>
    <row r="372" spans="1:11" ht="42" customHeight="1">
      <c r="A372" s="2" t="s">
        <v>1026</v>
      </c>
      <c r="B372" s="2" t="s">
        <v>1026</v>
      </c>
      <c r="C372" s="2" t="s">
        <v>35</v>
      </c>
      <c r="D372" s="2" t="s">
        <v>36</v>
      </c>
      <c r="E372" s="5">
        <v>-29134</v>
      </c>
      <c r="F372" s="3" t="s">
        <v>255</v>
      </c>
      <c r="G372" s="3" t="s">
        <v>256</v>
      </c>
      <c r="H372" s="2" t="s">
        <v>21</v>
      </c>
      <c r="I372" s="2" t="s">
        <v>1027</v>
      </c>
      <c r="J372" s="3" t="str">
        <f>HYPERLINK("https://www.boe.es/gazeta/dias/1820/03/25/pdfs/GMD-1820-53.pdf#page=5","Abrir facsímil")</f>
        <v>Abrir facsímil</v>
      </c>
      <c r="K372" s="3" t="s">
        <v>23</v>
      </c>
    </row>
    <row r="373" spans="1:11" ht="42" customHeight="1">
      <c r="A373" s="2" t="s">
        <v>1026</v>
      </c>
      <c r="B373" s="2" t="s">
        <v>1026</v>
      </c>
      <c r="C373" s="2" t="s">
        <v>26</v>
      </c>
      <c r="D373" s="2" t="s">
        <v>27</v>
      </c>
      <c r="E373" s="5">
        <v>-29120</v>
      </c>
      <c r="F373" s="3" t="s">
        <v>852</v>
      </c>
      <c r="G373" s="3" t="s">
        <v>295</v>
      </c>
      <c r="H373" s="2" t="s">
        <v>21</v>
      </c>
      <c r="I373" s="2" t="s">
        <v>1028</v>
      </c>
      <c r="J373" s="3" t="str">
        <f>HYPERLINK("https://www.boe.es/gazeta/dias/1820/04/08/pdfs/GMD-1820-63.pdf#page=8","Abrir facsímil")</f>
        <v>Abrir facsímil</v>
      </c>
      <c r="K373" s="3" t="s">
        <v>23</v>
      </c>
    </row>
    <row r="374" spans="1:11" ht="42" customHeight="1">
      <c r="A374" s="2" t="s">
        <v>1026</v>
      </c>
      <c r="B374" s="2" t="s">
        <v>1026</v>
      </c>
      <c r="C374" s="2" t="s">
        <v>26</v>
      </c>
      <c r="D374" s="2" t="s">
        <v>27</v>
      </c>
      <c r="E374" s="5">
        <v>-29106</v>
      </c>
      <c r="F374" s="3" t="s">
        <v>430</v>
      </c>
      <c r="G374" s="3" t="s">
        <v>20</v>
      </c>
      <c r="H374" s="2" t="s">
        <v>21</v>
      </c>
      <c r="I374" s="2" t="s">
        <v>1029</v>
      </c>
      <c r="J374" s="3" t="str">
        <f>HYPERLINK("https://www.boe.es/gazeta/dias/1820/04/22/pdfs/GMD-1820-69.pdf#page=4","Abrir facsímil")</f>
        <v>Abrir facsímil</v>
      </c>
      <c r="K374" s="3" t="s">
        <v>23</v>
      </c>
    </row>
    <row r="375" spans="1:11" ht="42" customHeight="1">
      <c r="A375" s="2" t="s">
        <v>1026</v>
      </c>
      <c r="B375" s="2" t="s">
        <v>1026</v>
      </c>
      <c r="C375" s="2" t="s">
        <v>26</v>
      </c>
      <c r="D375" s="2" t="s">
        <v>27</v>
      </c>
      <c r="E375" s="5">
        <v>-29101</v>
      </c>
      <c r="F375" s="3" t="s">
        <v>999</v>
      </c>
      <c r="G375" s="3" t="s">
        <v>183</v>
      </c>
      <c r="H375" s="2" t="s">
        <v>21</v>
      </c>
      <c r="I375" s="2" t="s">
        <v>1030</v>
      </c>
      <c r="J375" s="3" t="str">
        <f>HYPERLINK("https://www.boe.es/gazeta/dias/1820/04/27/pdfs/GMD-1820-72.pdf#page=10","Abrir facsímil")</f>
        <v>Abrir facsímil</v>
      </c>
      <c r="K375" s="3" t="s">
        <v>23</v>
      </c>
    </row>
    <row r="376" spans="1:11" ht="42" customHeight="1">
      <c r="A376" s="2" t="s">
        <v>1026</v>
      </c>
      <c r="B376" s="2" t="s">
        <v>1026</v>
      </c>
      <c r="C376" s="2" t="s">
        <v>26</v>
      </c>
      <c r="D376" s="2" t="s">
        <v>27</v>
      </c>
      <c r="E376" s="5">
        <v>-29080</v>
      </c>
      <c r="F376" s="3" t="s">
        <v>1031</v>
      </c>
      <c r="G376" s="3" t="s">
        <v>256</v>
      </c>
      <c r="H376" s="2" t="s">
        <v>21</v>
      </c>
      <c r="I376" s="2" t="s">
        <v>1032</v>
      </c>
      <c r="J376" s="3" t="str">
        <f>HYPERLINK("https://www.boe.es/gazeta/dias/1820/05/18/pdfs/GMD-1820-82.pdf#page=5","Abrir facsímil")</f>
        <v>Abrir facsímil</v>
      </c>
      <c r="K376" s="3" t="s">
        <v>23</v>
      </c>
    </row>
    <row r="377" spans="1:11" ht="42" customHeight="1">
      <c r="A377" s="2" t="s">
        <v>1026</v>
      </c>
      <c r="B377" s="2" t="s">
        <v>1026</v>
      </c>
      <c r="C377" s="2" t="s">
        <v>26</v>
      </c>
      <c r="D377" s="2" t="s">
        <v>27</v>
      </c>
      <c r="E377" s="5">
        <v>-29047</v>
      </c>
      <c r="F377" s="3" t="s">
        <v>1033</v>
      </c>
      <c r="G377" s="3" t="s">
        <v>1034</v>
      </c>
      <c r="H377" s="2" t="s">
        <v>21</v>
      </c>
      <c r="I377" s="2" t="s">
        <v>1035</v>
      </c>
      <c r="J377" s="3" t="str">
        <f>HYPERLINK("https://www.boe.es/gazeta/dias/1820/06/20/pdfs/GMD-1820-96.pdf#page=9","Abrir facsímil")</f>
        <v>Abrir facsímil</v>
      </c>
      <c r="K377" s="3" t="s">
        <v>23</v>
      </c>
    </row>
    <row r="378" spans="1:11" ht="42" customHeight="1">
      <c r="A378" s="2" t="s">
        <v>1026</v>
      </c>
      <c r="B378" s="2" t="s">
        <v>1026</v>
      </c>
      <c r="C378" s="2" t="s">
        <v>35</v>
      </c>
      <c r="D378" s="2" t="s">
        <v>36</v>
      </c>
      <c r="E378" s="5">
        <v>-29031</v>
      </c>
      <c r="F378" s="3" t="s">
        <v>1036</v>
      </c>
      <c r="G378" s="3" t="s">
        <v>62</v>
      </c>
      <c r="H378" s="2" t="s">
        <v>21</v>
      </c>
      <c r="I378" s="2" t="s">
        <v>1037</v>
      </c>
      <c r="J378" s="3" t="str">
        <f>HYPERLINK("https://www.boe.es/gazeta/dias/1820/07/06/pdfs/GGB-1820-6.pdf#page=3","Abrir facsímil")</f>
        <v>Abrir facsímil</v>
      </c>
      <c r="K378" s="3" t="s">
        <v>23</v>
      </c>
    </row>
    <row r="379" spans="1:11" ht="42" customHeight="1">
      <c r="A379" s="2" t="s">
        <v>1026</v>
      </c>
      <c r="B379" s="2" t="s">
        <v>1026</v>
      </c>
      <c r="C379" s="2" t="s">
        <v>35</v>
      </c>
      <c r="D379" s="2" t="s">
        <v>36</v>
      </c>
      <c r="E379" s="5">
        <v>-29001</v>
      </c>
      <c r="F379" s="3" t="s">
        <v>633</v>
      </c>
      <c r="G379" s="3" t="s">
        <v>62</v>
      </c>
      <c r="H379" s="2" t="s">
        <v>21</v>
      </c>
      <c r="I379" s="2" t="s">
        <v>1038</v>
      </c>
      <c r="J379" s="3" t="str">
        <f>HYPERLINK("https://www.boe.es/gazeta/dias/1820/08/05/pdfs/GGB-1820-38.pdf#page=3","Abrir facsímil")</f>
        <v>Abrir facsímil</v>
      </c>
      <c r="K379" s="3" t="s">
        <v>23</v>
      </c>
    </row>
    <row r="380" spans="1:11" ht="42" customHeight="1">
      <c r="A380" s="2" t="s">
        <v>1026</v>
      </c>
      <c r="B380" s="2" t="s">
        <v>1026</v>
      </c>
      <c r="C380" s="2" t="s">
        <v>17</v>
      </c>
      <c r="D380" s="2" t="s">
        <v>18</v>
      </c>
      <c r="E380" s="5">
        <v>-28996</v>
      </c>
      <c r="F380" s="3" t="s">
        <v>636</v>
      </c>
      <c r="G380" s="3" t="s">
        <v>1039</v>
      </c>
      <c r="H380" s="2" t="s">
        <v>21</v>
      </c>
      <c r="I380" s="2" t="s">
        <v>1040</v>
      </c>
      <c r="J380" s="3" t="str">
        <f>HYPERLINK("https://www.boe.es/gazeta/dias/1820/08/10/pdfs/GGB-1820-43.pdf#page=2","Abrir facsímil")</f>
        <v>Abrir facsímil</v>
      </c>
      <c r="K380" s="3" t="s">
        <v>23</v>
      </c>
    </row>
    <row r="381" spans="1:11" ht="42" customHeight="1">
      <c r="A381" s="2" t="s">
        <v>1026</v>
      </c>
      <c r="B381" s="2" t="s">
        <v>1026</v>
      </c>
      <c r="C381" s="2" t="s">
        <v>17</v>
      </c>
      <c r="D381" s="2" t="s">
        <v>18</v>
      </c>
      <c r="E381" s="5">
        <v>-28995</v>
      </c>
      <c r="F381" s="3" t="s">
        <v>672</v>
      </c>
      <c r="G381" s="3" t="s">
        <v>62</v>
      </c>
      <c r="H381" s="2" t="s">
        <v>21</v>
      </c>
      <c r="I381" s="2" t="s">
        <v>1041</v>
      </c>
      <c r="J381" s="3" t="str">
        <f>HYPERLINK("https://www.boe.es/gazeta/dias/1820/08/11/pdfs/GGB-1820-44.pdf#page=3","Abrir facsímil")</f>
        <v>Abrir facsímil</v>
      </c>
      <c r="K381" s="3" t="s">
        <v>23</v>
      </c>
    </row>
    <row r="382" spans="1:11" ht="42" customHeight="1">
      <c r="A382" s="2" t="s">
        <v>1026</v>
      </c>
      <c r="B382" s="2" t="s">
        <v>1026</v>
      </c>
      <c r="C382" s="2" t="s">
        <v>17</v>
      </c>
      <c r="D382" s="2" t="s">
        <v>18</v>
      </c>
      <c r="E382" s="5">
        <v>-28993</v>
      </c>
      <c r="F382" s="3" t="s">
        <v>465</v>
      </c>
      <c r="G382" s="3" t="s">
        <v>62</v>
      </c>
      <c r="H382" s="2" t="s">
        <v>21</v>
      </c>
      <c r="I382" s="2" t="s">
        <v>1042</v>
      </c>
      <c r="J382" s="3" t="str">
        <f>HYPERLINK("https://www.boe.es/gazeta/dias/1820/08/13/pdfs/GGB-1820-46.pdf#page=3","Abrir facsímil")</f>
        <v>Abrir facsímil</v>
      </c>
      <c r="K382" s="3" t="s">
        <v>23</v>
      </c>
    </row>
    <row r="383" spans="1:11" ht="42" customHeight="1">
      <c r="A383" s="2" t="s">
        <v>1026</v>
      </c>
      <c r="B383" s="2" t="s">
        <v>1026</v>
      </c>
      <c r="C383" s="2" t="s">
        <v>26</v>
      </c>
      <c r="D383" s="2" t="s">
        <v>27</v>
      </c>
      <c r="E383" s="5">
        <v>-28984</v>
      </c>
      <c r="F383" s="3" t="s">
        <v>520</v>
      </c>
      <c r="G383" s="3" t="s">
        <v>20</v>
      </c>
      <c r="H383" s="2" t="s">
        <v>21</v>
      </c>
      <c r="I383" s="2" t="s">
        <v>1043</v>
      </c>
      <c r="J383" s="3" t="str">
        <f>HYPERLINK("https://www.boe.es/gazeta/dias/1820/08/22/pdfs/GGB-1820-55.pdf#page=4","Abrir facsímil")</f>
        <v>Abrir facsímil</v>
      </c>
      <c r="K383" s="3" t="s">
        <v>23</v>
      </c>
    </row>
    <row r="384" spans="1:11" ht="42" customHeight="1">
      <c r="A384" s="2" t="s">
        <v>1026</v>
      </c>
      <c r="B384" s="2" t="s">
        <v>1026</v>
      </c>
      <c r="C384" s="2" t="s">
        <v>35</v>
      </c>
      <c r="D384" s="2" t="s">
        <v>36</v>
      </c>
      <c r="E384" s="5">
        <v>-28983</v>
      </c>
      <c r="F384" s="3" t="s">
        <v>682</v>
      </c>
      <c r="G384" s="3" t="s">
        <v>62</v>
      </c>
      <c r="H384" s="2" t="s">
        <v>21</v>
      </c>
      <c r="I384" s="2" t="s">
        <v>1044</v>
      </c>
      <c r="J384" s="3" t="str">
        <f>HYPERLINK("https://www.boe.es/gazeta/dias/1820/08/23/pdfs/GGB-1820-56.pdf#page=3","Abrir facsímil")</f>
        <v>Abrir facsímil</v>
      </c>
      <c r="K384" s="3" t="s">
        <v>23</v>
      </c>
    </row>
    <row r="385" spans="1:11" ht="42" customHeight="1">
      <c r="A385" s="2" t="s">
        <v>1026</v>
      </c>
      <c r="B385" s="2" t="s">
        <v>1026</v>
      </c>
      <c r="C385" s="2" t="s">
        <v>26</v>
      </c>
      <c r="D385" s="2" t="s">
        <v>27</v>
      </c>
      <c r="E385" s="5">
        <v>-28979</v>
      </c>
      <c r="F385" s="3" t="s">
        <v>218</v>
      </c>
      <c r="G385" s="3" t="s">
        <v>20</v>
      </c>
      <c r="H385" s="2" t="s">
        <v>21</v>
      </c>
      <c r="I385" s="2" t="s">
        <v>1045</v>
      </c>
      <c r="J385" s="3" t="str">
        <f>HYPERLINK("https://www.boe.es/gazeta/dias/1820/08/27/pdfs/GGB-1820-60.pdf#page=4","Abrir facsímil")</f>
        <v>Abrir facsímil</v>
      </c>
      <c r="K385" s="3" t="s">
        <v>23</v>
      </c>
    </row>
    <row r="386" spans="1:11" ht="42" customHeight="1">
      <c r="A386" s="2" t="s">
        <v>1026</v>
      </c>
      <c r="B386" s="2" t="s">
        <v>1026</v>
      </c>
      <c r="C386" s="2" t="s">
        <v>17</v>
      </c>
      <c r="D386" s="2" t="s">
        <v>18</v>
      </c>
      <c r="E386" s="5">
        <v>-28976</v>
      </c>
      <c r="F386" s="3" t="s">
        <v>689</v>
      </c>
      <c r="G386" s="3" t="s">
        <v>43</v>
      </c>
      <c r="H386" s="2" t="s">
        <v>21</v>
      </c>
      <c r="I386" s="2" t="s">
        <v>1046</v>
      </c>
      <c r="J386" s="3" t="str">
        <f>HYPERLINK("https://www.boe.es/gazeta/dias/1820/08/30/pdfs/GGB-1820-63.pdf#page=2","Abrir facsímil")</f>
        <v>Abrir facsímil</v>
      </c>
      <c r="K386" s="3" t="s">
        <v>23</v>
      </c>
    </row>
    <row r="387" spans="1:11" ht="42" customHeight="1">
      <c r="A387" s="2" t="s">
        <v>1026</v>
      </c>
      <c r="B387" s="2" t="s">
        <v>1026</v>
      </c>
      <c r="C387" s="2" t="s">
        <v>26</v>
      </c>
      <c r="D387" s="2" t="s">
        <v>27</v>
      </c>
      <c r="E387" s="5">
        <v>-28976</v>
      </c>
      <c r="F387" s="3" t="s">
        <v>689</v>
      </c>
      <c r="G387" s="3" t="s">
        <v>20</v>
      </c>
      <c r="H387" s="2" t="s">
        <v>21</v>
      </c>
      <c r="I387" s="2" t="s">
        <v>1047</v>
      </c>
      <c r="J387" s="3" t="str">
        <f>HYPERLINK("https://www.boe.es/gazeta/dias/1820/08/30/pdfs/GGB-1820-63.pdf#page=4","Abrir facsímil")</f>
        <v>Abrir facsímil</v>
      </c>
      <c r="K387" s="3" t="s">
        <v>23</v>
      </c>
    </row>
    <row r="388" spans="1:11" ht="42" customHeight="1">
      <c r="A388" s="2" t="s">
        <v>1026</v>
      </c>
      <c r="B388" s="2" t="s">
        <v>1026</v>
      </c>
      <c r="C388" s="2" t="s">
        <v>26</v>
      </c>
      <c r="D388" s="2" t="s">
        <v>27</v>
      </c>
      <c r="E388" s="5">
        <v>-28960</v>
      </c>
      <c r="F388" s="3" t="s">
        <v>704</v>
      </c>
      <c r="G388" s="3" t="s">
        <v>62</v>
      </c>
      <c r="H388" s="2" t="s">
        <v>21</v>
      </c>
      <c r="I388" s="2" t="s">
        <v>1048</v>
      </c>
      <c r="J388" s="3" t="str">
        <f>HYPERLINK("https://www.boe.es/gazeta/dias/1820/09/15/pdfs/GGB-1820-79.pdf#page=3","Abrir facsímil")</f>
        <v>Abrir facsímil</v>
      </c>
      <c r="K388" s="3" t="s">
        <v>23</v>
      </c>
    </row>
    <row r="389" spans="1:11" ht="42" customHeight="1">
      <c r="A389" s="2" t="s">
        <v>1026</v>
      </c>
      <c r="B389" s="2" t="s">
        <v>1026</v>
      </c>
      <c r="C389" s="2" t="s">
        <v>293</v>
      </c>
      <c r="D389" s="2" t="s">
        <v>18</v>
      </c>
      <c r="E389" s="5">
        <v>-28959</v>
      </c>
      <c r="F389" s="3" t="s">
        <v>37</v>
      </c>
      <c r="G389" s="3" t="s">
        <v>20</v>
      </c>
      <c r="H389" s="2" t="s">
        <v>21</v>
      </c>
      <c r="I389" s="2" t="s">
        <v>1049</v>
      </c>
      <c r="J389" s="3" t="str">
        <f>HYPERLINK("https://www.boe.es/gazeta/dias/1820/09/16/pdfs/GGB-1820-80.pdf#page=4","Abrir facsímil")</f>
        <v>Abrir facsímil</v>
      </c>
      <c r="K389" s="3" t="s">
        <v>23</v>
      </c>
    </row>
    <row r="390" spans="1:11" ht="42" customHeight="1">
      <c r="A390" s="2" t="s">
        <v>1026</v>
      </c>
      <c r="B390" s="2" t="s">
        <v>1026</v>
      </c>
      <c r="C390" s="2" t="s">
        <v>26</v>
      </c>
      <c r="D390" s="2" t="s">
        <v>27</v>
      </c>
      <c r="E390" s="5">
        <v>-28958</v>
      </c>
      <c r="F390" s="3" t="s">
        <v>706</v>
      </c>
      <c r="G390" s="3" t="s">
        <v>43</v>
      </c>
      <c r="H390" s="2" t="s">
        <v>21</v>
      </c>
      <c r="I390" s="2" t="s">
        <v>1050</v>
      </c>
      <c r="J390" s="3" t="str">
        <f>HYPERLINK("https://www.boe.es/gazeta/dias/1820/09/17/pdfs/GGB-1820-81.pdf#page=2","Abrir facsímil")</f>
        <v>Abrir facsímil</v>
      </c>
      <c r="K390" s="3" t="s">
        <v>23</v>
      </c>
    </row>
    <row r="391" spans="1:11" ht="42" customHeight="1">
      <c r="A391" s="2" t="s">
        <v>1026</v>
      </c>
      <c r="B391" s="2" t="s">
        <v>1026</v>
      </c>
      <c r="C391" s="2" t="s">
        <v>17</v>
      </c>
      <c r="D391" s="2" t="s">
        <v>18</v>
      </c>
      <c r="E391" s="5">
        <v>-28953</v>
      </c>
      <c r="F391" s="3" t="s">
        <v>367</v>
      </c>
      <c r="G391" s="3" t="s">
        <v>62</v>
      </c>
      <c r="H391" s="2" t="s">
        <v>21</v>
      </c>
      <c r="I391" s="2" t="s">
        <v>1051</v>
      </c>
      <c r="J391" s="3" t="str">
        <f>HYPERLINK("https://www.boe.es/gazeta/dias/1820/09/22/pdfs/GGB-1820-86.pdf#page=3","Abrir facsímil")</f>
        <v>Abrir facsímil</v>
      </c>
      <c r="K391" s="3" t="s">
        <v>23</v>
      </c>
    </row>
    <row r="392" spans="1:11" ht="42" customHeight="1">
      <c r="A392" s="2" t="s">
        <v>1026</v>
      </c>
      <c r="B392" s="2" t="s">
        <v>1026</v>
      </c>
      <c r="C392" s="2" t="s">
        <v>35</v>
      </c>
      <c r="D392" s="2" t="s">
        <v>36</v>
      </c>
      <c r="E392" s="5">
        <v>-28950</v>
      </c>
      <c r="F392" s="3" t="s">
        <v>1052</v>
      </c>
      <c r="G392" s="3" t="s">
        <v>62</v>
      </c>
      <c r="H392" s="2" t="s">
        <v>21</v>
      </c>
      <c r="I392" s="2" t="s">
        <v>1053</v>
      </c>
      <c r="J392" s="3" t="str">
        <f>HYPERLINK("https://www.boe.es/gazeta/dias/1820/09/25/pdfs/GGB-1820-89.pdf#page=3","Abrir facsímil")</f>
        <v>Abrir facsímil</v>
      </c>
      <c r="K392" s="3" t="s">
        <v>23</v>
      </c>
    </row>
    <row r="393" spans="1:11" ht="42" customHeight="1">
      <c r="A393" s="2" t="s">
        <v>1026</v>
      </c>
      <c r="B393" s="2" t="s">
        <v>1026</v>
      </c>
      <c r="C393" s="2" t="s">
        <v>26</v>
      </c>
      <c r="D393" s="2" t="s">
        <v>27</v>
      </c>
      <c r="E393" s="5">
        <v>-28949</v>
      </c>
      <c r="F393" s="3" t="s">
        <v>178</v>
      </c>
      <c r="G393" s="3" t="s">
        <v>20</v>
      </c>
      <c r="H393" s="2" t="s">
        <v>21</v>
      </c>
      <c r="I393" s="2" t="s">
        <v>1054</v>
      </c>
      <c r="J393" s="3" t="str">
        <f>HYPERLINK("https://www.boe.es/gazeta/dias/1820/09/26/pdfs/GGB-1820-90.pdf#page=4","Abrir facsímil")</f>
        <v>Abrir facsímil</v>
      </c>
      <c r="K393" s="3" t="s">
        <v>23</v>
      </c>
    </row>
    <row r="394" spans="1:11" ht="42" customHeight="1">
      <c r="A394" s="2" t="s">
        <v>1026</v>
      </c>
      <c r="B394" s="2" t="s">
        <v>1026</v>
      </c>
      <c r="C394" s="2" t="s">
        <v>35</v>
      </c>
      <c r="D394" s="2" t="s">
        <v>36</v>
      </c>
      <c r="E394" s="5">
        <v>-28946</v>
      </c>
      <c r="F394" s="3" t="s">
        <v>1055</v>
      </c>
      <c r="G394" s="3" t="s">
        <v>43</v>
      </c>
      <c r="H394" s="2" t="s">
        <v>21</v>
      </c>
      <c r="I394" s="2" t="s">
        <v>1056</v>
      </c>
      <c r="J394" s="3" t="str">
        <f>HYPERLINK("https://www.boe.es/gazeta/dias/1820/09/29/pdfs/GGB-1820-93.pdf#page=2","Abrir facsímil")</f>
        <v>Abrir facsímil</v>
      </c>
      <c r="K394" s="3" t="s">
        <v>23</v>
      </c>
    </row>
    <row r="395" spans="1:11" ht="42" customHeight="1">
      <c r="A395" s="2" t="s">
        <v>1026</v>
      </c>
      <c r="B395" s="2" t="s">
        <v>1026</v>
      </c>
      <c r="C395" s="2" t="s">
        <v>74</v>
      </c>
      <c r="D395" s="2" t="s">
        <v>18</v>
      </c>
      <c r="E395" s="5">
        <v>-28945</v>
      </c>
      <c r="F395" s="3" t="s">
        <v>99</v>
      </c>
      <c r="G395" s="3" t="s">
        <v>62</v>
      </c>
      <c r="H395" s="2" t="s">
        <v>21</v>
      </c>
      <c r="I395" s="2" t="s">
        <v>1057</v>
      </c>
      <c r="J395" s="3" t="str">
        <f>HYPERLINK("https://www.boe.es/gazeta/dias/1820/09/30/pdfs/GGB-1820-94.pdf#page=3","Abrir facsímil")</f>
        <v>Abrir facsímil</v>
      </c>
      <c r="K395" s="3" t="s">
        <v>23</v>
      </c>
    </row>
    <row r="396" spans="1:11" ht="42" customHeight="1">
      <c r="A396" s="2" t="s">
        <v>1026</v>
      </c>
      <c r="B396" s="2" t="s">
        <v>1026</v>
      </c>
      <c r="C396" s="2" t="s">
        <v>107</v>
      </c>
      <c r="D396" s="2" t="s">
        <v>18</v>
      </c>
      <c r="E396" s="5">
        <v>-28945</v>
      </c>
      <c r="F396" s="3" t="s">
        <v>99</v>
      </c>
      <c r="G396" s="3" t="s">
        <v>20</v>
      </c>
      <c r="H396" s="2" t="s">
        <v>21</v>
      </c>
      <c r="I396" s="2" t="s">
        <v>1058</v>
      </c>
      <c r="J396" s="3" t="str">
        <f>HYPERLINK("https://www.boe.es/gazeta/dias/1820/09/30/pdfs/GGB-1820-94.pdf#page=4","Abrir facsímil")</f>
        <v>Abrir facsímil</v>
      </c>
      <c r="K396" s="3" t="s">
        <v>23</v>
      </c>
    </row>
    <row r="397" spans="1:11" ht="42" customHeight="1">
      <c r="A397" s="2" t="s">
        <v>1026</v>
      </c>
      <c r="B397" s="2" t="s">
        <v>1026</v>
      </c>
      <c r="C397" s="2" t="s">
        <v>26</v>
      </c>
      <c r="D397" s="2" t="s">
        <v>27</v>
      </c>
      <c r="E397" s="5">
        <v>-28922</v>
      </c>
      <c r="F397" s="3" t="s">
        <v>735</v>
      </c>
      <c r="G397" s="3" t="s">
        <v>62</v>
      </c>
      <c r="H397" s="2" t="s">
        <v>21</v>
      </c>
      <c r="I397" s="2" t="s">
        <v>1059</v>
      </c>
      <c r="J397" s="3" t="str">
        <f>HYPERLINK("https://www.boe.es/gazeta/dias/1820/10/23/pdfs/GGB-1820-117.pdf#page=3","Abrir facsímil")</f>
        <v>Abrir facsímil</v>
      </c>
      <c r="K397" s="3" t="s">
        <v>23</v>
      </c>
    </row>
    <row r="398" spans="1:11" ht="42" customHeight="1">
      <c r="A398" s="2" t="s">
        <v>1026</v>
      </c>
      <c r="B398" s="2" t="s">
        <v>1026</v>
      </c>
      <c r="C398" s="2" t="s">
        <v>35</v>
      </c>
      <c r="D398" s="2" t="s">
        <v>36</v>
      </c>
      <c r="E398" s="5">
        <v>-28908</v>
      </c>
      <c r="F398" s="3" t="s">
        <v>1060</v>
      </c>
      <c r="G398" s="3" t="s">
        <v>43</v>
      </c>
      <c r="H398" s="2" t="s">
        <v>21</v>
      </c>
      <c r="I398" s="2" t="s">
        <v>1061</v>
      </c>
      <c r="J398" s="3" t="str">
        <f>HYPERLINK("https://www.boe.es/gazeta/dias/1820/11/06/pdfs/GGB-1820-131.pdf#page=2","Abrir facsímil")</f>
        <v>Abrir facsímil</v>
      </c>
      <c r="K398" s="3" t="s">
        <v>23</v>
      </c>
    </row>
    <row r="399" spans="1:11" ht="42" customHeight="1">
      <c r="A399" s="2" t="s">
        <v>1026</v>
      </c>
      <c r="B399" s="2" t="s">
        <v>1026</v>
      </c>
      <c r="C399" s="2" t="s">
        <v>35</v>
      </c>
      <c r="D399" s="2" t="s">
        <v>36</v>
      </c>
      <c r="E399" s="5">
        <v>-28905</v>
      </c>
      <c r="F399" s="3" t="s">
        <v>749</v>
      </c>
      <c r="G399" s="3" t="s">
        <v>62</v>
      </c>
      <c r="H399" s="2" t="s">
        <v>21</v>
      </c>
      <c r="I399" s="2" t="s">
        <v>1062</v>
      </c>
      <c r="J399" s="3" t="str">
        <f>HYPERLINK("https://www.boe.es/gazeta/dias/1820/11/09/pdfs/GGB-1820-134.pdf#page=3","Abrir facsímil")</f>
        <v>Abrir facsímil</v>
      </c>
      <c r="K399" s="3" t="s">
        <v>23</v>
      </c>
    </row>
    <row r="400" spans="1:11" ht="42" customHeight="1">
      <c r="A400" s="2" t="s">
        <v>1063</v>
      </c>
      <c r="B400" s="2" t="s">
        <v>1064</v>
      </c>
      <c r="C400" s="2" t="s">
        <v>74</v>
      </c>
      <c r="D400" s="2" t="s">
        <v>18</v>
      </c>
      <c r="E400" s="5">
        <v>-28913</v>
      </c>
      <c r="F400" s="3" t="s">
        <v>230</v>
      </c>
      <c r="G400" s="3" t="s">
        <v>20</v>
      </c>
      <c r="H400" s="2" t="s">
        <v>21</v>
      </c>
      <c r="I400" s="2" t="s">
        <v>1065</v>
      </c>
      <c r="J400" s="3" t="str">
        <f>HYPERLINK("https://www.boe.es/gazeta/dias/1820/11/01/pdfs/GGB-1820-126.pdf#page=4","Abrir facsímil")</f>
        <v>Abrir facsímil</v>
      </c>
      <c r="K400" s="3" t="s">
        <v>23</v>
      </c>
    </row>
    <row r="401" spans="1:11" ht="42" customHeight="1">
      <c r="A401" s="2" t="s">
        <v>1066</v>
      </c>
      <c r="B401" s="2" t="s">
        <v>1067</v>
      </c>
      <c r="C401" s="2" t="s">
        <v>74</v>
      </c>
      <c r="D401" s="2" t="s">
        <v>18</v>
      </c>
      <c r="E401" s="5">
        <v>-28951</v>
      </c>
      <c r="F401" s="3" t="s">
        <v>622</v>
      </c>
      <c r="G401" s="3" t="s">
        <v>62</v>
      </c>
      <c r="H401" s="2" t="s">
        <v>21</v>
      </c>
      <c r="I401" s="2" t="s">
        <v>1068</v>
      </c>
      <c r="J401" s="3" t="str">
        <f>HYPERLINK("https://www.boe.es/gazeta/dias/1820/09/24/pdfs/GGB-1820-88.pdf#page=3","Abrir facsímil")</f>
        <v>Abrir facsímil</v>
      </c>
      <c r="K401" s="3" t="s">
        <v>23</v>
      </c>
    </row>
    <row r="402" spans="1:11" ht="42" customHeight="1">
      <c r="A402" s="2" t="s">
        <v>1066</v>
      </c>
      <c r="B402" s="2" t="s">
        <v>1067</v>
      </c>
      <c r="C402" s="2" t="s">
        <v>26</v>
      </c>
      <c r="D402" s="2" t="s">
        <v>27</v>
      </c>
      <c r="E402" s="5">
        <v>-28948</v>
      </c>
      <c r="F402" s="3" t="s">
        <v>1069</v>
      </c>
      <c r="G402" s="3" t="s">
        <v>20</v>
      </c>
      <c r="H402" s="2" t="s">
        <v>21</v>
      </c>
      <c r="I402" s="2" t="s">
        <v>1070</v>
      </c>
      <c r="J402" s="3" t="str">
        <f>HYPERLINK("https://www.boe.es/gazeta/dias/1820/09/27/pdfs/GGB-1820-91.pdf#page=4","Abrir facsímil")</f>
        <v>Abrir facsímil</v>
      </c>
      <c r="K402" s="3" t="s">
        <v>23</v>
      </c>
    </row>
    <row r="403" spans="1:11" ht="42" customHeight="1">
      <c r="A403" s="2" t="s">
        <v>1071</v>
      </c>
      <c r="B403" s="2" t="s">
        <v>1072</v>
      </c>
      <c r="C403" s="2" t="s">
        <v>111</v>
      </c>
      <c r="D403" s="2" t="s">
        <v>18</v>
      </c>
      <c r="E403" s="5">
        <v>-29006</v>
      </c>
      <c r="F403" s="3" t="s">
        <v>609</v>
      </c>
      <c r="G403" s="3" t="s">
        <v>1073</v>
      </c>
      <c r="H403" s="2" t="s">
        <v>21</v>
      </c>
      <c r="I403" s="2" t="s">
        <v>1074</v>
      </c>
      <c r="J403" s="3" t="str">
        <f>HYPERLINK("https://www.boe.es/gazeta/dias/1820/07/31/pdfs/GGB-1820-33.pdf#page=4","Abrir facsímil")</f>
        <v>Abrir facsímil</v>
      </c>
      <c r="K403" s="3" t="s">
        <v>23</v>
      </c>
    </row>
    <row r="404" spans="1:11" ht="42" customHeight="1">
      <c r="A404" s="2" t="s">
        <v>1075</v>
      </c>
      <c r="B404" s="2" t="s">
        <v>1076</v>
      </c>
      <c r="C404" s="2" t="s">
        <v>17</v>
      </c>
      <c r="D404" s="2" t="s">
        <v>18</v>
      </c>
      <c r="E404" s="5">
        <v>-29141</v>
      </c>
      <c r="F404" s="3" t="s">
        <v>319</v>
      </c>
      <c r="G404" s="3" t="s">
        <v>38</v>
      </c>
      <c r="H404" s="2" t="s">
        <v>21</v>
      </c>
      <c r="I404" s="2" t="s">
        <v>1077</v>
      </c>
      <c r="J404" s="3" t="str">
        <f>HYPERLINK("https://www.boe.es/gazeta/dias/1820/03/18/pdfs/GMD-1820-44.pdf#page=6","Abrir facsímil")</f>
        <v>Abrir facsímil</v>
      </c>
      <c r="K404" s="3" t="s">
        <v>23</v>
      </c>
    </row>
    <row r="405" spans="1:11" ht="42" customHeight="1">
      <c r="A405" s="2" t="s">
        <v>1078</v>
      </c>
      <c r="B405" s="2" t="s">
        <v>1079</v>
      </c>
      <c r="C405" s="2" t="s">
        <v>17</v>
      </c>
      <c r="D405" s="2" t="s">
        <v>18</v>
      </c>
      <c r="E405" s="5">
        <v>-29080</v>
      </c>
      <c r="F405" s="3" t="s">
        <v>1031</v>
      </c>
      <c r="G405" s="3" t="s">
        <v>1080</v>
      </c>
      <c r="H405" s="2" t="s">
        <v>21</v>
      </c>
      <c r="I405" s="2" t="s">
        <v>1081</v>
      </c>
      <c r="J405" s="3" t="str">
        <f>HYPERLINK("https://www.boe.es/gazeta/dias/1820/05/18/pdfs/GMD-1820-82.pdf#page=8","Abrir facsímil")</f>
        <v>Abrir facsímil</v>
      </c>
      <c r="K405" s="3" t="s">
        <v>23</v>
      </c>
    </row>
    <row r="406" spans="1:11" ht="42" customHeight="1">
      <c r="A406" s="2" t="s">
        <v>1082</v>
      </c>
      <c r="B406" s="2" t="s">
        <v>1082</v>
      </c>
      <c r="C406" s="2" t="s">
        <v>111</v>
      </c>
      <c r="D406" s="2" t="s">
        <v>18</v>
      </c>
      <c r="E406" s="5">
        <v>-29047</v>
      </c>
      <c r="F406" s="3" t="s">
        <v>1033</v>
      </c>
      <c r="G406" s="3" t="s">
        <v>1083</v>
      </c>
      <c r="H406" s="2" t="s">
        <v>21</v>
      </c>
      <c r="I406" s="2" t="s">
        <v>1084</v>
      </c>
      <c r="J406" s="3" t="str">
        <f>HYPERLINK("https://www.boe.es/gazeta/dias/1820/06/20/pdfs/GMD-1820-96.pdf#page=12","Abrir facsímil")</f>
        <v>Abrir facsímil</v>
      </c>
      <c r="K406" s="3" t="s">
        <v>23</v>
      </c>
    </row>
    <row r="407" spans="1:11" ht="42" customHeight="1">
      <c r="A407" s="2" t="s">
        <v>1085</v>
      </c>
      <c r="B407" s="2" t="s">
        <v>1086</v>
      </c>
      <c r="C407" s="2" t="s">
        <v>111</v>
      </c>
      <c r="D407" s="2" t="s">
        <v>18</v>
      </c>
      <c r="E407" s="5">
        <v>-28991</v>
      </c>
      <c r="F407" s="3" t="s">
        <v>213</v>
      </c>
      <c r="G407" s="3" t="s">
        <v>675</v>
      </c>
      <c r="H407" s="2" t="s">
        <v>21</v>
      </c>
      <c r="I407" s="2" t="s">
        <v>1087</v>
      </c>
      <c r="J407" s="3" t="str">
        <f>HYPERLINK("https://www.boe.es/gazeta/dias/1820/08/15/pdfs/GGB-1820-48.pdf#page=4","Abrir facsímil")</f>
        <v>Abrir facsímil</v>
      </c>
      <c r="K407" s="3" t="s">
        <v>23</v>
      </c>
    </row>
    <row r="408" spans="1:11" ht="42" customHeight="1">
      <c r="A408" s="2" t="s">
        <v>1088</v>
      </c>
      <c r="B408" s="2" t="s">
        <v>1088</v>
      </c>
      <c r="C408" s="2" t="s">
        <v>35</v>
      </c>
      <c r="D408" s="2" t="s">
        <v>310</v>
      </c>
      <c r="E408" s="5">
        <v>-29136</v>
      </c>
      <c r="F408" s="3" t="s">
        <v>1089</v>
      </c>
      <c r="G408" s="3" t="s">
        <v>128</v>
      </c>
      <c r="H408" s="2" t="s">
        <v>21</v>
      </c>
      <c r="I408" s="2" t="s">
        <v>1090</v>
      </c>
      <c r="J408" s="3" t="str">
        <f>HYPERLINK("https://www.boe.es/gazeta/dias/1820/03/23/pdfs/GMD-1820-52E.pdf#page=1","Abrir facsímil")</f>
        <v>Abrir facsímil</v>
      </c>
      <c r="K408" s="3" t="s">
        <v>23</v>
      </c>
    </row>
    <row r="409" spans="1:11" ht="42" customHeight="1">
      <c r="A409" s="2" t="s">
        <v>1091</v>
      </c>
      <c r="B409" s="2" t="s">
        <v>1091</v>
      </c>
      <c r="C409" s="2" t="s">
        <v>35</v>
      </c>
      <c r="D409" s="2" t="s">
        <v>36</v>
      </c>
      <c r="E409" s="5">
        <v>-28927</v>
      </c>
      <c r="F409" s="3" t="s">
        <v>345</v>
      </c>
      <c r="G409" s="3" t="s">
        <v>20</v>
      </c>
      <c r="H409" s="2" t="s">
        <v>21</v>
      </c>
      <c r="I409" s="2" t="s">
        <v>1092</v>
      </c>
      <c r="J409" s="3" t="str">
        <f>HYPERLINK("https://www.boe.es/gazeta/dias/1820/10/18/pdfs/GGB-1820-112.pdf#page=4","Abrir facsímil")</f>
        <v>Abrir facsímil</v>
      </c>
      <c r="K409" s="3" t="s">
        <v>23</v>
      </c>
    </row>
    <row r="410" spans="1:11" ht="42" customHeight="1">
      <c r="A410" s="2" t="s">
        <v>1093</v>
      </c>
      <c r="B410" s="2" t="s">
        <v>1094</v>
      </c>
      <c r="C410" s="2" t="s">
        <v>74</v>
      </c>
      <c r="D410" s="2" t="s">
        <v>18</v>
      </c>
      <c r="E410" s="5">
        <v>-28952</v>
      </c>
      <c r="F410" s="3" t="s">
        <v>370</v>
      </c>
      <c r="G410" s="3" t="s">
        <v>62</v>
      </c>
      <c r="H410" s="2" t="s">
        <v>21</v>
      </c>
      <c r="I410" s="2" t="s">
        <v>1095</v>
      </c>
      <c r="J410" s="3" t="str">
        <f>HYPERLINK("https://www.boe.es/gazeta/dias/1820/09/23/pdfs/GGB-1820-87.pdf#page=3","Abrir facsímil")</f>
        <v>Abrir facsímil</v>
      </c>
      <c r="K410" s="3" t="s">
        <v>23</v>
      </c>
    </row>
    <row r="411" spans="1:11" ht="42" customHeight="1">
      <c r="A411" s="2" t="s">
        <v>1096</v>
      </c>
      <c r="B411" s="2" t="s">
        <v>1097</v>
      </c>
      <c r="C411" s="2" t="s">
        <v>26</v>
      </c>
      <c r="D411" s="2" t="s">
        <v>27</v>
      </c>
      <c r="E411" s="5">
        <v>-28975</v>
      </c>
      <c r="F411" s="3" t="s">
        <v>182</v>
      </c>
      <c r="G411" s="3" t="s">
        <v>183</v>
      </c>
      <c r="H411" s="2" t="s">
        <v>21</v>
      </c>
      <c r="I411" s="2" t="s">
        <v>1098</v>
      </c>
      <c r="J411" s="3" t="str">
        <f>HYPERLINK("https://www.boe.es/gazeta/dias/1820/08/31/pdfs/GGB-1820-64.pdf#page=4","Abrir facsímil")</f>
        <v>Abrir facsímil</v>
      </c>
      <c r="K411" s="3" t="s">
        <v>23</v>
      </c>
    </row>
    <row r="412" spans="1:11" ht="42" customHeight="1">
      <c r="A412" s="2" t="s">
        <v>1099</v>
      </c>
      <c r="B412" s="2" t="s">
        <v>1100</v>
      </c>
      <c r="C412" s="2" t="s">
        <v>74</v>
      </c>
      <c r="D412" s="2" t="s">
        <v>18</v>
      </c>
      <c r="E412" s="5">
        <v>-29007</v>
      </c>
      <c r="F412" s="3" t="s">
        <v>251</v>
      </c>
      <c r="G412" s="3" t="s">
        <v>20</v>
      </c>
      <c r="H412" s="2" t="s">
        <v>21</v>
      </c>
      <c r="I412" s="2" t="s">
        <v>1101</v>
      </c>
      <c r="J412" s="3" t="str">
        <f>HYPERLINK("https://www.boe.es/gazeta/dias/1820/07/30/pdfs/GGB-1820-32.pdf#page=4","Abrir facsímil")</f>
        <v>Abrir facsímil</v>
      </c>
      <c r="K412" s="3" t="s">
        <v>23</v>
      </c>
    </row>
    <row r="413" spans="1:11" ht="42" customHeight="1">
      <c r="A413" s="2" t="s">
        <v>1102</v>
      </c>
      <c r="B413" s="2" t="s">
        <v>1103</v>
      </c>
      <c r="C413" s="2" t="s">
        <v>35</v>
      </c>
      <c r="D413" s="2" t="s">
        <v>36</v>
      </c>
      <c r="E413" s="5">
        <v>-29010</v>
      </c>
      <c r="F413" s="3" t="s">
        <v>664</v>
      </c>
      <c r="G413" s="3" t="s">
        <v>665</v>
      </c>
      <c r="H413" s="2" t="s">
        <v>21</v>
      </c>
      <c r="I413" s="2" t="s">
        <v>1104</v>
      </c>
      <c r="J413" s="3" t="str">
        <f>HYPERLINK("https://www.boe.es/gazeta/dias/1820/07/27/pdfs/GGB-1820-29.pdf#page=2","Abrir facsímil")</f>
        <v>Abrir facsímil</v>
      </c>
      <c r="K413" s="3" t="s">
        <v>23</v>
      </c>
    </row>
    <row r="414" spans="1:11" ht="42" customHeight="1">
      <c r="A414" s="2" t="s">
        <v>1105</v>
      </c>
      <c r="B414" s="2" t="s">
        <v>1106</v>
      </c>
      <c r="C414" s="2" t="s">
        <v>35</v>
      </c>
      <c r="D414" s="2" t="s">
        <v>36</v>
      </c>
      <c r="E414" s="5">
        <v>-28977</v>
      </c>
      <c r="F414" s="3" t="s">
        <v>687</v>
      </c>
      <c r="G414" s="3" t="s">
        <v>43</v>
      </c>
      <c r="H414" s="2" t="s">
        <v>21</v>
      </c>
      <c r="I414" s="2" t="s">
        <v>1107</v>
      </c>
      <c r="J414" s="3" t="str">
        <f>HYPERLINK("https://www.boe.es/gazeta/dias/1820/08/29/pdfs/GGB-1820-62.pdf#page=2","Abrir facsímil")</f>
        <v>Abrir facsímil</v>
      </c>
      <c r="K414" s="3" t="s">
        <v>23</v>
      </c>
    </row>
    <row r="415" spans="1:11" ht="42" customHeight="1">
      <c r="A415" s="2" t="s">
        <v>1108</v>
      </c>
      <c r="B415" s="2" t="s">
        <v>1109</v>
      </c>
      <c r="C415" s="2" t="s">
        <v>17</v>
      </c>
      <c r="D415" s="2" t="s">
        <v>18</v>
      </c>
      <c r="E415" s="5">
        <v>-28900</v>
      </c>
      <c r="F415" s="3" t="s">
        <v>878</v>
      </c>
      <c r="G415" s="3" t="s">
        <v>20</v>
      </c>
      <c r="H415" s="2" t="s">
        <v>30</v>
      </c>
      <c r="I415" s="2" t="s">
        <v>1110</v>
      </c>
      <c r="J415" s="3" t="str">
        <f>HYPERLINK("https://www.boe.es/gazeta/dias/1820/11/14/pdfs/GGB-1820-140.pdf#page=4","Abrir facsímil")</f>
        <v>Abrir facsímil</v>
      </c>
      <c r="K415" s="3" t="s">
        <v>32</v>
      </c>
    </row>
    <row r="416" spans="1:11" ht="42" customHeight="1">
      <c r="A416" s="2" t="s">
        <v>1111</v>
      </c>
      <c r="B416" s="2" t="s">
        <v>1112</v>
      </c>
      <c r="C416" s="2" t="s">
        <v>26</v>
      </c>
      <c r="D416" s="2" t="s">
        <v>27</v>
      </c>
      <c r="E416" s="5">
        <v>-29213</v>
      </c>
      <c r="F416" s="3" t="s">
        <v>195</v>
      </c>
      <c r="G416" s="3" t="s">
        <v>821</v>
      </c>
      <c r="H416" s="2" t="s">
        <v>21</v>
      </c>
      <c r="I416" s="2" t="s">
        <v>1113</v>
      </c>
      <c r="J416" s="3" t="str">
        <f>HYPERLINK("https://www.boe.es/gazeta/dias/1820/01/06/pdfs/GMD-1820-3.pdf#page=6","Abrir facsímil")</f>
        <v>Abrir facsímil</v>
      </c>
      <c r="K416" s="3" t="s">
        <v>23</v>
      </c>
    </row>
    <row r="417" spans="1:11" ht="42" customHeight="1">
      <c r="A417" s="2" t="s">
        <v>1114</v>
      </c>
      <c r="B417" s="2" t="s">
        <v>1115</v>
      </c>
      <c r="C417" s="2" t="s">
        <v>26</v>
      </c>
      <c r="D417" s="2" t="s">
        <v>27</v>
      </c>
      <c r="E417" s="5">
        <v>-29173</v>
      </c>
      <c r="F417" s="3" t="s">
        <v>829</v>
      </c>
      <c r="G417" s="3" t="s">
        <v>256</v>
      </c>
      <c r="H417" s="2" t="s">
        <v>21</v>
      </c>
      <c r="I417" s="2" t="s">
        <v>1116</v>
      </c>
      <c r="J417" s="3" t="str">
        <f>HYPERLINK("https://www.boe.es/gazeta/dias/1820/02/15/pdfs/GMD-1820-20.pdf#page=5","Abrir facsímil")</f>
        <v>Abrir facsímil</v>
      </c>
      <c r="K417" s="3" t="s">
        <v>23</v>
      </c>
    </row>
    <row r="418" spans="1:11" ht="42" customHeight="1">
      <c r="A418" s="2" t="s">
        <v>1117</v>
      </c>
      <c r="B418" s="2" t="s">
        <v>1117</v>
      </c>
      <c r="C418" s="2" t="s">
        <v>74</v>
      </c>
      <c r="D418" s="2" t="s">
        <v>18</v>
      </c>
      <c r="E418" s="5">
        <v>-28970</v>
      </c>
      <c r="F418" s="3" t="s">
        <v>693</v>
      </c>
      <c r="G418" s="3" t="s">
        <v>62</v>
      </c>
      <c r="H418" s="2" t="s">
        <v>21</v>
      </c>
      <c r="I418" s="2" t="s">
        <v>1118</v>
      </c>
      <c r="J418" s="3" t="str">
        <f>HYPERLINK("https://www.boe.es/gazeta/dias/1820/09/05/pdfs/GGB-1820-69.pdf#page=3","Abrir facsímil")</f>
        <v>Abrir facsímil</v>
      </c>
      <c r="K418" s="3" t="s">
        <v>23</v>
      </c>
    </row>
    <row r="419" spans="1:11" ht="42" customHeight="1">
      <c r="A419" s="2" t="s">
        <v>1119</v>
      </c>
      <c r="B419" s="2" t="s">
        <v>1120</v>
      </c>
      <c r="C419" s="2" t="s">
        <v>35</v>
      </c>
      <c r="D419" s="2" t="s">
        <v>36</v>
      </c>
      <c r="E419" s="5">
        <v>-29030</v>
      </c>
      <c r="F419" s="3" t="s">
        <v>789</v>
      </c>
      <c r="G419" s="3" t="s">
        <v>62</v>
      </c>
      <c r="H419" s="2" t="s">
        <v>21</v>
      </c>
      <c r="I419" s="2" t="s">
        <v>1121</v>
      </c>
      <c r="J419" s="3" t="str">
        <f>HYPERLINK("https://www.boe.es/gazeta/dias/1820/07/07/pdfs/GGB-1820-8.pdf#page=3","Abrir facsímil")</f>
        <v>Abrir facsímil</v>
      </c>
      <c r="K419" s="3" t="s">
        <v>23</v>
      </c>
    </row>
    <row r="420" spans="1:11" ht="42" customHeight="1">
      <c r="A420" s="2" t="s">
        <v>1122</v>
      </c>
      <c r="B420" s="2" t="s">
        <v>1123</v>
      </c>
      <c r="C420" s="2" t="s">
        <v>35</v>
      </c>
      <c r="D420" s="2" t="s">
        <v>310</v>
      </c>
      <c r="E420" s="5">
        <v>-29136</v>
      </c>
      <c r="F420" s="3" t="s">
        <v>1089</v>
      </c>
      <c r="G420" s="3" t="s">
        <v>128</v>
      </c>
      <c r="H420" s="2" t="s">
        <v>21</v>
      </c>
      <c r="I420" s="2" t="s">
        <v>1124</v>
      </c>
      <c r="J420" s="3" t="str">
        <f>HYPERLINK("https://www.boe.es/gazeta/dias/1820/03/23/pdfs/GMD-1820-52E.pdf#page=1","Abrir facsímil")</f>
        <v>Abrir facsímil</v>
      </c>
      <c r="K420" s="3" t="s">
        <v>23</v>
      </c>
    </row>
    <row r="421" spans="1:11" ht="42" customHeight="1">
      <c r="A421" s="2" t="s">
        <v>1122</v>
      </c>
      <c r="B421" s="2" t="s">
        <v>1123</v>
      </c>
      <c r="C421" s="2" t="s">
        <v>35</v>
      </c>
      <c r="D421" s="2" t="s">
        <v>36</v>
      </c>
      <c r="E421" s="5">
        <v>-29040</v>
      </c>
      <c r="F421" s="3" t="s">
        <v>1125</v>
      </c>
      <c r="G421" s="3" t="s">
        <v>38</v>
      </c>
      <c r="H421" s="2" t="s">
        <v>21</v>
      </c>
      <c r="I421" s="2" t="s">
        <v>1126</v>
      </c>
      <c r="J421" s="3" t="str">
        <f>HYPERLINK("https://www.boe.es/gazeta/dias/1820/06/27/pdfs/GMD-1820-99.pdf#page=6","Abrir facsímil")</f>
        <v>Abrir facsímil</v>
      </c>
      <c r="K421" s="3" t="s">
        <v>23</v>
      </c>
    </row>
    <row r="422" spans="1:11" ht="42" customHeight="1">
      <c r="A422" s="2" t="s">
        <v>1127</v>
      </c>
      <c r="B422" s="2" t="s">
        <v>1128</v>
      </c>
      <c r="C422" s="2" t="s">
        <v>26</v>
      </c>
      <c r="D422" s="2" t="s">
        <v>27</v>
      </c>
      <c r="E422" s="5">
        <v>-29038</v>
      </c>
      <c r="F422" s="3" t="s">
        <v>957</v>
      </c>
      <c r="G422" s="3" t="s">
        <v>201</v>
      </c>
      <c r="H422" s="2" t="s">
        <v>21</v>
      </c>
      <c r="I422" s="2" t="s">
        <v>1129</v>
      </c>
      <c r="J422" s="3" t="str">
        <f>HYPERLINK("https://www.boe.es/gazeta/dias/1820/06/29/pdfs/GMD-1820-100.pdf#page=7","Abrir facsímil")</f>
        <v>Abrir facsímil</v>
      </c>
      <c r="K422" s="3" t="s">
        <v>23</v>
      </c>
    </row>
    <row r="423" spans="1:11" ht="42" customHeight="1">
      <c r="A423" s="2" t="s">
        <v>1130</v>
      </c>
      <c r="B423" s="2" t="s">
        <v>1131</v>
      </c>
      <c r="C423" s="2" t="s">
        <v>26</v>
      </c>
      <c r="D423" s="2" t="s">
        <v>27</v>
      </c>
      <c r="E423" s="5">
        <v>-28948</v>
      </c>
      <c r="F423" s="3" t="s">
        <v>1069</v>
      </c>
      <c r="G423" s="3" t="s">
        <v>20</v>
      </c>
      <c r="H423" s="2" t="s">
        <v>21</v>
      </c>
      <c r="I423" s="2" t="s">
        <v>1132</v>
      </c>
      <c r="J423" s="3" t="str">
        <f>HYPERLINK("https://www.boe.es/gazeta/dias/1820/09/27/pdfs/GGB-1820-91.pdf#page=4","Abrir facsímil")</f>
        <v>Abrir facsímil</v>
      </c>
      <c r="K423" s="3" t="s">
        <v>23</v>
      </c>
    </row>
    <row r="424" spans="1:11" ht="42" customHeight="1">
      <c r="A424" s="2" t="s">
        <v>1133</v>
      </c>
      <c r="B424" s="2" t="s">
        <v>1134</v>
      </c>
      <c r="C424" s="2" t="s">
        <v>26</v>
      </c>
      <c r="D424" s="2" t="s">
        <v>27</v>
      </c>
      <c r="E424" s="5">
        <v>-29206</v>
      </c>
      <c r="F424" s="3" t="s">
        <v>897</v>
      </c>
      <c r="G424" s="3" t="s">
        <v>201</v>
      </c>
      <c r="H424" s="2" t="s">
        <v>21</v>
      </c>
      <c r="I424" s="2" t="s">
        <v>1135</v>
      </c>
      <c r="J424" s="3" t="str">
        <f>HYPERLINK("https://www.boe.es/gazeta/dias/1820/01/13/pdfs/GMD-1820-6.pdf#page=7","Abrir facsímil")</f>
        <v>Abrir facsímil</v>
      </c>
      <c r="K424" s="3" t="s">
        <v>23</v>
      </c>
    </row>
    <row r="425" spans="1:11" ht="42" customHeight="1">
      <c r="A425" s="2" t="s">
        <v>1136</v>
      </c>
      <c r="B425" s="2" t="s">
        <v>1137</v>
      </c>
      <c r="C425" s="2" t="s">
        <v>35</v>
      </c>
      <c r="D425" s="2" t="s">
        <v>36</v>
      </c>
      <c r="E425" s="5">
        <v>-28998</v>
      </c>
      <c r="F425" s="3" t="s">
        <v>629</v>
      </c>
      <c r="G425" s="3" t="s">
        <v>20</v>
      </c>
      <c r="H425" s="2" t="s">
        <v>30</v>
      </c>
      <c r="I425" s="2" t="s">
        <v>1138</v>
      </c>
      <c r="J425" s="3" t="str">
        <f>HYPERLINK("https://www.boe.es/gazeta/dias/1820/08/08/pdfs/GGB-1820-41.pdf#page=4","Abrir facsímil")</f>
        <v>Abrir facsímil</v>
      </c>
      <c r="K425" s="3" t="s">
        <v>32</v>
      </c>
    </row>
    <row r="426" spans="1:11" ht="42" customHeight="1">
      <c r="A426" s="2" t="s">
        <v>1139</v>
      </c>
      <c r="B426" s="2" t="s">
        <v>1140</v>
      </c>
      <c r="C426" s="2" t="s">
        <v>47</v>
      </c>
      <c r="D426" s="2" t="s">
        <v>18</v>
      </c>
      <c r="E426" s="5">
        <v>-29173</v>
      </c>
      <c r="F426" s="3" t="s">
        <v>829</v>
      </c>
      <c r="G426" s="3" t="s">
        <v>38</v>
      </c>
      <c r="H426" s="2" t="s">
        <v>21</v>
      </c>
      <c r="I426" s="2" t="s">
        <v>1141</v>
      </c>
      <c r="J426" s="3" t="str">
        <f>HYPERLINK("https://www.boe.es/gazeta/dias/1820/02/15/pdfs/GMD-1820-20.pdf#page=6","Abrir facsímil")</f>
        <v>Abrir facsímil</v>
      </c>
      <c r="K426" s="3" t="s">
        <v>23</v>
      </c>
    </row>
    <row r="427" spans="1:11" ht="42" customHeight="1">
      <c r="A427" s="2" t="s">
        <v>1142</v>
      </c>
      <c r="B427" s="2" t="s">
        <v>1143</v>
      </c>
      <c r="C427" s="2" t="s">
        <v>26</v>
      </c>
      <c r="D427" s="2" t="s">
        <v>27</v>
      </c>
      <c r="E427" s="5">
        <v>-28974</v>
      </c>
      <c r="F427" s="3" t="s">
        <v>1144</v>
      </c>
      <c r="G427" s="3" t="s">
        <v>1145</v>
      </c>
      <c r="H427" s="2" t="s">
        <v>21</v>
      </c>
      <c r="I427" s="2" t="s">
        <v>1146</v>
      </c>
      <c r="J427" s="3" t="str">
        <f>HYPERLINK("https://www.boe.es/gazeta/dias/1820/09/01/pdfs/GGB-1820-65.pdf#page=4","Abrir facsímil")</f>
        <v>Abrir facsímil</v>
      </c>
      <c r="K427" s="3" t="s">
        <v>23</v>
      </c>
    </row>
    <row r="428" spans="1:11" ht="42" customHeight="1">
      <c r="A428" s="2" t="s">
        <v>1147</v>
      </c>
      <c r="B428" s="2" t="s">
        <v>1147</v>
      </c>
      <c r="C428" s="2" t="s">
        <v>26</v>
      </c>
      <c r="D428" s="2" t="s">
        <v>27</v>
      </c>
      <c r="E428" s="5">
        <v>-28899</v>
      </c>
      <c r="F428" s="3" t="s">
        <v>285</v>
      </c>
      <c r="G428" s="3" t="s">
        <v>128</v>
      </c>
      <c r="H428" s="2" t="s">
        <v>21</v>
      </c>
      <c r="I428" s="2" t="s">
        <v>1148</v>
      </c>
      <c r="J428" s="3" t="str">
        <f>HYPERLINK("https://www.boe.es/gazeta/dias/1820/11/15/pdfs/GGB-1820-141.pdf#page=1","Abrir facsímil")</f>
        <v>Abrir facsímil</v>
      </c>
      <c r="K428" s="3" t="s">
        <v>23</v>
      </c>
    </row>
    <row r="429" spans="1:11" ht="42" customHeight="1">
      <c r="A429" s="2" t="s">
        <v>1149</v>
      </c>
      <c r="B429" s="2" t="s">
        <v>1150</v>
      </c>
      <c r="C429" s="2" t="s">
        <v>47</v>
      </c>
      <c r="D429" s="2" t="s">
        <v>18</v>
      </c>
      <c r="E429" s="5">
        <v>-28895</v>
      </c>
      <c r="F429" s="3" t="s">
        <v>347</v>
      </c>
      <c r="G429" s="3" t="s">
        <v>20</v>
      </c>
      <c r="H429" s="2" t="s">
        <v>21</v>
      </c>
      <c r="I429" s="2" t="s">
        <v>1151</v>
      </c>
      <c r="J429" s="3" t="str">
        <f>HYPERLINK("https://www.boe.es/gazeta/dias/1820/11/19/pdfs/GGB-1820-146.pdf#page=4","Abrir facsímil")</f>
        <v>Abrir facsímil</v>
      </c>
      <c r="K429" s="3" t="s">
        <v>23</v>
      </c>
    </row>
    <row r="430" spans="1:11" ht="42" customHeight="1">
      <c r="A430" s="2" t="s">
        <v>1152</v>
      </c>
      <c r="B430" s="2" t="s">
        <v>1152</v>
      </c>
      <c r="C430" s="2" t="s">
        <v>26</v>
      </c>
      <c r="D430" s="2" t="s">
        <v>27</v>
      </c>
      <c r="E430" s="5">
        <v>-29206</v>
      </c>
      <c r="F430" s="3" t="s">
        <v>897</v>
      </c>
      <c r="G430" s="3" t="s">
        <v>201</v>
      </c>
      <c r="H430" s="2" t="s">
        <v>21</v>
      </c>
      <c r="I430" s="2" t="s">
        <v>1153</v>
      </c>
      <c r="J430" s="3" t="str">
        <f>HYPERLINK("https://www.boe.es/gazeta/dias/1820/01/13/pdfs/GMD-1820-6.pdf#page=7","Abrir facsímil")</f>
        <v>Abrir facsímil</v>
      </c>
      <c r="K430" s="3" t="s">
        <v>23</v>
      </c>
    </row>
    <row r="431" spans="1:11" ht="42" customHeight="1">
      <c r="A431" s="2" t="s">
        <v>1154</v>
      </c>
      <c r="B431" s="2" t="s">
        <v>1155</v>
      </c>
      <c r="C431" s="2" t="s">
        <v>26</v>
      </c>
      <c r="D431" s="2" t="s">
        <v>27</v>
      </c>
      <c r="E431" s="5">
        <v>-29206</v>
      </c>
      <c r="F431" s="3" t="s">
        <v>897</v>
      </c>
      <c r="G431" s="3" t="s">
        <v>1156</v>
      </c>
      <c r="H431" s="2" t="s">
        <v>21</v>
      </c>
      <c r="I431" s="2" t="s">
        <v>1157</v>
      </c>
      <c r="J431" s="3" t="str">
        <f>HYPERLINK("https://www.boe.es/gazeta/dias/1820/01/13/pdfs/GMD-1820-6.pdf#page=5","Abrir facsímil")</f>
        <v>Abrir facsímil</v>
      </c>
      <c r="K431" s="3" t="s">
        <v>23</v>
      </c>
    </row>
    <row r="432" spans="1:11" ht="42" customHeight="1">
      <c r="A432" s="2" t="s">
        <v>1154</v>
      </c>
      <c r="B432" s="2" t="s">
        <v>1155</v>
      </c>
      <c r="C432" s="2" t="s">
        <v>26</v>
      </c>
      <c r="D432" s="2" t="s">
        <v>27</v>
      </c>
      <c r="E432" s="5">
        <v>-29206</v>
      </c>
      <c r="F432" s="3" t="s">
        <v>897</v>
      </c>
      <c r="G432" s="3" t="s">
        <v>38</v>
      </c>
      <c r="H432" s="2" t="s">
        <v>21</v>
      </c>
      <c r="I432" s="2" t="s">
        <v>1158</v>
      </c>
      <c r="J432" s="3" t="str">
        <f>HYPERLINK("https://www.boe.es/gazeta/dias/1820/01/13/pdfs/GMD-1820-6.pdf#page=6","Abrir facsímil")</f>
        <v>Abrir facsímil</v>
      </c>
      <c r="K432" s="3" t="s">
        <v>23</v>
      </c>
    </row>
    <row r="433" spans="1:11" ht="42" customHeight="1">
      <c r="A433" s="2" t="s">
        <v>1159</v>
      </c>
      <c r="B433" s="2" t="s">
        <v>1160</v>
      </c>
      <c r="C433" s="2" t="s">
        <v>26</v>
      </c>
      <c r="D433" s="2" t="s">
        <v>27</v>
      </c>
      <c r="E433" s="5">
        <v>-29150</v>
      </c>
      <c r="F433" s="3" t="s">
        <v>299</v>
      </c>
      <c r="G433" s="3" t="s">
        <v>256</v>
      </c>
      <c r="H433" s="2" t="s">
        <v>21</v>
      </c>
      <c r="I433" s="2" t="s">
        <v>1161</v>
      </c>
      <c r="J433" s="3" t="str">
        <f>HYPERLINK("https://www.boe.es/gazeta/dias/1820/03/09/pdfs/GMD-1820-32.pdf#page=5","Abrir facsímil")</f>
        <v>Abrir facsímil</v>
      </c>
      <c r="K433" s="3" t="s">
        <v>23</v>
      </c>
    </row>
    <row r="434" spans="1:11" ht="42" customHeight="1">
      <c r="A434" s="2" t="s">
        <v>1162</v>
      </c>
      <c r="B434" s="2" t="s">
        <v>1163</v>
      </c>
      <c r="C434" s="2" t="s">
        <v>35</v>
      </c>
      <c r="D434" s="2" t="s">
        <v>36</v>
      </c>
      <c r="E434" s="5">
        <v>-29143</v>
      </c>
      <c r="F434" s="3" t="s">
        <v>334</v>
      </c>
      <c r="G434" s="3" t="s">
        <v>201</v>
      </c>
      <c r="H434" s="2" t="s">
        <v>21</v>
      </c>
      <c r="I434" s="2" t="s">
        <v>1164</v>
      </c>
      <c r="J434" s="3" t="str">
        <f>HYPERLINK("https://www.boe.es/gazeta/dias/1820/03/16/pdfs/GMD-1820-42.pdf#page=7","Abrir facsímil")</f>
        <v>Abrir facsímil</v>
      </c>
      <c r="K434" s="3" t="s">
        <v>23</v>
      </c>
    </row>
    <row r="435" spans="1:11" ht="42" customHeight="1">
      <c r="A435" s="2" t="s">
        <v>1165</v>
      </c>
      <c r="B435" s="2" t="s">
        <v>1166</v>
      </c>
      <c r="C435" s="2" t="s">
        <v>26</v>
      </c>
      <c r="D435" s="2" t="s">
        <v>27</v>
      </c>
      <c r="E435" s="5">
        <v>-29036</v>
      </c>
      <c r="F435" s="3" t="s">
        <v>1167</v>
      </c>
      <c r="G435" s="3" t="s">
        <v>20</v>
      </c>
      <c r="H435" s="2" t="s">
        <v>21</v>
      </c>
      <c r="I435" s="2" t="s">
        <v>1168</v>
      </c>
      <c r="J435" s="3" t="str">
        <f>HYPERLINK("https://www.boe.es/gazeta/dias/1820/07/01/pdfs/GGB-1820-1.pdf#page=4","Abrir facsímil")</f>
        <v>Abrir facsímil</v>
      </c>
      <c r="K435" s="3" t="s">
        <v>23</v>
      </c>
    </row>
    <row r="436" spans="1:11" ht="42" customHeight="1">
      <c r="A436" s="2" t="s">
        <v>1169</v>
      </c>
      <c r="B436" s="2" t="s">
        <v>1170</v>
      </c>
      <c r="C436" s="2" t="s">
        <v>17</v>
      </c>
      <c r="D436" s="2" t="s">
        <v>18</v>
      </c>
      <c r="E436" s="5">
        <v>-29011</v>
      </c>
      <c r="F436" s="3" t="s">
        <v>338</v>
      </c>
      <c r="G436" s="3" t="s">
        <v>43</v>
      </c>
      <c r="H436" s="2" t="s">
        <v>21</v>
      </c>
      <c r="I436" s="2" t="s">
        <v>1171</v>
      </c>
      <c r="J436" s="3" t="str">
        <f>HYPERLINK("https://www.boe.es/gazeta/dias/1820/07/26/pdfs/GGB-1820-28.pdf#page=2","Abrir facsímil")</f>
        <v>Abrir facsímil</v>
      </c>
      <c r="K436" s="3" t="s">
        <v>23</v>
      </c>
    </row>
    <row r="437" spans="1:11" ht="42" customHeight="1">
      <c r="A437" s="2" t="s">
        <v>1172</v>
      </c>
      <c r="B437" s="2" t="s">
        <v>1173</v>
      </c>
      <c r="C437" s="2" t="s">
        <v>111</v>
      </c>
      <c r="D437" s="2" t="s">
        <v>18</v>
      </c>
      <c r="E437" s="5">
        <v>-28944</v>
      </c>
      <c r="F437" s="3" t="s">
        <v>990</v>
      </c>
      <c r="G437" s="3" t="s">
        <v>1174</v>
      </c>
      <c r="H437" s="2" t="s">
        <v>21</v>
      </c>
      <c r="I437" s="2" t="s">
        <v>1175</v>
      </c>
      <c r="J437" s="3" t="str">
        <f>HYPERLINK("https://www.boe.es/gazeta/dias/1820/10/01/pdfs/GGB-1820-95.pdf#page=4","Abrir facsímil")</f>
        <v>Abrir facsímil</v>
      </c>
      <c r="K437" s="3" t="s">
        <v>23</v>
      </c>
    </row>
    <row r="438" spans="1:11" ht="42" customHeight="1">
      <c r="A438" s="2" t="s">
        <v>1176</v>
      </c>
      <c r="B438" s="2" t="s">
        <v>1177</v>
      </c>
      <c r="C438" s="2" t="s">
        <v>26</v>
      </c>
      <c r="D438" s="2" t="s">
        <v>27</v>
      </c>
      <c r="E438" s="5">
        <v>-29199</v>
      </c>
      <c r="F438" s="3" t="s">
        <v>1178</v>
      </c>
      <c r="G438" s="3" t="s">
        <v>201</v>
      </c>
      <c r="H438" s="2" t="s">
        <v>21</v>
      </c>
      <c r="I438" s="2" t="s">
        <v>1179</v>
      </c>
      <c r="J438" s="3" t="str">
        <f>HYPERLINK("https://www.boe.es/gazeta/dias/1820/01/20/pdfs/GMD-1820-9.pdf#page=7","Abrir facsímil")</f>
        <v>Abrir facsímil</v>
      </c>
      <c r="K438" s="3" t="s">
        <v>23</v>
      </c>
    </row>
    <row r="439" spans="1:11" ht="42" customHeight="1">
      <c r="A439" s="2" t="s">
        <v>1180</v>
      </c>
      <c r="B439" s="2" t="s">
        <v>1180</v>
      </c>
      <c r="C439" s="2" t="s">
        <v>111</v>
      </c>
      <c r="D439" s="2" t="s">
        <v>18</v>
      </c>
      <c r="E439" s="5">
        <v>-29047</v>
      </c>
      <c r="F439" s="3" t="s">
        <v>1033</v>
      </c>
      <c r="G439" s="3" t="s">
        <v>256</v>
      </c>
      <c r="H439" s="2" t="s">
        <v>21</v>
      </c>
      <c r="I439" s="2" t="s">
        <v>1181</v>
      </c>
      <c r="J439" s="3" t="str">
        <f>HYPERLINK("https://www.boe.es/gazeta/dias/1820/06/20/pdfs/GMD-1820-96.pdf#page=5","Abrir facsímil")</f>
        <v>Abrir facsímil</v>
      </c>
      <c r="K439" s="3" t="s">
        <v>23</v>
      </c>
    </row>
    <row r="440" spans="1:11" ht="42" customHeight="1">
      <c r="A440" s="2" t="s">
        <v>1182</v>
      </c>
      <c r="B440" s="2" t="s">
        <v>1183</v>
      </c>
      <c r="C440" s="2" t="s">
        <v>35</v>
      </c>
      <c r="D440" s="2" t="s">
        <v>36</v>
      </c>
      <c r="E440" s="5">
        <v>-29171</v>
      </c>
      <c r="F440" s="3" t="s">
        <v>764</v>
      </c>
      <c r="G440" s="3" t="s">
        <v>295</v>
      </c>
      <c r="H440" s="2" t="s">
        <v>21</v>
      </c>
      <c r="I440" s="2" t="s">
        <v>1184</v>
      </c>
      <c r="J440" s="3" t="str">
        <f>HYPERLINK("https://www.boe.es/gazeta/dias/1820/02/17/pdfs/GMD-1820-21.pdf#page=8","Abrir facsímil")</f>
        <v>Abrir facsímil</v>
      </c>
      <c r="K440" s="3" t="s">
        <v>23</v>
      </c>
    </row>
    <row r="441" spans="1:11" ht="42" customHeight="1">
      <c r="A441" s="2" t="s">
        <v>1185</v>
      </c>
      <c r="B441" s="2" t="s">
        <v>1185</v>
      </c>
      <c r="C441" s="2" t="s">
        <v>17</v>
      </c>
      <c r="D441" s="2" t="s">
        <v>18</v>
      </c>
      <c r="E441" s="5">
        <v>-29075</v>
      </c>
      <c r="F441" s="3" t="s">
        <v>1186</v>
      </c>
      <c r="G441" s="3" t="s">
        <v>43</v>
      </c>
      <c r="H441" s="2" t="s">
        <v>21</v>
      </c>
      <c r="I441" s="2" t="s">
        <v>1187</v>
      </c>
      <c r="J441" s="3" t="str">
        <f>HYPERLINK("https://www.boe.es/gazeta/dias/1820/05/23/pdfs/GMD-1820-84.pdf#page=2","Abrir facsímil")</f>
        <v>Abrir facsímil</v>
      </c>
      <c r="K441" s="3" t="s">
        <v>23</v>
      </c>
    </row>
    <row r="442" spans="1:11" ht="42" customHeight="1">
      <c r="A442" s="2" t="s">
        <v>1188</v>
      </c>
      <c r="B442" s="2" t="s">
        <v>1189</v>
      </c>
      <c r="C442" s="2" t="s">
        <v>26</v>
      </c>
      <c r="D442" s="2" t="s">
        <v>27</v>
      </c>
      <c r="E442" s="5">
        <v>-28933</v>
      </c>
      <c r="F442" s="3" t="s">
        <v>720</v>
      </c>
      <c r="G442" s="3" t="s">
        <v>20</v>
      </c>
      <c r="H442" s="2" t="s">
        <v>21</v>
      </c>
      <c r="I442" s="2" t="s">
        <v>1190</v>
      </c>
      <c r="J442" s="3" t="str">
        <f>HYPERLINK("https://www.boe.es/gazeta/dias/1820/10/12/pdfs/GGB-1820-106.pdf#page=4","Abrir facsímil")</f>
        <v>Abrir facsímil</v>
      </c>
      <c r="K442" s="3" t="s">
        <v>23</v>
      </c>
    </row>
    <row r="443" spans="1:11" ht="42" customHeight="1">
      <c r="A443" s="2" t="s">
        <v>1191</v>
      </c>
      <c r="B443" s="2" t="s">
        <v>1192</v>
      </c>
      <c r="C443" s="2" t="s">
        <v>26</v>
      </c>
      <c r="D443" s="2" t="s">
        <v>27</v>
      </c>
      <c r="E443" s="5">
        <v>-29131</v>
      </c>
      <c r="F443" s="3" t="s">
        <v>1193</v>
      </c>
      <c r="G443" s="3" t="s">
        <v>295</v>
      </c>
      <c r="H443" s="2" t="s">
        <v>21</v>
      </c>
      <c r="I443" s="2" t="s">
        <v>1194</v>
      </c>
      <c r="J443" s="3" t="str">
        <f>HYPERLINK("https://www.boe.es/gazeta/dias/1820/03/28/pdfs/GMD-1820-56.pdf#page=8","Abrir facsímil")</f>
        <v>Abrir facsímil</v>
      </c>
      <c r="K443" s="3" t="s">
        <v>23</v>
      </c>
    </row>
    <row r="444" spans="1:11" ht="42" customHeight="1">
      <c r="A444" s="2" t="s">
        <v>1195</v>
      </c>
      <c r="B444" s="2" t="s">
        <v>1196</v>
      </c>
      <c r="C444" s="2" t="s">
        <v>107</v>
      </c>
      <c r="D444" s="2" t="s">
        <v>18</v>
      </c>
      <c r="E444" s="5">
        <v>-29026</v>
      </c>
      <c r="F444" s="3" t="s">
        <v>1197</v>
      </c>
      <c r="G444" s="3" t="s">
        <v>1198</v>
      </c>
      <c r="H444" s="2" t="s">
        <v>21</v>
      </c>
      <c r="I444" s="2" t="s">
        <v>1199</v>
      </c>
      <c r="J444" s="3" t="str">
        <f>HYPERLINK("https://www.boe.es/gazeta/dias/1820/07/11/pdfs/GGB-1820-13.pdf#page=4","Abrir facsímil")</f>
        <v>Abrir facsímil</v>
      </c>
      <c r="K444" s="3" t="s">
        <v>23</v>
      </c>
    </row>
    <row r="445" spans="1:11" ht="42" customHeight="1">
      <c r="A445" s="2" t="s">
        <v>1200</v>
      </c>
      <c r="B445" s="2" t="s">
        <v>1200</v>
      </c>
      <c r="C445" s="2" t="s">
        <v>26</v>
      </c>
      <c r="D445" s="2" t="s">
        <v>27</v>
      </c>
      <c r="E445" s="5">
        <v>-29006</v>
      </c>
      <c r="F445" s="3" t="s">
        <v>609</v>
      </c>
      <c r="G445" s="3" t="s">
        <v>128</v>
      </c>
      <c r="H445" s="2" t="s">
        <v>21</v>
      </c>
      <c r="I445" s="2" t="s">
        <v>1201</v>
      </c>
      <c r="J445" s="3" t="str">
        <f>HYPERLINK("https://www.boe.es/gazeta/dias/1820/07/31/pdfs/GGB-1820-33.pdf#page=1","Abrir facsímil")</f>
        <v>Abrir facsímil</v>
      </c>
      <c r="K445" s="3" t="s">
        <v>23</v>
      </c>
    </row>
    <row r="446" spans="1:11" ht="42" customHeight="1">
      <c r="A446" s="2" t="s">
        <v>1202</v>
      </c>
      <c r="B446" s="2" t="s">
        <v>1202</v>
      </c>
      <c r="C446" s="2" t="s">
        <v>74</v>
      </c>
      <c r="D446" s="2" t="s">
        <v>18</v>
      </c>
      <c r="E446" s="5">
        <v>-29027</v>
      </c>
      <c r="F446" s="3" t="s">
        <v>937</v>
      </c>
      <c r="G446" s="3" t="s">
        <v>43</v>
      </c>
      <c r="H446" s="2" t="s">
        <v>21</v>
      </c>
      <c r="I446" s="2" t="s">
        <v>1203</v>
      </c>
      <c r="J446" s="3" t="str">
        <f>HYPERLINK("https://www.boe.es/gazeta/dias/1820/07/10/pdfs/GGB-1820-11.pdf#page=2","Abrir facsímil")</f>
        <v>Abrir facsímil</v>
      </c>
      <c r="K446" s="3" t="s">
        <v>23</v>
      </c>
    </row>
    <row r="447" spans="1:11" ht="42" customHeight="1">
      <c r="A447" s="2" t="s">
        <v>1204</v>
      </c>
      <c r="B447" s="2" t="s">
        <v>1205</v>
      </c>
      <c r="C447" s="2" t="s">
        <v>293</v>
      </c>
      <c r="D447" s="2" t="s">
        <v>18</v>
      </c>
      <c r="E447" s="5">
        <v>-28980</v>
      </c>
      <c r="F447" s="3" t="s">
        <v>614</v>
      </c>
      <c r="G447" s="3" t="s">
        <v>20</v>
      </c>
      <c r="H447" s="2" t="s">
        <v>21</v>
      </c>
      <c r="I447" s="2" t="s">
        <v>1206</v>
      </c>
      <c r="J447" s="3" t="str">
        <f>HYPERLINK("https://www.boe.es/gazeta/dias/1820/08/26/pdfs/GGB-1820-59.pdf#page=4","Abrir facsímil")</f>
        <v>Abrir facsímil</v>
      </c>
      <c r="K447" s="3" t="s">
        <v>23</v>
      </c>
    </row>
    <row r="448" spans="1:11" ht="42" customHeight="1">
      <c r="A448" s="2" t="s">
        <v>1207</v>
      </c>
      <c r="B448" s="2" t="s">
        <v>1208</v>
      </c>
      <c r="C448" s="2" t="s">
        <v>74</v>
      </c>
      <c r="D448" s="2" t="s">
        <v>18</v>
      </c>
      <c r="E448" s="5">
        <v>-28944</v>
      </c>
      <c r="F448" s="3" t="s">
        <v>990</v>
      </c>
      <c r="G448" s="3" t="s">
        <v>1174</v>
      </c>
      <c r="H448" s="2" t="s">
        <v>21</v>
      </c>
      <c r="I448" s="2" t="s">
        <v>1209</v>
      </c>
      <c r="J448" s="3" t="str">
        <f>HYPERLINK("https://www.boe.es/gazeta/dias/1820/10/01/pdfs/GGB-1820-95.pdf#page=4","Abrir facsímil")</f>
        <v>Abrir facsímil</v>
      </c>
      <c r="K448" s="3" t="s">
        <v>23</v>
      </c>
    </row>
    <row r="449" spans="1:11" ht="42" customHeight="1">
      <c r="A449" s="2" t="s">
        <v>1210</v>
      </c>
      <c r="B449" s="2" t="s">
        <v>1211</v>
      </c>
      <c r="C449" s="2" t="s">
        <v>35</v>
      </c>
      <c r="D449" s="2" t="s">
        <v>36</v>
      </c>
      <c r="E449" s="5">
        <v>-29016</v>
      </c>
      <c r="F449" s="3" t="s">
        <v>657</v>
      </c>
      <c r="G449" s="3" t="s">
        <v>20</v>
      </c>
      <c r="H449" s="2" t="s">
        <v>21</v>
      </c>
      <c r="I449" s="2" t="s">
        <v>1212</v>
      </c>
      <c r="J449" s="3" t="str">
        <f>HYPERLINK("https://www.boe.es/gazeta/dias/1820/07/21/pdfs/GGB-1820-23.pdf#page=4","Abrir facsímil")</f>
        <v>Abrir facsímil</v>
      </c>
      <c r="K449" s="3" t="s">
        <v>23</v>
      </c>
    </row>
    <row r="450" spans="1:11" ht="42" customHeight="1">
      <c r="A450" s="2" t="s">
        <v>1213</v>
      </c>
      <c r="B450" s="2" t="s">
        <v>1214</v>
      </c>
      <c r="C450" s="2" t="s">
        <v>17</v>
      </c>
      <c r="D450" s="2" t="s">
        <v>18</v>
      </c>
      <c r="E450" s="5">
        <v>-28917</v>
      </c>
      <c r="F450" s="3" t="s">
        <v>19</v>
      </c>
      <c r="G450" s="3" t="s">
        <v>20</v>
      </c>
      <c r="H450" s="2" t="s">
        <v>21</v>
      </c>
      <c r="I450" s="2" t="s">
        <v>1215</v>
      </c>
      <c r="J450" s="3" t="str">
        <f>HYPERLINK("https://www.boe.es/gazeta/dias/1820/10/28/pdfs/GGB-1820-122.pdf#page=4","Abrir facsímil")</f>
        <v>Abrir facsímil</v>
      </c>
      <c r="K450" s="3" t="s">
        <v>23</v>
      </c>
    </row>
    <row r="451" spans="1:11" ht="42" customHeight="1">
      <c r="A451" s="2" t="s">
        <v>1213</v>
      </c>
      <c r="B451" s="2" t="s">
        <v>1214</v>
      </c>
      <c r="C451" s="2" t="s">
        <v>35</v>
      </c>
      <c r="D451" s="2" t="s">
        <v>36</v>
      </c>
      <c r="E451" s="5">
        <v>-28894</v>
      </c>
      <c r="F451" s="3" t="s">
        <v>469</v>
      </c>
      <c r="G451" s="3" t="s">
        <v>20</v>
      </c>
      <c r="H451" s="2" t="s">
        <v>21</v>
      </c>
      <c r="I451" s="2" t="s">
        <v>1216</v>
      </c>
      <c r="J451" s="3" t="str">
        <f>HYPERLINK("https://www.boe.es/gazeta/dias/1820/11/20/pdfs/GGB-1820-147.pdf#page=4","Abrir facsímil")</f>
        <v>Abrir facsímil</v>
      </c>
      <c r="K451" s="3" t="s">
        <v>23</v>
      </c>
    </row>
    <row r="452" spans="1:11" ht="42" customHeight="1">
      <c r="A452" s="2" t="s">
        <v>1213</v>
      </c>
      <c r="B452" s="2" t="s">
        <v>1214</v>
      </c>
      <c r="C452" s="2" t="s">
        <v>35</v>
      </c>
      <c r="D452" s="2" t="s">
        <v>36</v>
      </c>
      <c r="E452" s="5">
        <v>-28856</v>
      </c>
      <c r="F452" s="3" t="s">
        <v>1217</v>
      </c>
      <c r="G452" s="3" t="s">
        <v>62</v>
      </c>
      <c r="H452" s="2" t="s">
        <v>21</v>
      </c>
      <c r="I452" s="2" t="s">
        <v>1218</v>
      </c>
      <c r="J452" s="3" t="str">
        <f>HYPERLINK("https://www.boe.es/gazeta/dias/1820/12/28/pdfs/GGB-1820-185.pdf#page=3","Abrir facsímil")</f>
        <v>Abrir facsímil</v>
      </c>
      <c r="K452" s="3" t="s">
        <v>23</v>
      </c>
    </row>
    <row r="453" spans="1:11" ht="42" customHeight="1">
      <c r="A453" s="2" t="s">
        <v>1219</v>
      </c>
      <c r="B453" s="2" t="s">
        <v>1220</v>
      </c>
      <c r="C453" s="2" t="s">
        <v>35</v>
      </c>
      <c r="D453" s="2" t="s">
        <v>36</v>
      </c>
      <c r="E453" s="5">
        <v>-28960</v>
      </c>
      <c r="F453" s="3" t="s">
        <v>704</v>
      </c>
      <c r="G453" s="3" t="s">
        <v>20</v>
      </c>
      <c r="H453" s="2" t="s">
        <v>21</v>
      </c>
      <c r="I453" s="2" t="s">
        <v>1221</v>
      </c>
      <c r="J453" s="3" t="str">
        <f>HYPERLINK("https://www.boe.es/gazeta/dias/1820/09/15/pdfs/GGB-1820-79.pdf#page=4","Abrir facsímil")</f>
        <v>Abrir facsímil</v>
      </c>
      <c r="K453" s="3" t="s">
        <v>23</v>
      </c>
    </row>
    <row r="454" spans="1:11" ht="42" customHeight="1">
      <c r="A454" s="2" t="s">
        <v>1222</v>
      </c>
      <c r="B454" s="2" t="s">
        <v>1222</v>
      </c>
      <c r="C454" s="2" t="s">
        <v>26</v>
      </c>
      <c r="D454" s="2" t="s">
        <v>27</v>
      </c>
      <c r="E454" s="5">
        <v>-28992</v>
      </c>
      <c r="F454" s="3" t="s">
        <v>587</v>
      </c>
      <c r="G454" s="3" t="s">
        <v>62</v>
      </c>
      <c r="H454" s="2" t="s">
        <v>21</v>
      </c>
      <c r="I454" s="2" t="s">
        <v>1223</v>
      </c>
      <c r="J454" s="3" t="str">
        <f>HYPERLINK("https://www.boe.es/gazeta/dias/1820/08/14/pdfs/GGB-1820-47.pdf#page=3","Abrir facsímil")</f>
        <v>Abrir facsímil</v>
      </c>
      <c r="K454" s="3" t="s">
        <v>23</v>
      </c>
    </row>
    <row r="455" spans="1:11" ht="42" customHeight="1">
      <c r="A455" s="2" t="s">
        <v>1224</v>
      </c>
      <c r="B455" s="2" t="s">
        <v>1224</v>
      </c>
      <c r="C455" s="2" t="s">
        <v>35</v>
      </c>
      <c r="D455" s="2" t="s">
        <v>36</v>
      </c>
      <c r="E455" s="5">
        <v>-29016</v>
      </c>
      <c r="F455" s="3" t="s">
        <v>657</v>
      </c>
      <c r="G455" s="3" t="s">
        <v>62</v>
      </c>
      <c r="H455" s="2" t="s">
        <v>21</v>
      </c>
      <c r="I455" s="2" t="s">
        <v>1225</v>
      </c>
      <c r="J455" s="3" t="str">
        <f>HYPERLINK("https://www.boe.es/gazeta/dias/1820/07/21/pdfs/GGB-1820-23.pdf#page=3","Abrir facsímil")</f>
        <v>Abrir facsímil</v>
      </c>
      <c r="K455" s="3" t="s">
        <v>23</v>
      </c>
    </row>
    <row r="456" spans="1:11" ht="42" customHeight="1">
      <c r="A456" s="2" t="s">
        <v>1224</v>
      </c>
      <c r="B456" s="2" t="s">
        <v>1224</v>
      </c>
      <c r="C456" s="2" t="s">
        <v>35</v>
      </c>
      <c r="D456" s="2" t="s">
        <v>36</v>
      </c>
      <c r="E456" s="5">
        <v>-28992</v>
      </c>
      <c r="F456" s="3" t="s">
        <v>587</v>
      </c>
      <c r="G456" s="3" t="s">
        <v>62</v>
      </c>
      <c r="H456" s="2" t="s">
        <v>21</v>
      </c>
      <c r="I456" s="2" t="s">
        <v>1226</v>
      </c>
      <c r="J456" s="3" t="str">
        <f>HYPERLINK("https://www.boe.es/gazeta/dias/1820/08/14/pdfs/GGB-1820-47.pdf#page=3","Abrir facsímil")</f>
        <v>Abrir facsímil</v>
      </c>
      <c r="K456" s="3" t="s">
        <v>23</v>
      </c>
    </row>
    <row r="457" spans="1:11" ht="42" customHeight="1">
      <c r="A457" s="2" t="s">
        <v>1224</v>
      </c>
      <c r="B457" s="2" t="s">
        <v>1224</v>
      </c>
      <c r="C457" s="2" t="s">
        <v>26</v>
      </c>
      <c r="D457" s="2" t="s">
        <v>27</v>
      </c>
      <c r="E457" s="5">
        <v>-28967</v>
      </c>
      <c r="F457" s="3" t="s">
        <v>238</v>
      </c>
      <c r="G457" s="3" t="s">
        <v>675</v>
      </c>
      <c r="H457" s="2" t="s">
        <v>21</v>
      </c>
      <c r="I457" s="2" t="s">
        <v>1227</v>
      </c>
      <c r="J457" s="3" t="str">
        <f>HYPERLINK("https://www.boe.es/gazeta/dias/1820/09/08/pdfs/GGB-1820-72.pdf#page=2","Abrir facsímil")</f>
        <v>Abrir facsímil</v>
      </c>
      <c r="K457" s="3" t="s">
        <v>23</v>
      </c>
    </row>
    <row r="458" spans="1:11" ht="42" customHeight="1">
      <c r="A458" s="2" t="s">
        <v>1224</v>
      </c>
      <c r="B458" s="2" t="s">
        <v>1224</v>
      </c>
      <c r="C458" s="2" t="s">
        <v>74</v>
      </c>
      <c r="D458" s="2" t="s">
        <v>18</v>
      </c>
      <c r="E458" s="5">
        <v>-28967</v>
      </c>
      <c r="F458" s="3" t="s">
        <v>238</v>
      </c>
      <c r="G458" s="3" t="s">
        <v>20</v>
      </c>
      <c r="H458" s="2" t="s">
        <v>21</v>
      </c>
      <c r="I458" s="2" t="s">
        <v>1228</v>
      </c>
      <c r="J458" s="3" t="str">
        <f>HYPERLINK("https://www.boe.es/gazeta/dias/1820/09/08/pdfs/GGB-1820-72.pdf#page=4","Abrir facsímil")</f>
        <v>Abrir facsímil</v>
      </c>
      <c r="K458" s="3" t="s">
        <v>23</v>
      </c>
    </row>
    <row r="459" spans="1:11" ht="42" customHeight="1">
      <c r="A459" s="2" t="s">
        <v>1229</v>
      </c>
      <c r="B459" s="2" t="s">
        <v>1230</v>
      </c>
      <c r="C459" s="2" t="s">
        <v>35</v>
      </c>
      <c r="D459" s="2" t="s">
        <v>36</v>
      </c>
      <c r="E459" s="5">
        <v>-29052</v>
      </c>
      <c r="F459" s="3" t="s">
        <v>1231</v>
      </c>
      <c r="G459" s="3" t="s">
        <v>1232</v>
      </c>
      <c r="H459" s="2" t="s">
        <v>21</v>
      </c>
      <c r="I459" s="2" t="s">
        <v>1233</v>
      </c>
      <c r="J459" s="3" t="str">
        <f>HYPERLINK("https://www.boe.es/gazeta/dias/1820/06/15/pdfs/GMD-1820-94.pdf#page=5","Abrir facsímil")</f>
        <v>Abrir facsímil</v>
      </c>
      <c r="K459" s="3" t="s">
        <v>23</v>
      </c>
    </row>
    <row r="460" spans="1:11" ht="42" customHeight="1">
      <c r="A460" s="2" t="s">
        <v>1229</v>
      </c>
      <c r="B460" s="2" t="s">
        <v>1230</v>
      </c>
      <c r="C460" s="2" t="s">
        <v>74</v>
      </c>
      <c r="D460" s="2" t="s">
        <v>18</v>
      </c>
      <c r="E460" s="5">
        <v>-29052</v>
      </c>
      <c r="F460" s="3" t="s">
        <v>1231</v>
      </c>
      <c r="G460" s="3" t="s">
        <v>38</v>
      </c>
      <c r="H460" s="2" t="s">
        <v>21</v>
      </c>
      <c r="I460" s="2" t="s">
        <v>1234</v>
      </c>
      <c r="J460" s="3" t="str">
        <f>HYPERLINK("https://www.boe.es/gazeta/dias/1820/06/15/pdfs/GMD-1820-94.pdf#page=6","Abrir facsímil")</f>
        <v>Abrir facsímil</v>
      </c>
      <c r="K460" s="3" t="s">
        <v>23</v>
      </c>
    </row>
    <row r="461" spans="1:11" ht="42" customHeight="1">
      <c r="A461" s="2" t="s">
        <v>1229</v>
      </c>
      <c r="B461" s="2" t="s">
        <v>1230</v>
      </c>
      <c r="C461" s="2" t="s">
        <v>111</v>
      </c>
      <c r="D461" s="2" t="s">
        <v>18</v>
      </c>
      <c r="E461" s="5">
        <v>-29047</v>
      </c>
      <c r="F461" s="3" t="s">
        <v>1033</v>
      </c>
      <c r="G461" s="3" t="s">
        <v>1235</v>
      </c>
      <c r="H461" s="2" t="s">
        <v>21</v>
      </c>
      <c r="I461" s="2" t="s">
        <v>1236</v>
      </c>
      <c r="J461" s="3" t="str">
        <f>HYPERLINK("https://www.boe.es/gazeta/dias/1820/06/20/pdfs/GMD-1820-96.pdf#page=10","Abrir facsímil")</f>
        <v>Abrir facsímil</v>
      </c>
      <c r="K461" s="3" t="s">
        <v>23</v>
      </c>
    </row>
    <row r="462" spans="1:11" ht="42" customHeight="1">
      <c r="A462" s="2" t="s">
        <v>1237</v>
      </c>
      <c r="B462" s="2" t="s">
        <v>1238</v>
      </c>
      <c r="C462" s="2" t="s">
        <v>26</v>
      </c>
      <c r="D462" s="2" t="s">
        <v>27</v>
      </c>
      <c r="E462" s="5">
        <v>-29047</v>
      </c>
      <c r="F462" s="3" t="s">
        <v>1033</v>
      </c>
      <c r="G462" s="3" t="s">
        <v>196</v>
      </c>
      <c r="H462" s="2" t="s">
        <v>21</v>
      </c>
      <c r="I462" s="2" t="s">
        <v>1239</v>
      </c>
      <c r="J462" s="3" t="str">
        <f>HYPERLINK("https://www.boe.es/gazeta/dias/1820/06/20/pdfs/GMD-1820-96.pdf#page=11","Abrir facsímil")</f>
        <v>Abrir facsímil</v>
      </c>
      <c r="K462" s="3" t="s">
        <v>23</v>
      </c>
    </row>
    <row r="463" spans="1:11" ht="42" customHeight="1">
      <c r="A463" s="2" t="s">
        <v>1229</v>
      </c>
      <c r="B463" s="2" t="s">
        <v>1230</v>
      </c>
      <c r="C463" s="2" t="s">
        <v>74</v>
      </c>
      <c r="D463" s="2" t="s">
        <v>18</v>
      </c>
      <c r="E463" s="5">
        <v>-29033</v>
      </c>
      <c r="F463" s="3" t="s">
        <v>1240</v>
      </c>
      <c r="G463" s="3" t="s">
        <v>20</v>
      </c>
      <c r="H463" s="2" t="s">
        <v>21</v>
      </c>
      <c r="I463" s="2" t="s">
        <v>1241</v>
      </c>
      <c r="J463" s="3" t="str">
        <f>HYPERLINK("https://www.boe.es/gazeta/dias/1820/07/04/pdfs/GGB-1820-4.pdf#page=4","Abrir facsímil")</f>
        <v>Abrir facsímil</v>
      </c>
      <c r="K463" s="3" t="s">
        <v>23</v>
      </c>
    </row>
    <row r="464" spans="1:11" ht="42" customHeight="1">
      <c r="A464" s="2" t="s">
        <v>1229</v>
      </c>
      <c r="B464" s="2" t="s">
        <v>1230</v>
      </c>
      <c r="C464" s="2" t="s">
        <v>35</v>
      </c>
      <c r="D464" s="2" t="s">
        <v>36</v>
      </c>
      <c r="E464" s="5">
        <v>-28958</v>
      </c>
      <c r="F464" s="3" t="s">
        <v>706</v>
      </c>
      <c r="G464" s="3" t="s">
        <v>20</v>
      </c>
      <c r="H464" s="2" t="s">
        <v>21</v>
      </c>
      <c r="I464" s="2" t="s">
        <v>1242</v>
      </c>
      <c r="J464" s="3" t="str">
        <f>HYPERLINK("https://www.boe.es/gazeta/dias/1820/09/17/pdfs/GGB-1820-81.pdf#page=4","Abrir facsímil")</f>
        <v>Abrir facsímil</v>
      </c>
      <c r="K464" s="3" t="s">
        <v>23</v>
      </c>
    </row>
    <row r="465" spans="1:11" ht="42" customHeight="1">
      <c r="A465" s="2" t="s">
        <v>1229</v>
      </c>
      <c r="B465" s="2" t="s">
        <v>1230</v>
      </c>
      <c r="C465" s="2" t="s">
        <v>26</v>
      </c>
      <c r="D465" s="2" t="s">
        <v>27</v>
      </c>
      <c r="E465" s="5">
        <v>-28891</v>
      </c>
      <c r="F465" s="3" t="s">
        <v>965</v>
      </c>
      <c r="G465" s="3" t="s">
        <v>62</v>
      </c>
      <c r="H465" s="2" t="s">
        <v>21</v>
      </c>
      <c r="I465" s="2" t="s">
        <v>1243</v>
      </c>
      <c r="J465" s="3" t="str">
        <f>HYPERLINK("https://www.boe.es/gazeta/dias/1820/11/23/pdfs/GGB-1820-150.pdf#page=3","Abrir facsímil")</f>
        <v>Abrir facsímil</v>
      </c>
      <c r="K465" s="3" t="s">
        <v>23</v>
      </c>
    </row>
    <row r="466" spans="1:11" ht="42" customHeight="1">
      <c r="A466" s="2" t="s">
        <v>1229</v>
      </c>
      <c r="B466" s="2" t="s">
        <v>1230</v>
      </c>
      <c r="C466" s="2" t="s">
        <v>17</v>
      </c>
      <c r="D466" s="2" t="s">
        <v>18</v>
      </c>
      <c r="E466" s="5">
        <v>-28883</v>
      </c>
      <c r="F466" s="3" t="s">
        <v>306</v>
      </c>
      <c r="G466" s="3" t="s">
        <v>62</v>
      </c>
      <c r="H466" s="2" t="s">
        <v>21</v>
      </c>
      <c r="I466" s="2" t="s">
        <v>1244</v>
      </c>
      <c r="J466" s="3" t="str">
        <f>HYPERLINK("https://www.boe.es/gazeta/dias/1820/12/01/pdfs/GGB-1820-158.pdf#page=3","Abrir facsímil")</f>
        <v>Abrir facsímil</v>
      </c>
      <c r="K466" s="3" t="s">
        <v>23</v>
      </c>
    </row>
    <row r="467" spans="1:11" ht="42" customHeight="1">
      <c r="A467" s="2" t="s">
        <v>1229</v>
      </c>
      <c r="B467" s="2" t="s">
        <v>1230</v>
      </c>
      <c r="C467" s="2" t="s">
        <v>26</v>
      </c>
      <c r="D467" s="2" t="s">
        <v>27</v>
      </c>
      <c r="E467" s="5">
        <v>-28882</v>
      </c>
      <c r="F467" s="3" t="s">
        <v>1245</v>
      </c>
      <c r="G467" s="3" t="s">
        <v>1246</v>
      </c>
      <c r="H467" s="2" t="s">
        <v>21</v>
      </c>
      <c r="I467" s="2" t="s">
        <v>1247</v>
      </c>
      <c r="J467" s="3" t="str">
        <f>HYPERLINK("https://www.boe.es/gazeta/dias/1820/12/02/pdfs/GGB-1820-159.pdf#page=3","Abrir facsímil")</f>
        <v>Abrir facsímil</v>
      </c>
      <c r="K467" s="3" t="s">
        <v>23</v>
      </c>
    </row>
    <row r="468" spans="1:11" ht="42" customHeight="1">
      <c r="A468" s="2" t="s">
        <v>1229</v>
      </c>
      <c r="B468" s="2" t="s">
        <v>1230</v>
      </c>
      <c r="C468" s="2" t="s">
        <v>17</v>
      </c>
      <c r="D468" s="2" t="s">
        <v>18</v>
      </c>
      <c r="E468" s="5">
        <v>-28878</v>
      </c>
      <c r="F468" s="3" t="s">
        <v>866</v>
      </c>
      <c r="G468" s="3" t="s">
        <v>62</v>
      </c>
      <c r="H468" s="2" t="s">
        <v>21</v>
      </c>
      <c r="I468" s="2" t="s">
        <v>1248</v>
      </c>
      <c r="J468" s="3" t="str">
        <f>HYPERLINK("https://www.boe.es/gazeta/dias/1820/12/06/pdfs/GGB-1820-163.pdf#page=3","Abrir facsímil")</f>
        <v>Abrir facsímil</v>
      </c>
      <c r="K468" s="3" t="s">
        <v>23</v>
      </c>
    </row>
    <row r="469" spans="1:11" ht="42" customHeight="1">
      <c r="A469" s="2" t="s">
        <v>1249</v>
      </c>
      <c r="B469" s="2" t="s">
        <v>1250</v>
      </c>
      <c r="C469" s="2" t="s">
        <v>26</v>
      </c>
      <c r="D469" s="2" t="s">
        <v>310</v>
      </c>
      <c r="E469" s="5">
        <v>-29136</v>
      </c>
      <c r="F469" s="3" t="s">
        <v>1089</v>
      </c>
      <c r="G469" s="3" t="s">
        <v>128</v>
      </c>
      <c r="H469" s="2" t="s">
        <v>21</v>
      </c>
      <c r="I469" s="2" t="s">
        <v>1251</v>
      </c>
      <c r="J469" s="3" t="str">
        <f>HYPERLINK("https://www.boe.es/gazeta/dias/1820/03/23/pdfs/GMD-1820-52E.pdf#page=1","Abrir facsímil")</f>
        <v>Abrir facsímil</v>
      </c>
      <c r="K469" s="3" t="s">
        <v>23</v>
      </c>
    </row>
    <row r="470" spans="1:11" ht="42" customHeight="1">
      <c r="A470" s="2" t="s">
        <v>1249</v>
      </c>
      <c r="B470" s="2" t="s">
        <v>1250</v>
      </c>
      <c r="C470" s="2" t="s">
        <v>26</v>
      </c>
      <c r="D470" s="2" t="s">
        <v>27</v>
      </c>
      <c r="E470" s="5">
        <v>-28967</v>
      </c>
      <c r="F470" s="3" t="s">
        <v>238</v>
      </c>
      <c r="G470" s="3" t="s">
        <v>256</v>
      </c>
      <c r="H470" s="2" t="s">
        <v>21</v>
      </c>
      <c r="I470" s="2" t="s">
        <v>1252</v>
      </c>
      <c r="J470" s="3" t="str">
        <f>HYPERLINK("https://www.boe.es/gazeta/dias/1820/09/08/pdfs/GGB-1820-72.pdf#page=5","Abrir facsímil")</f>
        <v>Abrir facsímil</v>
      </c>
      <c r="K470" s="3" t="s">
        <v>23</v>
      </c>
    </row>
    <row r="471" spans="1:11" ht="42" customHeight="1">
      <c r="A471" s="2" t="s">
        <v>1249</v>
      </c>
      <c r="B471" s="2" t="s">
        <v>1250</v>
      </c>
      <c r="C471" s="2" t="s">
        <v>26</v>
      </c>
      <c r="D471" s="2" t="s">
        <v>27</v>
      </c>
      <c r="E471" s="5">
        <v>-28909</v>
      </c>
      <c r="F471" s="3" t="s">
        <v>278</v>
      </c>
      <c r="G471" s="3" t="s">
        <v>62</v>
      </c>
      <c r="H471" s="2" t="s">
        <v>21</v>
      </c>
      <c r="I471" s="2" t="s">
        <v>1253</v>
      </c>
      <c r="J471" s="3" t="str">
        <f>HYPERLINK("https://www.boe.es/gazeta/dias/1820/11/05/pdfs/GGB-1820-130.pdf#page=3","Abrir facsímil")</f>
        <v>Abrir facsímil</v>
      </c>
      <c r="K471" s="3" t="s">
        <v>23</v>
      </c>
    </row>
    <row r="472" spans="1:11" ht="42" customHeight="1">
      <c r="A472" s="2" t="s">
        <v>1254</v>
      </c>
      <c r="B472" s="2" t="s">
        <v>1255</v>
      </c>
      <c r="C472" s="2" t="s">
        <v>26</v>
      </c>
      <c r="D472" s="2" t="s">
        <v>27</v>
      </c>
      <c r="E472" s="5">
        <v>-29087</v>
      </c>
      <c r="F472" s="3" t="s">
        <v>1018</v>
      </c>
      <c r="G472" s="3" t="s">
        <v>38</v>
      </c>
      <c r="H472" s="2" t="s">
        <v>21</v>
      </c>
      <c r="I472" s="2" t="s">
        <v>1256</v>
      </c>
      <c r="J472" s="3" t="str">
        <f>HYPERLINK("https://www.boe.es/gazeta/dias/1820/05/11/pdfs/GMD-1820-78.pdf#page=6","Abrir facsímil")</f>
        <v>Abrir facsímil</v>
      </c>
      <c r="K472" s="3" t="s">
        <v>23</v>
      </c>
    </row>
    <row r="473" spans="1:11" ht="42" customHeight="1">
      <c r="A473" s="2" t="s">
        <v>1257</v>
      </c>
      <c r="B473" s="2" t="s">
        <v>1258</v>
      </c>
      <c r="C473" s="2" t="s">
        <v>35</v>
      </c>
      <c r="D473" s="2" t="s">
        <v>310</v>
      </c>
      <c r="E473" s="5">
        <v>-29136</v>
      </c>
      <c r="F473" s="3" t="s">
        <v>1089</v>
      </c>
      <c r="G473" s="3" t="s">
        <v>128</v>
      </c>
      <c r="H473" s="2" t="s">
        <v>21</v>
      </c>
      <c r="I473" s="2" t="s">
        <v>1259</v>
      </c>
      <c r="J473" s="3" t="str">
        <f>HYPERLINK("https://www.boe.es/gazeta/dias/1820/03/23/pdfs/GMD-1820-52E.pdf#page=1","Abrir facsímil")</f>
        <v>Abrir facsímil</v>
      </c>
      <c r="K473" s="3" t="s">
        <v>23</v>
      </c>
    </row>
    <row r="474" spans="1:11" ht="42" customHeight="1">
      <c r="A474" s="2" t="s">
        <v>1257</v>
      </c>
      <c r="B474" s="2" t="s">
        <v>1258</v>
      </c>
      <c r="C474" s="2" t="s">
        <v>26</v>
      </c>
      <c r="D474" s="2" t="s">
        <v>27</v>
      </c>
      <c r="E474" s="5">
        <v>-29101</v>
      </c>
      <c r="F474" s="3" t="s">
        <v>999</v>
      </c>
      <c r="G474" s="3" t="s">
        <v>38</v>
      </c>
      <c r="H474" s="2" t="s">
        <v>21</v>
      </c>
      <c r="I474" s="2" t="s">
        <v>1260</v>
      </c>
      <c r="J474" s="3" t="str">
        <f>HYPERLINK("https://www.boe.es/gazeta/dias/1820/04/27/pdfs/GMD-1820-72.pdf#page=6","Abrir facsímil")</f>
        <v>Abrir facsímil</v>
      </c>
      <c r="K474" s="3" t="s">
        <v>23</v>
      </c>
    </row>
    <row r="475" spans="1:11" ht="42" customHeight="1">
      <c r="A475" s="2" t="s">
        <v>1257</v>
      </c>
      <c r="B475" s="2" t="s">
        <v>1258</v>
      </c>
      <c r="C475" s="2" t="s">
        <v>74</v>
      </c>
      <c r="D475" s="2" t="s">
        <v>18</v>
      </c>
      <c r="E475" s="5">
        <v>-29092</v>
      </c>
      <c r="F475" s="3" t="s">
        <v>1261</v>
      </c>
      <c r="G475" s="3" t="s">
        <v>256</v>
      </c>
      <c r="H475" s="2" t="s">
        <v>21</v>
      </c>
      <c r="I475" s="2" t="s">
        <v>1262</v>
      </c>
      <c r="J475" s="3" t="str">
        <f>HYPERLINK("https://www.boe.es/gazeta/dias/1820/05/06/pdfs/GMD-1820-76.pdf#page=5","Abrir facsímil")</f>
        <v>Abrir facsímil</v>
      </c>
      <c r="K475" s="3" t="s">
        <v>23</v>
      </c>
    </row>
    <row r="476" spans="1:11" ht="42" customHeight="1">
      <c r="A476" s="2" t="s">
        <v>1257</v>
      </c>
      <c r="B476" s="2" t="s">
        <v>1258</v>
      </c>
      <c r="C476" s="2" t="s">
        <v>26</v>
      </c>
      <c r="D476" s="2" t="s">
        <v>27</v>
      </c>
      <c r="E476" s="5">
        <v>-29071</v>
      </c>
      <c r="F476" s="3" t="s">
        <v>329</v>
      </c>
      <c r="G476" s="3" t="s">
        <v>256</v>
      </c>
      <c r="H476" s="2" t="s">
        <v>21</v>
      </c>
      <c r="I476" s="2" t="s">
        <v>1263</v>
      </c>
      <c r="J476" s="3" t="str">
        <f>HYPERLINK("https://www.boe.es/gazeta/dias/1820/05/27/pdfs/GMD-1820-86.pdf#page=5","Abrir facsímil")</f>
        <v>Abrir facsímil</v>
      </c>
      <c r="K476" s="3" t="s">
        <v>23</v>
      </c>
    </row>
    <row r="477" spans="1:11" ht="42" customHeight="1">
      <c r="A477" s="2" t="s">
        <v>1257</v>
      </c>
      <c r="B477" s="2" t="s">
        <v>1258</v>
      </c>
      <c r="C477" s="2" t="s">
        <v>17</v>
      </c>
      <c r="D477" s="2" t="s">
        <v>18</v>
      </c>
      <c r="E477" s="5">
        <v>-29064</v>
      </c>
      <c r="F477" s="3" t="s">
        <v>1264</v>
      </c>
      <c r="G477" s="3" t="s">
        <v>38</v>
      </c>
      <c r="H477" s="2" t="s">
        <v>21</v>
      </c>
      <c r="I477" s="2" t="s">
        <v>1265</v>
      </c>
      <c r="J477" s="3" t="str">
        <f>HYPERLINK("https://www.boe.es/gazeta/dias/1820/06/03/pdfs/GMD-1820-89.pdf#page=6","Abrir facsímil")</f>
        <v>Abrir facsímil</v>
      </c>
      <c r="K477" s="3" t="s">
        <v>23</v>
      </c>
    </row>
    <row r="478" spans="1:11" ht="42" customHeight="1">
      <c r="A478" s="2" t="s">
        <v>1257</v>
      </c>
      <c r="B478" s="2" t="s">
        <v>1258</v>
      </c>
      <c r="C478" s="2" t="s">
        <v>26</v>
      </c>
      <c r="D478" s="2" t="s">
        <v>27</v>
      </c>
      <c r="E478" s="5">
        <v>-28979</v>
      </c>
      <c r="F478" s="3" t="s">
        <v>218</v>
      </c>
      <c r="G478" s="3" t="s">
        <v>20</v>
      </c>
      <c r="H478" s="2" t="s">
        <v>21</v>
      </c>
      <c r="I478" s="2" t="s">
        <v>1266</v>
      </c>
      <c r="J478" s="3" t="str">
        <f>HYPERLINK("https://www.boe.es/gazeta/dias/1820/08/27/pdfs/GGB-1820-60.pdf#page=4","Abrir facsímil")</f>
        <v>Abrir facsímil</v>
      </c>
      <c r="K478" s="3" t="s">
        <v>23</v>
      </c>
    </row>
    <row r="479" spans="1:11" ht="42" customHeight="1">
      <c r="A479" s="2" t="s">
        <v>1257</v>
      </c>
      <c r="B479" s="2" t="s">
        <v>1258</v>
      </c>
      <c r="C479" s="2" t="s">
        <v>47</v>
      </c>
      <c r="D479" s="2" t="s">
        <v>18</v>
      </c>
      <c r="E479" s="5">
        <v>-28936</v>
      </c>
      <c r="F479" s="3" t="s">
        <v>167</v>
      </c>
      <c r="G479" s="3" t="s">
        <v>20</v>
      </c>
      <c r="H479" s="2" t="s">
        <v>21</v>
      </c>
      <c r="I479" s="2" t="s">
        <v>1267</v>
      </c>
      <c r="J479" s="3" t="str">
        <f>HYPERLINK("https://www.boe.es/gazeta/dias/1820/10/09/pdfs/GGB-1820-103.pdf#page=4","Abrir facsímil")</f>
        <v>Abrir facsímil</v>
      </c>
      <c r="K479" s="3" t="s">
        <v>23</v>
      </c>
    </row>
    <row r="480" spans="1:11" ht="42" customHeight="1">
      <c r="A480" s="2" t="s">
        <v>1257</v>
      </c>
      <c r="B480" s="2" t="s">
        <v>1258</v>
      </c>
      <c r="C480" s="2" t="s">
        <v>17</v>
      </c>
      <c r="D480" s="2" t="s">
        <v>18</v>
      </c>
      <c r="E480" s="5">
        <v>-28896</v>
      </c>
      <c r="F480" s="3" t="s">
        <v>1268</v>
      </c>
      <c r="G480" s="3" t="s">
        <v>1269</v>
      </c>
      <c r="H480" s="2" t="s">
        <v>21</v>
      </c>
      <c r="I480" s="2" t="s">
        <v>1270</v>
      </c>
      <c r="J480" s="3" t="str">
        <f>HYPERLINK("https://www.boe.es/gazeta/dias/1820/11/18/pdfs/GGB-1820-144.pdf#page=4","Abrir facsímil")</f>
        <v>Abrir facsímil</v>
      </c>
      <c r="K480" s="3" t="s">
        <v>23</v>
      </c>
    </row>
    <row r="481" spans="1:11" ht="42" customHeight="1">
      <c r="A481" s="2" t="s">
        <v>1257</v>
      </c>
      <c r="B481" s="2" t="s">
        <v>1258</v>
      </c>
      <c r="C481" s="2" t="s">
        <v>107</v>
      </c>
      <c r="D481" s="2" t="s">
        <v>18</v>
      </c>
      <c r="E481" s="5">
        <v>-28886</v>
      </c>
      <c r="F481" s="3" t="s">
        <v>874</v>
      </c>
      <c r="G481" s="3" t="s">
        <v>20</v>
      </c>
      <c r="H481" s="2" t="s">
        <v>21</v>
      </c>
      <c r="I481" s="2" t="s">
        <v>1271</v>
      </c>
      <c r="J481" s="3" t="str">
        <f>HYPERLINK("https://www.boe.es/gazeta/dias/1820/11/28/pdfs/GGB-1820-155.pdf#page=4","Abrir facsímil")</f>
        <v>Abrir facsímil</v>
      </c>
      <c r="K481" s="3" t="s">
        <v>23</v>
      </c>
    </row>
    <row r="482" spans="1:11" ht="42" customHeight="1">
      <c r="A482" s="2" t="s">
        <v>1257</v>
      </c>
      <c r="B482" s="2" t="s">
        <v>1258</v>
      </c>
      <c r="C482" s="2" t="s">
        <v>35</v>
      </c>
      <c r="D482" s="2" t="s">
        <v>36</v>
      </c>
      <c r="E482" s="5">
        <v>-28884</v>
      </c>
      <c r="F482" s="3" t="s">
        <v>882</v>
      </c>
      <c r="G482" s="3" t="s">
        <v>1272</v>
      </c>
      <c r="H482" s="2" t="s">
        <v>21</v>
      </c>
      <c r="I482" s="2" t="s">
        <v>1273</v>
      </c>
      <c r="J482" s="3" t="str">
        <f>HYPERLINK("https://www.boe.es/gazeta/dias/1820/11/30/pdfs/GGB-1820-157.pdf#page=4","Abrir facsímil")</f>
        <v>Abrir facsímil</v>
      </c>
      <c r="K482" s="3" t="s">
        <v>23</v>
      </c>
    </row>
    <row r="483" spans="1:11" ht="42" customHeight="1">
      <c r="A483" s="2" t="s">
        <v>1257</v>
      </c>
      <c r="B483" s="2" t="s">
        <v>1258</v>
      </c>
      <c r="C483" s="2" t="s">
        <v>17</v>
      </c>
      <c r="D483" s="2" t="s">
        <v>18</v>
      </c>
      <c r="E483" s="5">
        <v>-28870</v>
      </c>
      <c r="F483" s="3" t="s">
        <v>1014</v>
      </c>
      <c r="G483" s="3" t="s">
        <v>62</v>
      </c>
      <c r="H483" s="2" t="s">
        <v>21</v>
      </c>
      <c r="I483" s="2" t="s">
        <v>1274</v>
      </c>
      <c r="J483" s="3" t="str">
        <f>HYPERLINK("https://www.boe.es/gazeta/dias/1820/12/14/pdfs/GGB-1820-171.pdf#page=3","Abrir facsímil")</f>
        <v>Abrir facsímil</v>
      </c>
      <c r="K483" s="3" t="s">
        <v>23</v>
      </c>
    </row>
    <row r="484" spans="1:11" ht="42" customHeight="1">
      <c r="A484" s="2" t="s">
        <v>1257</v>
      </c>
      <c r="B484" s="2" t="s">
        <v>1258</v>
      </c>
      <c r="C484" s="2" t="s">
        <v>47</v>
      </c>
      <c r="D484" s="2" t="s">
        <v>18</v>
      </c>
      <c r="E484" s="5">
        <v>-28864</v>
      </c>
      <c r="F484" s="3" t="s">
        <v>1275</v>
      </c>
      <c r="G484" s="3" t="s">
        <v>256</v>
      </c>
      <c r="H484" s="2" t="s">
        <v>21</v>
      </c>
      <c r="I484" s="2" t="s">
        <v>1276</v>
      </c>
      <c r="J484" s="3" t="str">
        <f>HYPERLINK("https://www.boe.es/gazeta/dias/1820/12/20/pdfs/GGB-1820-177.pdf#page=5","Abrir facsímil")</f>
        <v>Abrir facsímil</v>
      </c>
      <c r="K484" s="3" t="s">
        <v>23</v>
      </c>
    </row>
    <row r="485" spans="1:11" ht="42" customHeight="1">
      <c r="A485" s="2" t="s">
        <v>1277</v>
      </c>
      <c r="B485" s="2" t="s">
        <v>1278</v>
      </c>
      <c r="C485" s="2" t="s">
        <v>111</v>
      </c>
      <c r="D485" s="2" t="s">
        <v>18</v>
      </c>
      <c r="E485" s="5">
        <v>-28952</v>
      </c>
      <c r="F485" s="3" t="s">
        <v>370</v>
      </c>
      <c r="G485" s="3" t="s">
        <v>20</v>
      </c>
      <c r="H485" s="2" t="s">
        <v>21</v>
      </c>
      <c r="I485" s="2" t="s">
        <v>1279</v>
      </c>
      <c r="J485" s="3" t="str">
        <f>HYPERLINK("https://www.boe.es/gazeta/dias/1820/09/23/pdfs/GGB-1820-87.pdf#page=4","Abrir facsímil")</f>
        <v>Abrir facsímil</v>
      </c>
      <c r="K485" s="3" t="s">
        <v>23</v>
      </c>
    </row>
    <row r="486" spans="1:11" ht="42" customHeight="1">
      <c r="A486" s="2" t="s">
        <v>1280</v>
      </c>
      <c r="B486" s="2" t="s">
        <v>1281</v>
      </c>
      <c r="C486" s="2" t="s">
        <v>26</v>
      </c>
      <c r="D486" s="2" t="s">
        <v>27</v>
      </c>
      <c r="E486" s="5">
        <v>-28882</v>
      </c>
      <c r="F486" s="3" t="s">
        <v>1245</v>
      </c>
      <c r="G486" s="3" t="s">
        <v>1246</v>
      </c>
      <c r="H486" s="2" t="s">
        <v>21</v>
      </c>
      <c r="I486" s="2" t="s">
        <v>1282</v>
      </c>
      <c r="J486" s="3" t="str">
        <f>HYPERLINK("https://www.boe.es/gazeta/dias/1820/12/02/pdfs/GGB-1820-159.pdf#page=3","Abrir facsímil")</f>
        <v>Abrir facsímil</v>
      </c>
      <c r="K486" s="3" t="s">
        <v>23</v>
      </c>
    </row>
    <row r="487" spans="1:11" ht="42" customHeight="1">
      <c r="A487" s="2" t="s">
        <v>1283</v>
      </c>
      <c r="B487" s="2" t="s">
        <v>1284</v>
      </c>
      <c r="C487" s="2" t="s">
        <v>74</v>
      </c>
      <c r="D487" s="2" t="s">
        <v>18</v>
      </c>
      <c r="E487" s="5">
        <v>-29094</v>
      </c>
      <c r="F487" s="3" t="s">
        <v>560</v>
      </c>
      <c r="G487" s="3" t="s">
        <v>256</v>
      </c>
      <c r="H487" s="2" t="s">
        <v>21</v>
      </c>
      <c r="I487" s="2" t="s">
        <v>1285</v>
      </c>
      <c r="J487" s="3" t="str">
        <f>HYPERLINK("https://www.boe.es/gazeta/dias/1820/05/04/pdfs/GMD-1820-75.pdf#page=5","Abrir facsímil")</f>
        <v>Abrir facsímil</v>
      </c>
      <c r="K487" s="3" t="s">
        <v>23</v>
      </c>
    </row>
    <row r="488" spans="1:11" ht="42" customHeight="1">
      <c r="A488" s="2" t="s">
        <v>1286</v>
      </c>
      <c r="B488" s="2" t="s">
        <v>1287</v>
      </c>
      <c r="C488" s="2" t="s">
        <v>26</v>
      </c>
      <c r="D488" s="2" t="s">
        <v>27</v>
      </c>
      <c r="E488" s="5">
        <v>-28924</v>
      </c>
      <c r="F488" s="3" t="s">
        <v>78</v>
      </c>
      <c r="G488" s="3" t="s">
        <v>20</v>
      </c>
      <c r="H488" s="2" t="s">
        <v>21</v>
      </c>
      <c r="I488" s="2" t="s">
        <v>1288</v>
      </c>
      <c r="J488" s="3" t="str">
        <f>HYPERLINK("https://www.boe.es/gazeta/dias/1820/10/21/pdfs/GGB-1820-115.pdf#page=4","Abrir facsímil")</f>
        <v>Abrir facsímil</v>
      </c>
      <c r="K488" s="3" t="s">
        <v>23</v>
      </c>
    </row>
    <row r="489" spans="1:11" ht="42" customHeight="1">
      <c r="A489" s="2" t="s">
        <v>1289</v>
      </c>
      <c r="B489" s="2" t="s">
        <v>1290</v>
      </c>
      <c r="C489" s="2" t="s">
        <v>35</v>
      </c>
      <c r="D489" s="2" t="s">
        <v>36</v>
      </c>
      <c r="E489" s="5">
        <v>-29113</v>
      </c>
      <c r="F489" s="3" t="s">
        <v>501</v>
      </c>
      <c r="G489" s="3" t="s">
        <v>201</v>
      </c>
      <c r="H489" s="2" t="s">
        <v>21</v>
      </c>
      <c r="I489" s="2" t="s">
        <v>1291</v>
      </c>
      <c r="J489" s="3" t="str">
        <f>HYPERLINK("https://www.boe.es/gazeta/dias/1820/04/15/pdfs/GMD-1820-66.pdf#page=7","Abrir facsímil")</f>
        <v>Abrir facsímil</v>
      </c>
      <c r="K489" s="3" t="s">
        <v>23</v>
      </c>
    </row>
    <row r="490" spans="1:11" ht="42" customHeight="1">
      <c r="A490" s="2" t="s">
        <v>1292</v>
      </c>
      <c r="B490" s="2" t="s">
        <v>1292</v>
      </c>
      <c r="C490" s="2" t="s">
        <v>107</v>
      </c>
      <c r="D490" s="2" t="s">
        <v>18</v>
      </c>
      <c r="E490" s="5">
        <v>-29152</v>
      </c>
      <c r="F490" s="3" t="s">
        <v>1293</v>
      </c>
      <c r="G490" s="3" t="s">
        <v>201</v>
      </c>
      <c r="H490" s="2" t="s">
        <v>21</v>
      </c>
      <c r="I490" s="2" t="s">
        <v>1294</v>
      </c>
      <c r="J490" s="3" t="str">
        <f>HYPERLINK("https://www.boe.es/gazeta/dias/1820/03/07/pdfs/GMD-1820-29.pdf#page=7","Abrir facsímil")</f>
        <v>Abrir facsímil</v>
      </c>
      <c r="K490" s="3" t="s">
        <v>23</v>
      </c>
    </row>
    <row r="491" spans="1:11" ht="42" customHeight="1">
      <c r="A491" s="2" t="s">
        <v>1295</v>
      </c>
      <c r="B491" s="2" t="s">
        <v>1296</v>
      </c>
      <c r="C491" s="2" t="s">
        <v>35</v>
      </c>
      <c r="D491" s="2" t="s">
        <v>36</v>
      </c>
      <c r="E491" s="5">
        <v>-29015</v>
      </c>
      <c r="F491" s="3" t="s">
        <v>359</v>
      </c>
      <c r="G491" s="3" t="s">
        <v>62</v>
      </c>
      <c r="H491" s="2" t="s">
        <v>21</v>
      </c>
      <c r="I491" s="2" t="s">
        <v>1297</v>
      </c>
      <c r="J491" s="3" t="str">
        <f>HYPERLINK("https://www.boe.es/gazeta/dias/1820/07/22/pdfs/GGB-1820-24.pdf#page=3","Abrir facsímil")</f>
        <v>Abrir facsímil</v>
      </c>
      <c r="K491" s="3" t="s">
        <v>23</v>
      </c>
    </row>
    <row r="492" spans="1:11" ht="42" customHeight="1">
      <c r="A492" s="2" t="s">
        <v>1298</v>
      </c>
      <c r="B492" s="2" t="s">
        <v>1299</v>
      </c>
      <c r="C492" s="2" t="s">
        <v>35</v>
      </c>
      <c r="D492" s="2" t="s">
        <v>36</v>
      </c>
      <c r="E492" s="5">
        <v>-28987</v>
      </c>
      <c r="F492" s="3" t="s">
        <v>680</v>
      </c>
      <c r="G492" s="3" t="s">
        <v>1300</v>
      </c>
      <c r="H492" s="2" t="s">
        <v>21</v>
      </c>
      <c r="I492" s="2" t="s">
        <v>1301</v>
      </c>
      <c r="J492" s="3" t="str">
        <f>HYPERLINK("https://www.boe.es/gazeta/dias/1820/08/19/pdfs/GGB-1820-52.pdf#page=2","Abrir facsímil")</f>
        <v>Abrir facsímil</v>
      </c>
      <c r="K492" s="3" t="s">
        <v>23</v>
      </c>
    </row>
    <row r="493" spans="1:11" ht="42" customHeight="1">
      <c r="A493" s="2" t="s">
        <v>1302</v>
      </c>
      <c r="B493" s="2" t="s">
        <v>1303</v>
      </c>
      <c r="C493" s="2" t="s">
        <v>74</v>
      </c>
      <c r="D493" s="2" t="s">
        <v>18</v>
      </c>
      <c r="E493" s="5">
        <v>-28906</v>
      </c>
      <c r="F493" s="3" t="s">
        <v>232</v>
      </c>
      <c r="G493" s="3" t="s">
        <v>43</v>
      </c>
      <c r="H493" s="2" t="s">
        <v>21</v>
      </c>
      <c r="I493" s="2" t="s">
        <v>1304</v>
      </c>
      <c r="J493" s="3" t="str">
        <f>HYPERLINK("https://www.boe.es/gazeta/dias/1820/11/08/pdfs/GGB-1820-133.pdf#page=2","Abrir facsímil")</f>
        <v>Abrir facsímil</v>
      </c>
      <c r="K493" s="3" t="s">
        <v>23</v>
      </c>
    </row>
    <row r="494" spans="1:11" ht="42" customHeight="1">
      <c r="A494" s="2" t="s">
        <v>1305</v>
      </c>
      <c r="B494" s="2" t="s">
        <v>1306</v>
      </c>
      <c r="C494" s="2" t="s">
        <v>111</v>
      </c>
      <c r="D494" s="2" t="s">
        <v>18</v>
      </c>
      <c r="E494" s="5">
        <v>-29213</v>
      </c>
      <c r="F494" s="3" t="s">
        <v>195</v>
      </c>
      <c r="G494" s="3" t="s">
        <v>196</v>
      </c>
      <c r="H494" s="2" t="s">
        <v>21</v>
      </c>
      <c r="I494" s="2" t="s">
        <v>1307</v>
      </c>
      <c r="J494" s="3" t="str">
        <f>HYPERLINK("https://www.boe.es/gazeta/dias/1820/01/06/pdfs/GMD-1820-3.pdf#page=11","Abrir facsímil")</f>
        <v>Abrir facsímil</v>
      </c>
      <c r="K494" s="3" t="s">
        <v>23</v>
      </c>
    </row>
    <row r="495" spans="1:11" ht="42" customHeight="1">
      <c r="A495" s="2" t="s">
        <v>1308</v>
      </c>
      <c r="B495" s="2" t="s">
        <v>1309</v>
      </c>
      <c r="C495" s="2" t="s">
        <v>35</v>
      </c>
      <c r="D495" s="2" t="s">
        <v>36</v>
      </c>
      <c r="E495" s="5">
        <v>-29022</v>
      </c>
      <c r="F495" s="3" t="s">
        <v>1310</v>
      </c>
      <c r="G495" s="3" t="s">
        <v>20</v>
      </c>
      <c r="H495" s="2" t="s">
        <v>30</v>
      </c>
      <c r="I495" s="2" t="s">
        <v>1311</v>
      </c>
      <c r="J495" s="3" t="str">
        <f>HYPERLINK("https://www.boe.es/gazeta/dias/1820/07/15/pdfs/GGB-1820-17.pdf#page=4","Abrir facsímil")</f>
        <v>Abrir facsímil</v>
      </c>
      <c r="K495" s="3" t="s">
        <v>32</v>
      </c>
    </row>
    <row r="496" spans="1:11" ht="42" customHeight="1">
      <c r="A496" s="2" t="s">
        <v>1312</v>
      </c>
      <c r="B496" s="2" t="s">
        <v>1313</v>
      </c>
      <c r="C496" s="2" t="s">
        <v>26</v>
      </c>
      <c r="D496" s="2" t="s">
        <v>27</v>
      </c>
      <c r="E496" s="5">
        <v>-28966</v>
      </c>
      <c r="F496" s="3" t="s">
        <v>701</v>
      </c>
      <c r="G496" s="3" t="s">
        <v>20</v>
      </c>
      <c r="H496" s="2" t="s">
        <v>21</v>
      </c>
      <c r="I496" s="2" t="s">
        <v>1314</v>
      </c>
      <c r="J496" s="3" t="str">
        <f>HYPERLINK("https://www.boe.es/gazeta/dias/1820/09/09/pdfs/GGB-1820-73.pdf#page=4","Abrir facsímil")</f>
        <v>Abrir facsímil</v>
      </c>
      <c r="K496" s="3" t="s">
        <v>23</v>
      </c>
    </row>
    <row r="497" spans="1:11" ht="42" customHeight="1">
      <c r="A497" s="2" t="s">
        <v>1315</v>
      </c>
      <c r="B497" s="2" t="s">
        <v>1316</v>
      </c>
      <c r="C497" s="2" t="s">
        <v>35</v>
      </c>
      <c r="D497" s="2" t="s">
        <v>36</v>
      </c>
      <c r="E497" s="5">
        <v>-28977</v>
      </c>
      <c r="F497" s="3" t="s">
        <v>687</v>
      </c>
      <c r="G497" s="3" t="s">
        <v>20</v>
      </c>
      <c r="H497" s="2" t="s">
        <v>21</v>
      </c>
      <c r="I497" s="2" t="s">
        <v>1317</v>
      </c>
      <c r="J497" s="3" t="str">
        <f>HYPERLINK("https://www.boe.es/gazeta/dias/1820/08/29/pdfs/GGB-1820-62.pdf#page=4","Abrir facsímil")</f>
        <v>Abrir facsímil</v>
      </c>
      <c r="K497" s="3" t="s">
        <v>23</v>
      </c>
    </row>
    <row r="498" spans="1:11" ht="42" customHeight="1">
      <c r="A498" s="2" t="s">
        <v>1315</v>
      </c>
      <c r="B498" s="2" t="s">
        <v>1316</v>
      </c>
      <c r="C498" s="2" t="s">
        <v>74</v>
      </c>
      <c r="D498" s="2" t="s">
        <v>18</v>
      </c>
      <c r="E498" s="5">
        <v>-28974</v>
      </c>
      <c r="F498" s="3" t="s">
        <v>1144</v>
      </c>
      <c r="G498" s="3" t="s">
        <v>1145</v>
      </c>
      <c r="H498" s="2" t="s">
        <v>21</v>
      </c>
      <c r="I498" s="2" t="s">
        <v>1318</v>
      </c>
      <c r="J498" s="3" t="str">
        <f>HYPERLINK("https://www.boe.es/gazeta/dias/1820/09/01/pdfs/GGB-1820-65.pdf#page=4","Abrir facsímil")</f>
        <v>Abrir facsímil</v>
      </c>
      <c r="K498" s="3" t="s">
        <v>23</v>
      </c>
    </row>
    <row r="499" spans="1:11" ht="42" customHeight="1">
      <c r="A499" s="2" t="s">
        <v>1319</v>
      </c>
      <c r="B499" s="2" t="s">
        <v>1320</v>
      </c>
      <c r="C499" s="2" t="s">
        <v>35</v>
      </c>
      <c r="D499" s="2" t="s">
        <v>36</v>
      </c>
      <c r="E499" s="5">
        <v>-28921</v>
      </c>
      <c r="F499" s="3" t="s">
        <v>738</v>
      </c>
      <c r="G499" s="3" t="s">
        <v>20</v>
      </c>
      <c r="H499" s="2" t="s">
        <v>21</v>
      </c>
      <c r="I499" s="2" t="s">
        <v>1321</v>
      </c>
      <c r="J499" s="3" t="str">
        <f>HYPERLINK("https://www.boe.es/gazeta/dias/1820/10/24/pdfs/GGB-1820-118.pdf#page=4","Abrir facsímil")</f>
        <v>Abrir facsímil</v>
      </c>
      <c r="K499" s="3" t="s">
        <v>23</v>
      </c>
    </row>
    <row r="500" spans="1:11" ht="42" customHeight="1">
      <c r="A500" s="2" t="s">
        <v>1315</v>
      </c>
      <c r="B500" s="2" t="s">
        <v>1316</v>
      </c>
      <c r="C500" s="2" t="s">
        <v>35</v>
      </c>
      <c r="D500" s="2" t="s">
        <v>36</v>
      </c>
      <c r="E500" s="5">
        <v>-28906</v>
      </c>
      <c r="F500" s="3" t="s">
        <v>232</v>
      </c>
      <c r="G500" s="3" t="s">
        <v>20</v>
      </c>
      <c r="H500" s="2" t="s">
        <v>21</v>
      </c>
      <c r="I500" s="2" t="s">
        <v>1322</v>
      </c>
      <c r="J500" s="3" t="str">
        <f>HYPERLINK("https://www.boe.es/gazeta/dias/1820/11/08/pdfs/GGB-1820-133.pdf#page=4","Abrir facsímil")</f>
        <v>Abrir facsímil</v>
      </c>
      <c r="K500" s="3" t="s">
        <v>23</v>
      </c>
    </row>
    <row r="501" spans="1:11" ht="42" customHeight="1">
      <c r="A501" s="2" t="s">
        <v>1315</v>
      </c>
      <c r="B501" s="2" t="s">
        <v>1316</v>
      </c>
      <c r="C501" s="2" t="s">
        <v>35</v>
      </c>
      <c r="D501" s="2" t="s">
        <v>36</v>
      </c>
      <c r="E501" s="5">
        <v>-28869</v>
      </c>
      <c r="F501" s="3" t="s">
        <v>449</v>
      </c>
      <c r="G501" s="3" t="s">
        <v>450</v>
      </c>
      <c r="H501" s="2" t="s">
        <v>21</v>
      </c>
      <c r="I501" s="2" t="s">
        <v>1323</v>
      </c>
      <c r="J501" s="3" t="str">
        <f>HYPERLINK("https://www.boe.es/gazeta/dias/1820/12/15/pdfs/GGB-1820-172.pdf#page=4","Abrir facsímil")</f>
        <v>Abrir facsímil</v>
      </c>
      <c r="K501" s="3" t="s">
        <v>23</v>
      </c>
    </row>
    <row r="502" spans="1:11" ht="42" customHeight="1">
      <c r="A502" s="2" t="s">
        <v>1324</v>
      </c>
      <c r="B502" s="2" t="s">
        <v>1325</v>
      </c>
      <c r="C502" s="2" t="s">
        <v>35</v>
      </c>
      <c r="D502" s="2" t="s">
        <v>36</v>
      </c>
      <c r="E502" s="5">
        <v>-29064</v>
      </c>
      <c r="F502" s="3" t="s">
        <v>1264</v>
      </c>
      <c r="G502" s="3" t="s">
        <v>256</v>
      </c>
      <c r="H502" s="2" t="s">
        <v>21</v>
      </c>
      <c r="I502" s="2" t="s">
        <v>1326</v>
      </c>
      <c r="J502" s="3" t="str">
        <f>HYPERLINK("https://www.boe.es/gazeta/dias/1820/06/03/pdfs/GMD-1820-89.pdf#page=5","Abrir facsímil")</f>
        <v>Abrir facsímil</v>
      </c>
      <c r="K502" s="3" t="s">
        <v>23</v>
      </c>
    </row>
    <row r="503" spans="1:11" ht="42" customHeight="1">
      <c r="A503" s="2" t="s">
        <v>1327</v>
      </c>
      <c r="B503" s="2" t="s">
        <v>1328</v>
      </c>
      <c r="C503" s="2" t="s">
        <v>111</v>
      </c>
      <c r="D503" s="2" t="s">
        <v>18</v>
      </c>
      <c r="E503" s="5">
        <v>-28912</v>
      </c>
      <c r="F503" s="3" t="s">
        <v>1329</v>
      </c>
      <c r="G503" s="3" t="s">
        <v>62</v>
      </c>
      <c r="H503" s="2" t="s">
        <v>21</v>
      </c>
      <c r="I503" s="2" t="s">
        <v>1330</v>
      </c>
      <c r="J503" s="3" t="str">
        <f>HYPERLINK("https://www.boe.es/gazeta/dias/1820/11/02/pdfs/GGB-1820-127.pdf#page=3","Abrir facsímil")</f>
        <v>Abrir facsímil</v>
      </c>
      <c r="K503" s="3" t="s">
        <v>23</v>
      </c>
    </row>
    <row r="504" spans="1:11" ht="42" customHeight="1">
      <c r="A504" s="2" t="s">
        <v>1331</v>
      </c>
      <c r="B504" s="2" t="s">
        <v>1332</v>
      </c>
      <c r="C504" s="2" t="s">
        <v>26</v>
      </c>
      <c r="D504" s="2" t="s">
        <v>27</v>
      </c>
      <c r="E504" s="5">
        <v>-28964</v>
      </c>
      <c r="F504" s="3" t="s">
        <v>240</v>
      </c>
      <c r="G504" s="3" t="s">
        <v>62</v>
      </c>
      <c r="H504" s="2" t="s">
        <v>21</v>
      </c>
      <c r="I504" s="2" t="s">
        <v>1333</v>
      </c>
      <c r="J504" s="3" t="str">
        <f>HYPERLINK("https://www.boe.es/gazeta/dias/1820/09/11/pdfs/GGB-1820-75.pdf#page=3","Abrir facsímil")</f>
        <v>Abrir facsímil</v>
      </c>
      <c r="K504" s="3" t="s">
        <v>23</v>
      </c>
    </row>
    <row r="505" spans="1:11" ht="42" customHeight="1">
      <c r="A505" s="2" t="s">
        <v>1334</v>
      </c>
      <c r="B505" s="2" t="s">
        <v>1335</v>
      </c>
      <c r="C505" s="2" t="s">
        <v>111</v>
      </c>
      <c r="D505" s="2" t="s">
        <v>18</v>
      </c>
      <c r="E505" s="5">
        <v>-28947</v>
      </c>
      <c r="F505" s="3" t="s">
        <v>127</v>
      </c>
      <c r="G505" s="3" t="s">
        <v>62</v>
      </c>
      <c r="H505" s="2" t="s">
        <v>21</v>
      </c>
      <c r="I505" s="2" t="s">
        <v>1336</v>
      </c>
      <c r="J505" s="3" t="str">
        <f>HYPERLINK("https://www.boe.es/gazeta/dias/1820/09/28/pdfs/GGB-1820-92.pdf#page=3","Abrir facsímil")</f>
        <v>Abrir facsímil</v>
      </c>
      <c r="K505" s="3" t="s">
        <v>23</v>
      </c>
    </row>
    <row r="506" spans="1:11" ht="42" customHeight="1">
      <c r="A506" s="2" t="s">
        <v>1337</v>
      </c>
      <c r="B506" s="2" t="s">
        <v>1337</v>
      </c>
      <c r="C506" s="2" t="s">
        <v>111</v>
      </c>
      <c r="D506" s="2" t="s">
        <v>18</v>
      </c>
      <c r="E506" s="5">
        <v>-28940</v>
      </c>
      <c r="F506" s="3" t="s">
        <v>141</v>
      </c>
      <c r="G506" s="3" t="s">
        <v>43</v>
      </c>
      <c r="H506" s="2" t="s">
        <v>21</v>
      </c>
      <c r="I506" s="2" t="s">
        <v>1338</v>
      </c>
      <c r="J506" s="3" t="str">
        <f>HYPERLINK("https://www.boe.es/gazeta/dias/1820/10/05/pdfs/GGB-1820-99.pdf#page=2","Abrir facsímil")</f>
        <v>Abrir facsímil</v>
      </c>
      <c r="K506" s="3" t="s">
        <v>23</v>
      </c>
    </row>
    <row r="507" spans="1:11" ht="42" customHeight="1">
      <c r="A507" s="2" t="s">
        <v>1337</v>
      </c>
      <c r="B507" s="2" t="s">
        <v>1337</v>
      </c>
      <c r="C507" s="2" t="s">
        <v>47</v>
      </c>
      <c r="D507" s="2" t="s">
        <v>18</v>
      </c>
      <c r="E507" s="5">
        <v>-28938</v>
      </c>
      <c r="F507" s="3" t="s">
        <v>716</v>
      </c>
      <c r="G507" s="3" t="s">
        <v>717</v>
      </c>
      <c r="H507" s="2" t="s">
        <v>21</v>
      </c>
      <c r="I507" s="2" t="s">
        <v>1339</v>
      </c>
      <c r="J507" s="3" t="str">
        <f>HYPERLINK("https://www.boe.es/gazeta/dias/1820/10/07/pdfs/GGB-1820-101.pdf#page=2","Abrir facsímil")</f>
        <v>Abrir facsímil</v>
      </c>
      <c r="K507" s="3" t="s">
        <v>23</v>
      </c>
    </row>
    <row r="508" spans="1:11" ht="42" customHeight="1">
      <c r="A508" s="2" t="s">
        <v>1337</v>
      </c>
      <c r="B508" s="2" t="s">
        <v>1337</v>
      </c>
      <c r="C508" s="2" t="s">
        <v>35</v>
      </c>
      <c r="D508" s="2" t="s">
        <v>36</v>
      </c>
      <c r="E508" s="5">
        <v>-28938</v>
      </c>
      <c r="F508" s="3" t="s">
        <v>716</v>
      </c>
      <c r="G508" s="3" t="s">
        <v>62</v>
      </c>
      <c r="H508" s="2" t="s">
        <v>21</v>
      </c>
      <c r="I508" s="2" t="s">
        <v>1340</v>
      </c>
      <c r="J508" s="3" t="str">
        <f>HYPERLINK("https://www.boe.es/gazeta/dias/1820/10/07/pdfs/GGB-1820-101.pdf#page=3","Abrir facsímil")</f>
        <v>Abrir facsímil</v>
      </c>
      <c r="K508" s="3" t="s">
        <v>23</v>
      </c>
    </row>
    <row r="509" spans="1:11" ht="42" customHeight="1">
      <c r="A509" s="2" t="s">
        <v>1337</v>
      </c>
      <c r="B509" s="2" t="s">
        <v>1337</v>
      </c>
      <c r="C509" s="2" t="s">
        <v>74</v>
      </c>
      <c r="D509" s="2" t="s">
        <v>18</v>
      </c>
      <c r="E509" s="5">
        <v>-28936</v>
      </c>
      <c r="F509" s="3" t="s">
        <v>167</v>
      </c>
      <c r="G509" s="3" t="s">
        <v>43</v>
      </c>
      <c r="H509" s="2" t="s">
        <v>21</v>
      </c>
      <c r="I509" s="2" t="s">
        <v>1341</v>
      </c>
      <c r="J509" s="3" t="str">
        <f>HYPERLINK("https://www.boe.es/gazeta/dias/1820/10/09/pdfs/GGB-1820-103.pdf#page=2","Abrir facsímil")</f>
        <v>Abrir facsímil</v>
      </c>
      <c r="K509" s="3" t="s">
        <v>23</v>
      </c>
    </row>
    <row r="510" spans="1:11" ht="42" customHeight="1">
      <c r="A510" s="2" t="s">
        <v>1337</v>
      </c>
      <c r="B510" s="2" t="s">
        <v>1337</v>
      </c>
      <c r="C510" s="2" t="s">
        <v>17</v>
      </c>
      <c r="D510" s="2" t="s">
        <v>18</v>
      </c>
      <c r="E510" s="5">
        <v>-28923</v>
      </c>
      <c r="F510" s="3" t="s">
        <v>648</v>
      </c>
      <c r="G510" s="3" t="s">
        <v>43</v>
      </c>
      <c r="H510" s="2" t="s">
        <v>21</v>
      </c>
      <c r="I510" s="2" t="s">
        <v>1342</v>
      </c>
      <c r="J510" s="3" t="str">
        <f>HYPERLINK("https://www.boe.es/gazeta/dias/1820/10/22/pdfs/GGB-1820-116.pdf#page=2","Abrir facsímil")</f>
        <v>Abrir facsímil</v>
      </c>
      <c r="K510" s="3" t="s">
        <v>23</v>
      </c>
    </row>
    <row r="511" spans="1:11" ht="42" customHeight="1">
      <c r="A511" s="2" t="s">
        <v>1337</v>
      </c>
      <c r="B511" s="2" t="s">
        <v>1337</v>
      </c>
      <c r="C511" s="2" t="s">
        <v>17</v>
      </c>
      <c r="D511" s="2" t="s">
        <v>18</v>
      </c>
      <c r="E511" s="5">
        <v>-28911</v>
      </c>
      <c r="F511" s="3" t="s">
        <v>82</v>
      </c>
      <c r="G511" s="3" t="s">
        <v>62</v>
      </c>
      <c r="H511" s="2" t="s">
        <v>21</v>
      </c>
      <c r="I511" s="2" t="s">
        <v>1343</v>
      </c>
      <c r="J511" s="3" t="str">
        <f>HYPERLINK("https://www.boe.es/gazeta/dias/1820/11/03/pdfs/GGB-1820-128.pdf#page=3","Abrir facsímil")</f>
        <v>Abrir facsímil</v>
      </c>
      <c r="K511" s="3" t="s">
        <v>23</v>
      </c>
    </row>
    <row r="512" spans="1:11" ht="42" customHeight="1">
      <c r="A512" s="2" t="s">
        <v>1337</v>
      </c>
      <c r="B512" s="2" t="s">
        <v>1337</v>
      </c>
      <c r="C512" s="2" t="s">
        <v>26</v>
      </c>
      <c r="D512" s="2" t="s">
        <v>27</v>
      </c>
      <c r="E512" s="5">
        <v>-28908</v>
      </c>
      <c r="F512" s="3" t="s">
        <v>1060</v>
      </c>
      <c r="G512" s="3" t="s">
        <v>62</v>
      </c>
      <c r="H512" s="2" t="s">
        <v>21</v>
      </c>
      <c r="I512" s="2" t="s">
        <v>1344</v>
      </c>
      <c r="J512" s="3" t="str">
        <f>HYPERLINK("https://www.boe.es/gazeta/dias/1820/11/06/pdfs/GGB-1820-131.pdf#page=3","Abrir facsímil")</f>
        <v>Abrir facsímil</v>
      </c>
      <c r="K512" s="3" t="s">
        <v>23</v>
      </c>
    </row>
    <row r="513" spans="1:11" ht="42" customHeight="1">
      <c r="A513" s="2" t="s">
        <v>1345</v>
      </c>
      <c r="B513" s="2" t="s">
        <v>1346</v>
      </c>
      <c r="C513" s="2" t="s">
        <v>74</v>
      </c>
      <c r="D513" s="2" t="s">
        <v>18</v>
      </c>
      <c r="E513" s="5">
        <v>-29026</v>
      </c>
      <c r="F513" s="3" t="s">
        <v>1197</v>
      </c>
      <c r="G513" s="3" t="s">
        <v>62</v>
      </c>
      <c r="H513" s="2" t="s">
        <v>21</v>
      </c>
      <c r="I513" s="2" t="s">
        <v>1347</v>
      </c>
      <c r="J513" s="3" t="str">
        <f>HYPERLINK("https://www.boe.es/gazeta/dias/1820/07/11/pdfs/GGB-1820-13.pdf#page=3","Abrir facsímil")</f>
        <v>Abrir facsímil</v>
      </c>
      <c r="K513" s="3" t="s">
        <v>23</v>
      </c>
    </row>
    <row r="514" spans="1:11" ht="42" customHeight="1">
      <c r="A514" s="2" t="s">
        <v>1345</v>
      </c>
      <c r="B514" s="2" t="s">
        <v>1346</v>
      </c>
      <c r="C514" s="2" t="s">
        <v>35</v>
      </c>
      <c r="D514" s="2" t="s">
        <v>36</v>
      </c>
      <c r="E514" s="5">
        <v>-29025</v>
      </c>
      <c r="F514" s="3" t="s">
        <v>902</v>
      </c>
      <c r="G514" s="3" t="s">
        <v>62</v>
      </c>
      <c r="H514" s="2" t="s">
        <v>21</v>
      </c>
      <c r="I514" s="2" t="s">
        <v>1348</v>
      </c>
      <c r="J514" s="3" t="str">
        <f>HYPERLINK("https://www.boe.es/gazeta/dias/1820/07/12/pdfs/GGB-1820-14.pdf#page=3","Abrir facsímil")</f>
        <v>Abrir facsímil</v>
      </c>
      <c r="K514" s="3" t="s">
        <v>23</v>
      </c>
    </row>
    <row r="515" spans="1:11" ht="42" customHeight="1">
      <c r="A515" s="2" t="s">
        <v>1345</v>
      </c>
      <c r="B515" s="2" t="s">
        <v>1346</v>
      </c>
      <c r="C515" s="2" t="s">
        <v>74</v>
      </c>
      <c r="D515" s="2" t="s">
        <v>18</v>
      </c>
      <c r="E515" s="5">
        <v>-29019</v>
      </c>
      <c r="F515" s="3" t="s">
        <v>655</v>
      </c>
      <c r="G515" s="3" t="s">
        <v>945</v>
      </c>
      <c r="H515" s="2" t="s">
        <v>21</v>
      </c>
      <c r="I515" s="2" t="s">
        <v>1349</v>
      </c>
      <c r="J515" s="3" t="str">
        <f>HYPERLINK("https://www.boe.es/gazeta/dias/1820/07/18/pdfs/GGB-1820-20.pdf#page=2","Abrir facsímil")</f>
        <v>Abrir facsímil</v>
      </c>
      <c r="K515" s="3" t="s">
        <v>23</v>
      </c>
    </row>
    <row r="516" spans="1:11" ht="42" customHeight="1">
      <c r="A516" s="2" t="s">
        <v>1345</v>
      </c>
      <c r="B516" s="2" t="s">
        <v>1346</v>
      </c>
      <c r="C516" s="2" t="s">
        <v>35</v>
      </c>
      <c r="D516" s="2" t="s">
        <v>36</v>
      </c>
      <c r="E516" s="5">
        <v>-29014</v>
      </c>
      <c r="F516" s="3" t="s">
        <v>70</v>
      </c>
      <c r="G516" s="3" t="s">
        <v>62</v>
      </c>
      <c r="H516" s="2" t="s">
        <v>21</v>
      </c>
      <c r="I516" s="2" t="s">
        <v>1350</v>
      </c>
      <c r="J516" s="3" t="str">
        <f>HYPERLINK("https://www.boe.es/gazeta/dias/1820/07/23/pdfs/GGB-1820-25.pdf#page=3","Abrir facsímil")</f>
        <v>Abrir facsímil</v>
      </c>
      <c r="K516" s="3" t="s">
        <v>23</v>
      </c>
    </row>
    <row r="517" spans="1:11" ht="42" customHeight="1">
      <c r="A517" s="2" t="s">
        <v>1345</v>
      </c>
      <c r="B517" s="2" t="s">
        <v>1346</v>
      </c>
      <c r="C517" s="2" t="s">
        <v>293</v>
      </c>
      <c r="D517" s="2" t="s">
        <v>18</v>
      </c>
      <c r="E517" s="5">
        <v>-29014</v>
      </c>
      <c r="F517" s="3" t="s">
        <v>70</v>
      </c>
      <c r="G517" s="3" t="s">
        <v>20</v>
      </c>
      <c r="H517" s="2" t="s">
        <v>21</v>
      </c>
      <c r="I517" s="2" t="s">
        <v>1351</v>
      </c>
      <c r="J517" s="3" t="str">
        <f>HYPERLINK("https://www.boe.es/gazeta/dias/1820/07/23/pdfs/GGB-1820-25.pdf#page=4","Abrir facsímil")</f>
        <v>Abrir facsímil</v>
      </c>
      <c r="K517" s="3" t="s">
        <v>23</v>
      </c>
    </row>
    <row r="518" spans="1:11" ht="42" customHeight="1">
      <c r="A518" s="2" t="s">
        <v>1345</v>
      </c>
      <c r="B518" s="2" t="s">
        <v>1346</v>
      </c>
      <c r="C518" s="2" t="s">
        <v>26</v>
      </c>
      <c r="D518" s="2" t="s">
        <v>27</v>
      </c>
      <c r="E518" s="5">
        <v>-29012</v>
      </c>
      <c r="F518" s="3" t="s">
        <v>72</v>
      </c>
      <c r="G518" s="3" t="s">
        <v>661</v>
      </c>
      <c r="H518" s="2" t="s">
        <v>21</v>
      </c>
      <c r="I518" s="2" t="s">
        <v>1352</v>
      </c>
      <c r="J518" s="3" t="str">
        <f>HYPERLINK("https://www.boe.es/gazeta/dias/1820/07/25/pdfs/GGB-1820-27.pdf#page=2","Abrir facsímil")</f>
        <v>Abrir facsímil</v>
      </c>
      <c r="K518" s="3" t="s">
        <v>23</v>
      </c>
    </row>
    <row r="519" spans="1:11" ht="42" customHeight="1">
      <c r="A519" s="2" t="s">
        <v>1345</v>
      </c>
      <c r="B519" s="2" t="s">
        <v>1346</v>
      </c>
      <c r="C519" s="2" t="s">
        <v>35</v>
      </c>
      <c r="D519" s="2" t="s">
        <v>36</v>
      </c>
      <c r="E519" s="5">
        <v>-29011</v>
      </c>
      <c r="F519" s="3" t="s">
        <v>338</v>
      </c>
      <c r="G519" s="3" t="s">
        <v>62</v>
      </c>
      <c r="H519" s="2" t="s">
        <v>21</v>
      </c>
      <c r="I519" s="2" t="s">
        <v>1353</v>
      </c>
      <c r="J519" s="3" t="str">
        <f>HYPERLINK("https://www.boe.es/gazeta/dias/1820/07/26/pdfs/GGB-1820-28.pdf#page=3","Abrir facsímil")</f>
        <v>Abrir facsímil</v>
      </c>
      <c r="K519" s="3" t="s">
        <v>23</v>
      </c>
    </row>
    <row r="520" spans="1:11" ht="42" customHeight="1">
      <c r="A520" s="2" t="s">
        <v>1345</v>
      </c>
      <c r="B520" s="2" t="s">
        <v>1346</v>
      </c>
      <c r="C520" s="2" t="s">
        <v>74</v>
      </c>
      <c r="D520" s="2" t="s">
        <v>18</v>
      </c>
      <c r="E520" s="5">
        <v>-29010</v>
      </c>
      <c r="F520" s="3" t="s">
        <v>664</v>
      </c>
      <c r="G520" s="3" t="s">
        <v>62</v>
      </c>
      <c r="H520" s="2" t="s">
        <v>21</v>
      </c>
      <c r="I520" s="2" t="s">
        <v>1354</v>
      </c>
      <c r="J520" s="3" t="str">
        <f>HYPERLINK("https://www.boe.es/gazeta/dias/1820/07/27/pdfs/GGB-1820-29.pdf#page=3","Abrir facsímil")</f>
        <v>Abrir facsímil</v>
      </c>
      <c r="K520" s="3" t="s">
        <v>23</v>
      </c>
    </row>
    <row r="521" spans="1:11" ht="42" customHeight="1">
      <c r="A521" s="2" t="s">
        <v>1345</v>
      </c>
      <c r="B521" s="2" t="s">
        <v>1346</v>
      </c>
      <c r="C521" s="2" t="s">
        <v>74</v>
      </c>
      <c r="D521" s="2" t="s">
        <v>18</v>
      </c>
      <c r="E521" s="5">
        <v>-29006</v>
      </c>
      <c r="F521" s="3" t="s">
        <v>609</v>
      </c>
      <c r="G521" s="3" t="s">
        <v>43</v>
      </c>
      <c r="H521" s="2" t="s">
        <v>21</v>
      </c>
      <c r="I521" s="2" t="s">
        <v>1355</v>
      </c>
      <c r="J521" s="3" t="str">
        <f>HYPERLINK("https://www.boe.es/gazeta/dias/1820/07/31/pdfs/GGB-1820-33.pdf#page=2","Abrir facsímil")</f>
        <v>Abrir facsímil</v>
      </c>
      <c r="K521" s="3" t="s">
        <v>23</v>
      </c>
    </row>
    <row r="522" spans="1:11" ht="42" customHeight="1">
      <c r="A522" s="2" t="s">
        <v>1345</v>
      </c>
      <c r="B522" s="2" t="s">
        <v>1346</v>
      </c>
      <c r="C522" s="2" t="s">
        <v>35</v>
      </c>
      <c r="D522" s="2" t="s">
        <v>36</v>
      </c>
      <c r="E522" s="5">
        <v>-29003</v>
      </c>
      <c r="F522" s="3" t="s">
        <v>340</v>
      </c>
      <c r="G522" s="3" t="s">
        <v>62</v>
      </c>
      <c r="H522" s="2" t="s">
        <v>21</v>
      </c>
      <c r="I522" s="2" t="s">
        <v>1356</v>
      </c>
      <c r="J522" s="3" t="str">
        <f>HYPERLINK("https://www.boe.es/gazeta/dias/1820/08/03/pdfs/GGB-1820-36.pdf#page=3","Abrir facsímil")</f>
        <v>Abrir facsímil</v>
      </c>
      <c r="K522" s="3" t="s">
        <v>23</v>
      </c>
    </row>
    <row r="523" spans="1:11" ht="42" customHeight="1">
      <c r="A523" s="2" t="s">
        <v>1345</v>
      </c>
      <c r="B523" s="2" t="s">
        <v>1346</v>
      </c>
      <c r="C523" s="2" t="s">
        <v>35</v>
      </c>
      <c r="D523" s="2" t="s">
        <v>36</v>
      </c>
      <c r="E523" s="5">
        <v>-29001</v>
      </c>
      <c r="F523" s="3" t="s">
        <v>633</v>
      </c>
      <c r="G523" s="3" t="s">
        <v>43</v>
      </c>
      <c r="H523" s="2" t="s">
        <v>21</v>
      </c>
      <c r="I523" s="2" t="s">
        <v>1357</v>
      </c>
      <c r="J523" s="3" t="str">
        <f>HYPERLINK("https://www.boe.es/gazeta/dias/1820/08/05/pdfs/GGB-1820-38.pdf#page=2","Abrir facsímil")</f>
        <v>Abrir facsímil</v>
      </c>
      <c r="K523" s="3" t="s">
        <v>23</v>
      </c>
    </row>
    <row r="524" spans="1:11" ht="42" customHeight="1">
      <c r="A524" s="2" t="s">
        <v>1345</v>
      </c>
      <c r="B524" s="2" t="s">
        <v>1346</v>
      </c>
      <c r="C524" s="2" t="s">
        <v>74</v>
      </c>
      <c r="D524" s="2" t="s">
        <v>18</v>
      </c>
      <c r="E524" s="5">
        <v>-28999</v>
      </c>
      <c r="F524" s="3" t="s">
        <v>342</v>
      </c>
      <c r="G524" s="3" t="s">
        <v>343</v>
      </c>
      <c r="H524" s="2" t="s">
        <v>21</v>
      </c>
      <c r="I524" s="2" t="s">
        <v>1358</v>
      </c>
      <c r="J524" s="3" t="str">
        <f>HYPERLINK("https://www.boe.es/gazeta/dias/1820/08/07/pdfs/GGB-1820-40.pdf#page=2","Abrir facsímil")</f>
        <v>Abrir facsímil</v>
      </c>
      <c r="K524" s="3" t="s">
        <v>23</v>
      </c>
    </row>
    <row r="525" spans="1:11" ht="42" customHeight="1">
      <c r="A525" s="2" t="s">
        <v>1345</v>
      </c>
      <c r="B525" s="2" t="s">
        <v>1346</v>
      </c>
      <c r="C525" s="2" t="s">
        <v>26</v>
      </c>
      <c r="D525" s="2" t="s">
        <v>27</v>
      </c>
      <c r="E525" s="5">
        <v>-28987</v>
      </c>
      <c r="F525" s="3" t="s">
        <v>680</v>
      </c>
      <c r="G525" s="3" t="s">
        <v>1300</v>
      </c>
      <c r="H525" s="2" t="s">
        <v>21</v>
      </c>
      <c r="I525" s="2" t="s">
        <v>1359</v>
      </c>
      <c r="J525" s="3" t="str">
        <f>HYPERLINK("https://www.boe.es/gazeta/dias/1820/08/19/pdfs/GGB-1820-52.pdf#page=2","Abrir facsímil")</f>
        <v>Abrir facsímil</v>
      </c>
      <c r="K525" s="3" t="s">
        <v>23</v>
      </c>
    </row>
    <row r="526" spans="1:11" ht="42" customHeight="1">
      <c r="A526" s="2" t="s">
        <v>1345</v>
      </c>
      <c r="B526" s="2" t="s">
        <v>1346</v>
      </c>
      <c r="C526" s="2" t="s">
        <v>74</v>
      </c>
      <c r="D526" s="2" t="s">
        <v>18</v>
      </c>
      <c r="E526" s="5">
        <v>-28985</v>
      </c>
      <c r="F526" s="3" t="s">
        <v>905</v>
      </c>
      <c r="G526" s="3" t="s">
        <v>928</v>
      </c>
      <c r="H526" s="2" t="s">
        <v>21</v>
      </c>
      <c r="I526" s="2" t="s">
        <v>1360</v>
      </c>
      <c r="J526" s="3" t="str">
        <f>HYPERLINK("https://www.boe.es/gazeta/dias/1820/08/21/pdfs/GGB-1820-54.pdf#page=4","Abrir facsímil")</f>
        <v>Abrir facsímil</v>
      </c>
      <c r="K526" s="3" t="s">
        <v>23</v>
      </c>
    </row>
    <row r="527" spans="1:11" ht="42" customHeight="1">
      <c r="A527" s="2" t="s">
        <v>1345</v>
      </c>
      <c r="B527" s="2" t="s">
        <v>1346</v>
      </c>
      <c r="C527" s="2" t="s">
        <v>17</v>
      </c>
      <c r="D527" s="2" t="s">
        <v>18</v>
      </c>
      <c r="E527" s="5">
        <v>-28985</v>
      </c>
      <c r="F527" s="3" t="s">
        <v>905</v>
      </c>
      <c r="G527" s="3" t="s">
        <v>62</v>
      </c>
      <c r="H527" s="2" t="s">
        <v>21</v>
      </c>
      <c r="I527" s="2" t="s">
        <v>1361</v>
      </c>
      <c r="J527" s="3" t="str">
        <f>HYPERLINK("https://www.boe.es/gazeta/dias/1820/08/21/pdfs/GGB-1820-54.pdf#page=3","Abrir facsímil")</f>
        <v>Abrir facsímil</v>
      </c>
      <c r="K527" s="3" t="s">
        <v>23</v>
      </c>
    </row>
    <row r="528" spans="1:11" ht="42" customHeight="1">
      <c r="A528" s="2" t="s">
        <v>1345</v>
      </c>
      <c r="B528" s="2" t="s">
        <v>1346</v>
      </c>
      <c r="C528" s="2" t="s">
        <v>293</v>
      </c>
      <c r="D528" s="2" t="s">
        <v>18</v>
      </c>
      <c r="E528" s="5">
        <v>-28981</v>
      </c>
      <c r="F528" s="3" t="s">
        <v>42</v>
      </c>
      <c r="G528" s="3" t="s">
        <v>62</v>
      </c>
      <c r="H528" s="2" t="s">
        <v>21</v>
      </c>
      <c r="I528" s="2" t="s">
        <v>1362</v>
      </c>
      <c r="J528" s="3" t="str">
        <f>HYPERLINK("https://www.boe.es/gazeta/dias/1820/08/25/pdfs/GGB-1820-58.pdf#page=3","Abrir facsímil")</f>
        <v>Abrir facsímil</v>
      </c>
      <c r="K528" s="3" t="s">
        <v>23</v>
      </c>
    </row>
    <row r="529" spans="1:11" ht="42" customHeight="1">
      <c r="A529" s="2" t="s">
        <v>1345</v>
      </c>
      <c r="B529" s="2" t="s">
        <v>1346</v>
      </c>
      <c r="C529" s="2" t="s">
        <v>74</v>
      </c>
      <c r="D529" s="2" t="s">
        <v>18</v>
      </c>
      <c r="E529" s="5">
        <v>-28974</v>
      </c>
      <c r="F529" s="3" t="s">
        <v>1144</v>
      </c>
      <c r="G529" s="3" t="s">
        <v>62</v>
      </c>
      <c r="H529" s="2" t="s">
        <v>21</v>
      </c>
      <c r="I529" s="2" t="s">
        <v>1363</v>
      </c>
      <c r="J529" s="3" t="str">
        <f>HYPERLINK("https://www.boe.es/gazeta/dias/1820/09/01/pdfs/GGB-1820-65.pdf#page=3","Abrir facsímil")</f>
        <v>Abrir facsímil</v>
      </c>
      <c r="K529" s="3" t="s">
        <v>23</v>
      </c>
    </row>
    <row r="530" spans="1:11" ht="42" customHeight="1">
      <c r="A530" s="2" t="s">
        <v>1345</v>
      </c>
      <c r="B530" s="2" t="s">
        <v>1346</v>
      </c>
      <c r="C530" s="2" t="s">
        <v>111</v>
      </c>
      <c r="D530" s="2" t="s">
        <v>18</v>
      </c>
      <c r="E530" s="5">
        <v>-28973</v>
      </c>
      <c r="F530" s="3" t="s">
        <v>151</v>
      </c>
      <c r="G530" s="3" t="s">
        <v>43</v>
      </c>
      <c r="H530" s="2" t="s">
        <v>21</v>
      </c>
      <c r="I530" s="2" t="s">
        <v>1364</v>
      </c>
      <c r="J530" s="3" t="str">
        <f>HYPERLINK("https://www.boe.es/gazeta/dias/1820/09/02/pdfs/GGB-1820-66.pdf#page=2","Abrir facsímil")</f>
        <v>Abrir facsímil</v>
      </c>
      <c r="K530" s="3" t="s">
        <v>23</v>
      </c>
    </row>
    <row r="531" spans="1:11" ht="42" customHeight="1">
      <c r="A531" s="2" t="s">
        <v>1345</v>
      </c>
      <c r="B531" s="2" t="s">
        <v>1346</v>
      </c>
      <c r="C531" s="2" t="s">
        <v>17</v>
      </c>
      <c r="D531" s="2" t="s">
        <v>18</v>
      </c>
      <c r="E531" s="5">
        <v>-28971</v>
      </c>
      <c r="F531" s="3" t="s">
        <v>691</v>
      </c>
      <c r="G531" s="3" t="s">
        <v>62</v>
      </c>
      <c r="H531" s="2" t="s">
        <v>21</v>
      </c>
      <c r="I531" s="2" t="s">
        <v>1365</v>
      </c>
      <c r="J531" s="3" t="str">
        <f>HYPERLINK("https://www.boe.es/gazeta/dias/1820/09/04/pdfs/GGB-1820-68.pdf#page=3","Abrir facsímil")</f>
        <v>Abrir facsímil</v>
      </c>
      <c r="K531" s="3" t="s">
        <v>23</v>
      </c>
    </row>
    <row r="532" spans="1:11" ht="42" customHeight="1">
      <c r="A532" s="2" t="s">
        <v>1345</v>
      </c>
      <c r="B532" s="2" t="s">
        <v>1346</v>
      </c>
      <c r="C532" s="2" t="s">
        <v>26</v>
      </c>
      <c r="D532" s="2" t="s">
        <v>27</v>
      </c>
      <c r="E532" s="5">
        <v>-28966</v>
      </c>
      <c r="F532" s="3" t="s">
        <v>701</v>
      </c>
      <c r="G532" s="3" t="s">
        <v>20</v>
      </c>
      <c r="H532" s="2" t="s">
        <v>21</v>
      </c>
      <c r="I532" s="2" t="s">
        <v>1366</v>
      </c>
      <c r="J532" s="3" t="str">
        <f>HYPERLINK("https://www.boe.es/gazeta/dias/1820/09/09/pdfs/GGB-1820-73.pdf#page=4","Abrir facsímil")</f>
        <v>Abrir facsímil</v>
      </c>
      <c r="K532" s="3" t="s">
        <v>23</v>
      </c>
    </row>
    <row r="533" spans="1:11" ht="42" customHeight="1">
      <c r="A533" s="2" t="s">
        <v>1345</v>
      </c>
      <c r="B533" s="2" t="s">
        <v>1346</v>
      </c>
      <c r="C533" s="2" t="s">
        <v>74</v>
      </c>
      <c r="D533" s="2" t="s">
        <v>18</v>
      </c>
      <c r="E533" s="5">
        <v>-28964</v>
      </c>
      <c r="F533" s="3" t="s">
        <v>240</v>
      </c>
      <c r="G533" s="3" t="s">
        <v>43</v>
      </c>
      <c r="H533" s="2" t="s">
        <v>21</v>
      </c>
      <c r="I533" s="2" t="s">
        <v>1367</v>
      </c>
      <c r="J533" s="3" t="str">
        <f>HYPERLINK("https://www.boe.es/gazeta/dias/1820/09/11/pdfs/GGB-1820-75.pdf#page=2","Abrir facsímil")</f>
        <v>Abrir facsímil</v>
      </c>
      <c r="K533" s="3" t="s">
        <v>23</v>
      </c>
    </row>
    <row r="534" spans="1:11" ht="42" customHeight="1">
      <c r="A534" s="2" t="s">
        <v>1345</v>
      </c>
      <c r="B534" s="2" t="s">
        <v>1346</v>
      </c>
      <c r="C534" s="2" t="s">
        <v>17</v>
      </c>
      <c r="D534" s="2" t="s">
        <v>18</v>
      </c>
      <c r="E534" s="5">
        <v>-28957</v>
      </c>
      <c r="F534" s="3" t="s">
        <v>361</v>
      </c>
      <c r="G534" s="3" t="s">
        <v>43</v>
      </c>
      <c r="H534" s="2" t="s">
        <v>21</v>
      </c>
      <c r="I534" s="2" t="s">
        <v>1368</v>
      </c>
      <c r="J534" s="3" t="str">
        <f>HYPERLINK("https://www.boe.es/gazeta/dias/1820/09/18/pdfs/GGB-1820-82.pdf#page=2","Abrir facsímil")</f>
        <v>Abrir facsímil</v>
      </c>
      <c r="K534" s="3" t="s">
        <v>23</v>
      </c>
    </row>
    <row r="535" spans="1:11" ht="42" customHeight="1">
      <c r="A535" s="2" t="s">
        <v>1345</v>
      </c>
      <c r="B535" s="2" t="s">
        <v>1346</v>
      </c>
      <c r="C535" s="2" t="s">
        <v>35</v>
      </c>
      <c r="D535" s="2" t="s">
        <v>36</v>
      </c>
      <c r="E535" s="5">
        <v>-28956</v>
      </c>
      <c r="F535" s="3" t="s">
        <v>190</v>
      </c>
      <c r="G535" s="3" t="s">
        <v>43</v>
      </c>
      <c r="H535" s="2" t="s">
        <v>21</v>
      </c>
      <c r="I535" s="2" t="s">
        <v>1369</v>
      </c>
      <c r="J535" s="3" t="str">
        <f>HYPERLINK("https://www.boe.es/gazeta/dias/1820/09/19/pdfs/GGB-1820-83.pdf#page=2","Abrir facsímil")</f>
        <v>Abrir facsímil</v>
      </c>
      <c r="K535" s="3" t="s">
        <v>23</v>
      </c>
    </row>
    <row r="536" spans="1:11" ht="42" customHeight="1">
      <c r="A536" s="2" t="s">
        <v>1345</v>
      </c>
      <c r="B536" s="2" t="s">
        <v>1346</v>
      </c>
      <c r="C536" s="2" t="s">
        <v>26</v>
      </c>
      <c r="D536" s="2" t="s">
        <v>27</v>
      </c>
      <c r="E536" s="5">
        <v>-28951</v>
      </c>
      <c r="F536" s="3" t="s">
        <v>622</v>
      </c>
      <c r="G536" s="3" t="s">
        <v>1370</v>
      </c>
      <c r="H536" s="2" t="s">
        <v>21</v>
      </c>
      <c r="I536" s="2" t="s">
        <v>1371</v>
      </c>
      <c r="J536" s="3" t="str">
        <f>HYPERLINK("https://www.boe.es/gazeta/dias/1820/09/24/pdfs/GGB-1820-88.pdf#page=2","Abrir facsímil")</f>
        <v>Abrir facsímil</v>
      </c>
      <c r="K536" s="3" t="s">
        <v>23</v>
      </c>
    </row>
    <row r="537" spans="1:11" ht="42" customHeight="1">
      <c r="A537" s="2" t="s">
        <v>1345</v>
      </c>
      <c r="B537" s="2" t="s">
        <v>1346</v>
      </c>
      <c r="C537" s="2" t="s">
        <v>74</v>
      </c>
      <c r="D537" s="2" t="s">
        <v>18</v>
      </c>
      <c r="E537" s="5">
        <v>-28950</v>
      </c>
      <c r="F537" s="3" t="s">
        <v>1052</v>
      </c>
      <c r="G537" s="3" t="s">
        <v>1372</v>
      </c>
      <c r="H537" s="2" t="s">
        <v>21</v>
      </c>
      <c r="I537" s="2" t="s">
        <v>1373</v>
      </c>
      <c r="J537" s="3" t="str">
        <f>HYPERLINK("https://www.boe.es/gazeta/dias/1820/09/25/pdfs/GGB-1820-89.pdf#page=2","Abrir facsímil")</f>
        <v>Abrir facsímil</v>
      </c>
      <c r="K537" s="3" t="s">
        <v>23</v>
      </c>
    </row>
    <row r="538" spans="1:11" ht="42" customHeight="1">
      <c r="A538" s="2" t="s">
        <v>1345</v>
      </c>
      <c r="B538" s="2" t="s">
        <v>1346</v>
      </c>
      <c r="C538" s="2" t="s">
        <v>74</v>
      </c>
      <c r="D538" s="2" t="s">
        <v>18</v>
      </c>
      <c r="E538" s="5">
        <v>-28932</v>
      </c>
      <c r="F538" s="3" t="s">
        <v>407</v>
      </c>
      <c r="G538" s="3" t="s">
        <v>62</v>
      </c>
      <c r="H538" s="2" t="s">
        <v>21</v>
      </c>
      <c r="I538" s="2" t="s">
        <v>1374</v>
      </c>
      <c r="J538" s="3" t="str">
        <f>HYPERLINK("https://www.boe.es/gazeta/dias/1820/10/13/pdfs/GGB-1820-107.pdf#page=3","Abrir facsímil")</f>
        <v>Abrir facsímil</v>
      </c>
      <c r="K538" s="3" t="s">
        <v>23</v>
      </c>
    </row>
    <row r="539" spans="1:11" ht="42" customHeight="1">
      <c r="A539" s="2" t="s">
        <v>1375</v>
      </c>
      <c r="B539" s="2" t="s">
        <v>1376</v>
      </c>
      <c r="C539" s="2" t="s">
        <v>35</v>
      </c>
      <c r="D539" s="2" t="s">
        <v>36</v>
      </c>
      <c r="E539" s="5">
        <v>-28925</v>
      </c>
      <c r="F539" s="3" t="s">
        <v>228</v>
      </c>
      <c r="G539" s="3" t="s">
        <v>128</v>
      </c>
      <c r="H539" s="2" t="s">
        <v>21</v>
      </c>
      <c r="I539" s="2" t="s">
        <v>1377</v>
      </c>
      <c r="J539" s="3" t="str">
        <f>HYPERLINK("https://www.boe.es/gazeta/dias/1820/10/20/pdfs/GGB-1820-114.pdf#page=1","Abrir facsímil")</f>
        <v>Abrir facsímil</v>
      </c>
      <c r="K539" s="3" t="s">
        <v>23</v>
      </c>
    </row>
    <row r="540" spans="1:11" ht="42" customHeight="1">
      <c r="A540" s="2" t="s">
        <v>1345</v>
      </c>
      <c r="B540" s="2" t="s">
        <v>1346</v>
      </c>
      <c r="C540" s="2" t="s">
        <v>26</v>
      </c>
      <c r="D540" s="2" t="s">
        <v>27</v>
      </c>
      <c r="E540" s="5">
        <v>-28925</v>
      </c>
      <c r="F540" s="3" t="s">
        <v>228</v>
      </c>
      <c r="G540" s="3" t="s">
        <v>62</v>
      </c>
      <c r="H540" s="2" t="s">
        <v>21</v>
      </c>
      <c r="I540" s="2" t="s">
        <v>1378</v>
      </c>
      <c r="J540" s="3" t="str">
        <f>HYPERLINK("https://www.boe.es/gazeta/dias/1820/10/20/pdfs/GGB-1820-114.pdf#page=3","Abrir facsímil")</f>
        <v>Abrir facsímil</v>
      </c>
      <c r="K540" s="3" t="s">
        <v>23</v>
      </c>
    </row>
    <row r="541" spans="1:11" ht="42" customHeight="1">
      <c r="A541" s="2" t="s">
        <v>1345</v>
      </c>
      <c r="B541" s="2" t="s">
        <v>1346</v>
      </c>
      <c r="C541" s="2" t="s">
        <v>293</v>
      </c>
      <c r="D541" s="2" t="s">
        <v>18</v>
      </c>
      <c r="E541" s="5">
        <v>-28924</v>
      </c>
      <c r="F541" s="3" t="s">
        <v>78</v>
      </c>
      <c r="G541" s="3" t="s">
        <v>62</v>
      </c>
      <c r="H541" s="2" t="s">
        <v>21</v>
      </c>
      <c r="I541" s="2" t="s">
        <v>1379</v>
      </c>
      <c r="J541" s="3" t="str">
        <f>HYPERLINK("https://www.boe.es/gazeta/dias/1820/10/21/pdfs/GGB-1820-115.pdf#page=3","Abrir facsímil")</f>
        <v>Abrir facsímil</v>
      </c>
      <c r="K541" s="3" t="s">
        <v>23</v>
      </c>
    </row>
    <row r="542" spans="1:11" ht="42" customHeight="1">
      <c r="A542" s="2" t="s">
        <v>1345</v>
      </c>
      <c r="B542" s="2" t="s">
        <v>1346</v>
      </c>
      <c r="C542" s="2" t="s">
        <v>111</v>
      </c>
      <c r="D542" s="2" t="s">
        <v>18</v>
      </c>
      <c r="E542" s="5">
        <v>-28923</v>
      </c>
      <c r="F542" s="3" t="s">
        <v>648</v>
      </c>
      <c r="G542" s="3" t="s">
        <v>43</v>
      </c>
      <c r="H542" s="2" t="s">
        <v>21</v>
      </c>
      <c r="I542" s="2" t="s">
        <v>1380</v>
      </c>
      <c r="J542" s="3" t="str">
        <f>HYPERLINK("https://www.boe.es/gazeta/dias/1820/10/22/pdfs/GGB-1820-116.pdf#page=2","Abrir facsímil")</f>
        <v>Abrir facsímil</v>
      </c>
      <c r="K542" s="3" t="s">
        <v>23</v>
      </c>
    </row>
    <row r="543" spans="1:11" ht="42" customHeight="1">
      <c r="A543" s="2" t="s">
        <v>1345</v>
      </c>
      <c r="B543" s="2" t="s">
        <v>1346</v>
      </c>
      <c r="C543" s="2" t="s">
        <v>35</v>
      </c>
      <c r="D543" s="2" t="s">
        <v>36</v>
      </c>
      <c r="E543" s="5">
        <v>-28914</v>
      </c>
      <c r="F543" s="3" t="s">
        <v>434</v>
      </c>
      <c r="G543" s="3" t="s">
        <v>43</v>
      </c>
      <c r="H543" s="2" t="s">
        <v>21</v>
      </c>
      <c r="I543" s="2" t="s">
        <v>1381</v>
      </c>
      <c r="J543" s="3" t="str">
        <f>HYPERLINK("https://www.boe.es/gazeta/dias/1820/10/31/pdfs/GGB-1820-125.pdf#page=2","Abrir facsímil")</f>
        <v>Abrir facsímil</v>
      </c>
      <c r="K543" s="3" t="s">
        <v>23</v>
      </c>
    </row>
    <row r="544" spans="1:11" ht="42" customHeight="1">
      <c r="A544" s="2" t="s">
        <v>1345</v>
      </c>
      <c r="B544" s="2" t="s">
        <v>1346</v>
      </c>
      <c r="C544" s="2" t="s">
        <v>35</v>
      </c>
      <c r="D544" s="2" t="s">
        <v>36</v>
      </c>
      <c r="E544" s="5">
        <v>-28912</v>
      </c>
      <c r="F544" s="3" t="s">
        <v>1329</v>
      </c>
      <c r="G544" s="3" t="s">
        <v>62</v>
      </c>
      <c r="H544" s="2" t="s">
        <v>21</v>
      </c>
      <c r="I544" s="2" t="s">
        <v>1382</v>
      </c>
      <c r="J544" s="3" t="str">
        <f>HYPERLINK("https://www.boe.es/gazeta/dias/1820/11/02/pdfs/GGB-1820-127.pdf#page=3","Abrir facsímil")</f>
        <v>Abrir facsímil</v>
      </c>
      <c r="K544" s="3" t="s">
        <v>23</v>
      </c>
    </row>
    <row r="545" spans="1:11" ht="42" customHeight="1">
      <c r="A545" s="2" t="s">
        <v>1375</v>
      </c>
      <c r="B545" s="2" t="s">
        <v>1376</v>
      </c>
      <c r="C545" s="2" t="s">
        <v>26</v>
      </c>
      <c r="D545" s="2" t="s">
        <v>27</v>
      </c>
      <c r="E545" s="5">
        <v>-28911</v>
      </c>
      <c r="F545" s="3" t="s">
        <v>82</v>
      </c>
      <c r="G545" s="3" t="s">
        <v>62</v>
      </c>
      <c r="H545" s="2" t="s">
        <v>21</v>
      </c>
      <c r="I545" s="2" t="s">
        <v>1383</v>
      </c>
      <c r="J545" s="3" t="str">
        <f>HYPERLINK("https://www.boe.es/gazeta/dias/1820/11/03/pdfs/GGB-1820-128.pdf#page=3","Abrir facsímil")</f>
        <v>Abrir facsímil</v>
      </c>
      <c r="K545" s="3" t="s">
        <v>23</v>
      </c>
    </row>
    <row r="546" spans="1:11" ht="42" customHeight="1">
      <c r="A546" s="2" t="s">
        <v>1345</v>
      </c>
      <c r="B546" s="2" t="s">
        <v>1346</v>
      </c>
      <c r="C546" s="2" t="s">
        <v>35</v>
      </c>
      <c r="D546" s="2" t="s">
        <v>36</v>
      </c>
      <c r="E546" s="5">
        <v>-28909</v>
      </c>
      <c r="F546" s="3" t="s">
        <v>278</v>
      </c>
      <c r="G546" s="3" t="s">
        <v>20</v>
      </c>
      <c r="H546" s="2" t="s">
        <v>21</v>
      </c>
      <c r="I546" s="2" t="s">
        <v>1384</v>
      </c>
      <c r="J546" s="3" t="str">
        <f>HYPERLINK("https://www.boe.es/gazeta/dias/1820/11/05/pdfs/GGB-1820-130.pdf#page=4","Abrir facsímil")</f>
        <v>Abrir facsímil</v>
      </c>
      <c r="K546" s="3" t="s">
        <v>23</v>
      </c>
    </row>
    <row r="547" spans="1:11" ht="42" customHeight="1">
      <c r="A547" s="2" t="s">
        <v>1345</v>
      </c>
      <c r="B547" s="2" t="s">
        <v>1346</v>
      </c>
      <c r="C547" s="2" t="s">
        <v>74</v>
      </c>
      <c r="D547" s="2" t="s">
        <v>18</v>
      </c>
      <c r="E547" s="5">
        <v>-28908</v>
      </c>
      <c r="F547" s="3" t="s">
        <v>1060</v>
      </c>
      <c r="G547" s="3" t="s">
        <v>62</v>
      </c>
      <c r="H547" s="2" t="s">
        <v>21</v>
      </c>
      <c r="I547" s="2" t="s">
        <v>1385</v>
      </c>
      <c r="J547" s="3" t="str">
        <f>HYPERLINK("https://www.boe.es/gazeta/dias/1820/11/06/pdfs/GGB-1820-131.pdf#page=3","Abrir facsímil")</f>
        <v>Abrir facsímil</v>
      </c>
      <c r="K547" s="3" t="s">
        <v>23</v>
      </c>
    </row>
    <row r="548" spans="1:11" ht="42" customHeight="1">
      <c r="A548" s="2" t="s">
        <v>1386</v>
      </c>
      <c r="B548" s="2" t="s">
        <v>1387</v>
      </c>
      <c r="C548" s="2" t="s">
        <v>26</v>
      </c>
      <c r="D548" s="2" t="s">
        <v>27</v>
      </c>
      <c r="E548" s="5">
        <v>-29028</v>
      </c>
      <c r="F548" s="3" t="s">
        <v>132</v>
      </c>
      <c r="G548" s="3" t="s">
        <v>62</v>
      </c>
      <c r="H548" s="2" t="s">
        <v>21</v>
      </c>
      <c r="I548" s="2" t="s">
        <v>1388</v>
      </c>
      <c r="J548" s="3" t="str">
        <f>HYPERLINK("https://www.boe.es/gazeta/dias/1820/07/09/pdfs/GGB-1820-10.pdf#page=3","Abrir facsímil")</f>
        <v>Abrir facsímil</v>
      </c>
      <c r="K548" s="3" t="s">
        <v>23</v>
      </c>
    </row>
    <row r="549" spans="1:11" ht="42" customHeight="1">
      <c r="A549" s="2" t="s">
        <v>1389</v>
      </c>
      <c r="B549" s="2" t="s">
        <v>1390</v>
      </c>
      <c r="C549" s="2" t="s">
        <v>26</v>
      </c>
      <c r="D549" s="2" t="s">
        <v>27</v>
      </c>
      <c r="E549" s="5">
        <v>-29194</v>
      </c>
      <c r="F549" s="3" t="s">
        <v>416</v>
      </c>
      <c r="G549" s="3" t="s">
        <v>1391</v>
      </c>
      <c r="H549" s="2" t="s">
        <v>21</v>
      </c>
      <c r="I549" s="2" t="s">
        <v>1392</v>
      </c>
      <c r="J549" s="3" t="str">
        <f>HYPERLINK("https://www.boe.es/gazeta/dias/1820/01/25/pdfs/GMD-1820-11.pdf#page=8","Abrir facsímil")</f>
        <v>Abrir facsímil</v>
      </c>
      <c r="K549" s="3" t="s">
        <v>23</v>
      </c>
    </row>
    <row r="550" spans="1:11" ht="42" customHeight="1">
      <c r="A550" s="2" t="s">
        <v>1393</v>
      </c>
      <c r="B550" s="2" t="s">
        <v>1393</v>
      </c>
      <c r="C550" s="2" t="s">
        <v>293</v>
      </c>
      <c r="D550" s="2" t="s">
        <v>18</v>
      </c>
      <c r="E550" s="5">
        <v>-28864</v>
      </c>
      <c r="F550" s="3" t="s">
        <v>1275</v>
      </c>
      <c r="G550" s="3" t="s">
        <v>128</v>
      </c>
      <c r="H550" s="2" t="s">
        <v>21</v>
      </c>
      <c r="I550" s="2" t="s">
        <v>1394</v>
      </c>
      <c r="J550" s="3" t="str">
        <f>HYPERLINK("https://www.boe.es/gazeta/dias/1820/12/20/pdfs/GGB-1820-177.pdf#page=1","Abrir facsímil")</f>
        <v>Abrir facsímil</v>
      </c>
      <c r="K550" s="3" t="s">
        <v>23</v>
      </c>
    </row>
    <row r="551" spans="1:11" ht="42" customHeight="1">
      <c r="A551" s="2" t="s">
        <v>1395</v>
      </c>
      <c r="B551" s="2" t="s">
        <v>1395</v>
      </c>
      <c r="C551" s="2" t="s">
        <v>26</v>
      </c>
      <c r="D551" s="2" t="s">
        <v>27</v>
      </c>
      <c r="E551" s="5">
        <v>-29001</v>
      </c>
      <c r="F551" s="3" t="s">
        <v>633</v>
      </c>
      <c r="G551" s="3" t="s">
        <v>43</v>
      </c>
      <c r="H551" s="2" t="s">
        <v>21</v>
      </c>
      <c r="I551" s="2" t="s">
        <v>1396</v>
      </c>
      <c r="J551" s="3" t="str">
        <f>HYPERLINK("https://www.boe.es/gazeta/dias/1820/08/05/pdfs/GGB-1820-38.pdf#page=2","Abrir facsímil")</f>
        <v>Abrir facsímil</v>
      </c>
      <c r="K551" s="3" t="s">
        <v>23</v>
      </c>
    </row>
    <row r="552" spans="1:11" ht="42" customHeight="1">
      <c r="A552" s="2" t="s">
        <v>1395</v>
      </c>
      <c r="B552" s="2" t="s">
        <v>1395</v>
      </c>
      <c r="C552" s="2" t="s">
        <v>26</v>
      </c>
      <c r="D552" s="2" t="s">
        <v>27</v>
      </c>
      <c r="E552" s="5">
        <v>-28950</v>
      </c>
      <c r="F552" s="3" t="s">
        <v>1052</v>
      </c>
      <c r="G552" s="3" t="s">
        <v>20</v>
      </c>
      <c r="H552" s="2" t="s">
        <v>21</v>
      </c>
      <c r="I552" s="2" t="s">
        <v>1397</v>
      </c>
      <c r="J552" s="3" t="str">
        <f>HYPERLINK("https://www.boe.es/gazeta/dias/1820/09/25/pdfs/GGB-1820-89.pdf#page=4","Abrir facsímil")</f>
        <v>Abrir facsímil</v>
      </c>
      <c r="K552" s="3" t="s">
        <v>23</v>
      </c>
    </row>
    <row r="553" spans="1:11" ht="42" customHeight="1">
      <c r="A553" s="2" t="s">
        <v>1395</v>
      </c>
      <c r="B553" s="2" t="s">
        <v>1395</v>
      </c>
      <c r="C553" s="2" t="s">
        <v>26</v>
      </c>
      <c r="D553" s="2" t="s">
        <v>27</v>
      </c>
      <c r="E553" s="5">
        <v>-28942</v>
      </c>
      <c r="F553" s="3" t="s">
        <v>244</v>
      </c>
      <c r="G553" s="3" t="s">
        <v>62</v>
      </c>
      <c r="H553" s="2" t="s">
        <v>21</v>
      </c>
      <c r="I553" s="2" t="s">
        <v>1398</v>
      </c>
      <c r="J553" s="3" t="str">
        <f>HYPERLINK("https://www.boe.es/gazeta/dias/1820/10/03/pdfs/GGB-1820-97.pdf#page=3","Abrir facsímil")</f>
        <v>Abrir facsímil</v>
      </c>
      <c r="K553" s="3" t="s">
        <v>23</v>
      </c>
    </row>
    <row r="554" spans="1:11" ht="42" customHeight="1">
      <c r="A554" s="2" t="s">
        <v>1395</v>
      </c>
      <c r="B554" s="2" t="s">
        <v>1395</v>
      </c>
      <c r="C554" s="2" t="s">
        <v>35</v>
      </c>
      <c r="D554" s="2" t="s">
        <v>36</v>
      </c>
      <c r="E554" s="5">
        <v>-28925</v>
      </c>
      <c r="F554" s="3" t="s">
        <v>228</v>
      </c>
      <c r="G554" s="3" t="s">
        <v>20</v>
      </c>
      <c r="H554" s="2" t="s">
        <v>21</v>
      </c>
      <c r="I554" s="2" t="s">
        <v>1399</v>
      </c>
      <c r="J554" s="3" t="str">
        <f>HYPERLINK("https://www.boe.es/gazeta/dias/1820/10/20/pdfs/GGB-1820-114.pdf#page=4","Abrir facsímil")</f>
        <v>Abrir facsímil</v>
      </c>
      <c r="K554" s="3" t="s">
        <v>23</v>
      </c>
    </row>
    <row r="555" spans="1:11" ht="42" customHeight="1">
      <c r="A555" s="2" t="s">
        <v>1400</v>
      </c>
      <c r="B555" s="2" t="s">
        <v>1400</v>
      </c>
      <c r="C555" s="2" t="s">
        <v>35</v>
      </c>
      <c r="D555" s="2" t="s">
        <v>36</v>
      </c>
      <c r="E555" s="5">
        <v>-28926</v>
      </c>
      <c r="F555" s="3" t="s">
        <v>597</v>
      </c>
      <c r="G555" s="3" t="s">
        <v>62</v>
      </c>
      <c r="H555" s="2" t="s">
        <v>21</v>
      </c>
      <c r="I555" s="2" t="s">
        <v>1401</v>
      </c>
      <c r="J555" s="3" t="str">
        <f>HYPERLINK("https://www.boe.es/gazeta/dias/1820/10/19/pdfs/GGB-1820-113.pdf#page=3","Abrir facsímil")</f>
        <v>Abrir facsímil</v>
      </c>
      <c r="K555" s="3" t="s">
        <v>23</v>
      </c>
    </row>
    <row r="556" spans="1:11" ht="42" customHeight="1">
      <c r="A556" s="2" t="s">
        <v>1402</v>
      </c>
      <c r="B556" s="2" t="s">
        <v>1402</v>
      </c>
      <c r="C556" s="2" t="s">
        <v>35</v>
      </c>
      <c r="D556" s="2" t="s">
        <v>36</v>
      </c>
      <c r="E556" s="5">
        <v>-28943</v>
      </c>
      <c r="F556" s="3" t="s">
        <v>1403</v>
      </c>
      <c r="G556" s="3" t="s">
        <v>62</v>
      </c>
      <c r="H556" s="2" t="s">
        <v>21</v>
      </c>
      <c r="I556" s="2" t="s">
        <v>1404</v>
      </c>
      <c r="J556" s="3" t="str">
        <f>HYPERLINK("https://www.boe.es/gazeta/dias/1820/10/02/pdfs/GGB-1820-96.pdf#page=3","Abrir facsímil")</f>
        <v>Abrir facsímil</v>
      </c>
      <c r="K556" s="3" t="s">
        <v>23</v>
      </c>
    </row>
    <row r="557" spans="1:11" ht="42" customHeight="1">
      <c r="A557" s="2" t="s">
        <v>1402</v>
      </c>
      <c r="B557" s="2" t="s">
        <v>1402</v>
      </c>
      <c r="C557" s="2" t="s">
        <v>26</v>
      </c>
      <c r="D557" s="2" t="s">
        <v>27</v>
      </c>
      <c r="E557" s="5">
        <v>-28898</v>
      </c>
      <c r="F557" s="3" t="s">
        <v>1405</v>
      </c>
      <c r="G557" s="3" t="s">
        <v>128</v>
      </c>
      <c r="H557" s="2" t="s">
        <v>21</v>
      </c>
      <c r="I557" s="2" t="s">
        <v>1406</v>
      </c>
      <c r="J557" s="3" t="str">
        <f>HYPERLINK("https://www.boe.es/gazeta/dias/1820/11/16/pdfs/GGB-1820-142.pdf#page=1","Abrir facsímil")</f>
        <v>Abrir facsímil</v>
      </c>
      <c r="K557" s="3" t="s">
        <v>23</v>
      </c>
    </row>
    <row r="558" spans="1:11" ht="42" customHeight="1">
      <c r="A558" s="2" t="s">
        <v>1407</v>
      </c>
      <c r="B558" s="2" t="s">
        <v>1408</v>
      </c>
      <c r="C558" s="2" t="s">
        <v>26</v>
      </c>
      <c r="D558" s="2" t="s">
        <v>27</v>
      </c>
      <c r="E558" s="5">
        <v>-29050</v>
      </c>
      <c r="F558" s="3" t="s">
        <v>423</v>
      </c>
      <c r="G558" s="3" t="s">
        <v>1409</v>
      </c>
      <c r="H558" s="2" t="s">
        <v>21</v>
      </c>
      <c r="I558" s="2" t="s">
        <v>1410</v>
      </c>
      <c r="J558" s="3" t="str">
        <f>HYPERLINK("https://www.boe.es/gazeta/dias/1820/06/17/pdfs/GMD-1820-95.pdf#page=8","Abrir facsímil")</f>
        <v>Abrir facsímil</v>
      </c>
      <c r="K558" s="3" t="s">
        <v>23</v>
      </c>
    </row>
    <row r="559" spans="1:11" ht="42" customHeight="1">
      <c r="A559" s="2" t="s">
        <v>1411</v>
      </c>
      <c r="B559" s="2" t="s">
        <v>1412</v>
      </c>
      <c r="C559" s="2" t="s">
        <v>26</v>
      </c>
      <c r="D559" s="2" t="s">
        <v>27</v>
      </c>
      <c r="E559" s="5">
        <v>-28865</v>
      </c>
      <c r="F559" s="3" t="s">
        <v>136</v>
      </c>
      <c r="G559" s="3" t="s">
        <v>137</v>
      </c>
      <c r="H559" s="2" t="s">
        <v>21</v>
      </c>
      <c r="I559" s="2" t="s">
        <v>1413</v>
      </c>
      <c r="J559" s="3" t="str">
        <f>HYPERLINK("https://www.boe.es/gazeta/dias/1820/12/19/pdfs/GGB-1820-176.pdf#page=3","Abrir facsímil")</f>
        <v>Abrir facsímil</v>
      </c>
      <c r="K559" s="3" t="s">
        <v>23</v>
      </c>
    </row>
    <row r="560" spans="1:11" ht="42" customHeight="1">
      <c r="A560" s="2" t="s">
        <v>1414</v>
      </c>
      <c r="B560" s="2" t="s">
        <v>1415</v>
      </c>
      <c r="C560" s="2" t="s">
        <v>26</v>
      </c>
      <c r="D560" s="2" t="s">
        <v>27</v>
      </c>
      <c r="E560" s="5">
        <v>-29190</v>
      </c>
      <c r="F560" s="3" t="s">
        <v>537</v>
      </c>
      <c r="G560" s="3" t="s">
        <v>256</v>
      </c>
      <c r="H560" s="2" t="s">
        <v>21</v>
      </c>
      <c r="I560" s="2" t="s">
        <v>1416</v>
      </c>
      <c r="J560" s="3" t="str">
        <f>HYPERLINK("https://www.boe.es/gazeta/dias/1820/01/29/pdfs/GMD-1820-13.pdf#page=5","Abrir facsímil")</f>
        <v>Abrir facsímil</v>
      </c>
      <c r="K560" s="3" t="s">
        <v>23</v>
      </c>
    </row>
    <row r="561" spans="1:11" ht="42" customHeight="1">
      <c r="A561" s="2" t="s">
        <v>1417</v>
      </c>
      <c r="B561" s="2" t="s">
        <v>1418</v>
      </c>
      <c r="C561" s="2" t="s">
        <v>107</v>
      </c>
      <c r="D561" s="2" t="s">
        <v>18</v>
      </c>
      <c r="E561" s="5">
        <v>-29054</v>
      </c>
      <c r="F561" s="3" t="s">
        <v>481</v>
      </c>
      <c r="G561" s="3" t="s">
        <v>196</v>
      </c>
      <c r="H561" s="2" t="s">
        <v>21</v>
      </c>
      <c r="I561" s="2" t="s">
        <v>1419</v>
      </c>
      <c r="J561" s="3" t="str">
        <f>HYPERLINK("https://www.boe.es/gazeta/dias/1820/06/13/pdfs/GMD-1820-93.pdf#page=11","Abrir facsímil")</f>
        <v>Abrir facsímil</v>
      </c>
      <c r="K561" s="3" t="s">
        <v>23</v>
      </c>
    </row>
    <row r="562" spans="1:11" ht="42" customHeight="1">
      <c r="A562" s="2" t="s">
        <v>1420</v>
      </c>
      <c r="B562" s="2" t="s">
        <v>1421</v>
      </c>
      <c r="C562" s="2" t="s">
        <v>26</v>
      </c>
      <c r="D562" s="2" t="s">
        <v>27</v>
      </c>
      <c r="E562" s="5">
        <v>-29120</v>
      </c>
      <c r="F562" s="3" t="s">
        <v>852</v>
      </c>
      <c r="G562" s="3" t="s">
        <v>295</v>
      </c>
      <c r="H562" s="2" t="s">
        <v>21</v>
      </c>
      <c r="I562" s="2" t="s">
        <v>1422</v>
      </c>
      <c r="J562" s="3" t="str">
        <f>HYPERLINK("https://www.boe.es/gazeta/dias/1820/04/08/pdfs/GMD-1820-63.pdf#page=8","Abrir facsímil")</f>
        <v>Abrir facsímil</v>
      </c>
      <c r="K562" s="3" t="s">
        <v>23</v>
      </c>
    </row>
    <row r="563" spans="1:11" ht="42" customHeight="1">
      <c r="A563" s="2" t="s">
        <v>1423</v>
      </c>
      <c r="B563" s="2" t="s">
        <v>1424</v>
      </c>
      <c r="C563" s="2" t="s">
        <v>26</v>
      </c>
      <c r="D563" s="2" t="s">
        <v>27</v>
      </c>
      <c r="E563" s="5">
        <v>-29120</v>
      </c>
      <c r="F563" s="3" t="s">
        <v>852</v>
      </c>
      <c r="G563" s="3" t="s">
        <v>295</v>
      </c>
      <c r="H563" s="2" t="s">
        <v>21</v>
      </c>
      <c r="I563" s="2" t="s">
        <v>1425</v>
      </c>
      <c r="J563" s="3" t="str">
        <f>HYPERLINK("https://www.boe.es/gazeta/dias/1820/04/08/pdfs/GMD-1820-63.pdf#page=8","Abrir facsímil")</f>
        <v>Abrir facsímil</v>
      </c>
      <c r="K563" s="3" t="s">
        <v>23</v>
      </c>
    </row>
    <row r="564" spans="1:11" ht="42" customHeight="1">
      <c r="A564" s="2" t="s">
        <v>1426</v>
      </c>
      <c r="B564" s="2" t="s">
        <v>1426</v>
      </c>
      <c r="C564" s="2" t="s">
        <v>17</v>
      </c>
      <c r="D564" s="2" t="s">
        <v>18</v>
      </c>
      <c r="E564" s="5">
        <v>-28976</v>
      </c>
      <c r="F564" s="3" t="s">
        <v>689</v>
      </c>
      <c r="G564" s="3" t="s">
        <v>62</v>
      </c>
      <c r="H564" s="2" t="s">
        <v>21</v>
      </c>
      <c r="I564" s="2" t="s">
        <v>1427</v>
      </c>
      <c r="J564" s="3" t="str">
        <f>HYPERLINK("https://www.boe.es/gazeta/dias/1820/08/30/pdfs/GGB-1820-63.pdf#page=3","Abrir facsímil")</f>
        <v>Abrir facsímil</v>
      </c>
      <c r="K564" s="3" t="s">
        <v>23</v>
      </c>
    </row>
    <row r="565" spans="1:11" ht="42" customHeight="1">
      <c r="A565" s="2" t="s">
        <v>1428</v>
      </c>
      <c r="B565" s="2" t="s">
        <v>1428</v>
      </c>
      <c r="C565" s="2" t="s">
        <v>35</v>
      </c>
      <c r="D565" s="2" t="s">
        <v>36</v>
      </c>
      <c r="E565" s="5">
        <v>-28987</v>
      </c>
      <c r="F565" s="3" t="s">
        <v>680</v>
      </c>
      <c r="G565" s="3" t="s">
        <v>1300</v>
      </c>
      <c r="H565" s="2" t="s">
        <v>21</v>
      </c>
      <c r="I565" s="2" t="s">
        <v>1429</v>
      </c>
      <c r="J565" s="3" t="str">
        <f>HYPERLINK("https://www.boe.es/gazeta/dias/1820/08/19/pdfs/GGB-1820-52.pdf#page=2","Abrir facsímil")</f>
        <v>Abrir facsímil</v>
      </c>
      <c r="K565" s="3" t="s">
        <v>23</v>
      </c>
    </row>
    <row r="566" spans="1:11" ht="42" customHeight="1">
      <c r="A566" s="2" t="s">
        <v>1430</v>
      </c>
      <c r="B566" s="2" t="s">
        <v>1430</v>
      </c>
      <c r="C566" s="2" t="s">
        <v>35</v>
      </c>
      <c r="D566" s="2" t="s">
        <v>36</v>
      </c>
      <c r="E566" s="5">
        <v>-28985</v>
      </c>
      <c r="F566" s="3" t="s">
        <v>905</v>
      </c>
      <c r="G566" s="3" t="s">
        <v>62</v>
      </c>
      <c r="H566" s="2" t="s">
        <v>21</v>
      </c>
      <c r="I566" s="2" t="s">
        <v>1431</v>
      </c>
      <c r="J566" s="3" t="str">
        <f>HYPERLINK("https://www.boe.es/gazeta/dias/1820/08/21/pdfs/GGB-1820-54.pdf#page=3","Abrir facsímil")</f>
        <v>Abrir facsímil</v>
      </c>
      <c r="K566" s="3" t="s">
        <v>23</v>
      </c>
    </row>
    <row r="567" spans="1:11" ht="42" customHeight="1">
      <c r="A567" s="2" t="s">
        <v>1430</v>
      </c>
      <c r="B567" s="2" t="s">
        <v>1430</v>
      </c>
      <c r="C567" s="2" t="s">
        <v>26</v>
      </c>
      <c r="D567" s="2" t="s">
        <v>27</v>
      </c>
      <c r="E567" s="5">
        <v>-28904</v>
      </c>
      <c r="F567" s="3" t="s">
        <v>541</v>
      </c>
      <c r="G567" s="3" t="s">
        <v>20</v>
      </c>
      <c r="H567" s="2" t="s">
        <v>21</v>
      </c>
      <c r="I567" s="2" t="s">
        <v>1432</v>
      </c>
      <c r="J567" s="3" t="str">
        <f>HYPERLINK("https://www.boe.es/gazeta/dias/1820/11/10/pdfs/GGB-1820-136.pdf#page=4","Abrir facsímil")</f>
        <v>Abrir facsímil</v>
      </c>
      <c r="K567" s="3" t="s">
        <v>23</v>
      </c>
    </row>
    <row r="568" spans="1:11" ht="42" customHeight="1">
      <c r="A568" s="2" t="s">
        <v>1433</v>
      </c>
      <c r="B568" s="2" t="s">
        <v>1433</v>
      </c>
      <c r="C568" s="2" t="s">
        <v>47</v>
      </c>
      <c r="D568" s="2" t="s">
        <v>18</v>
      </c>
      <c r="E568" s="5">
        <v>-29016</v>
      </c>
      <c r="F568" s="3" t="s">
        <v>657</v>
      </c>
      <c r="G568" s="3" t="s">
        <v>20</v>
      </c>
      <c r="H568" s="2" t="s">
        <v>21</v>
      </c>
      <c r="I568" s="2" t="s">
        <v>1434</v>
      </c>
      <c r="J568" s="3" t="str">
        <f>HYPERLINK("https://www.boe.es/gazeta/dias/1820/07/21/pdfs/GGB-1820-23.pdf#page=4","Abrir facsímil")</f>
        <v>Abrir facsímil</v>
      </c>
      <c r="K568" s="3" t="s">
        <v>23</v>
      </c>
    </row>
    <row r="569" spans="1:11" ht="42" customHeight="1">
      <c r="A569" s="2" t="s">
        <v>1433</v>
      </c>
      <c r="B569" s="2" t="s">
        <v>1433</v>
      </c>
      <c r="C569" s="2" t="s">
        <v>17</v>
      </c>
      <c r="D569" s="2" t="s">
        <v>18</v>
      </c>
      <c r="E569" s="5">
        <v>-28984</v>
      </c>
      <c r="F569" s="3" t="s">
        <v>520</v>
      </c>
      <c r="G569" s="3" t="s">
        <v>20</v>
      </c>
      <c r="H569" s="2" t="s">
        <v>21</v>
      </c>
      <c r="I569" s="2" t="s">
        <v>1435</v>
      </c>
      <c r="J569" s="3" t="str">
        <f>HYPERLINK("https://www.boe.es/gazeta/dias/1820/08/22/pdfs/GGB-1820-55.pdf#page=4","Abrir facsímil")</f>
        <v>Abrir facsímil</v>
      </c>
      <c r="K569" s="3" t="s">
        <v>23</v>
      </c>
    </row>
    <row r="570" spans="1:11" ht="42" customHeight="1">
      <c r="A570" s="2" t="s">
        <v>1436</v>
      </c>
      <c r="B570" s="2" t="s">
        <v>1437</v>
      </c>
      <c r="C570" s="2" t="s">
        <v>74</v>
      </c>
      <c r="D570" s="2" t="s">
        <v>18</v>
      </c>
      <c r="E570" s="5">
        <v>-28990</v>
      </c>
      <c r="F570" s="3" t="s">
        <v>61</v>
      </c>
      <c r="G570" s="3" t="s">
        <v>1438</v>
      </c>
      <c r="H570" s="2" t="s">
        <v>21</v>
      </c>
      <c r="I570" s="2" t="s">
        <v>1439</v>
      </c>
      <c r="J570" s="3" t="str">
        <f>HYPERLINK("https://www.boe.es/gazeta/dias/1820/08/16/pdfs/GGB-1820-49.pdf#page=4","Abrir facsímil")</f>
        <v>Abrir facsímil</v>
      </c>
      <c r="K570" s="3" t="s">
        <v>23</v>
      </c>
    </row>
    <row r="571" spans="1:11" ht="42" customHeight="1">
      <c r="A571" s="2" t="s">
        <v>1440</v>
      </c>
      <c r="B571" s="2" t="s">
        <v>1441</v>
      </c>
      <c r="C571" s="2" t="s">
        <v>293</v>
      </c>
      <c r="D571" s="2" t="s">
        <v>18</v>
      </c>
      <c r="E571" s="5">
        <v>-29159</v>
      </c>
      <c r="F571" s="3" t="s">
        <v>1022</v>
      </c>
      <c r="G571" s="3" t="s">
        <v>38</v>
      </c>
      <c r="H571" s="2" t="s">
        <v>21</v>
      </c>
      <c r="I571" s="2" t="s">
        <v>1442</v>
      </c>
      <c r="J571" s="3" t="str">
        <f>HYPERLINK("https://www.boe.es/gazeta/dias/1820/02/29/pdfs/GMD-1820-26.pdf#page=6","Abrir facsímil")</f>
        <v>Abrir facsímil</v>
      </c>
      <c r="K571" s="3" t="s">
        <v>23</v>
      </c>
    </row>
    <row r="572" spans="1:11" ht="42" customHeight="1">
      <c r="A572" s="2" t="s">
        <v>1443</v>
      </c>
      <c r="B572" s="2" t="s">
        <v>1444</v>
      </c>
      <c r="C572" s="2" t="s">
        <v>111</v>
      </c>
      <c r="D572" s="2" t="s">
        <v>18</v>
      </c>
      <c r="E572" s="5">
        <v>-28931</v>
      </c>
      <c r="F572" s="3" t="s">
        <v>724</v>
      </c>
      <c r="G572" s="3" t="s">
        <v>20</v>
      </c>
      <c r="H572" s="2" t="s">
        <v>21</v>
      </c>
      <c r="I572" s="2" t="s">
        <v>1445</v>
      </c>
      <c r="J572" s="3" t="str">
        <f>HYPERLINK("https://www.boe.es/gazeta/dias/1820/10/14/pdfs/GGB-1820-108.pdf#page=4","Abrir facsímil")</f>
        <v>Abrir facsímil</v>
      </c>
      <c r="K572" s="3" t="s">
        <v>23</v>
      </c>
    </row>
    <row r="573" spans="1:11" ht="42" customHeight="1">
      <c r="A573" s="2" t="s">
        <v>1446</v>
      </c>
      <c r="B573" s="2" t="s">
        <v>1447</v>
      </c>
      <c r="C573" s="2" t="s">
        <v>26</v>
      </c>
      <c r="D573" s="2" t="s">
        <v>27</v>
      </c>
      <c r="E573" s="5">
        <v>-28968</v>
      </c>
      <c r="F573" s="3" t="s">
        <v>66</v>
      </c>
      <c r="G573" s="3" t="s">
        <v>62</v>
      </c>
      <c r="H573" s="2" t="s">
        <v>21</v>
      </c>
      <c r="I573" s="2" t="s">
        <v>1448</v>
      </c>
      <c r="J573" s="3" t="str">
        <f>HYPERLINK("https://www.boe.es/gazeta/dias/1820/09/07/pdfs/GGB-1820-71.pdf#page=3","Abrir facsímil")</f>
        <v>Abrir facsímil</v>
      </c>
      <c r="K573" s="3" t="s">
        <v>23</v>
      </c>
    </row>
    <row r="574" spans="1:11" ht="42" customHeight="1">
      <c r="A574" s="2" t="s">
        <v>1449</v>
      </c>
      <c r="B574" s="2" t="s">
        <v>1450</v>
      </c>
      <c r="C574" s="2" t="s">
        <v>107</v>
      </c>
      <c r="D574" s="2" t="s">
        <v>18</v>
      </c>
      <c r="E574" s="5">
        <v>-29117</v>
      </c>
      <c r="F574" s="3" t="s">
        <v>1451</v>
      </c>
      <c r="G574" s="3" t="s">
        <v>1452</v>
      </c>
      <c r="H574" s="2" t="s">
        <v>21</v>
      </c>
      <c r="I574" s="2" t="s">
        <v>1453</v>
      </c>
      <c r="J574" s="3" t="str">
        <f>HYPERLINK("https://www.boe.es/gazeta/dias/1820/04/11/pdfs/GMD-1820-64.pdf#page=8","Abrir facsímil")</f>
        <v>Abrir facsímil</v>
      </c>
      <c r="K574" s="3" t="s">
        <v>23</v>
      </c>
    </row>
    <row r="575" spans="1:11" ht="42" customHeight="1">
      <c r="A575" s="2" t="s">
        <v>1454</v>
      </c>
      <c r="B575" s="2" t="s">
        <v>1455</v>
      </c>
      <c r="C575" s="2" t="s">
        <v>35</v>
      </c>
      <c r="D575" s="2" t="s">
        <v>36</v>
      </c>
      <c r="E575" s="5">
        <v>-28958</v>
      </c>
      <c r="F575" s="3" t="s">
        <v>706</v>
      </c>
      <c r="G575" s="3" t="s">
        <v>43</v>
      </c>
      <c r="H575" s="2" t="s">
        <v>30</v>
      </c>
      <c r="I575" s="2" t="s">
        <v>1456</v>
      </c>
      <c r="J575" s="3" t="str">
        <f>HYPERLINK("https://www.boe.es/gazeta/dias/1820/09/17/pdfs/GGB-1820-81.pdf#page=2","Abrir facsímil")</f>
        <v>Abrir facsímil</v>
      </c>
      <c r="K575" s="3" t="s">
        <v>32</v>
      </c>
    </row>
    <row r="576" spans="1:11" ht="42" customHeight="1">
      <c r="A576" s="2" t="s">
        <v>1457</v>
      </c>
      <c r="B576" s="2" t="s">
        <v>1458</v>
      </c>
      <c r="C576" s="2" t="s">
        <v>26</v>
      </c>
      <c r="D576" s="2" t="s">
        <v>27</v>
      </c>
      <c r="E576" s="5">
        <v>-28854</v>
      </c>
      <c r="F576" s="3" t="s">
        <v>147</v>
      </c>
      <c r="G576" s="3" t="s">
        <v>43</v>
      </c>
      <c r="H576" s="2" t="s">
        <v>21</v>
      </c>
      <c r="I576" s="2" t="s">
        <v>1459</v>
      </c>
      <c r="J576" s="3" t="str">
        <f>HYPERLINK("https://www.boe.es/gazeta/dias/1820/12/30/pdfs/GGB-1820-187.pdf#page=2","Abrir facsímil")</f>
        <v>Abrir facsímil</v>
      </c>
      <c r="K576" s="3" t="s">
        <v>23</v>
      </c>
    </row>
    <row r="577" spans="1:11" ht="42" customHeight="1">
      <c r="A577" s="2" t="s">
        <v>1460</v>
      </c>
      <c r="B577" s="2" t="s">
        <v>1461</v>
      </c>
      <c r="C577" s="2" t="s">
        <v>26</v>
      </c>
      <c r="D577" s="2" t="s">
        <v>27</v>
      </c>
      <c r="E577" s="5">
        <v>-28948</v>
      </c>
      <c r="F577" s="3" t="s">
        <v>1069</v>
      </c>
      <c r="G577" s="3" t="s">
        <v>20</v>
      </c>
      <c r="H577" s="2" t="s">
        <v>30</v>
      </c>
      <c r="I577" s="2" t="s">
        <v>1462</v>
      </c>
      <c r="J577" s="3" t="str">
        <f>HYPERLINK("https://www.boe.es/gazeta/dias/1820/09/27/pdfs/GGB-1820-91.pdf#page=4","Abrir facsímil")</f>
        <v>Abrir facsímil</v>
      </c>
      <c r="K577" s="3" t="s">
        <v>32</v>
      </c>
    </row>
    <row r="578" spans="1:11" ht="42" customHeight="1">
      <c r="A578" s="2" t="s">
        <v>1463</v>
      </c>
      <c r="B578" s="2" t="s">
        <v>1464</v>
      </c>
      <c r="C578" s="2" t="s">
        <v>74</v>
      </c>
      <c r="D578" s="2" t="s">
        <v>18</v>
      </c>
      <c r="E578" s="5">
        <v>-28955</v>
      </c>
      <c r="F578" s="3" t="s">
        <v>175</v>
      </c>
      <c r="G578" s="3" t="s">
        <v>62</v>
      </c>
      <c r="H578" s="2" t="s">
        <v>21</v>
      </c>
      <c r="I578" s="2" t="s">
        <v>1465</v>
      </c>
      <c r="J578" s="3" t="str">
        <f>HYPERLINK("https://www.boe.es/gazeta/dias/1820/09/20/pdfs/GGB-1820-84.pdf#page=3","Abrir facsímil")</f>
        <v>Abrir facsímil</v>
      </c>
      <c r="K578" s="3" t="s">
        <v>23</v>
      </c>
    </row>
    <row r="579" spans="1:11" ht="42" customHeight="1">
      <c r="A579" s="2" t="s">
        <v>1466</v>
      </c>
      <c r="B579" s="2" t="s">
        <v>1467</v>
      </c>
      <c r="C579" s="2" t="s">
        <v>35</v>
      </c>
      <c r="D579" s="2" t="s">
        <v>36</v>
      </c>
      <c r="E579" s="5">
        <v>-28858</v>
      </c>
      <c r="F579" s="3" t="s">
        <v>117</v>
      </c>
      <c r="G579" s="3" t="s">
        <v>20</v>
      </c>
      <c r="H579" s="2" t="s">
        <v>21</v>
      </c>
      <c r="I579" s="2" t="s">
        <v>1468</v>
      </c>
      <c r="J579" s="3" t="str">
        <f>HYPERLINK("https://www.boe.es/gazeta/dias/1820/12/26/pdfs/GGB-1820-183.pdf#page=4","Abrir facsímil")</f>
        <v>Abrir facsímil</v>
      </c>
      <c r="K579" s="3" t="s">
        <v>23</v>
      </c>
    </row>
    <row r="580" spans="1:11" ht="42" customHeight="1">
      <c r="A580" s="2" t="s">
        <v>1469</v>
      </c>
      <c r="B580" s="2" t="s">
        <v>1470</v>
      </c>
      <c r="C580" s="2" t="s">
        <v>26</v>
      </c>
      <c r="D580" s="2" t="s">
        <v>27</v>
      </c>
      <c r="E580" s="5">
        <v>-28997</v>
      </c>
      <c r="F580" s="3" t="s">
        <v>1471</v>
      </c>
      <c r="G580" s="3" t="s">
        <v>43</v>
      </c>
      <c r="H580" s="2" t="s">
        <v>21</v>
      </c>
      <c r="I580" s="2" t="s">
        <v>1472</v>
      </c>
      <c r="J580" s="3" t="str">
        <f>HYPERLINK("https://www.boe.es/gazeta/dias/1820/08/09/pdfs/GGB-1820-42.pdf#page=2","Abrir facsímil")</f>
        <v>Abrir facsímil</v>
      </c>
      <c r="K580" s="3" t="s">
        <v>23</v>
      </c>
    </row>
    <row r="581" spans="1:11" ht="42" customHeight="1">
      <c r="A581" s="2" t="s">
        <v>1473</v>
      </c>
      <c r="B581" s="2" t="s">
        <v>1474</v>
      </c>
      <c r="C581" s="2" t="s">
        <v>17</v>
      </c>
      <c r="D581" s="2" t="s">
        <v>18</v>
      </c>
      <c r="E581" s="5">
        <v>-29143</v>
      </c>
      <c r="F581" s="3" t="s">
        <v>334</v>
      </c>
      <c r="G581" s="3" t="s">
        <v>295</v>
      </c>
      <c r="H581" s="2" t="s">
        <v>21</v>
      </c>
      <c r="I581" s="2" t="s">
        <v>1475</v>
      </c>
      <c r="J581" s="3" t="str">
        <f>HYPERLINK("https://www.boe.es/gazeta/dias/1820/03/16/pdfs/GMD-1820-42.pdf#page=8","Abrir facsímil")</f>
        <v>Abrir facsímil</v>
      </c>
      <c r="K581" s="3" t="s">
        <v>23</v>
      </c>
    </row>
    <row r="582" spans="1:11" ht="42" customHeight="1">
      <c r="A582" s="2" t="s">
        <v>1473</v>
      </c>
      <c r="B582" s="2" t="s">
        <v>1474</v>
      </c>
      <c r="C582" s="2" t="s">
        <v>47</v>
      </c>
      <c r="D582" s="2" t="s">
        <v>18</v>
      </c>
      <c r="E582" s="5">
        <v>-29115</v>
      </c>
      <c r="F582" s="3" t="s">
        <v>289</v>
      </c>
      <c r="G582" s="3" t="s">
        <v>142</v>
      </c>
      <c r="H582" s="2" t="s">
        <v>21</v>
      </c>
      <c r="I582" s="2" t="s">
        <v>1476</v>
      </c>
      <c r="J582" s="3" t="str">
        <f>HYPERLINK("https://www.boe.es/gazeta/dias/1820/04/13/pdfs/GMD-1820-65.pdf#page=8","Abrir facsímil")</f>
        <v>Abrir facsímil</v>
      </c>
      <c r="K582" s="3" t="s">
        <v>23</v>
      </c>
    </row>
    <row r="583" spans="1:11" ht="42" customHeight="1">
      <c r="A583" s="2" t="s">
        <v>1477</v>
      </c>
      <c r="B583" s="2" t="s">
        <v>1478</v>
      </c>
      <c r="C583" s="2" t="s">
        <v>293</v>
      </c>
      <c r="D583" s="2" t="s">
        <v>18</v>
      </c>
      <c r="E583" s="5">
        <v>-28894</v>
      </c>
      <c r="F583" s="3" t="s">
        <v>469</v>
      </c>
      <c r="G583" s="3" t="s">
        <v>20</v>
      </c>
      <c r="H583" s="2" t="s">
        <v>21</v>
      </c>
      <c r="I583" s="2" t="s">
        <v>1479</v>
      </c>
      <c r="J583" s="3" t="str">
        <f>HYPERLINK("https://www.boe.es/gazeta/dias/1820/11/20/pdfs/GGB-1820-147.pdf#page=4","Abrir facsímil")</f>
        <v>Abrir facsímil</v>
      </c>
      <c r="K583" s="3" t="s">
        <v>23</v>
      </c>
    </row>
    <row r="584" spans="1:11" ht="42" customHeight="1">
      <c r="A584" s="2" t="s">
        <v>1480</v>
      </c>
      <c r="B584" s="2" t="s">
        <v>1481</v>
      </c>
      <c r="C584" s="2" t="s">
        <v>35</v>
      </c>
      <c r="D584" s="2" t="s">
        <v>36</v>
      </c>
      <c r="E584" s="5">
        <v>-28905</v>
      </c>
      <c r="F584" s="3" t="s">
        <v>749</v>
      </c>
      <c r="G584" s="3" t="s">
        <v>62</v>
      </c>
      <c r="H584" s="2" t="s">
        <v>21</v>
      </c>
      <c r="I584" s="2" t="s">
        <v>1482</v>
      </c>
      <c r="J584" s="3" t="str">
        <f>HYPERLINK("https://www.boe.es/gazeta/dias/1820/11/09/pdfs/GGB-1820-134.pdf#page=3","Abrir facsímil")</f>
        <v>Abrir facsímil</v>
      </c>
      <c r="K584" s="3" t="s">
        <v>23</v>
      </c>
    </row>
    <row r="585" spans="1:11" ht="42" customHeight="1">
      <c r="A585" s="2" t="s">
        <v>1483</v>
      </c>
      <c r="B585" s="2" t="s">
        <v>1484</v>
      </c>
      <c r="C585" s="2" t="s">
        <v>26</v>
      </c>
      <c r="D585" s="2" t="s">
        <v>27</v>
      </c>
      <c r="E585" s="5">
        <v>-29017</v>
      </c>
      <c r="F585" s="3" t="s">
        <v>274</v>
      </c>
      <c r="G585" s="3" t="s">
        <v>20</v>
      </c>
      <c r="H585" s="2" t="s">
        <v>21</v>
      </c>
      <c r="I585" s="2" t="s">
        <v>1485</v>
      </c>
      <c r="J585" s="3" t="str">
        <f>HYPERLINK("https://www.boe.es/gazeta/dias/1820/07/20/pdfs/GGB-1820-22.pdf#page=4","Abrir facsímil")</f>
        <v>Abrir facsímil</v>
      </c>
      <c r="K585" s="3" t="s">
        <v>23</v>
      </c>
    </row>
    <row r="586" spans="1:11" ht="42" customHeight="1">
      <c r="A586" s="2" t="s">
        <v>1486</v>
      </c>
      <c r="B586" s="2" t="s">
        <v>1487</v>
      </c>
      <c r="C586" s="2" t="s">
        <v>47</v>
      </c>
      <c r="D586" s="2" t="s">
        <v>18</v>
      </c>
      <c r="E586" s="5">
        <v>-28981</v>
      </c>
      <c r="F586" s="3" t="s">
        <v>42</v>
      </c>
      <c r="G586" s="3" t="s">
        <v>20</v>
      </c>
      <c r="H586" s="2" t="s">
        <v>21</v>
      </c>
      <c r="I586" s="2" t="s">
        <v>1488</v>
      </c>
      <c r="J586" s="3" t="str">
        <f>HYPERLINK("https://www.boe.es/gazeta/dias/1820/08/25/pdfs/GGB-1820-58.pdf#page=4","Abrir facsímil")</f>
        <v>Abrir facsímil</v>
      </c>
      <c r="K586" s="3" t="s">
        <v>23</v>
      </c>
    </row>
    <row r="587" spans="1:11" ht="42" customHeight="1">
      <c r="A587" s="2" t="s">
        <v>1486</v>
      </c>
      <c r="B587" s="2" t="s">
        <v>1487</v>
      </c>
      <c r="C587" s="2" t="s">
        <v>17</v>
      </c>
      <c r="D587" s="2" t="s">
        <v>18</v>
      </c>
      <c r="E587" s="5">
        <v>-28939</v>
      </c>
      <c r="F587" s="3" t="s">
        <v>992</v>
      </c>
      <c r="G587" s="3" t="s">
        <v>43</v>
      </c>
      <c r="H587" s="2" t="s">
        <v>21</v>
      </c>
      <c r="I587" s="2" t="s">
        <v>1489</v>
      </c>
      <c r="J587" s="3" t="str">
        <f>HYPERLINK("https://www.boe.es/gazeta/dias/1820/10/06/pdfs/GGB-1820-100.pdf#page=2","Abrir facsímil")</f>
        <v>Abrir facsímil</v>
      </c>
      <c r="K587" s="3" t="s">
        <v>23</v>
      </c>
    </row>
    <row r="588" spans="1:11" ht="42" customHeight="1">
      <c r="A588" s="2" t="s">
        <v>1490</v>
      </c>
      <c r="B588" s="2" t="s">
        <v>1491</v>
      </c>
      <c r="C588" s="2" t="s">
        <v>17</v>
      </c>
      <c r="D588" s="2" t="s">
        <v>18</v>
      </c>
      <c r="E588" s="5">
        <v>-28901</v>
      </c>
      <c r="F588" s="3" t="s">
        <v>1492</v>
      </c>
      <c r="G588" s="3" t="s">
        <v>20</v>
      </c>
      <c r="H588" s="2" t="s">
        <v>21</v>
      </c>
      <c r="I588" s="2" t="s">
        <v>1493</v>
      </c>
      <c r="J588" s="3" t="str">
        <f>HYPERLINK("https://www.boe.es/gazeta/dias/1820/11/13/pdfs/GGB-1820-139.pdf#page=4","Abrir facsímil")</f>
        <v>Abrir facsímil</v>
      </c>
      <c r="K588" s="3" t="s">
        <v>23</v>
      </c>
    </row>
    <row r="589" spans="1:11" ht="42" customHeight="1">
      <c r="A589" s="2" t="s">
        <v>1494</v>
      </c>
      <c r="B589" s="2" t="s">
        <v>1495</v>
      </c>
      <c r="C589" s="2" t="s">
        <v>26</v>
      </c>
      <c r="D589" s="2" t="s">
        <v>27</v>
      </c>
      <c r="E589" s="5">
        <v>-28890</v>
      </c>
      <c r="F589" s="3" t="s">
        <v>248</v>
      </c>
      <c r="G589" s="3" t="s">
        <v>20</v>
      </c>
      <c r="H589" s="2" t="s">
        <v>21</v>
      </c>
      <c r="I589" s="2" t="s">
        <v>1496</v>
      </c>
      <c r="J589" s="3" t="str">
        <f>HYPERLINK("https://www.boe.es/gazeta/dias/1820/11/24/pdfs/GGB-1820-151.pdf#page=4","Abrir facsímil")</f>
        <v>Abrir facsímil</v>
      </c>
      <c r="K589" s="3" t="s">
        <v>23</v>
      </c>
    </row>
    <row r="590" spans="1:11" ht="42" customHeight="1">
      <c r="A590" s="2" t="s">
        <v>1497</v>
      </c>
      <c r="B590" s="2" t="s">
        <v>1498</v>
      </c>
      <c r="C590" s="2" t="s">
        <v>293</v>
      </c>
      <c r="D590" s="2" t="s">
        <v>18</v>
      </c>
      <c r="E590" s="5">
        <v>-29029</v>
      </c>
      <c r="F590" s="3" t="s">
        <v>282</v>
      </c>
      <c r="G590" s="3" t="s">
        <v>62</v>
      </c>
      <c r="H590" s="2" t="s">
        <v>30</v>
      </c>
      <c r="I590" s="2" t="s">
        <v>1499</v>
      </c>
      <c r="J590" s="3" t="str">
        <f>HYPERLINK("https://www.boe.es/gazeta/dias/1820/07/08/pdfs/GGB-1820-9.pdf#page=3","Abrir facsímil")</f>
        <v>Abrir facsímil</v>
      </c>
      <c r="K590" s="3" t="s">
        <v>32</v>
      </c>
    </row>
    <row r="591" spans="1:11" ht="42" customHeight="1">
      <c r="A591" s="2" t="s">
        <v>1500</v>
      </c>
      <c r="B591" s="2" t="s">
        <v>1501</v>
      </c>
      <c r="C591" s="2" t="s">
        <v>26</v>
      </c>
      <c r="D591" s="2" t="s">
        <v>27</v>
      </c>
      <c r="E591" s="5">
        <v>-29085</v>
      </c>
      <c r="F591" s="3" t="s">
        <v>1502</v>
      </c>
      <c r="G591" s="3" t="s">
        <v>479</v>
      </c>
      <c r="H591" s="2" t="s">
        <v>21</v>
      </c>
      <c r="I591" s="2" t="s">
        <v>1503</v>
      </c>
      <c r="J591" s="3" t="str">
        <f>HYPERLINK("https://www.boe.es/gazeta/dias/1820/05/13/pdfs/GMD-1820-79.pdf#page=12","Abrir facsímil")</f>
        <v>Abrir facsímil</v>
      </c>
      <c r="K591" s="3" t="s">
        <v>23</v>
      </c>
    </row>
    <row r="592" spans="1:11" ht="42" customHeight="1">
      <c r="A592" s="2" t="s">
        <v>1504</v>
      </c>
      <c r="B592" s="2" t="s">
        <v>1504</v>
      </c>
      <c r="C592" s="2" t="s">
        <v>26</v>
      </c>
      <c r="D592" s="2" t="s">
        <v>27</v>
      </c>
      <c r="E592" s="5">
        <v>-29027</v>
      </c>
      <c r="F592" s="3" t="s">
        <v>937</v>
      </c>
      <c r="G592" s="3" t="s">
        <v>43</v>
      </c>
      <c r="H592" s="2" t="s">
        <v>21</v>
      </c>
      <c r="I592" s="2" t="s">
        <v>1505</v>
      </c>
      <c r="J592" s="3" t="str">
        <f>HYPERLINK("https://www.boe.es/gazeta/dias/1820/07/10/pdfs/GGB-1820-11.pdf#page=2","Abrir facsímil")</f>
        <v>Abrir facsímil</v>
      </c>
      <c r="K592" s="3" t="s">
        <v>23</v>
      </c>
    </row>
    <row r="593" spans="1:11" ht="42" customHeight="1">
      <c r="A593" s="2" t="s">
        <v>1506</v>
      </c>
      <c r="B593" s="2" t="s">
        <v>1506</v>
      </c>
      <c r="C593" s="2" t="s">
        <v>26</v>
      </c>
      <c r="D593" s="2" t="s">
        <v>27</v>
      </c>
      <c r="E593" s="5">
        <v>-29027</v>
      </c>
      <c r="F593" s="3" t="s">
        <v>937</v>
      </c>
      <c r="G593" s="3" t="s">
        <v>43</v>
      </c>
      <c r="H593" s="2" t="s">
        <v>21</v>
      </c>
      <c r="I593" s="2" t="s">
        <v>1507</v>
      </c>
      <c r="J593" s="3" t="str">
        <f>HYPERLINK("https://www.boe.es/gazeta/dias/1820/07/10/pdfs/GGB-1820-11.pdf#page=2","Abrir facsímil")</f>
        <v>Abrir facsímil</v>
      </c>
      <c r="K593" s="3" t="s">
        <v>23</v>
      </c>
    </row>
    <row r="594" spans="1:11" ht="42" customHeight="1">
      <c r="A594" s="2" t="s">
        <v>1508</v>
      </c>
      <c r="B594" s="2" t="s">
        <v>1508</v>
      </c>
      <c r="C594" s="2" t="s">
        <v>26</v>
      </c>
      <c r="D594" s="2" t="s">
        <v>27</v>
      </c>
      <c r="E594" s="5">
        <v>-28943</v>
      </c>
      <c r="F594" s="3" t="s">
        <v>1403</v>
      </c>
      <c r="G594" s="3" t="s">
        <v>62</v>
      </c>
      <c r="H594" s="2" t="s">
        <v>21</v>
      </c>
      <c r="I594" s="2" t="s">
        <v>1509</v>
      </c>
      <c r="J594" s="3" t="str">
        <f>HYPERLINK("https://www.boe.es/gazeta/dias/1820/10/02/pdfs/GGB-1820-96.pdf#page=3","Abrir facsímil")</f>
        <v>Abrir facsímil</v>
      </c>
      <c r="K594" s="3" t="s">
        <v>23</v>
      </c>
    </row>
    <row r="595" spans="1:11" ht="42" customHeight="1">
      <c r="A595" s="2" t="s">
        <v>1510</v>
      </c>
      <c r="B595" s="2" t="s">
        <v>1510</v>
      </c>
      <c r="C595" s="2" t="s">
        <v>26</v>
      </c>
      <c r="D595" s="2" t="s">
        <v>27</v>
      </c>
      <c r="E595" s="5">
        <v>-29011</v>
      </c>
      <c r="F595" s="3" t="s">
        <v>338</v>
      </c>
      <c r="G595" s="3" t="s">
        <v>20</v>
      </c>
      <c r="H595" s="2" t="s">
        <v>21</v>
      </c>
      <c r="I595" s="2" t="s">
        <v>1511</v>
      </c>
      <c r="J595" s="3" t="str">
        <f>HYPERLINK("https://www.boe.es/gazeta/dias/1820/07/26/pdfs/GGB-1820-28.pdf#page=4","Abrir facsímil")</f>
        <v>Abrir facsímil</v>
      </c>
      <c r="K595" s="3" t="s">
        <v>23</v>
      </c>
    </row>
    <row r="596" spans="1:11" ht="42" customHeight="1">
      <c r="A596" s="2" t="s">
        <v>1512</v>
      </c>
      <c r="B596" s="2" t="s">
        <v>1513</v>
      </c>
      <c r="C596" s="2" t="s">
        <v>17</v>
      </c>
      <c r="D596" s="2" t="s">
        <v>18</v>
      </c>
      <c r="E596" s="5">
        <v>-29183</v>
      </c>
      <c r="F596" s="3" t="s">
        <v>476</v>
      </c>
      <c r="G596" s="3" t="s">
        <v>295</v>
      </c>
      <c r="H596" s="2" t="s">
        <v>21</v>
      </c>
      <c r="I596" s="2" t="s">
        <v>1514</v>
      </c>
      <c r="J596" s="3" t="str">
        <f>HYPERLINK("https://www.boe.es/gazeta/dias/1820/02/05/pdfs/GMD-1820-16.pdf#page=8","Abrir facsímil")</f>
        <v>Abrir facsímil</v>
      </c>
      <c r="K596" s="3" t="s">
        <v>23</v>
      </c>
    </row>
    <row r="597" spans="1:11" ht="42" customHeight="1">
      <c r="A597" s="2" t="s">
        <v>1515</v>
      </c>
      <c r="B597" s="2" t="s">
        <v>1516</v>
      </c>
      <c r="C597" s="2" t="s">
        <v>26</v>
      </c>
      <c r="D597" s="2" t="s">
        <v>27</v>
      </c>
      <c r="E597" s="5">
        <v>-29115</v>
      </c>
      <c r="F597" s="3" t="s">
        <v>289</v>
      </c>
      <c r="G597" s="3" t="s">
        <v>142</v>
      </c>
      <c r="H597" s="2" t="s">
        <v>21</v>
      </c>
      <c r="I597" s="2" t="s">
        <v>1517</v>
      </c>
      <c r="J597" s="3" t="str">
        <f>HYPERLINK("https://www.boe.es/gazeta/dias/1820/04/13/pdfs/GMD-1820-65.pdf#page=8","Abrir facsímil")</f>
        <v>Abrir facsímil</v>
      </c>
      <c r="K597" s="3" t="s">
        <v>23</v>
      </c>
    </row>
    <row r="598" spans="1:11" ht="42" customHeight="1">
      <c r="A598" s="2" t="s">
        <v>1518</v>
      </c>
      <c r="B598" s="2" t="s">
        <v>1519</v>
      </c>
      <c r="C598" s="2" t="s">
        <v>74</v>
      </c>
      <c r="D598" s="2" t="s">
        <v>18</v>
      </c>
      <c r="E598" s="5">
        <v>-28965</v>
      </c>
      <c r="F598" s="3" t="s">
        <v>1520</v>
      </c>
      <c r="G598" s="3" t="s">
        <v>20</v>
      </c>
      <c r="H598" s="2" t="s">
        <v>21</v>
      </c>
      <c r="I598" s="2" t="s">
        <v>1521</v>
      </c>
      <c r="J598" s="3" t="str">
        <f>HYPERLINK("https://www.boe.es/gazeta/dias/1820/09/10/pdfs/GGB-1820-74.pdf#page=4","Abrir facsímil")</f>
        <v>Abrir facsímil</v>
      </c>
      <c r="K598" s="3" t="s">
        <v>23</v>
      </c>
    </row>
    <row r="599" spans="1:11" ht="42" customHeight="1">
      <c r="A599" s="2" t="s">
        <v>1522</v>
      </c>
      <c r="B599" s="2" t="s">
        <v>1523</v>
      </c>
      <c r="C599" s="2" t="s">
        <v>107</v>
      </c>
      <c r="D599" s="2" t="s">
        <v>18</v>
      </c>
      <c r="E599" s="5">
        <v>-28886</v>
      </c>
      <c r="F599" s="3" t="s">
        <v>874</v>
      </c>
      <c r="G599" s="3" t="s">
        <v>20</v>
      </c>
      <c r="H599" s="2" t="s">
        <v>21</v>
      </c>
      <c r="I599" s="2" t="s">
        <v>1524</v>
      </c>
      <c r="J599" s="3" t="str">
        <f>HYPERLINK("https://www.boe.es/gazeta/dias/1820/11/28/pdfs/GGB-1820-155.pdf#page=4","Abrir facsímil")</f>
        <v>Abrir facsímil</v>
      </c>
      <c r="K599" s="3" t="s">
        <v>23</v>
      </c>
    </row>
    <row r="600" spans="1:11" ht="42" customHeight="1">
      <c r="A600" s="2" t="s">
        <v>1525</v>
      </c>
      <c r="B600" s="2" t="s">
        <v>1526</v>
      </c>
      <c r="C600" s="2" t="s">
        <v>17</v>
      </c>
      <c r="D600" s="2" t="s">
        <v>18</v>
      </c>
      <c r="E600" s="5">
        <v>-28866</v>
      </c>
      <c r="F600" s="3" t="s">
        <v>507</v>
      </c>
      <c r="G600" s="3" t="s">
        <v>62</v>
      </c>
      <c r="H600" s="2" t="s">
        <v>30</v>
      </c>
      <c r="I600" s="2" t="s">
        <v>1527</v>
      </c>
      <c r="J600" s="3" t="str">
        <f>HYPERLINK("https://www.boe.es/gazeta/dias/1820/12/18/pdfs/GGB-1820-175.pdf#page=3","Abrir facsímil")</f>
        <v>Abrir facsímil</v>
      </c>
      <c r="K600" s="3" t="s">
        <v>32</v>
      </c>
    </row>
    <row r="601" spans="1:11" ht="42" customHeight="1">
      <c r="A601" s="2" t="s">
        <v>1528</v>
      </c>
      <c r="B601" s="2" t="s">
        <v>1529</v>
      </c>
      <c r="C601" s="2" t="s">
        <v>107</v>
      </c>
      <c r="D601" s="2" t="s">
        <v>18</v>
      </c>
      <c r="E601" s="5">
        <v>-29045</v>
      </c>
      <c r="F601" s="3" t="s">
        <v>155</v>
      </c>
      <c r="G601" s="3" t="s">
        <v>295</v>
      </c>
      <c r="H601" s="2" t="s">
        <v>21</v>
      </c>
      <c r="I601" s="2" t="s">
        <v>1530</v>
      </c>
      <c r="J601" s="3" t="str">
        <f>HYPERLINK("https://www.boe.es/gazeta/dias/1820/06/22/pdfs/GMD-1820-97.pdf#page=8","Abrir facsímil")</f>
        <v>Abrir facsímil</v>
      </c>
      <c r="K601" s="3" t="s">
        <v>23</v>
      </c>
    </row>
    <row r="602" spans="1:11" ht="42" customHeight="1">
      <c r="A602" s="2" t="s">
        <v>1531</v>
      </c>
      <c r="B602" s="2" t="s">
        <v>1532</v>
      </c>
      <c r="C602" s="2" t="s">
        <v>107</v>
      </c>
      <c r="D602" s="2" t="s">
        <v>18</v>
      </c>
      <c r="E602" s="5">
        <v>-29047</v>
      </c>
      <c r="F602" s="3" t="s">
        <v>1033</v>
      </c>
      <c r="G602" s="3" t="s">
        <v>1083</v>
      </c>
      <c r="H602" s="2" t="s">
        <v>21</v>
      </c>
      <c r="I602" s="2" t="s">
        <v>1533</v>
      </c>
      <c r="J602" s="3" t="str">
        <f>HYPERLINK("https://www.boe.es/gazeta/dias/1820/06/20/pdfs/GMD-1820-96.pdf#page=12","Abrir facsímil")</f>
        <v>Abrir facsímil</v>
      </c>
      <c r="K602" s="3" t="s">
        <v>23</v>
      </c>
    </row>
    <row r="603" spans="1:11" ht="42" customHeight="1">
      <c r="A603" s="2" t="s">
        <v>1534</v>
      </c>
      <c r="B603" s="2" t="s">
        <v>1535</v>
      </c>
      <c r="C603" s="2" t="s">
        <v>107</v>
      </c>
      <c r="D603" s="2" t="s">
        <v>18</v>
      </c>
      <c r="E603" s="5">
        <v>-28908</v>
      </c>
      <c r="F603" s="3" t="s">
        <v>1060</v>
      </c>
      <c r="G603" s="3" t="s">
        <v>20</v>
      </c>
      <c r="H603" s="2" t="s">
        <v>21</v>
      </c>
      <c r="I603" s="2" t="s">
        <v>1536</v>
      </c>
      <c r="J603" s="3" t="str">
        <f>HYPERLINK("https://www.boe.es/gazeta/dias/1820/11/06/pdfs/GGB-1820-131.pdf#page=4","Abrir facsímil")</f>
        <v>Abrir facsímil</v>
      </c>
      <c r="K603" s="3" t="s">
        <v>23</v>
      </c>
    </row>
    <row r="604" spans="1:11" ht="42" customHeight="1">
      <c r="A604" s="2" t="s">
        <v>1537</v>
      </c>
      <c r="B604" s="2" t="s">
        <v>1538</v>
      </c>
      <c r="C604" s="2" t="s">
        <v>26</v>
      </c>
      <c r="D604" s="2" t="s">
        <v>27</v>
      </c>
      <c r="E604" s="5">
        <v>-29106</v>
      </c>
      <c r="F604" s="3" t="s">
        <v>430</v>
      </c>
      <c r="G604" s="3" t="s">
        <v>1539</v>
      </c>
      <c r="H604" s="2" t="s">
        <v>21</v>
      </c>
      <c r="I604" s="2" t="s">
        <v>1540</v>
      </c>
      <c r="J604" s="3" t="str">
        <f>HYPERLINK("https://www.boe.es/gazeta/dias/1820/04/22/pdfs/GMD-1820-69.pdf#page=6","Abrir facsímil")</f>
        <v>Abrir facsímil</v>
      </c>
      <c r="K604" s="3" t="s">
        <v>23</v>
      </c>
    </row>
    <row r="605" spans="1:11" ht="42" customHeight="1">
      <c r="A605" s="2" t="s">
        <v>1541</v>
      </c>
      <c r="B605" s="2" t="s">
        <v>1542</v>
      </c>
      <c r="C605" s="2" t="s">
        <v>35</v>
      </c>
      <c r="D605" s="2" t="s">
        <v>36</v>
      </c>
      <c r="E605" s="5">
        <v>-29045</v>
      </c>
      <c r="F605" s="3" t="s">
        <v>155</v>
      </c>
      <c r="G605" s="3" t="s">
        <v>62</v>
      </c>
      <c r="H605" s="2" t="s">
        <v>21</v>
      </c>
      <c r="I605" s="2" t="s">
        <v>1543</v>
      </c>
      <c r="J605" s="3" t="str">
        <f>HYPERLINK("https://www.boe.es/gazeta/dias/1820/06/22/pdfs/GMD-1820-97.pdf#page=3","Abrir facsímil")</f>
        <v>Abrir facsímil</v>
      </c>
      <c r="K605" s="3" t="s">
        <v>23</v>
      </c>
    </row>
    <row r="606" spans="1:11" ht="42" customHeight="1">
      <c r="A606" s="2" t="s">
        <v>1544</v>
      </c>
      <c r="B606" s="2" t="s">
        <v>1545</v>
      </c>
      <c r="C606" s="2" t="s">
        <v>35</v>
      </c>
      <c r="D606" s="2" t="s">
        <v>310</v>
      </c>
      <c r="E606" s="5">
        <v>-29140</v>
      </c>
      <c r="F606" s="3" t="s">
        <v>533</v>
      </c>
      <c r="G606" s="3" t="s">
        <v>128</v>
      </c>
      <c r="H606" s="2" t="s">
        <v>21</v>
      </c>
      <c r="I606" s="2" t="s">
        <v>1546</v>
      </c>
      <c r="J606" s="3" t="str">
        <f>HYPERLINK("https://www.boe.es/gazeta/dias/1820/03/19/pdfs/GMD-1820-45E.pdf#page=1","Abrir facsímil")</f>
        <v>Abrir facsímil</v>
      </c>
      <c r="K606" s="3" t="s">
        <v>23</v>
      </c>
    </row>
    <row r="607" spans="1:11" ht="42" customHeight="1">
      <c r="A607" s="2" t="s">
        <v>1547</v>
      </c>
      <c r="B607" s="2" t="s">
        <v>1547</v>
      </c>
      <c r="C607" s="2" t="s">
        <v>35</v>
      </c>
      <c r="D607" s="2" t="s">
        <v>36</v>
      </c>
      <c r="E607" s="5">
        <v>-28944</v>
      </c>
      <c r="F607" s="3" t="s">
        <v>990</v>
      </c>
      <c r="G607" s="3" t="s">
        <v>1548</v>
      </c>
      <c r="H607" s="2" t="s">
        <v>21</v>
      </c>
      <c r="I607" s="2" t="s">
        <v>1549</v>
      </c>
      <c r="J607" s="3" t="str">
        <f>HYPERLINK("https://www.boe.es/gazeta/dias/1820/10/01/pdfs/GGB-1820-95.pdf#page=2","Abrir facsímil")</f>
        <v>Abrir facsímil</v>
      </c>
      <c r="K607" s="3" t="s">
        <v>23</v>
      </c>
    </row>
    <row r="608" spans="1:11" ht="42" customHeight="1">
      <c r="A608" s="2" t="s">
        <v>1550</v>
      </c>
      <c r="B608" s="2" t="s">
        <v>1551</v>
      </c>
      <c r="C608" s="2" t="s">
        <v>26</v>
      </c>
      <c r="D608" s="2" t="s">
        <v>27</v>
      </c>
      <c r="E608" s="5">
        <v>-29018</v>
      </c>
      <c r="F608" s="3" t="s">
        <v>601</v>
      </c>
      <c r="G608" s="3" t="s">
        <v>43</v>
      </c>
      <c r="H608" s="2" t="s">
        <v>21</v>
      </c>
      <c r="I608" s="2" t="s">
        <v>1552</v>
      </c>
      <c r="J608" s="3" t="str">
        <f>HYPERLINK("https://www.boe.es/gazeta/dias/1820/07/19/pdfs/GGB-1820-21.pdf#page=2","Abrir facsímil")</f>
        <v>Abrir facsímil</v>
      </c>
      <c r="K608" s="3" t="s">
        <v>23</v>
      </c>
    </row>
    <row r="609" spans="1:11" ht="42" customHeight="1">
      <c r="A609" s="2" t="s">
        <v>1553</v>
      </c>
      <c r="B609" s="2" t="s">
        <v>1554</v>
      </c>
      <c r="C609" s="2" t="s">
        <v>111</v>
      </c>
      <c r="D609" s="2" t="s">
        <v>18</v>
      </c>
      <c r="E609" s="5">
        <v>-29187</v>
      </c>
      <c r="F609" s="3" t="s">
        <v>859</v>
      </c>
      <c r="G609" s="3" t="s">
        <v>295</v>
      </c>
      <c r="H609" s="2" t="s">
        <v>21</v>
      </c>
      <c r="I609" s="2" t="s">
        <v>1555</v>
      </c>
      <c r="J609" s="3" t="str">
        <f>HYPERLINK("https://www.boe.es/gazeta/dias/1820/02/01/pdfs/GMD-1820-14.pdf#page=8","Abrir facsímil")</f>
        <v>Abrir facsímil</v>
      </c>
      <c r="K609" s="3" t="s">
        <v>23</v>
      </c>
    </row>
    <row r="610" spans="1:11" ht="42" customHeight="1">
      <c r="A610" s="2" t="s">
        <v>1556</v>
      </c>
      <c r="B610" s="2" t="s">
        <v>1556</v>
      </c>
      <c r="C610" s="2" t="s">
        <v>74</v>
      </c>
      <c r="D610" s="2" t="s">
        <v>18</v>
      </c>
      <c r="E610" s="5">
        <v>-28995</v>
      </c>
      <c r="F610" s="3" t="s">
        <v>672</v>
      </c>
      <c r="G610" s="3" t="s">
        <v>1557</v>
      </c>
      <c r="H610" s="2" t="s">
        <v>21</v>
      </c>
      <c r="I610" s="2" t="s">
        <v>1558</v>
      </c>
      <c r="J610" s="3" t="str">
        <f>HYPERLINK("https://www.boe.es/gazeta/dias/1820/08/11/pdfs/GGB-1820-44.pdf#page=2","Abrir facsímil")</f>
        <v>Abrir facsímil</v>
      </c>
      <c r="K610" s="3" t="s">
        <v>23</v>
      </c>
    </row>
    <row r="611" spans="1:11" ht="42" customHeight="1">
      <c r="A611" s="2" t="s">
        <v>1556</v>
      </c>
      <c r="B611" s="2" t="s">
        <v>1556</v>
      </c>
      <c r="C611" s="2" t="s">
        <v>74</v>
      </c>
      <c r="D611" s="2" t="s">
        <v>18</v>
      </c>
      <c r="E611" s="5">
        <v>-28955</v>
      </c>
      <c r="F611" s="3" t="s">
        <v>175</v>
      </c>
      <c r="G611" s="3" t="s">
        <v>62</v>
      </c>
      <c r="H611" s="2" t="s">
        <v>21</v>
      </c>
      <c r="I611" s="2" t="s">
        <v>1559</v>
      </c>
      <c r="J611" s="3" t="str">
        <f>HYPERLINK("https://www.boe.es/gazeta/dias/1820/09/20/pdfs/GGB-1820-84.pdf#page=3","Abrir facsímil")</f>
        <v>Abrir facsímil</v>
      </c>
      <c r="K611" s="3" t="s">
        <v>23</v>
      </c>
    </row>
    <row r="612" spans="1:11" ht="42" customHeight="1">
      <c r="A612" s="2" t="s">
        <v>1556</v>
      </c>
      <c r="B612" s="2" t="s">
        <v>1556</v>
      </c>
      <c r="C612" s="2" t="s">
        <v>17</v>
      </c>
      <c r="D612" s="2" t="s">
        <v>18</v>
      </c>
      <c r="E612" s="5">
        <v>-28949</v>
      </c>
      <c r="F612" s="3" t="s">
        <v>178</v>
      </c>
      <c r="G612" s="3" t="s">
        <v>62</v>
      </c>
      <c r="H612" s="2" t="s">
        <v>21</v>
      </c>
      <c r="I612" s="2" t="s">
        <v>1560</v>
      </c>
      <c r="J612" s="3" t="str">
        <f>HYPERLINK("https://www.boe.es/gazeta/dias/1820/09/26/pdfs/GGB-1820-90.pdf#page=3","Abrir facsímil")</f>
        <v>Abrir facsímil</v>
      </c>
      <c r="K612" s="3" t="s">
        <v>23</v>
      </c>
    </row>
    <row r="613" spans="1:11" ht="42" customHeight="1">
      <c r="A613" s="2" t="s">
        <v>1556</v>
      </c>
      <c r="B613" s="2" t="s">
        <v>1556</v>
      </c>
      <c r="C613" s="2" t="s">
        <v>26</v>
      </c>
      <c r="D613" s="2" t="s">
        <v>27</v>
      </c>
      <c r="E613" s="5">
        <v>-28942</v>
      </c>
      <c r="F613" s="3" t="s">
        <v>244</v>
      </c>
      <c r="G613" s="3" t="s">
        <v>62</v>
      </c>
      <c r="H613" s="2" t="s">
        <v>21</v>
      </c>
      <c r="I613" s="2" t="s">
        <v>1561</v>
      </c>
      <c r="J613" s="3" t="str">
        <f>HYPERLINK("https://www.boe.es/gazeta/dias/1820/10/03/pdfs/GGB-1820-97.pdf#page=3","Abrir facsímil")</f>
        <v>Abrir facsímil</v>
      </c>
      <c r="K613" s="3" t="s">
        <v>23</v>
      </c>
    </row>
    <row r="614" spans="1:11" ht="42" customHeight="1">
      <c r="A614" s="2" t="s">
        <v>1556</v>
      </c>
      <c r="B614" s="2" t="s">
        <v>1556</v>
      </c>
      <c r="C614" s="2" t="s">
        <v>74</v>
      </c>
      <c r="D614" s="2" t="s">
        <v>18</v>
      </c>
      <c r="E614" s="5">
        <v>-28933</v>
      </c>
      <c r="F614" s="3" t="s">
        <v>720</v>
      </c>
      <c r="G614" s="3" t="s">
        <v>62</v>
      </c>
      <c r="H614" s="2" t="s">
        <v>21</v>
      </c>
      <c r="I614" s="2" t="s">
        <v>1562</v>
      </c>
      <c r="J614" s="3" t="str">
        <f>HYPERLINK("https://www.boe.es/gazeta/dias/1820/10/12/pdfs/GGB-1820-106.pdf#page=3","Abrir facsímil")</f>
        <v>Abrir facsímil</v>
      </c>
      <c r="K614" s="3" t="s">
        <v>23</v>
      </c>
    </row>
    <row r="615" spans="1:11" ht="42" customHeight="1">
      <c r="A615" s="2" t="s">
        <v>1556</v>
      </c>
      <c r="B615" s="2" t="s">
        <v>1556</v>
      </c>
      <c r="C615" s="2" t="s">
        <v>35</v>
      </c>
      <c r="D615" s="2" t="s">
        <v>36</v>
      </c>
      <c r="E615" s="5">
        <v>-28931</v>
      </c>
      <c r="F615" s="3" t="s">
        <v>724</v>
      </c>
      <c r="G615" s="3" t="s">
        <v>43</v>
      </c>
      <c r="H615" s="2" t="s">
        <v>21</v>
      </c>
      <c r="I615" s="2" t="s">
        <v>1563</v>
      </c>
      <c r="J615" s="3" t="str">
        <f>HYPERLINK("https://www.boe.es/gazeta/dias/1820/10/14/pdfs/GGB-1820-108.pdf#page=2","Abrir facsímil")</f>
        <v>Abrir facsímil</v>
      </c>
      <c r="K615" s="3" t="s">
        <v>23</v>
      </c>
    </row>
    <row r="616" spans="1:11" ht="42" customHeight="1">
      <c r="A616" s="2" t="s">
        <v>1556</v>
      </c>
      <c r="B616" s="2" t="s">
        <v>1556</v>
      </c>
      <c r="C616" s="2" t="s">
        <v>111</v>
      </c>
      <c r="D616" s="2" t="s">
        <v>18</v>
      </c>
      <c r="E616" s="5">
        <v>-28928</v>
      </c>
      <c r="F616" s="3" t="s">
        <v>86</v>
      </c>
      <c r="G616" s="3" t="s">
        <v>62</v>
      </c>
      <c r="H616" s="2" t="s">
        <v>21</v>
      </c>
      <c r="I616" s="2" t="s">
        <v>1564</v>
      </c>
      <c r="J616" s="3" t="str">
        <f>HYPERLINK("https://www.boe.es/gazeta/dias/1820/10/17/pdfs/GGB-1820-111.pdf#page=3","Abrir facsímil")</f>
        <v>Abrir facsímil</v>
      </c>
      <c r="K616" s="3" t="s">
        <v>23</v>
      </c>
    </row>
    <row r="617" spans="1:11" ht="42" customHeight="1">
      <c r="A617" s="2" t="s">
        <v>1556</v>
      </c>
      <c r="B617" s="2" t="s">
        <v>1556</v>
      </c>
      <c r="C617" s="2" t="s">
        <v>26</v>
      </c>
      <c r="D617" s="2" t="s">
        <v>27</v>
      </c>
      <c r="E617" s="5">
        <v>-28920</v>
      </c>
      <c r="F617" s="3" t="s">
        <v>399</v>
      </c>
      <c r="G617" s="3" t="s">
        <v>43</v>
      </c>
      <c r="H617" s="2" t="s">
        <v>21</v>
      </c>
      <c r="I617" s="2" t="s">
        <v>1565</v>
      </c>
      <c r="J617" s="3" t="str">
        <f>HYPERLINK("https://www.boe.es/gazeta/dias/1820/10/25/pdfs/GGB-1820-119.pdf#page=2","Abrir facsímil")</f>
        <v>Abrir facsímil</v>
      </c>
      <c r="K617" s="3" t="s">
        <v>23</v>
      </c>
    </row>
    <row r="618" spans="1:11" ht="42" customHeight="1">
      <c r="A618" s="2" t="s">
        <v>1566</v>
      </c>
      <c r="B618" s="2" t="s">
        <v>1566</v>
      </c>
      <c r="C618" s="2" t="s">
        <v>26</v>
      </c>
      <c r="D618" s="2" t="s">
        <v>27</v>
      </c>
      <c r="E618" s="5">
        <v>-28968</v>
      </c>
      <c r="F618" s="3" t="s">
        <v>66</v>
      </c>
      <c r="G618" s="3" t="s">
        <v>62</v>
      </c>
      <c r="H618" s="2" t="s">
        <v>21</v>
      </c>
      <c r="I618" s="2" t="s">
        <v>1567</v>
      </c>
      <c r="J618" s="3" t="str">
        <f>HYPERLINK("https://www.boe.es/gazeta/dias/1820/09/07/pdfs/GGB-1820-71.pdf#page=3","Abrir facsímil")</f>
        <v>Abrir facsímil</v>
      </c>
      <c r="K618" s="3" t="s">
        <v>23</v>
      </c>
    </row>
    <row r="619" spans="1:11" ht="42" customHeight="1">
      <c r="A619" s="2" t="s">
        <v>1568</v>
      </c>
      <c r="B619" s="2" t="s">
        <v>1568</v>
      </c>
      <c r="C619" s="2" t="s">
        <v>35</v>
      </c>
      <c r="D619" s="2" t="s">
        <v>36</v>
      </c>
      <c r="E619" s="5">
        <v>-28948</v>
      </c>
      <c r="F619" s="3" t="s">
        <v>1069</v>
      </c>
      <c r="G619" s="3" t="s">
        <v>62</v>
      </c>
      <c r="H619" s="2" t="s">
        <v>21</v>
      </c>
      <c r="I619" s="2" t="s">
        <v>1569</v>
      </c>
      <c r="J619" s="3" t="str">
        <f>HYPERLINK("https://www.boe.es/gazeta/dias/1820/09/27/pdfs/GGB-1820-91.pdf#page=3","Abrir facsímil")</f>
        <v>Abrir facsímil</v>
      </c>
      <c r="K619" s="3" t="s">
        <v>23</v>
      </c>
    </row>
    <row r="620" spans="1:11" ht="42" customHeight="1">
      <c r="A620" s="2" t="s">
        <v>1570</v>
      </c>
      <c r="B620" s="2" t="s">
        <v>1571</v>
      </c>
      <c r="C620" s="2" t="s">
        <v>111</v>
      </c>
      <c r="D620" s="2" t="s">
        <v>18</v>
      </c>
      <c r="E620" s="5">
        <v>-29169</v>
      </c>
      <c r="F620" s="3" t="s">
        <v>962</v>
      </c>
      <c r="G620" s="3" t="s">
        <v>295</v>
      </c>
      <c r="H620" s="2" t="s">
        <v>21</v>
      </c>
      <c r="I620" s="2" t="s">
        <v>1572</v>
      </c>
      <c r="J620" s="3" t="str">
        <f>HYPERLINK("https://www.boe.es/gazeta/dias/1820/02/19/pdfs/GMD-1820-22.pdf#page=8","Abrir facsímil")</f>
        <v>Abrir facsímil</v>
      </c>
      <c r="K620" s="3" t="s">
        <v>23</v>
      </c>
    </row>
    <row r="621" spans="1:11" ht="42" customHeight="1">
      <c r="A621" s="2" t="s">
        <v>1573</v>
      </c>
      <c r="B621" s="2" t="s">
        <v>1573</v>
      </c>
      <c r="C621" s="2" t="s">
        <v>26</v>
      </c>
      <c r="D621" s="2" t="s">
        <v>27</v>
      </c>
      <c r="E621" s="5">
        <v>-28880</v>
      </c>
      <c r="F621" s="3" t="s">
        <v>1574</v>
      </c>
      <c r="G621" s="3" t="s">
        <v>62</v>
      </c>
      <c r="H621" s="2" t="s">
        <v>21</v>
      </c>
      <c r="I621" s="2" t="s">
        <v>1575</v>
      </c>
      <c r="J621" s="3" t="str">
        <f>HYPERLINK("https://www.boe.es/gazeta/dias/1820/12/04/pdfs/GGB-1820-161.pdf#page=3","Abrir facsímil")</f>
        <v>Abrir facsímil</v>
      </c>
      <c r="K621" s="3" t="s">
        <v>23</v>
      </c>
    </row>
    <row r="622" spans="1:11" ht="42" customHeight="1">
      <c r="A622" s="2" t="s">
        <v>1576</v>
      </c>
      <c r="B622" s="2" t="s">
        <v>1577</v>
      </c>
      <c r="C622" s="2" t="s">
        <v>26</v>
      </c>
      <c r="D622" s="2" t="s">
        <v>27</v>
      </c>
      <c r="E622" s="5">
        <v>-28880</v>
      </c>
      <c r="F622" s="3" t="s">
        <v>1574</v>
      </c>
      <c r="G622" s="3" t="s">
        <v>62</v>
      </c>
      <c r="H622" s="2" t="s">
        <v>21</v>
      </c>
      <c r="I622" s="2" t="s">
        <v>1578</v>
      </c>
      <c r="J622" s="3" t="str">
        <f>HYPERLINK("https://www.boe.es/gazeta/dias/1820/12/04/pdfs/GGB-1820-161.pdf#page=3","Abrir facsímil")</f>
        <v>Abrir facsímil</v>
      </c>
      <c r="K622" s="3" t="s">
        <v>23</v>
      </c>
    </row>
    <row r="623" spans="1:11" ht="42" customHeight="1">
      <c r="A623" s="2" t="s">
        <v>1579</v>
      </c>
      <c r="B623" s="2" t="s">
        <v>1580</v>
      </c>
      <c r="C623" s="2" t="s">
        <v>26</v>
      </c>
      <c r="D623" s="2" t="s">
        <v>27</v>
      </c>
      <c r="E623" s="5">
        <v>-28952</v>
      </c>
      <c r="F623" s="3" t="s">
        <v>370</v>
      </c>
      <c r="G623" s="3" t="s">
        <v>128</v>
      </c>
      <c r="H623" s="2" t="s">
        <v>21</v>
      </c>
      <c r="I623" s="2" t="s">
        <v>1581</v>
      </c>
      <c r="J623" s="3" t="str">
        <f>HYPERLINK("https://www.boe.es/gazeta/dias/1820/09/23/pdfs/GGB-1820-87.pdf#page=1","Abrir facsímil")</f>
        <v>Abrir facsímil</v>
      </c>
      <c r="K623" s="3" t="s">
        <v>23</v>
      </c>
    </row>
    <row r="624" spans="1:11" ht="42" customHeight="1">
      <c r="A624" s="2" t="s">
        <v>1582</v>
      </c>
      <c r="B624" s="2" t="s">
        <v>1583</v>
      </c>
      <c r="C624" s="2" t="s">
        <v>17</v>
      </c>
      <c r="D624" s="2" t="s">
        <v>18</v>
      </c>
      <c r="E624" s="5">
        <v>-28858</v>
      </c>
      <c r="F624" s="3" t="s">
        <v>117</v>
      </c>
      <c r="G624" s="3" t="s">
        <v>20</v>
      </c>
      <c r="H624" s="2" t="s">
        <v>21</v>
      </c>
      <c r="I624" s="2" t="s">
        <v>1584</v>
      </c>
      <c r="J624" s="3" t="str">
        <f>HYPERLINK("https://www.boe.es/gazeta/dias/1820/12/26/pdfs/GGB-1820-183.pdf#page=4","Abrir facsímil")</f>
        <v>Abrir facsímil</v>
      </c>
      <c r="K624" s="3" t="s">
        <v>23</v>
      </c>
    </row>
    <row r="625" spans="1:11" ht="42" customHeight="1">
      <c r="A625" s="2" t="s">
        <v>1585</v>
      </c>
      <c r="B625" s="2" t="s">
        <v>1585</v>
      </c>
      <c r="C625" s="2" t="s">
        <v>17</v>
      </c>
      <c r="D625" s="2" t="s">
        <v>18</v>
      </c>
      <c r="E625" s="5">
        <v>-29018</v>
      </c>
      <c r="F625" s="3" t="s">
        <v>601</v>
      </c>
      <c r="G625" s="3" t="s">
        <v>43</v>
      </c>
      <c r="H625" s="2" t="s">
        <v>21</v>
      </c>
      <c r="I625" s="2" t="s">
        <v>1586</v>
      </c>
      <c r="J625" s="3" t="str">
        <f>HYPERLINK("https://www.boe.es/gazeta/dias/1820/07/19/pdfs/GGB-1820-21.pdf#page=2","Abrir facsímil")</f>
        <v>Abrir facsímil</v>
      </c>
      <c r="K625" s="3" t="s">
        <v>23</v>
      </c>
    </row>
    <row r="626" spans="1:11" ht="42" customHeight="1">
      <c r="A626" s="2" t="s">
        <v>1587</v>
      </c>
      <c r="B626" s="2" t="s">
        <v>1587</v>
      </c>
      <c r="C626" s="2" t="s">
        <v>74</v>
      </c>
      <c r="D626" s="2" t="s">
        <v>18</v>
      </c>
      <c r="E626" s="5">
        <v>-28898</v>
      </c>
      <c r="F626" s="3" t="s">
        <v>1405</v>
      </c>
      <c r="G626" s="3" t="s">
        <v>1588</v>
      </c>
      <c r="H626" s="2" t="s">
        <v>21</v>
      </c>
      <c r="I626" s="2" t="s">
        <v>1589</v>
      </c>
      <c r="J626" s="3" t="str">
        <f>HYPERLINK("https://www.boe.es/gazeta/dias/1820/11/16/pdfs/GGB-1820-142.pdf#page=2","Abrir facsímil")</f>
        <v>Abrir facsímil</v>
      </c>
      <c r="K626" s="3" t="s">
        <v>23</v>
      </c>
    </row>
    <row r="627" spans="1:11" ht="42" customHeight="1">
      <c r="A627" s="2" t="s">
        <v>1590</v>
      </c>
      <c r="B627" s="2" t="s">
        <v>1590</v>
      </c>
      <c r="C627" s="2" t="s">
        <v>35</v>
      </c>
      <c r="D627" s="2" t="s">
        <v>36</v>
      </c>
      <c r="E627" s="5">
        <v>-28943</v>
      </c>
      <c r="F627" s="3" t="s">
        <v>1403</v>
      </c>
      <c r="G627" s="3" t="s">
        <v>128</v>
      </c>
      <c r="H627" s="2" t="s">
        <v>21</v>
      </c>
      <c r="I627" s="2" t="s">
        <v>1591</v>
      </c>
      <c r="J627" s="3" t="str">
        <f>HYPERLINK("https://www.boe.es/gazeta/dias/1820/10/02/pdfs/GGB-1820-96.pdf#page=1","Abrir facsímil")</f>
        <v>Abrir facsímil</v>
      </c>
      <c r="K627" s="3" t="s">
        <v>23</v>
      </c>
    </row>
    <row r="628" spans="1:11" ht="42" customHeight="1">
      <c r="A628" s="2" t="s">
        <v>1592</v>
      </c>
      <c r="B628" s="2" t="s">
        <v>1593</v>
      </c>
      <c r="C628" s="2" t="s">
        <v>17</v>
      </c>
      <c r="D628" s="2" t="s">
        <v>18</v>
      </c>
      <c r="E628" s="5">
        <v>-28931</v>
      </c>
      <c r="F628" s="3" t="s">
        <v>724</v>
      </c>
      <c r="G628" s="3" t="s">
        <v>20</v>
      </c>
      <c r="H628" s="2" t="s">
        <v>30</v>
      </c>
      <c r="I628" s="2" t="s">
        <v>1594</v>
      </c>
      <c r="J628" s="3" t="str">
        <f>HYPERLINK("https://www.boe.es/gazeta/dias/1820/10/14/pdfs/GGB-1820-108.pdf#page=4","Abrir facsímil")</f>
        <v>Abrir facsímil</v>
      </c>
      <c r="K628" s="3" t="s">
        <v>32</v>
      </c>
    </row>
    <row r="629" spans="1:11" ht="42" customHeight="1">
      <c r="A629" s="2" t="s">
        <v>1595</v>
      </c>
      <c r="B629" s="2" t="s">
        <v>1596</v>
      </c>
      <c r="C629" s="2" t="s">
        <v>35</v>
      </c>
      <c r="D629" s="2" t="s">
        <v>36</v>
      </c>
      <c r="E629" s="5">
        <v>-28907</v>
      </c>
      <c r="F629" s="3" t="s">
        <v>374</v>
      </c>
      <c r="G629" s="3" t="s">
        <v>43</v>
      </c>
      <c r="H629" s="2" t="s">
        <v>30</v>
      </c>
      <c r="I629" s="2" t="s">
        <v>1597</v>
      </c>
      <c r="J629" s="3" t="str">
        <f>HYPERLINK("https://www.boe.es/gazeta/dias/1820/11/07/pdfs/GGB-1820-132.pdf#page=2","Abrir facsímil")</f>
        <v>Abrir facsímil</v>
      </c>
      <c r="K629" s="3" t="s">
        <v>32</v>
      </c>
    </row>
    <row r="630" spans="1:11" ht="42" customHeight="1">
      <c r="A630" s="2" t="s">
        <v>1598</v>
      </c>
      <c r="B630" s="2" t="s">
        <v>1599</v>
      </c>
      <c r="C630" s="2" t="s">
        <v>35</v>
      </c>
      <c r="D630" s="2" t="s">
        <v>36</v>
      </c>
      <c r="E630" s="5">
        <v>-28999</v>
      </c>
      <c r="F630" s="3" t="s">
        <v>342</v>
      </c>
      <c r="G630" s="3" t="s">
        <v>20</v>
      </c>
      <c r="H630" s="2" t="s">
        <v>30</v>
      </c>
      <c r="I630" s="2" t="s">
        <v>1600</v>
      </c>
      <c r="J630" s="3" t="str">
        <f>HYPERLINK("https://www.boe.es/gazeta/dias/1820/08/07/pdfs/GGB-1820-40.pdf#page=4","Abrir facsímil")</f>
        <v>Abrir facsímil</v>
      </c>
      <c r="K630" s="3" t="s">
        <v>32</v>
      </c>
    </row>
    <row r="631" spans="1:11" ht="42" customHeight="1">
      <c r="A631" s="2" t="s">
        <v>1601</v>
      </c>
      <c r="B631" s="2" t="s">
        <v>1602</v>
      </c>
      <c r="C631" s="2" t="s">
        <v>26</v>
      </c>
      <c r="D631" s="2" t="s">
        <v>310</v>
      </c>
      <c r="E631" s="5">
        <v>-29136</v>
      </c>
      <c r="F631" s="3" t="s">
        <v>1089</v>
      </c>
      <c r="G631" s="3" t="s">
        <v>128</v>
      </c>
      <c r="H631" s="2" t="s">
        <v>21</v>
      </c>
      <c r="I631" s="2" t="s">
        <v>1603</v>
      </c>
      <c r="J631" s="3" t="str">
        <f>HYPERLINK("https://www.boe.es/gazeta/dias/1820/03/23/pdfs/GMD-1820-52E.pdf#page=1","Abrir facsímil")</f>
        <v>Abrir facsímil</v>
      </c>
      <c r="K631" s="3" t="s">
        <v>23</v>
      </c>
    </row>
    <row r="632" spans="1:11" ht="42" customHeight="1">
      <c r="A632" s="2" t="s">
        <v>1604</v>
      </c>
      <c r="B632" s="2" t="s">
        <v>1604</v>
      </c>
      <c r="C632" s="2" t="s">
        <v>74</v>
      </c>
      <c r="D632" s="2" t="s">
        <v>18</v>
      </c>
      <c r="E632" s="5">
        <v>-28999</v>
      </c>
      <c r="F632" s="3" t="s">
        <v>342</v>
      </c>
      <c r="G632" s="3" t="s">
        <v>343</v>
      </c>
      <c r="H632" s="2" t="s">
        <v>21</v>
      </c>
      <c r="I632" s="2" t="s">
        <v>1605</v>
      </c>
      <c r="J632" s="3" t="str">
        <f>HYPERLINK("https://www.boe.es/gazeta/dias/1820/08/07/pdfs/GGB-1820-40.pdf#page=2","Abrir facsímil")</f>
        <v>Abrir facsímil</v>
      </c>
      <c r="K632" s="3" t="s">
        <v>23</v>
      </c>
    </row>
    <row r="633" spans="1:11" ht="42" customHeight="1">
      <c r="A633" s="2" t="s">
        <v>1606</v>
      </c>
      <c r="B633" s="2" t="s">
        <v>1606</v>
      </c>
      <c r="C633" s="2" t="s">
        <v>26</v>
      </c>
      <c r="D633" s="2" t="s">
        <v>27</v>
      </c>
      <c r="E633" s="5">
        <v>-28905</v>
      </c>
      <c r="F633" s="3" t="s">
        <v>749</v>
      </c>
      <c r="G633" s="3" t="s">
        <v>62</v>
      </c>
      <c r="H633" s="2" t="s">
        <v>21</v>
      </c>
      <c r="I633" s="2" t="s">
        <v>1607</v>
      </c>
      <c r="J633" s="3" t="str">
        <f>HYPERLINK("https://www.boe.es/gazeta/dias/1820/11/09/pdfs/GGB-1820-134.pdf#page=3","Abrir facsímil")</f>
        <v>Abrir facsímil</v>
      </c>
      <c r="K633" s="3" t="s">
        <v>23</v>
      </c>
    </row>
    <row r="634" spans="1:11" ht="42" customHeight="1">
      <c r="A634" s="2" t="s">
        <v>1608</v>
      </c>
      <c r="B634" s="2" t="s">
        <v>1608</v>
      </c>
      <c r="C634" s="2" t="s">
        <v>74</v>
      </c>
      <c r="D634" s="2" t="s">
        <v>18</v>
      </c>
      <c r="E634" s="5">
        <v>-29010</v>
      </c>
      <c r="F634" s="3" t="s">
        <v>664</v>
      </c>
      <c r="G634" s="3" t="s">
        <v>62</v>
      </c>
      <c r="H634" s="2" t="s">
        <v>21</v>
      </c>
      <c r="I634" s="2" t="s">
        <v>1609</v>
      </c>
      <c r="J634" s="3" t="str">
        <f>HYPERLINK("https://www.boe.es/gazeta/dias/1820/07/27/pdfs/GGB-1820-29.pdf#page=3","Abrir facsímil")</f>
        <v>Abrir facsímil</v>
      </c>
      <c r="K634" s="3" t="s">
        <v>23</v>
      </c>
    </row>
    <row r="635" spans="1:11" ht="42" customHeight="1">
      <c r="A635" s="2" t="s">
        <v>1608</v>
      </c>
      <c r="B635" s="2" t="s">
        <v>1608</v>
      </c>
      <c r="C635" s="2" t="s">
        <v>26</v>
      </c>
      <c r="D635" s="2" t="s">
        <v>27</v>
      </c>
      <c r="E635" s="5">
        <v>-29007</v>
      </c>
      <c r="F635" s="3" t="s">
        <v>251</v>
      </c>
      <c r="G635" s="3" t="s">
        <v>20</v>
      </c>
      <c r="H635" s="2" t="s">
        <v>21</v>
      </c>
      <c r="I635" s="2" t="s">
        <v>1610</v>
      </c>
      <c r="J635" s="3" t="str">
        <f>HYPERLINK("https://www.boe.es/gazeta/dias/1820/07/30/pdfs/GGB-1820-32.pdf#page=4","Abrir facsímil")</f>
        <v>Abrir facsímil</v>
      </c>
      <c r="K635" s="3" t="s">
        <v>23</v>
      </c>
    </row>
    <row r="636" spans="1:11" ht="42" customHeight="1">
      <c r="A636" s="2" t="s">
        <v>1608</v>
      </c>
      <c r="B636" s="2" t="s">
        <v>1608</v>
      </c>
      <c r="C636" s="2" t="s">
        <v>293</v>
      </c>
      <c r="D636" s="2" t="s">
        <v>18</v>
      </c>
      <c r="E636" s="5">
        <v>-29001</v>
      </c>
      <c r="F636" s="3" t="s">
        <v>633</v>
      </c>
      <c r="G636" s="3" t="s">
        <v>43</v>
      </c>
      <c r="H636" s="2" t="s">
        <v>21</v>
      </c>
      <c r="I636" s="2" t="s">
        <v>1611</v>
      </c>
      <c r="J636" s="3" t="str">
        <f>HYPERLINK("https://www.boe.es/gazeta/dias/1820/08/05/pdfs/GGB-1820-38.pdf#page=2","Abrir facsímil")</f>
        <v>Abrir facsímil</v>
      </c>
      <c r="K636" s="3" t="s">
        <v>23</v>
      </c>
    </row>
    <row r="637" spans="1:11" ht="42" customHeight="1">
      <c r="A637" s="2" t="s">
        <v>1608</v>
      </c>
      <c r="B637" s="2" t="s">
        <v>1608</v>
      </c>
      <c r="C637" s="2" t="s">
        <v>293</v>
      </c>
      <c r="D637" s="2" t="s">
        <v>18</v>
      </c>
      <c r="E637" s="5">
        <v>-28994</v>
      </c>
      <c r="F637" s="3" t="s">
        <v>1612</v>
      </c>
      <c r="G637" s="3" t="s">
        <v>43</v>
      </c>
      <c r="H637" s="2" t="s">
        <v>21</v>
      </c>
      <c r="I637" s="2" t="s">
        <v>1613</v>
      </c>
      <c r="J637" s="3" t="str">
        <f>HYPERLINK("https://www.boe.es/gazeta/dias/1820/08/12/pdfs/GGB-1820-45.pdf#page=2","Abrir facsímil")</f>
        <v>Abrir facsímil</v>
      </c>
      <c r="K637" s="3" t="s">
        <v>23</v>
      </c>
    </row>
    <row r="638" spans="1:11" ht="42" customHeight="1">
      <c r="A638" s="2" t="s">
        <v>1608</v>
      </c>
      <c r="B638" s="2" t="s">
        <v>1608</v>
      </c>
      <c r="C638" s="2" t="s">
        <v>17</v>
      </c>
      <c r="D638" s="2" t="s">
        <v>18</v>
      </c>
      <c r="E638" s="5">
        <v>-28994</v>
      </c>
      <c r="F638" s="3" t="s">
        <v>1612</v>
      </c>
      <c r="G638" s="3" t="s">
        <v>62</v>
      </c>
      <c r="H638" s="2" t="s">
        <v>21</v>
      </c>
      <c r="I638" s="2" t="s">
        <v>1614</v>
      </c>
      <c r="J638" s="3" t="str">
        <f>HYPERLINK("https://www.boe.es/gazeta/dias/1820/08/12/pdfs/GGB-1820-45.pdf#page=3","Abrir facsímil")</f>
        <v>Abrir facsímil</v>
      </c>
      <c r="K638" s="3" t="s">
        <v>23</v>
      </c>
    </row>
    <row r="639" spans="1:11" ht="42" customHeight="1">
      <c r="A639" s="2" t="s">
        <v>1608</v>
      </c>
      <c r="B639" s="2" t="s">
        <v>1608</v>
      </c>
      <c r="C639" s="2" t="s">
        <v>74</v>
      </c>
      <c r="D639" s="2" t="s">
        <v>18</v>
      </c>
      <c r="E639" s="5">
        <v>-28987</v>
      </c>
      <c r="F639" s="3" t="s">
        <v>680</v>
      </c>
      <c r="G639" s="3" t="s">
        <v>62</v>
      </c>
      <c r="H639" s="2" t="s">
        <v>21</v>
      </c>
      <c r="I639" s="2" t="s">
        <v>1615</v>
      </c>
      <c r="J639" s="3" t="str">
        <f>HYPERLINK("https://www.boe.es/gazeta/dias/1820/08/19/pdfs/GGB-1820-52.pdf#page=3","Abrir facsímil")</f>
        <v>Abrir facsímil</v>
      </c>
      <c r="K639" s="3" t="s">
        <v>23</v>
      </c>
    </row>
    <row r="640" spans="1:11" ht="42" customHeight="1">
      <c r="A640" s="2" t="s">
        <v>1608</v>
      </c>
      <c r="B640" s="2" t="s">
        <v>1608</v>
      </c>
      <c r="C640" s="2" t="s">
        <v>35</v>
      </c>
      <c r="D640" s="2" t="s">
        <v>36</v>
      </c>
      <c r="E640" s="5">
        <v>-28982</v>
      </c>
      <c r="F640" s="3" t="s">
        <v>173</v>
      </c>
      <c r="G640" s="3" t="s">
        <v>43</v>
      </c>
      <c r="H640" s="2" t="s">
        <v>21</v>
      </c>
      <c r="I640" s="2" t="s">
        <v>1616</v>
      </c>
      <c r="J640" s="3" t="str">
        <f>HYPERLINK("https://www.boe.es/gazeta/dias/1820/08/24/pdfs/GGB-1820-57.pdf#page=2","Abrir facsímil")</f>
        <v>Abrir facsímil</v>
      </c>
      <c r="K640" s="3" t="s">
        <v>23</v>
      </c>
    </row>
    <row r="641" spans="1:11" ht="42" customHeight="1">
      <c r="A641" s="2" t="s">
        <v>1608</v>
      </c>
      <c r="B641" s="2" t="s">
        <v>1608</v>
      </c>
      <c r="C641" s="2" t="s">
        <v>17</v>
      </c>
      <c r="D641" s="2" t="s">
        <v>18</v>
      </c>
      <c r="E641" s="5">
        <v>-28982</v>
      </c>
      <c r="F641" s="3" t="s">
        <v>173</v>
      </c>
      <c r="G641" s="3" t="s">
        <v>62</v>
      </c>
      <c r="H641" s="2" t="s">
        <v>21</v>
      </c>
      <c r="I641" s="2" t="s">
        <v>1617</v>
      </c>
      <c r="J641" s="3" t="str">
        <f>HYPERLINK("https://www.boe.es/gazeta/dias/1820/08/24/pdfs/GGB-1820-57.pdf#page=3","Abrir facsímil")</f>
        <v>Abrir facsímil</v>
      </c>
      <c r="K641" s="3" t="s">
        <v>23</v>
      </c>
    </row>
    <row r="642" spans="1:11" ht="42" customHeight="1">
      <c r="A642" s="2" t="s">
        <v>1608</v>
      </c>
      <c r="B642" s="2" t="s">
        <v>1608</v>
      </c>
      <c r="C642" s="2" t="s">
        <v>35</v>
      </c>
      <c r="D642" s="2" t="s">
        <v>36</v>
      </c>
      <c r="E642" s="5">
        <v>-28964</v>
      </c>
      <c r="F642" s="3" t="s">
        <v>240</v>
      </c>
      <c r="G642" s="3" t="s">
        <v>43</v>
      </c>
      <c r="H642" s="2" t="s">
        <v>21</v>
      </c>
      <c r="I642" s="2" t="s">
        <v>1618</v>
      </c>
      <c r="J642" s="3" t="str">
        <f>HYPERLINK("https://www.boe.es/gazeta/dias/1820/09/11/pdfs/GGB-1820-75.pdf#page=2","Abrir facsímil")</f>
        <v>Abrir facsímil</v>
      </c>
      <c r="K642" s="3" t="s">
        <v>23</v>
      </c>
    </row>
    <row r="643" spans="1:11" ht="42" customHeight="1">
      <c r="A643" s="2" t="s">
        <v>1608</v>
      </c>
      <c r="B643" s="2" t="s">
        <v>1608</v>
      </c>
      <c r="C643" s="2" t="s">
        <v>35</v>
      </c>
      <c r="D643" s="2" t="s">
        <v>36</v>
      </c>
      <c r="E643" s="5">
        <v>-28958</v>
      </c>
      <c r="F643" s="3" t="s">
        <v>706</v>
      </c>
      <c r="G643" s="3" t="s">
        <v>43</v>
      </c>
      <c r="H643" s="2" t="s">
        <v>21</v>
      </c>
      <c r="I643" s="2" t="s">
        <v>1619</v>
      </c>
      <c r="J643" s="3" t="str">
        <f>HYPERLINK("https://www.boe.es/gazeta/dias/1820/09/17/pdfs/GGB-1820-81.pdf#page=2","Abrir facsímil")</f>
        <v>Abrir facsímil</v>
      </c>
      <c r="K643" s="3" t="s">
        <v>23</v>
      </c>
    </row>
    <row r="644" spans="1:11" ht="42" customHeight="1">
      <c r="A644" s="2" t="s">
        <v>1620</v>
      </c>
      <c r="B644" s="2" t="s">
        <v>1620</v>
      </c>
      <c r="C644" s="2" t="s">
        <v>17</v>
      </c>
      <c r="D644" s="2" t="s">
        <v>18</v>
      </c>
      <c r="E644" s="5">
        <v>-28958</v>
      </c>
      <c r="F644" s="3" t="s">
        <v>706</v>
      </c>
      <c r="G644" s="3" t="s">
        <v>20</v>
      </c>
      <c r="H644" s="2" t="s">
        <v>21</v>
      </c>
      <c r="I644" s="2" t="s">
        <v>1621</v>
      </c>
      <c r="J644" s="3" t="str">
        <f>HYPERLINK("https://www.boe.es/gazeta/dias/1820/09/17/pdfs/GGB-1820-81.pdf#page=4","Abrir facsímil")</f>
        <v>Abrir facsímil</v>
      </c>
      <c r="K644" s="3" t="s">
        <v>23</v>
      </c>
    </row>
    <row r="645" spans="1:11" ht="42" customHeight="1">
      <c r="A645" s="2" t="s">
        <v>1608</v>
      </c>
      <c r="B645" s="2" t="s">
        <v>1608</v>
      </c>
      <c r="C645" s="2" t="s">
        <v>17</v>
      </c>
      <c r="D645" s="2" t="s">
        <v>18</v>
      </c>
      <c r="E645" s="5">
        <v>-28957</v>
      </c>
      <c r="F645" s="3" t="s">
        <v>361</v>
      </c>
      <c r="G645" s="3" t="s">
        <v>708</v>
      </c>
      <c r="H645" s="2" t="s">
        <v>21</v>
      </c>
      <c r="I645" s="2" t="s">
        <v>1622</v>
      </c>
      <c r="J645" s="3" t="str">
        <f>HYPERLINK("https://www.boe.es/gazeta/dias/1820/09/18/pdfs/GGB-1820-82.pdf#page=4","Abrir facsímil")</f>
        <v>Abrir facsímil</v>
      </c>
      <c r="K645" s="3" t="s">
        <v>23</v>
      </c>
    </row>
    <row r="646" spans="1:11" ht="42" customHeight="1">
      <c r="A646" s="2" t="s">
        <v>1608</v>
      </c>
      <c r="B646" s="2" t="s">
        <v>1608</v>
      </c>
      <c r="C646" s="2" t="s">
        <v>293</v>
      </c>
      <c r="D646" s="2" t="s">
        <v>18</v>
      </c>
      <c r="E646" s="5">
        <v>-28957</v>
      </c>
      <c r="F646" s="3" t="s">
        <v>361</v>
      </c>
      <c r="G646" s="3" t="s">
        <v>62</v>
      </c>
      <c r="H646" s="2" t="s">
        <v>21</v>
      </c>
      <c r="I646" s="2" t="s">
        <v>1623</v>
      </c>
      <c r="J646" s="3" t="str">
        <f>HYPERLINK("https://www.boe.es/gazeta/dias/1820/09/18/pdfs/GGB-1820-82.pdf#page=3","Abrir facsímil")</f>
        <v>Abrir facsímil</v>
      </c>
      <c r="K646" s="3" t="s">
        <v>23</v>
      </c>
    </row>
    <row r="647" spans="1:11" ht="42" customHeight="1">
      <c r="A647" s="2" t="s">
        <v>1608</v>
      </c>
      <c r="B647" s="2" t="s">
        <v>1608</v>
      </c>
      <c r="C647" s="2" t="s">
        <v>35</v>
      </c>
      <c r="D647" s="2" t="s">
        <v>36</v>
      </c>
      <c r="E647" s="5">
        <v>-28955</v>
      </c>
      <c r="F647" s="3" t="s">
        <v>175</v>
      </c>
      <c r="G647" s="3" t="s">
        <v>62</v>
      </c>
      <c r="H647" s="2" t="s">
        <v>21</v>
      </c>
      <c r="I647" s="2" t="s">
        <v>1624</v>
      </c>
      <c r="J647" s="3" t="str">
        <f>HYPERLINK("https://www.boe.es/gazeta/dias/1820/09/20/pdfs/GGB-1820-84.pdf#page=3","Abrir facsímil")</f>
        <v>Abrir facsímil</v>
      </c>
      <c r="K647" s="3" t="s">
        <v>23</v>
      </c>
    </row>
    <row r="648" spans="1:11" ht="42" customHeight="1">
      <c r="A648" s="2" t="s">
        <v>1608</v>
      </c>
      <c r="B648" s="2" t="s">
        <v>1608</v>
      </c>
      <c r="C648" s="2" t="s">
        <v>26</v>
      </c>
      <c r="D648" s="2" t="s">
        <v>27</v>
      </c>
      <c r="E648" s="5">
        <v>-28954</v>
      </c>
      <c r="F648" s="3" t="s">
        <v>28</v>
      </c>
      <c r="G648" s="3" t="s">
        <v>29</v>
      </c>
      <c r="H648" s="2" t="s">
        <v>21</v>
      </c>
      <c r="I648" s="2" t="s">
        <v>1625</v>
      </c>
      <c r="J648" s="3" t="str">
        <f>HYPERLINK("https://www.boe.es/gazeta/dias/1820/09/21/pdfs/GGB-1820-85.pdf#page=2","Abrir facsímil")</f>
        <v>Abrir facsímil</v>
      </c>
      <c r="K648" s="3" t="s">
        <v>23</v>
      </c>
    </row>
    <row r="649" spans="1:11" ht="42" customHeight="1">
      <c r="A649" s="2" t="s">
        <v>1608</v>
      </c>
      <c r="B649" s="2" t="s">
        <v>1608</v>
      </c>
      <c r="C649" s="2" t="s">
        <v>26</v>
      </c>
      <c r="D649" s="2" t="s">
        <v>27</v>
      </c>
      <c r="E649" s="5">
        <v>-28953</v>
      </c>
      <c r="F649" s="3" t="s">
        <v>367</v>
      </c>
      <c r="G649" s="3" t="s">
        <v>20</v>
      </c>
      <c r="H649" s="2" t="s">
        <v>21</v>
      </c>
      <c r="I649" s="2" t="s">
        <v>1626</v>
      </c>
      <c r="J649" s="3" t="str">
        <f>HYPERLINK("https://www.boe.es/gazeta/dias/1820/09/22/pdfs/GGB-1820-86.pdf#page=4","Abrir facsímil")</f>
        <v>Abrir facsímil</v>
      </c>
      <c r="K649" s="3" t="s">
        <v>23</v>
      </c>
    </row>
    <row r="650" spans="1:11" ht="42" customHeight="1">
      <c r="A650" s="2" t="s">
        <v>1608</v>
      </c>
      <c r="B650" s="2" t="s">
        <v>1608</v>
      </c>
      <c r="C650" s="2" t="s">
        <v>35</v>
      </c>
      <c r="D650" s="2" t="s">
        <v>36</v>
      </c>
      <c r="E650" s="5">
        <v>-28943</v>
      </c>
      <c r="F650" s="3" t="s">
        <v>1403</v>
      </c>
      <c r="G650" s="3" t="s">
        <v>62</v>
      </c>
      <c r="H650" s="2" t="s">
        <v>21</v>
      </c>
      <c r="I650" s="2" t="s">
        <v>1627</v>
      </c>
      <c r="J650" s="3" t="str">
        <f>HYPERLINK("https://www.boe.es/gazeta/dias/1820/10/02/pdfs/GGB-1820-96.pdf#page=3","Abrir facsímil")</f>
        <v>Abrir facsímil</v>
      </c>
      <c r="K650" s="3" t="s">
        <v>23</v>
      </c>
    </row>
    <row r="651" spans="1:11" ht="42" customHeight="1">
      <c r="A651" s="2" t="s">
        <v>1608</v>
      </c>
      <c r="B651" s="2" t="s">
        <v>1608</v>
      </c>
      <c r="C651" s="2" t="s">
        <v>293</v>
      </c>
      <c r="D651" s="2" t="s">
        <v>18</v>
      </c>
      <c r="E651" s="5">
        <v>-28939</v>
      </c>
      <c r="F651" s="3" t="s">
        <v>992</v>
      </c>
      <c r="G651" s="3" t="s">
        <v>62</v>
      </c>
      <c r="H651" s="2" t="s">
        <v>21</v>
      </c>
      <c r="I651" s="2" t="s">
        <v>1628</v>
      </c>
      <c r="J651" s="3" t="str">
        <f>HYPERLINK("https://www.boe.es/gazeta/dias/1820/10/06/pdfs/GGB-1820-100.pdf#page=3","Abrir facsímil")</f>
        <v>Abrir facsímil</v>
      </c>
      <c r="K651" s="3" t="s">
        <v>23</v>
      </c>
    </row>
    <row r="652" spans="1:11" ht="42" customHeight="1">
      <c r="A652" s="2" t="s">
        <v>1608</v>
      </c>
      <c r="B652" s="2" t="s">
        <v>1608</v>
      </c>
      <c r="C652" s="2" t="s">
        <v>17</v>
      </c>
      <c r="D652" s="2" t="s">
        <v>18</v>
      </c>
      <c r="E652" s="5">
        <v>-28928</v>
      </c>
      <c r="F652" s="3" t="s">
        <v>86</v>
      </c>
      <c r="G652" s="3" t="s">
        <v>43</v>
      </c>
      <c r="H652" s="2" t="s">
        <v>21</v>
      </c>
      <c r="I652" s="2" t="s">
        <v>1629</v>
      </c>
      <c r="J652" s="3" t="str">
        <f>HYPERLINK("https://www.boe.es/gazeta/dias/1820/10/17/pdfs/GGB-1820-111.pdf#page=2","Abrir facsímil")</f>
        <v>Abrir facsímil</v>
      </c>
      <c r="K652" s="3" t="s">
        <v>23</v>
      </c>
    </row>
    <row r="653" spans="1:11" ht="42" customHeight="1">
      <c r="A653" s="2" t="s">
        <v>1608</v>
      </c>
      <c r="B653" s="2" t="s">
        <v>1608</v>
      </c>
      <c r="C653" s="2" t="s">
        <v>47</v>
      </c>
      <c r="D653" s="2" t="s">
        <v>18</v>
      </c>
      <c r="E653" s="5">
        <v>-28927</v>
      </c>
      <c r="F653" s="3" t="s">
        <v>345</v>
      </c>
      <c r="G653" s="3" t="s">
        <v>62</v>
      </c>
      <c r="H653" s="2" t="s">
        <v>21</v>
      </c>
      <c r="I653" s="2" t="s">
        <v>1630</v>
      </c>
      <c r="J653" s="3" t="str">
        <f>HYPERLINK("https://www.boe.es/gazeta/dias/1820/10/18/pdfs/GGB-1820-112.pdf#page=3","Abrir facsímil")</f>
        <v>Abrir facsímil</v>
      </c>
      <c r="K653" s="3" t="s">
        <v>23</v>
      </c>
    </row>
    <row r="654" spans="1:11" ht="42" customHeight="1">
      <c r="A654" s="2" t="s">
        <v>1608</v>
      </c>
      <c r="B654" s="2" t="s">
        <v>1608</v>
      </c>
      <c r="C654" s="2" t="s">
        <v>107</v>
      </c>
      <c r="D654" s="2" t="s">
        <v>18</v>
      </c>
      <c r="E654" s="5">
        <v>-28926</v>
      </c>
      <c r="F654" s="3" t="s">
        <v>597</v>
      </c>
      <c r="G654" s="3" t="s">
        <v>43</v>
      </c>
      <c r="H654" s="2" t="s">
        <v>21</v>
      </c>
      <c r="I654" s="2" t="s">
        <v>1631</v>
      </c>
      <c r="J654" s="3" t="str">
        <f>HYPERLINK("https://www.boe.es/gazeta/dias/1820/10/19/pdfs/GGB-1820-113.pdf#page=2","Abrir facsímil")</f>
        <v>Abrir facsímil</v>
      </c>
      <c r="K654" s="3" t="s">
        <v>23</v>
      </c>
    </row>
    <row r="655" spans="1:11" ht="42" customHeight="1">
      <c r="A655" s="2" t="s">
        <v>1608</v>
      </c>
      <c r="B655" s="2" t="s">
        <v>1608</v>
      </c>
      <c r="C655" s="2" t="s">
        <v>26</v>
      </c>
      <c r="D655" s="2" t="s">
        <v>27</v>
      </c>
      <c r="E655" s="5">
        <v>-28908</v>
      </c>
      <c r="F655" s="3" t="s">
        <v>1060</v>
      </c>
      <c r="G655" s="3" t="s">
        <v>43</v>
      </c>
      <c r="H655" s="2" t="s">
        <v>21</v>
      </c>
      <c r="I655" s="2" t="s">
        <v>1632</v>
      </c>
      <c r="J655" s="3" t="str">
        <f>HYPERLINK("https://www.boe.es/gazeta/dias/1820/11/06/pdfs/GGB-1820-131.pdf#page=2","Abrir facsímil")</f>
        <v>Abrir facsímil</v>
      </c>
      <c r="K655" s="3" t="s">
        <v>23</v>
      </c>
    </row>
    <row r="656" spans="1:11" ht="42" customHeight="1">
      <c r="A656" s="2" t="s">
        <v>1633</v>
      </c>
      <c r="B656" s="2" t="s">
        <v>1633</v>
      </c>
      <c r="C656" s="2" t="s">
        <v>35</v>
      </c>
      <c r="D656" s="2" t="s">
        <v>36</v>
      </c>
      <c r="E656" s="5">
        <v>-28962</v>
      </c>
      <c r="F656" s="3" t="s">
        <v>90</v>
      </c>
      <c r="G656" s="3" t="s">
        <v>62</v>
      </c>
      <c r="H656" s="2" t="s">
        <v>21</v>
      </c>
      <c r="I656" s="2" t="s">
        <v>1634</v>
      </c>
      <c r="J656" s="3" t="str">
        <f>HYPERLINK("https://www.boe.es/gazeta/dias/1820/09/13/pdfs/GGB-1820-77.pdf#page=3","Abrir facsímil")</f>
        <v>Abrir facsímil</v>
      </c>
      <c r="K656" s="3" t="s">
        <v>23</v>
      </c>
    </row>
    <row r="657" spans="1:11" ht="42" customHeight="1">
      <c r="A657" s="2" t="s">
        <v>1635</v>
      </c>
      <c r="B657" s="2" t="s">
        <v>1635</v>
      </c>
      <c r="C657" s="2" t="s">
        <v>47</v>
      </c>
      <c r="D657" s="2" t="s">
        <v>18</v>
      </c>
      <c r="E657" s="5">
        <v>-28905</v>
      </c>
      <c r="F657" s="3" t="s">
        <v>749</v>
      </c>
      <c r="G657" s="3" t="s">
        <v>20</v>
      </c>
      <c r="H657" s="2" t="s">
        <v>21</v>
      </c>
      <c r="I657" s="2" t="s">
        <v>1636</v>
      </c>
      <c r="J657" s="3" t="str">
        <f>HYPERLINK("https://www.boe.es/gazeta/dias/1820/11/09/pdfs/GGB-1820-134.pdf#page=4","Abrir facsímil")</f>
        <v>Abrir facsímil</v>
      </c>
      <c r="K657" s="3" t="s">
        <v>23</v>
      </c>
    </row>
    <row r="658" spans="1:11" ht="42" customHeight="1">
      <c r="A658" s="2" t="s">
        <v>1637</v>
      </c>
      <c r="B658" s="2" t="s">
        <v>1637</v>
      </c>
      <c r="C658" s="2" t="s">
        <v>17</v>
      </c>
      <c r="D658" s="2" t="s">
        <v>18</v>
      </c>
      <c r="E658" s="5">
        <v>-28984</v>
      </c>
      <c r="F658" s="3" t="s">
        <v>520</v>
      </c>
      <c r="G658" s="3" t="s">
        <v>43</v>
      </c>
      <c r="H658" s="2" t="s">
        <v>21</v>
      </c>
      <c r="I658" s="2" t="s">
        <v>1638</v>
      </c>
      <c r="J658" s="3" t="str">
        <f>HYPERLINK("https://www.boe.es/gazeta/dias/1820/08/22/pdfs/GGB-1820-55.pdf#page=2","Abrir facsímil")</f>
        <v>Abrir facsímil</v>
      </c>
      <c r="K658" s="3" t="s">
        <v>23</v>
      </c>
    </row>
    <row r="659" spans="1:11" ht="42" customHeight="1">
      <c r="A659" s="2" t="s">
        <v>1639</v>
      </c>
      <c r="B659" s="2" t="s">
        <v>1640</v>
      </c>
      <c r="C659" s="2" t="s">
        <v>47</v>
      </c>
      <c r="D659" s="2" t="s">
        <v>18</v>
      </c>
      <c r="E659" s="5">
        <v>-28973</v>
      </c>
      <c r="F659" s="3" t="s">
        <v>151</v>
      </c>
      <c r="G659" s="3" t="s">
        <v>20</v>
      </c>
      <c r="H659" s="2" t="s">
        <v>21</v>
      </c>
      <c r="I659" s="2" t="s">
        <v>1641</v>
      </c>
      <c r="J659" s="3" t="str">
        <f>HYPERLINK("https://www.boe.es/gazeta/dias/1820/09/02/pdfs/GGB-1820-66.pdf#page=4","Abrir facsímil")</f>
        <v>Abrir facsímil</v>
      </c>
      <c r="K659" s="3" t="s">
        <v>23</v>
      </c>
    </row>
    <row r="660" spans="1:11" ht="42" customHeight="1">
      <c r="A660" s="2" t="s">
        <v>1642</v>
      </c>
      <c r="B660" s="2" t="s">
        <v>1643</v>
      </c>
      <c r="C660" s="2" t="s">
        <v>293</v>
      </c>
      <c r="D660" s="2" t="s">
        <v>18</v>
      </c>
      <c r="E660" s="5">
        <v>-28915</v>
      </c>
      <c r="F660" s="3" t="s">
        <v>525</v>
      </c>
      <c r="G660" s="3" t="s">
        <v>62</v>
      </c>
      <c r="H660" s="2" t="s">
        <v>21</v>
      </c>
      <c r="I660" s="2" t="s">
        <v>1644</v>
      </c>
      <c r="J660" s="3" t="str">
        <f>HYPERLINK("https://www.boe.es/gazeta/dias/1820/10/30/pdfs/GGB-1820-124.pdf#page=3","Abrir facsímil")</f>
        <v>Abrir facsímil</v>
      </c>
      <c r="K660" s="3" t="s">
        <v>23</v>
      </c>
    </row>
    <row r="661" spans="1:11" ht="42" customHeight="1">
      <c r="A661" s="2" t="s">
        <v>1642</v>
      </c>
      <c r="B661" s="2" t="s">
        <v>1643</v>
      </c>
      <c r="C661" s="2" t="s">
        <v>17</v>
      </c>
      <c r="D661" s="2" t="s">
        <v>18</v>
      </c>
      <c r="E661" s="5">
        <v>-28888</v>
      </c>
      <c r="F661" s="3" t="s">
        <v>112</v>
      </c>
      <c r="G661" s="3" t="s">
        <v>20</v>
      </c>
      <c r="H661" s="2" t="s">
        <v>21</v>
      </c>
      <c r="I661" s="2" t="s">
        <v>1645</v>
      </c>
      <c r="J661" s="3" t="str">
        <f>HYPERLINK("https://www.boe.es/gazeta/dias/1820/11/26/pdfs/GGB-1820-153.pdf#page=4","Abrir facsímil")</f>
        <v>Abrir facsímil</v>
      </c>
      <c r="K661" s="3" t="s">
        <v>23</v>
      </c>
    </row>
    <row r="662" spans="1:11" ht="42" customHeight="1">
      <c r="A662" s="2" t="s">
        <v>1646</v>
      </c>
      <c r="B662" s="2" t="s">
        <v>1646</v>
      </c>
      <c r="C662" s="2" t="s">
        <v>26</v>
      </c>
      <c r="D662" s="2" t="s">
        <v>27</v>
      </c>
      <c r="E662" s="5">
        <v>-29010</v>
      </c>
      <c r="F662" s="3" t="s">
        <v>664</v>
      </c>
      <c r="G662" s="3" t="s">
        <v>128</v>
      </c>
      <c r="H662" s="2" t="s">
        <v>21</v>
      </c>
      <c r="I662" s="2" t="s">
        <v>1647</v>
      </c>
      <c r="J662" s="3" t="str">
        <f>HYPERLINK("https://www.boe.es/gazeta/dias/1820/07/27/pdfs/GGB-1820-29.pdf#page=1","Abrir facsímil")</f>
        <v>Abrir facsímil</v>
      </c>
      <c r="K662" s="3" t="s">
        <v>23</v>
      </c>
    </row>
    <row r="663" spans="1:11" ht="42" customHeight="1">
      <c r="A663" s="2" t="s">
        <v>1646</v>
      </c>
      <c r="B663" s="2" t="s">
        <v>1646</v>
      </c>
      <c r="C663" s="2" t="s">
        <v>26</v>
      </c>
      <c r="D663" s="2" t="s">
        <v>27</v>
      </c>
      <c r="E663" s="5">
        <v>-28928</v>
      </c>
      <c r="F663" s="3" t="s">
        <v>86</v>
      </c>
      <c r="G663" s="3" t="s">
        <v>128</v>
      </c>
      <c r="H663" s="2" t="s">
        <v>21</v>
      </c>
      <c r="I663" s="2" t="s">
        <v>1648</v>
      </c>
      <c r="J663" s="3" t="str">
        <f>HYPERLINK("https://www.boe.es/gazeta/dias/1820/10/17/pdfs/GGB-1820-111.pdf#page=1","Abrir facsímil")</f>
        <v>Abrir facsímil</v>
      </c>
      <c r="K663" s="3" t="s">
        <v>23</v>
      </c>
    </row>
    <row r="664" spans="1:11" ht="42" customHeight="1">
      <c r="A664" s="2" t="s">
        <v>1649</v>
      </c>
      <c r="B664" s="2" t="s">
        <v>1649</v>
      </c>
      <c r="C664" s="2" t="s">
        <v>26</v>
      </c>
      <c r="D664" s="2" t="s">
        <v>27</v>
      </c>
      <c r="E664" s="5">
        <v>-28870</v>
      </c>
      <c r="F664" s="3" t="s">
        <v>1014</v>
      </c>
      <c r="G664" s="3" t="s">
        <v>128</v>
      </c>
      <c r="H664" s="2" t="s">
        <v>21</v>
      </c>
      <c r="I664" s="2" t="s">
        <v>1650</v>
      </c>
      <c r="J664" s="3" t="str">
        <f>HYPERLINK("https://www.boe.es/gazeta/dias/1820/12/14/pdfs/GGB-1820-171.pdf#page=1","Abrir facsímil")</f>
        <v>Abrir facsímil</v>
      </c>
      <c r="K664" s="3" t="s">
        <v>23</v>
      </c>
    </row>
    <row r="665" spans="1:11" ht="42" customHeight="1">
      <c r="A665" s="2" t="s">
        <v>1651</v>
      </c>
      <c r="B665" s="2" t="s">
        <v>1651</v>
      </c>
      <c r="C665" s="2" t="s">
        <v>26</v>
      </c>
      <c r="D665" s="2" t="s">
        <v>27</v>
      </c>
      <c r="E665" s="5">
        <v>-29026</v>
      </c>
      <c r="F665" s="3" t="s">
        <v>1197</v>
      </c>
      <c r="G665" s="3" t="s">
        <v>1198</v>
      </c>
      <c r="H665" s="2" t="s">
        <v>21</v>
      </c>
      <c r="I665" s="2" t="s">
        <v>1652</v>
      </c>
      <c r="J665" s="3" t="str">
        <f>HYPERLINK("https://www.boe.es/gazeta/dias/1820/07/11/pdfs/GGB-1820-13.pdf#page=4","Abrir facsímil")</f>
        <v>Abrir facsímil</v>
      </c>
      <c r="K665" s="3" t="s">
        <v>23</v>
      </c>
    </row>
    <row r="666" spans="1:11" ht="42" customHeight="1">
      <c r="A666" s="2" t="s">
        <v>1653</v>
      </c>
      <c r="B666" s="2" t="s">
        <v>1654</v>
      </c>
      <c r="C666" s="2" t="s">
        <v>47</v>
      </c>
      <c r="D666" s="2" t="s">
        <v>18</v>
      </c>
      <c r="E666" s="5">
        <v>-29050</v>
      </c>
      <c r="F666" s="3" t="s">
        <v>423</v>
      </c>
      <c r="G666" s="3" t="s">
        <v>1409</v>
      </c>
      <c r="H666" s="2" t="s">
        <v>21</v>
      </c>
      <c r="I666" s="2" t="s">
        <v>1655</v>
      </c>
      <c r="J666" s="3" t="str">
        <f>HYPERLINK("https://www.boe.es/gazeta/dias/1820/06/17/pdfs/GMD-1820-95.pdf#page=8","Abrir facsímil")</f>
        <v>Abrir facsímil</v>
      </c>
      <c r="K666" s="3" t="s">
        <v>23</v>
      </c>
    </row>
    <row r="667" spans="1:11" ht="42" customHeight="1">
      <c r="A667" s="2" t="s">
        <v>1653</v>
      </c>
      <c r="B667" s="2" t="s">
        <v>1654</v>
      </c>
      <c r="C667" s="2" t="s">
        <v>35</v>
      </c>
      <c r="D667" s="2" t="s">
        <v>36</v>
      </c>
      <c r="E667" s="5">
        <v>-29005</v>
      </c>
      <c r="F667" s="3" t="s">
        <v>1656</v>
      </c>
      <c r="G667" s="3" t="s">
        <v>1657</v>
      </c>
      <c r="H667" s="2" t="s">
        <v>21</v>
      </c>
      <c r="I667" s="2" t="s">
        <v>1658</v>
      </c>
      <c r="J667" s="3" t="str">
        <f>HYPERLINK("https://www.boe.es/gazeta/dias/1820/08/01/pdfs/GGB-1820-34.pdf#page=4","Abrir facsímil")</f>
        <v>Abrir facsímil</v>
      </c>
      <c r="K667" s="3" t="s">
        <v>23</v>
      </c>
    </row>
    <row r="668" spans="1:11" ht="42" customHeight="1">
      <c r="A668" s="2" t="s">
        <v>1653</v>
      </c>
      <c r="B668" s="2" t="s">
        <v>1654</v>
      </c>
      <c r="C668" s="2" t="s">
        <v>47</v>
      </c>
      <c r="D668" s="2" t="s">
        <v>18</v>
      </c>
      <c r="E668" s="5">
        <v>-28959</v>
      </c>
      <c r="F668" s="3" t="s">
        <v>37</v>
      </c>
      <c r="G668" s="3" t="s">
        <v>38</v>
      </c>
      <c r="H668" s="2" t="s">
        <v>21</v>
      </c>
      <c r="I668" s="2" t="s">
        <v>1659</v>
      </c>
      <c r="J668" s="3" t="str">
        <f>HYPERLINK("https://www.boe.es/gazeta/dias/1820/09/16/pdfs/GGB-1820-80.pdf#page=6","Abrir facsímil")</f>
        <v>Abrir facsímil</v>
      </c>
      <c r="K668" s="3" t="s">
        <v>23</v>
      </c>
    </row>
    <row r="669" spans="1:11" ht="42" customHeight="1">
      <c r="A669" s="2" t="s">
        <v>1660</v>
      </c>
      <c r="B669" s="2" t="s">
        <v>1661</v>
      </c>
      <c r="C669" s="2" t="s">
        <v>26</v>
      </c>
      <c r="D669" s="2" t="s">
        <v>27</v>
      </c>
      <c r="E669" s="5">
        <v>-29023</v>
      </c>
      <c r="F669" s="3" t="s">
        <v>1662</v>
      </c>
      <c r="G669" s="3" t="s">
        <v>1663</v>
      </c>
      <c r="H669" s="2" t="s">
        <v>21</v>
      </c>
      <c r="I669" s="2" t="s">
        <v>1664</v>
      </c>
      <c r="J669" s="3" t="str">
        <f>HYPERLINK("https://www.boe.es/gazeta/dias/1820/07/14/pdfs/GGB-1820-16.pdf#page=3","Abrir facsímil")</f>
        <v>Abrir facsímil</v>
      </c>
      <c r="K669" s="3" t="s">
        <v>23</v>
      </c>
    </row>
    <row r="670" spans="1:11" ht="42" customHeight="1">
      <c r="A670" s="2" t="s">
        <v>1665</v>
      </c>
      <c r="B670" s="2" t="s">
        <v>1665</v>
      </c>
      <c r="C670" s="2" t="s">
        <v>17</v>
      </c>
      <c r="D670" s="2" t="s">
        <v>18</v>
      </c>
      <c r="E670" s="5">
        <v>-28994</v>
      </c>
      <c r="F670" s="3" t="s">
        <v>1612</v>
      </c>
      <c r="G670" s="3" t="s">
        <v>62</v>
      </c>
      <c r="H670" s="2" t="s">
        <v>21</v>
      </c>
      <c r="I670" s="2" t="s">
        <v>1666</v>
      </c>
      <c r="J670" s="3" t="str">
        <f>HYPERLINK("https://www.boe.es/gazeta/dias/1820/08/12/pdfs/GGB-1820-45.pdf#page=3","Abrir facsímil")</f>
        <v>Abrir facsímil</v>
      </c>
      <c r="K670" s="3" t="s">
        <v>23</v>
      </c>
    </row>
    <row r="671" spans="1:11" ht="42" customHeight="1">
      <c r="A671" s="2" t="s">
        <v>1667</v>
      </c>
      <c r="B671" s="2" t="s">
        <v>1668</v>
      </c>
      <c r="C671" s="2" t="s">
        <v>26</v>
      </c>
      <c r="D671" s="2" t="s">
        <v>27</v>
      </c>
      <c r="E671" s="5">
        <v>-29120</v>
      </c>
      <c r="F671" s="3" t="s">
        <v>852</v>
      </c>
      <c r="G671" s="3" t="s">
        <v>295</v>
      </c>
      <c r="H671" s="2" t="s">
        <v>21</v>
      </c>
      <c r="I671" s="2" t="s">
        <v>1669</v>
      </c>
      <c r="J671" s="3" t="str">
        <f>HYPERLINK("https://www.boe.es/gazeta/dias/1820/04/08/pdfs/GMD-1820-63.pdf#page=8","Abrir facsímil")</f>
        <v>Abrir facsímil</v>
      </c>
      <c r="K671" s="3" t="s">
        <v>23</v>
      </c>
    </row>
    <row r="672" spans="1:11" ht="42" customHeight="1">
      <c r="A672" s="2" t="s">
        <v>1670</v>
      </c>
      <c r="B672" s="2" t="s">
        <v>1670</v>
      </c>
      <c r="C672" s="2" t="s">
        <v>26</v>
      </c>
      <c r="D672" s="2" t="s">
        <v>27</v>
      </c>
      <c r="E672" s="5">
        <v>-28962</v>
      </c>
      <c r="F672" s="3" t="s">
        <v>90</v>
      </c>
      <c r="G672" s="3" t="s">
        <v>62</v>
      </c>
      <c r="H672" s="2" t="s">
        <v>21</v>
      </c>
      <c r="I672" s="2" t="s">
        <v>1671</v>
      </c>
      <c r="J672" s="3" t="str">
        <f>HYPERLINK("https://www.boe.es/gazeta/dias/1820/09/13/pdfs/GGB-1820-77.pdf#page=3","Abrir facsímil")</f>
        <v>Abrir facsímil</v>
      </c>
      <c r="K672" s="3" t="s">
        <v>23</v>
      </c>
    </row>
    <row r="673" spans="1:11" ht="42" customHeight="1">
      <c r="A673" s="2" t="s">
        <v>1672</v>
      </c>
      <c r="B673" s="2" t="s">
        <v>1673</v>
      </c>
      <c r="C673" s="2" t="s">
        <v>35</v>
      </c>
      <c r="D673" s="2" t="s">
        <v>36</v>
      </c>
      <c r="E673" s="5">
        <v>-29143</v>
      </c>
      <c r="F673" s="3" t="s">
        <v>334</v>
      </c>
      <c r="G673" s="3" t="s">
        <v>38</v>
      </c>
      <c r="H673" s="2" t="s">
        <v>21</v>
      </c>
      <c r="I673" s="2" t="s">
        <v>1674</v>
      </c>
      <c r="J673" s="3" t="str">
        <f>HYPERLINK("https://www.boe.es/gazeta/dias/1820/03/16/pdfs/GMD-1820-42.pdf#page=6","Abrir facsímil")</f>
        <v>Abrir facsímil</v>
      </c>
      <c r="K673" s="3" t="s">
        <v>23</v>
      </c>
    </row>
    <row r="674" spans="1:11" ht="42" customHeight="1">
      <c r="A674" s="2" t="s">
        <v>1672</v>
      </c>
      <c r="B674" s="2" t="s">
        <v>1673</v>
      </c>
      <c r="C674" s="2" t="s">
        <v>26</v>
      </c>
      <c r="D674" s="2" t="s">
        <v>27</v>
      </c>
      <c r="E674" s="5">
        <v>-29143</v>
      </c>
      <c r="F674" s="3" t="s">
        <v>334</v>
      </c>
      <c r="G674" s="3" t="s">
        <v>295</v>
      </c>
      <c r="H674" s="2" t="s">
        <v>21</v>
      </c>
      <c r="I674" s="2" t="s">
        <v>1675</v>
      </c>
      <c r="J674" s="3" t="str">
        <f>HYPERLINK("https://www.boe.es/gazeta/dias/1820/03/16/pdfs/GMD-1820-42.pdf#page=8","Abrir facsímil")</f>
        <v>Abrir facsímil</v>
      </c>
      <c r="K674" s="3" t="s">
        <v>23</v>
      </c>
    </row>
    <row r="675" spans="1:11" ht="42" customHeight="1">
      <c r="A675" s="2" t="s">
        <v>1676</v>
      </c>
      <c r="B675" s="2" t="s">
        <v>1677</v>
      </c>
      <c r="C675" s="2" t="s">
        <v>35</v>
      </c>
      <c r="D675" s="2" t="s">
        <v>36</v>
      </c>
      <c r="E675" s="5">
        <v>-28970</v>
      </c>
      <c r="F675" s="3" t="s">
        <v>693</v>
      </c>
      <c r="G675" s="3" t="s">
        <v>1678</v>
      </c>
      <c r="H675" s="2" t="s">
        <v>21</v>
      </c>
      <c r="I675" s="2" t="s">
        <v>1679</v>
      </c>
      <c r="J675" s="3" t="str">
        <f>HYPERLINK("https://www.boe.es/gazeta/dias/1820/09/05/pdfs/GGB-1820-69.pdf#page=4","Abrir facsímil")</f>
        <v>Abrir facsímil</v>
      </c>
      <c r="K675" s="3" t="s">
        <v>23</v>
      </c>
    </row>
    <row r="676" spans="1:11" ht="42" customHeight="1">
      <c r="A676" s="2" t="s">
        <v>1680</v>
      </c>
      <c r="B676" s="2" t="s">
        <v>1681</v>
      </c>
      <c r="C676" s="2" t="s">
        <v>35</v>
      </c>
      <c r="D676" s="2" t="s">
        <v>36</v>
      </c>
      <c r="E676" s="5">
        <v>-28931</v>
      </c>
      <c r="F676" s="3" t="s">
        <v>724</v>
      </c>
      <c r="G676" s="3" t="s">
        <v>20</v>
      </c>
      <c r="H676" s="2" t="s">
        <v>21</v>
      </c>
      <c r="I676" s="2" t="s">
        <v>1682</v>
      </c>
      <c r="J676" s="3" t="str">
        <f>HYPERLINK("https://www.boe.es/gazeta/dias/1820/10/14/pdfs/GGB-1820-108.pdf#page=4","Abrir facsímil")</f>
        <v>Abrir facsímil</v>
      </c>
      <c r="K676" s="3" t="s">
        <v>23</v>
      </c>
    </row>
    <row r="677" spans="1:11" ht="42" customHeight="1">
      <c r="A677" s="2" t="s">
        <v>1683</v>
      </c>
      <c r="B677" s="2" t="s">
        <v>1683</v>
      </c>
      <c r="C677" s="2" t="s">
        <v>26</v>
      </c>
      <c r="D677" s="2" t="s">
        <v>27</v>
      </c>
      <c r="E677" s="5">
        <v>-28973</v>
      </c>
      <c r="F677" s="3" t="s">
        <v>151</v>
      </c>
      <c r="G677" s="3" t="s">
        <v>20</v>
      </c>
      <c r="H677" s="2" t="s">
        <v>21</v>
      </c>
      <c r="I677" s="2" t="s">
        <v>1684</v>
      </c>
      <c r="J677" s="3" t="str">
        <f>HYPERLINK("https://www.boe.es/gazeta/dias/1820/09/02/pdfs/GGB-1820-66.pdf#page=4","Abrir facsímil")</f>
        <v>Abrir facsímil</v>
      </c>
      <c r="K677" s="3" t="s">
        <v>23</v>
      </c>
    </row>
    <row r="678" spans="1:11" ht="42" customHeight="1">
      <c r="A678" s="2" t="s">
        <v>1685</v>
      </c>
      <c r="B678" s="2" t="s">
        <v>1685</v>
      </c>
      <c r="C678" s="2" t="s">
        <v>26</v>
      </c>
      <c r="D678" s="2" t="s">
        <v>27</v>
      </c>
      <c r="E678" s="5">
        <v>-28999</v>
      </c>
      <c r="F678" s="3" t="s">
        <v>342</v>
      </c>
      <c r="G678" s="3" t="s">
        <v>20</v>
      </c>
      <c r="H678" s="2" t="s">
        <v>21</v>
      </c>
      <c r="I678" s="2" t="s">
        <v>1686</v>
      </c>
      <c r="J678" s="3" t="str">
        <f>HYPERLINK("https://www.boe.es/gazeta/dias/1820/08/07/pdfs/GGB-1820-40.pdf#page=4","Abrir facsímil")</f>
        <v>Abrir facsímil</v>
      </c>
      <c r="K678" s="3" t="s">
        <v>23</v>
      </c>
    </row>
    <row r="679" spans="1:11" ht="42" customHeight="1">
      <c r="A679" s="2" t="s">
        <v>1687</v>
      </c>
      <c r="B679" s="2" t="s">
        <v>1688</v>
      </c>
      <c r="C679" s="2" t="s">
        <v>26</v>
      </c>
      <c r="D679" s="2" t="s">
        <v>27</v>
      </c>
      <c r="E679" s="5">
        <v>-29082</v>
      </c>
      <c r="F679" s="3" t="s">
        <v>478</v>
      </c>
      <c r="G679" s="3" t="s">
        <v>128</v>
      </c>
      <c r="H679" s="2" t="s">
        <v>21</v>
      </c>
      <c r="I679" s="2" t="s">
        <v>1689</v>
      </c>
      <c r="J679" s="3" t="str">
        <f>HYPERLINK("https://www.boe.es/gazeta/dias/1820/05/16/pdfs/GMD-1820-80.pdf#page=1","Abrir facsímil")</f>
        <v>Abrir facsímil</v>
      </c>
      <c r="K679" s="3" t="s">
        <v>23</v>
      </c>
    </row>
    <row r="680" spans="1:11" ht="42" customHeight="1">
      <c r="A680" s="2" t="s">
        <v>1690</v>
      </c>
      <c r="B680" s="2" t="s">
        <v>1690</v>
      </c>
      <c r="C680" s="2" t="s">
        <v>35</v>
      </c>
      <c r="D680" s="2" t="s">
        <v>36</v>
      </c>
      <c r="E680" s="5">
        <v>-28963</v>
      </c>
      <c r="F680" s="3" t="s">
        <v>94</v>
      </c>
      <c r="G680" s="3" t="s">
        <v>43</v>
      </c>
      <c r="H680" s="2" t="s">
        <v>21</v>
      </c>
      <c r="I680" s="2" t="s">
        <v>1691</v>
      </c>
      <c r="J680" s="3" t="str">
        <f>HYPERLINK("https://www.boe.es/gazeta/dias/1820/09/12/pdfs/GGB-1820-76.pdf#page=2","Abrir facsímil")</f>
        <v>Abrir facsímil</v>
      </c>
      <c r="K680" s="3" t="s">
        <v>23</v>
      </c>
    </row>
    <row r="681" spans="1:11" ht="42" customHeight="1">
      <c r="A681" s="2" t="s">
        <v>1692</v>
      </c>
      <c r="B681" s="2" t="s">
        <v>1692</v>
      </c>
      <c r="C681" s="2" t="s">
        <v>26</v>
      </c>
      <c r="D681" s="2" t="s">
        <v>27</v>
      </c>
      <c r="E681" s="5">
        <v>-29009</v>
      </c>
      <c r="F681" s="3" t="s">
        <v>605</v>
      </c>
      <c r="G681" s="3" t="s">
        <v>62</v>
      </c>
      <c r="H681" s="2" t="s">
        <v>21</v>
      </c>
      <c r="I681" s="2" t="s">
        <v>1693</v>
      </c>
      <c r="J681" s="3" t="str">
        <f>HYPERLINK("https://www.boe.es/gazeta/dias/1820/07/28/pdfs/GGB-1820-30.pdf#page=3","Abrir facsímil")</f>
        <v>Abrir facsímil</v>
      </c>
      <c r="K681" s="3" t="s">
        <v>23</v>
      </c>
    </row>
    <row r="682" spans="1:11" ht="42" customHeight="1">
      <c r="A682" s="2" t="s">
        <v>1692</v>
      </c>
      <c r="B682" s="2" t="s">
        <v>1692</v>
      </c>
      <c r="C682" s="2" t="s">
        <v>17</v>
      </c>
      <c r="D682" s="2" t="s">
        <v>18</v>
      </c>
      <c r="E682" s="5">
        <v>-28913</v>
      </c>
      <c r="F682" s="3" t="s">
        <v>230</v>
      </c>
      <c r="G682" s="3" t="s">
        <v>62</v>
      </c>
      <c r="H682" s="2" t="s">
        <v>21</v>
      </c>
      <c r="I682" s="2" t="s">
        <v>1694</v>
      </c>
      <c r="J682" s="3" t="str">
        <f>HYPERLINK("https://www.boe.es/gazeta/dias/1820/11/01/pdfs/GGB-1820-126.pdf#page=3","Abrir facsímil")</f>
        <v>Abrir facsímil</v>
      </c>
      <c r="K682" s="3" t="s">
        <v>23</v>
      </c>
    </row>
    <row r="683" spans="1:11" ht="42" customHeight="1">
      <c r="A683" s="2" t="s">
        <v>1692</v>
      </c>
      <c r="B683" s="2" t="s">
        <v>1692</v>
      </c>
      <c r="C683" s="2" t="s">
        <v>26</v>
      </c>
      <c r="D683" s="2" t="s">
        <v>27</v>
      </c>
      <c r="E683" s="5">
        <v>-28907</v>
      </c>
      <c r="F683" s="3" t="s">
        <v>374</v>
      </c>
      <c r="G683" s="3" t="s">
        <v>43</v>
      </c>
      <c r="H683" s="2" t="s">
        <v>21</v>
      </c>
      <c r="I683" s="2" t="s">
        <v>1695</v>
      </c>
      <c r="J683" s="3" t="str">
        <f>HYPERLINK("https://www.boe.es/gazeta/dias/1820/11/07/pdfs/GGB-1820-132.pdf#page=2","Abrir facsímil")</f>
        <v>Abrir facsímil</v>
      </c>
      <c r="K683" s="3" t="s">
        <v>23</v>
      </c>
    </row>
    <row r="684" spans="1:11" ht="42" customHeight="1">
      <c r="A684" s="2" t="s">
        <v>1696</v>
      </c>
      <c r="B684" s="2" t="s">
        <v>1697</v>
      </c>
      <c r="C684" s="2" t="s">
        <v>107</v>
      </c>
      <c r="D684" s="2" t="s">
        <v>18</v>
      </c>
      <c r="E684" s="5">
        <v>-29068</v>
      </c>
      <c r="F684" s="3" t="s">
        <v>943</v>
      </c>
      <c r="G684" s="3" t="s">
        <v>1698</v>
      </c>
      <c r="H684" s="2" t="s">
        <v>21</v>
      </c>
      <c r="I684" s="2" t="s">
        <v>1699</v>
      </c>
      <c r="J684" s="3" t="str">
        <f>HYPERLINK("https://www.boe.es/gazeta/dias/1820/05/30/pdfs/GMD-1820-87.pdf#page=11","Abrir facsímil")</f>
        <v>Abrir facsímil</v>
      </c>
      <c r="K684" s="3" t="s">
        <v>23</v>
      </c>
    </row>
    <row r="685" spans="1:11" ht="42" customHeight="1">
      <c r="A685" s="2" t="s">
        <v>1696</v>
      </c>
      <c r="B685" s="2" t="s">
        <v>1697</v>
      </c>
      <c r="C685" s="2" t="s">
        <v>293</v>
      </c>
      <c r="D685" s="2" t="s">
        <v>18</v>
      </c>
      <c r="E685" s="5">
        <v>-28919</v>
      </c>
      <c r="F685" s="3" t="s">
        <v>516</v>
      </c>
      <c r="G685" s="3" t="s">
        <v>20</v>
      </c>
      <c r="H685" s="2" t="s">
        <v>21</v>
      </c>
      <c r="I685" s="2" t="s">
        <v>1700</v>
      </c>
      <c r="J685" s="3" t="str">
        <f>HYPERLINK("https://www.boe.es/gazeta/dias/1820/10/26/pdfs/GGB-1820-120.pdf#page=4","Abrir facsímil")</f>
        <v>Abrir facsímil</v>
      </c>
      <c r="K685" s="3" t="s">
        <v>23</v>
      </c>
    </row>
    <row r="686" spans="1:11" ht="42" customHeight="1">
      <c r="A686" s="2" t="s">
        <v>1701</v>
      </c>
      <c r="B686" s="2" t="s">
        <v>1701</v>
      </c>
      <c r="C686" s="2" t="s">
        <v>107</v>
      </c>
      <c r="D686" s="2" t="s">
        <v>18</v>
      </c>
      <c r="E686" s="5">
        <v>-29013</v>
      </c>
      <c r="F686" s="3" t="s">
        <v>52</v>
      </c>
      <c r="G686" s="3" t="s">
        <v>53</v>
      </c>
      <c r="H686" s="2" t="s">
        <v>21</v>
      </c>
      <c r="I686" s="2" t="s">
        <v>1702</v>
      </c>
      <c r="J686" s="3" t="str">
        <f>HYPERLINK("https://www.boe.es/gazeta/dias/1820/07/24/pdfs/GGB-1820-26.pdf#page=3","Abrir facsímil")</f>
        <v>Abrir facsímil</v>
      </c>
      <c r="K686" s="3" t="s">
        <v>23</v>
      </c>
    </row>
    <row r="687" spans="1:11" ht="42" customHeight="1">
      <c r="A687" s="2" t="s">
        <v>1703</v>
      </c>
      <c r="B687" s="2" t="s">
        <v>1703</v>
      </c>
      <c r="C687" s="2" t="s">
        <v>17</v>
      </c>
      <c r="D687" s="2" t="s">
        <v>18</v>
      </c>
      <c r="E687" s="5">
        <v>-29005</v>
      </c>
      <c r="F687" s="3" t="s">
        <v>1656</v>
      </c>
      <c r="G687" s="3" t="s">
        <v>1657</v>
      </c>
      <c r="H687" s="2" t="s">
        <v>21</v>
      </c>
      <c r="I687" s="2" t="s">
        <v>1704</v>
      </c>
      <c r="J687" s="3" t="str">
        <f>HYPERLINK("https://www.boe.es/gazeta/dias/1820/08/01/pdfs/GGB-1820-34.pdf#page=4","Abrir facsímil")</f>
        <v>Abrir facsímil</v>
      </c>
      <c r="K687" s="3" t="s">
        <v>23</v>
      </c>
    </row>
    <row r="688" spans="1:11" ht="42" customHeight="1">
      <c r="A688" s="2" t="s">
        <v>1705</v>
      </c>
      <c r="B688" s="2" t="s">
        <v>1705</v>
      </c>
      <c r="C688" s="2" t="s">
        <v>74</v>
      </c>
      <c r="D688" s="2" t="s">
        <v>18</v>
      </c>
      <c r="E688" s="5">
        <v>-29014</v>
      </c>
      <c r="F688" s="3" t="s">
        <v>70</v>
      </c>
      <c r="G688" s="3" t="s">
        <v>62</v>
      </c>
      <c r="H688" s="2" t="s">
        <v>21</v>
      </c>
      <c r="I688" s="2" t="s">
        <v>1706</v>
      </c>
      <c r="J688" s="3" t="str">
        <f>HYPERLINK("https://www.boe.es/gazeta/dias/1820/07/23/pdfs/GGB-1820-25.pdf#page=3","Abrir facsímil")</f>
        <v>Abrir facsímil</v>
      </c>
      <c r="K688" s="3" t="s">
        <v>23</v>
      </c>
    </row>
    <row r="689" spans="1:11" ht="42" customHeight="1">
      <c r="A689" s="2" t="s">
        <v>1705</v>
      </c>
      <c r="B689" s="2" t="s">
        <v>1705</v>
      </c>
      <c r="C689" s="2" t="s">
        <v>26</v>
      </c>
      <c r="D689" s="2" t="s">
        <v>27</v>
      </c>
      <c r="E689" s="5">
        <v>-29009</v>
      </c>
      <c r="F689" s="3" t="s">
        <v>605</v>
      </c>
      <c r="G689" s="3" t="s">
        <v>43</v>
      </c>
      <c r="H689" s="2" t="s">
        <v>21</v>
      </c>
      <c r="I689" s="2" t="s">
        <v>1707</v>
      </c>
      <c r="J689" s="3" t="str">
        <f>HYPERLINK("https://www.boe.es/gazeta/dias/1820/07/28/pdfs/GGB-1820-30.pdf#page=2","Abrir facsímil")</f>
        <v>Abrir facsímil</v>
      </c>
      <c r="K689" s="3" t="s">
        <v>23</v>
      </c>
    </row>
    <row r="690" spans="1:11" ht="42" customHeight="1">
      <c r="A690" s="2" t="s">
        <v>1705</v>
      </c>
      <c r="B690" s="2" t="s">
        <v>1705</v>
      </c>
      <c r="C690" s="2" t="s">
        <v>17</v>
      </c>
      <c r="D690" s="2" t="s">
        <v>18</v>
      </c>
      <c r="E690" s="5">
        <v>-29009</v>
      </c>
      <c r="F690" s="3" t="s">
        <v>605</v>
      </c>
      <c r="G690" s="3" t="s">
        <v>20</v>
      </c>
      <c r="H690" s="2" t="s">
        <v>21</v>
      </c>
      <c r="I690" s="2" t="s">
        <v>1708</v>
      </c>
      <c r="J690" s="3" t="str">
        <f>HYPERLINK("https://www.boe.es/gazeta/dias/1820/07/28/pdfs/GGB-1820-30.pdf#page=4","Abrir facsímil")</f>
        <v>Abrir facsímil</v>
      </c>
      <c r="K690" s="3" t="s">
        <v>23</v>
      </c>
    </row>
    <row r="691" spans="1:11" ht="42" customHeight="1">
      <c r="A691" s="2" t="s">
        <v>1705</v>
      </c>
      <c r="B691" s="2" t="s">
        <v>1705</v>
      </c>
      <c r="C691" s="2" t="s">
        <v>26</v>
      </c>
      <c r="D691" s="2" t="s">
        <v>27</v>
      </c>
      <c r="E691" s="5">
        <v>-28996</v>
      </c>
      <c r="F691" s="3" t="s">
        <v>636</v>
      </c>
      <c r="G691" s="3" t="s">
        <v>1039</v>
      </c>
      <c r="H691" s="2" t="s">
        <v>21</v>
      </c>
      <c r="I691" s="2" t="s">
        <v>1709</v>
      </c>
      <c r="J691" s="3" t="str">
        <f>HYPERLINK("https://www.boe.es/gazeta/dias/1820/08/10/pdfs/GGB-1820-43.pdf#page=2","Abrir facsímil")</f>
        <v>Abrir facsímil</v>
      </c>
      <c r="K691" s="3" t="s">
        <v>23</v>
      </c>
    </row>
    <row r="692" spans="1:11" ht="42" customHeight="1">
      <c r="A692" s="2" t="s">
        <v>1705</v>
      </c>
      <c r="B692" s="2" t="s">
        <v>1705</v>
      </c>
      <c r="C692" s="2" t="s">
        <v>26</v>
      </c>
      <c r="D692" s="2" t="s">
        <v>27</v>
      </c>
      <c r="E692" s="5">
        <v>-28943</v>
      </c>
      <c r="F692" s="3" t="s">
        <v>1403</v>
      </c>
      <c r="G692" s="3" t="s">
        <v>1710</v>
      </c>
      <c r="H692" s="2" t="s">
        <v>21</v>
      </c>
      <c r="I692" s="2" t="s">
        <v>1711</v>
      </c>
      <c r="J692" s="3" t="str">
        <f>HYPERLINK("https://www.boe.es/gazeta/dias/1820/10/02/pdfs/GGB-1820-96.pdf#page=4","Abrir facsímil")</f>
        <v>Abrir facsímil</v>
      </c>
      <c r="K692" s="3" t="s">
        <v>23</v>
      </c>
    </row>
    <row r="693" spans="1:11" ht="42" customHeight="1">
      <c r="A693" s="2" t="s">
        <v>1712</v>
      </c>
      <c r="B693" s="2" t="s">
        <v>1712</v>
      </c>
      <c r="C693" s="2" t="s">
        <v>35</v>
      </c>
      <c r="D693" s="2" t="s">
        <v>36</v>
      </c>
      <c r="E693" s="5">
        <v>-29025</v>
      </c>
      <c r="F693" s="3" t="s">
        <v>902</v>
      </c>
      <c r="G693" s="3" t="s">
        <v>62</v>
      </c>
      <c r="H693" s="2" t="s">
        <v>21</v>
      </c>
      <c r="I693" s="2" t="s">
        <v>1713</v>
      </c>
      <c r="J693" s="3" t="str">
        <f>HYPERLINK("https://www.boe.es/gazeta/dias/1820/07/12/pdfs/GGB-1820-14.pdf#page=3","Abrir facsímil")</f>
        <v>Abrir facsímil</v>
      </c>
      <c r="K693" s="3" t="s">
        <v>23</v>
      </c>
    </row>
    <row r="694" spans="1:11" ht="42" customHeight="1">
      <c r="A694" s="2" t="s">
        <v>1712</v>
      </c>
      <c r="B694" s="2" t="s">
        <v>1712</v>
      </c>
      <c r="C694" s="2" t="s">
        <v>35</v>
      </c>
      <c r="D694" s="2" t="s">
        <v>36</v>
      </c>
      <c r="E694" s="5">
        <v>-29018</v>
      </c>
      <c r="F694" s="3" t="s">
        <v>601</v>
      </c>
      <c r="G694" s="3" t="s">
        <v>62</v>
      </c>
      <c r="H694" s="2" t="s">
        <v>21</v>
      </c>
      <c r="I694" s="2" t="s">
        <v>1714</v>
      </c>
      <c r="J694" s="3" t="str">
        <f>HYPERLINK("https://www.boe.es/gazeta/dias/1820/07/19/pdfs/GGB-1820-21.pdf#page=3","Abrir facsímil")</f>
        <v>Abrir facsímil</v>
      </c>
      <c r="K694" s="3" t="s">
        <v>23</v>
      </c>
    </row>
    <row r="695" spans="1:11" ht="42" customHeight="1">
      <c r="A695" s="2" t="s">
        <v>1712</v>
      </c>
      <c r="B695" s="2" t="s">
        <v>1712</v>
      </c>
      <c r="C695" s="2" t="s">
        <v>74</v>
      </c>
      <c r="D695" s="2" t="s">
        <v>18</v>
      </c>
      <c r="E695" s="5">
        <v>-29014</v>
      </c>
      <c r="F695" s="3" t="s">
        <v>70</v>
      </c>
      <c r="G695" s="3" t="s">
        <v>20</v>
      </c>
      <c r="H695" s="2" t="s">
        <v>21</v>
      </c>
      <c r="I695" s="2" t="s">
        <v>1715</v>
      </c>
      <c r="J695" s="3" t="str">
        <f>HYPERLINK("https://www.boe.es/gazeta/dias/1820/07/23/pdfs/GGB-1820-25.pdf#page=4","Abrir facsímil")</f>
        <v>Abrir facsímil</v>
      </c>
      <c r="K695" s="3" t="s">
        <v>23</v>
      </c>
    </row>
    <row r="696" spans="1:11" ht="42" customHeight="1">
      <c r="A696" s="2" t="s">
        <v>1712</v>
      </c>
      <c r="B696" s="2" t="s">
        <v>1712</v>
      </c>
      <c r="C696" s="2" t="s">
        <v>26</v>
      </c>
      <c r="D696" s="2" t="s">
        <v>27</v>
      </c>
      <c r="E696" s="5">
        <v>-29012</v>
      </c>
      <c r="F696" s="3" t="s">
        <v>72</v>
      </c>
      <c r="G696" s="3" t="s">
        <v>62</v>
      </c>
      <c r="H696" s="2" t="s">
        <v>21</v>
      </c>
      <c r="I696" s="2" t="s">
        <v>1716</v>
      </c>
      <c r="J696" s="3" t="str">
        <f>HYPERLINK("https://www.boe.es/gazeta/dias/1820/07/25/pdfs/GGB-1820-27.pdf#page=3","Abrir facsímil")</f>
        <v>Abrir facsímil</v>
      </c>
      <c r="K696" s="3" t="s">
        <v>23</v>
      </c>
    </row>
    <row r="697" spans="1:11" ht="42" customHeight="1">
      <c r="A697" s="2" t="s">
        <v>1712</v>
      </c>
      <c r="B697" s="2" t="s">
        <v>1712</v>
      </c>
      <c r="C697" s="2" t="s">
        <v>47</v>
      </c>
      <c r="D697" s="2" t="s">
        <v>18</v>
      </c>
      <c r="E697" s="5">
        <v>-29009</v>
      </c>
      <c r="F697" s="3" t="s">
        <v>605</v>
      </c>
      <c r="G697" s="3" t="s">
        <v>62</v>
      </c>
      <c r="H697" s="2" t="s">
        <v>21</v>
      </c>
      <c r="I697" s="2" t="s">
        <v>1717</v>
      </c>
      <c r="J697" s="3" t="str">
        <f>HYPERLINK("https://www.boe.es/gazeta/dias/1820/07/28/pdfs/GGB-1820-30.pdf#page=3","Abrir facsímil")</f>
        <v>Abrir facsímil</v>
      </c>
      <c r="K697" s="3" t="s">
        <v>23</v>
      </c>
    </row>
    <row r="698" spans="1:11" ht="42" customHeight="1">
      <c r="A698" s="2" t="s">
        <v>1712</v>
      </c>
      <c r="B698" s="2" t="s">
        <v>1712</v>
      </c>
      <c r="C698" s="2" t="s">
        <v>35</v>
      </c>
      <c r="D698" s="2" t="s">
        <v>36</v>
      </c>
      <c r="E698" s="5">
        <v>-29005</v>
      </c>
      <c r="F698" s="3" t="s">
        <v>1656</v>
      </c>
      <c r="G698" s="3" t="s">
        <v>1657</v>
      </c>
      <c r="H698" s="2" t="s">
        <v>21</v>
      </c>
      <c r="I698" s="2" t="s">
        <v>1718</v>
      </c>
      <c r="J698" s="3" t="str">
        <f>HYPERLINK("https://www.boe.es/gazeta/dias/1820/08/01/pdfs/GGB-1820-34.pdf#page=4","Abrir facsímil")</f>
        <v>Abrir facsímil</v>
      </c>
      <c r="K698" s="3" t="s">
        <v>23</v>
      </c>
    </row>
    <row r="699" spans="1:11" ht="42" customHeight="1">
      <c r="A699" s="2" t="s">
        <v>1712</v>
      </c>
      <c r="B699" s="2" t="s">
        <v>1712</v>
      </c>
      <c r="C699" s="2" t="s">
        <v>74</v>
      </c>
      <c r="D699" s="2" t="s">
        <v>18</v>
      </c>
      <c r="E699" s="5">
        <v>-29001</v>
      </c>
      <c r="F699" s="3" t="s">
        <v>633</v>
      </c>
      <c r="G699" s="3" t="s">
        <v>43</v>
      </c>
      <c r="H699" s="2" t="s">
        <v>21</v>
      </c>
      <c r="I699" s="2" t="s">
        <v>1719</v>
      </c>
      <c r="J699" s="3" t="str">
        <f>HYPERLINK("https://www.boe.es/gazeta/dias/1820/08/05/pdfs/GGB-1820-38.pdf#page=2","Abrir facsímil")</f>
        <v>Abrir facsímil</v>
      </c>
      <c r="K699" s="3" t="s">
        <v>23</v>
      </c>
    </row>
    <row r="700" spans="1:11" ht="42" customHeight="1">
      <c r="A700" s="2" t="s">
        <v>1712</v>
      </c>
      <c r="B700" s="2" t="s">
        <v>1712</v>
      </c>
      <c r="C700" s="2" t="s">
        <v>35</v>
      </c>
      <c r="D700" s="2" t="s">
        <v>36</v>
      </c>
      <c r="E700" s="5">
        <v>-29001</v>
      </c>
      <c r="F700" s="3" t="s">
        <v>633</v>
      </c>
      <c r="G700" s="3" t="s">
        <v>62</v>
      </c>
      <c r="H700" s="2" t="s">
        <v>21</v>
      </c>
      <c r="I700" s="2" t="s">
        <v>1720</v>
      </c>
      <c r="J700" s="3" t="str">
        <f>HYPERLINK("https://www.boe.es/gazeta/dias/1820/08/05/pdfs/GGB-1820-38.pdf#page=3","Abrir facsímil")</f>
        <v>Abrir facsímil</v>
      </c>
      <c r="K700" s="3" t="s">
        <v>23</v>
      </c>
    </row>
    <row r="701" spans="1:11" ht="42" customHeight="1">
      <c r="A701" s="2" t="s">
        <v>1712</v>
      </c>
      <c r="B701" s="2" t="s">
        <v>1712</v>
      </c>
      <c r="C701" s="2" t="s">
        <v>293</v>
      </c>
      <c r="D701" s="2" t="s">
        <v>18</v>
      </c>
      <c r="E701" s="5">
        <v>-28998</v>
      </c>
      <c r="F701" s="3" t="s">
        <v>629</v>
      </c>
      <c r="G701" s="3" t="s">
        <v>62</v>
      </c>
      <c r="H701" s="2" t="s">
        <v>21</v>
      </c>
      <c r="I701" s="2" t="s">
        <v>1721</v>
      </c>
      <c r="J701" s="3" t="str">
        <f>HYPERLINK("https://www.boe.es/gazeta/dias/1820/08/08/pdfs/GGB-1820-41.pdf#page=3","Abrir facsímil")</f>
        <v>Abrir facsímil</v>
      </c>
      <c r="K701" s="3" t="s">
        <v>23</v>
      </c>
    </row>
    <row r="702" spans="1:11" ht="42" customHeight="1">
      <c r="A702" s="2" t="s">
        <v>1712</v>
      </c>
      <c r="B702" s="2" t="s">
        <v>1712</v>
      </c>
      <c r="C702" s="2" t="s">
        <v>74</v>
      </c>
      <c r="D702" s="2" t="s">
        <v>18</v>
      </c>
      <c r="E702" s="5">
        <v>-28990</v>
      </c>
      <c r="F702" s="3" t="s">
        <v>61</v>
      </c>
      <c r="G702" s="3" t="s">
        <v>62</v>
      </c>
      <c r="H702" s="2" t="s">
        <v>21</v>
      </c>
      <c r="I702" s="2" t="s">
        <v>1722</v>
      </c>
      <c r="J702" s="3" t="str">
        <f>HYPERLINK("https://www.boe.es/gazeta/dias/1820/08/16/pdfs/GGB-1820-49.pdf#page=3","Abrir facsímil")</f>
        <v>Abrir facsímil</v>
      </c>
      <c r="K702" s="3" t="s">
        <v>23</v>
      </c>
    </row>
    <row r="703" spans="1:11" ht="42" customHeight="1">
      <c r="A703" s="2" t="s">
        <v>1712</v>
      </c>
      <c r="B703" s="2" t="s">
        <v>1712</v>
      </c>
      <c r="C703" s="2" t="s">
        <v>26</v>
      </c>
      <c r="D703" s="2" t="s">
        <v>27</v>
      </c>
      <c r="E703" s="5">
        <v>-28963</v>
      </c>
      <c r="F703" s="3" t="s">
        <v>94</v>
      </c>
      <c r="G703" s="3" t="s">
        <v>43</v>
      </c>
      <c r="H703" s="2" t="s">
        <v>21</v>
      </c>
      <c r="I703" s="2" t="s">
        <v>1723</v>
      </c>
      <c r="J703" s="3" t="str">
        <f>HYPERLINK("https://www.boe.es/gazeta/dias/1820/09/12/pdfs/GGB-1820-76.pdf#page=2","Abrir facsímil")</f>
        <v>Abrir facsímil</v>
      </c>
      <c r="K703" s="3" t="s">
        <v>23</v>
      </c>
    </row>
    <row r="704" spans="1:11" ht="42" customHeight="1">
      <c r="A704" s="2" t="s">
        <v>1712</v>
      </c>
      <c r="B704" s="2" t="s">
        <v>1712</v>
      </c>
      <c r="C704" s="2" t="s">
        <v>74</v>
      </c>
      <c r="D704" s="2" t="s">
        <v>18</v>
      </c>
      <c r="E704" s="5">
        <v>-28960</v>
      </c>
      <c r="F704" s="3" t="s">
        <v>704</v>
      </c>
      <c r="G704" s="3" t="s">
        <v>62</v>
      </c>
      <c r="H704" s="2" t="s">
        <v>21</v>
      </c>
      <c r="I704" s="2" t="s">
        <v>1724</v>
      </c>
      <c r="J704" s="3" t="str">
        <f>HYPERLINK("https://www.boe.es/gazeta/dias/1820/09/15/pdfs/GGB-1820-79.pdf#page=3","Abrir facsímil")</f>
        <v>Abrir facsímil</v>
      </c>
      <c r="K704" s="3" t="s">
        <v>23</v>
      </c>
    </row>
    <row r="705" spans="1:11" ht="42" customHeight="1">
      <c r="A705" s="2" t="s">
        <v>1712</v>
      </c>
      <c r="B705" s="2" t="s">
        <v>1712</v>
      </c>
      <c r="C705" s="2" t="s">
        <v>17</v>
      </c>
      <c r="D705" s="2" t="s">
        <v>18</v>
      </c>
      <c r="E705" s="5">
        <v>-28958</v>
      </c>
      <c r="F705" s="3" t="s">
        <v>706</v>
      </c>
      <c r="G705" s="3" t="s">
        <v>62</v>
      </c>
      <c r="H705" s="2" t="s">
        <v>21</v>
      </c>
      <c r="I705" s="2" t="s">
        <v>1725</v>
      </c>
      <c r="J705" s="3" t="str">
        <f>HYPERLINK("https://www.boe.es/gazeta/dias/1820/09/17/pdfs/GGB-1820-81.pdf#page=3","Abrir facsímil")</f>
        <v>Abrir facsímil</v>
      </c>
      <c r="K705" s="3" t="s">
        <v>23</v>
      </c>
    </row>
    <row r="706" spans="1:11" ht="42" customHeight="1">
      <c r="A706" s="2" t="s">
        <v>1712</v>
      </c>
      <c r="B706" s="2" t="s">
        <v>1712</v>
      </c>
      <c r="C706" s="2" t="s">
        <v>35</v>
      </c>
      <c r="D706" s="2" t="s">
        <v>36</v>
      </c>
      <c r="E706" s="5">
        <v>-28945</v>
      </c>
      <c r="F706" s="3" t="s">
        <v>99</v>
      </c>
      <c r="G706" s="3" t="s">
        <v>20</v>
      </c>
      <c r="H706" s="2" t="s">
        <v>21</v>
      </c>
      <c r="I706" s="2" t="s">
        <v>1726</v>
      </c>
      <c r="J706" s="3" t="str">
        <f>HYPERLINK("https://www.boe.es/gazeta/dias/1820/09/30/pdfs/GGB-1820-94.pdf#page=4","Abrir facsímil")</f>
        <v>Abrir facsímil</v>
      </c>
      <c r="K706" s="3" t="s">
        <v>23</v>
      </c>
    </row>
    <row r="707" spans="1:11" ht="42" customHeight="1">
      <c r="A707" s="2" t="s">
        <v>1712</v>
      </c>
      <c r="B707" s="2" t="s">
        <v>1712</v>
      </c>
      <c r="C707" s="2" t="s">
        <v>35</v>
      </c>
      <c r="D707" s="2" t="s">
        <v>36</v>
      </c>
      <c r="E707" s="5">
        <v>-28941</v>
      </c>
      <c r="F707" s="3" t="s">
        <v>1727</v>
      </c>
      <c r="G707" s="3" t="s">
        <v>62</v>
      </c>
      <c r="H707" s="2" t="s">
        <v>21</v>
      </c>
      <c r="I707" s="2" t="s">
        <v>1728</v>
      </c>
      <c r="J707" s="3" t="str">
        <f>HYPERLINK("https://www.boe.es/gazeta/dias/1820/10/04/pdfs/GGB-1820-98.pdf#page=3","Abrir facsímil")</f>
        <v>Abrir facsímil</v>
      </c>
      <c r="K707" s="3" t="s">
        <v>23</v>
      </c>
    </row>
    <row r="708" spans="1:11" ht="42" customHeight="1">
      <c r="A708" s="2" t="s">
        <v>1712</v>
      </c>
      <c r="B708" s="2" t="s">
        <v>1712</v>
      </c>
      <c r="C708" s="2" t="s">
        <v>26</v>
      </c>
      <c r="D708" s="2" t="s">
        <v>27</v>
      </c>
      <c r="E708" s="5">
        <v>-28940</v>
      </c>
      <c r="F708" s="3" t="s">
        <v>141</v>
      </c>
      <c r="G708" s="3" t="s">
        <v>142</v>
      </c>
      <c r="H708" s="2" t="s">
        <v>21</v>
      </c>
      <c r="I708" s="2" t="s">
        <v>1729</v>
      </c>
      <c r="J708" s="3" t="str">
        <f>HYPERLINK("https://www.boe.es/gazeta/dias/1820/10/05/pdfs/GGB-1820-99.pdf#page=4","Abrir facsímil")</f>
        <v>Abrir facsímil</v>
      </c>
      <c r="K708" s="3" t="s">
        <v>23</v>
      </c>
    </row>
    <row r="709" spans="1:11" ht="42" customHeight="1">
      <c r="A709" s="2" t="s">
        <v>1712</v>
      </c>
      <c r="B709" s="2" t="s">
        <v>1712</v>
      </c>
      <c r="C709" s="2" t="s">
        <v>47</v>
      </c>
      <c r="D709" s="2" t="s">
        <v>18</v>
      </c>
      <c r="E709" s="5">
        <v>-28932</v>
      </c>
      <c r="F709" s="3" t="s">
        <v>407</v>
      </c>
      <c r="G709" s="3" t="s">
        <v>128</v>
      </c>
      <c r="H709" s="2" t="s">
        <v>21</v>
      </c>
      <c r="I709" s="2" t="s">
        <v>1730</v>
      </c>
      <c r="J709" s="3" t="str">
        <f>HYPERLINK("https://www.boe.es/gazeta/dias/1820/10/13/pdfs/GGB-1820-107.pdf#page=1","Abrir facsímil")</f>
        <v>Abrir facsímil</v>
      </c>
      <c r="K709" s="3" t="s">
        <v>23</v>
      </c>
    </row>
    <row r="710" spans="1:11" ht="42" customHeight="1">
      <c r="A710" s="2" t="s">
        <v>1712</v>
      </c>
      <c r="B710" s="2" t="s">
        <v>1712</v>
      </c>
      <c r="C710" s="2" t="s">
        <v>293</v>
      </c>
      <c r="D710" s="2" t="s">
        <v>18</v>
      </c>
      <c r="E710" s="5">
        <v>-28932</v>
      </c>
      <c r="F710" s="3" t="s">
        <v>407</v>
      </c>
      <c r="G710" s="3" t="s">
        <v>43</v>
      </c>
      <c r="H710" s="2" t="s">
        <v>21</v>
      </c>
      <c r="I710" s="2" t="s">
        <v>1731</v>
      </c>
      <c r="J710" s="3" t="str">
        <f>HYPERLINK("https://www.boe.es/gazeta/dias/1820/10/13/pdfs/GGB-1820-107.pdf#page=2","Abrir facsímil")</f>
        <v>Abrir facsímil</v>
      </c>
      <c r="K710" s="3" t="s">
        <v>23</v>
      </c>
    </row>
    <row r="711" spans="1:11" ht="42" customHeight="1">
      <c r="A711" s="2" t="s">
        <v>1732</v>
      </c>
      <c r="B711" s="2" t="s">
        <v>1732</v>
      </c>
      <c r="C711" s="2" t="s">
        <v>47</v>
      </c>
      <c r="D711" s="2" t="s">
        <v>18</v>
      </c>
      <c r="E711" s="5">
        <v>-28904</v>
      </c>
      <c r="F711" s="3" t="s">
        <v>541</v>
      </c>
      <c r="G711" s="3" t="s">
        <v>62</v>
      </c>
      <c r="H711" s="2" t="s">
        <v>21</v>
      </c>
      <c r="I711" s="2" t="s">
        <v>1733</v>
      </c>
      <c r="J711" s="3" t="str">
        <f>HYPERLINK("https://www.boe.es/gazeta/dias/1820/11/10/pdfs/GGB-1820-136.pdf#page=3","Abrir facsímil")</f>
        <v>Abrir facsímil</v>
      </c>
      <c r="K711" s="3" t="s">
        <v>23</v>
      </c>
    </row>
    <row r="712" spans="1:11" ht="42" customHeight="1">
      <c r="A712" s="2" t="s">
        <v>1734</v>
      </c>
      <c r="B712" s="2" t="s">
        <v>1735</v>
      </c>
      <c r="C712" s="2" t="s">
        <v>26</v>
      </c>
      <c r="D712" s="2" t="s">
        <v>27</v>
      </c>
      <c r="E712" s="5">
        <v>-28966</v>
      </c>
      <c r="F712" s="3" t="s">
        <v>701</v>
      </c>
      <c r="G712" s="3" t="s">
        <v>20</v>
      </c>
      <c r="H712" s="2" t="s">
        <v>21</v>
      </c>
      <c r="I712" s="2" t="s">
        <v>1736</v>
      </c>
      <c r="J712" s="3" t="str">
        <f>HYPERLINK("https://www.boe.es/gazeta/dias/1820/09/09/pdfs/GGB-1820-73.pdf#page=4","Abrir facsímil")</f>
        <v>Abrir facsímil</v>
      </c>
      <c r="K712" s="3" t="s">
        <v>23</v>
      </c>
    </row>
    <row r="713" spans="1:11" ht="42" customHeight="1">
      <c r="A713" s="2" t="s">
        <v>1737</v>
      </c>
      <c r="B713" s="2" t="s">
        <v>1738</v>
      </c>
      <c r="C713" s="2" t="s">
        <v>47</v>
      </c>
      <c r="D713" s="2" t="s">
        <v>18</v>
      </c>
      <c r="E713" s="5">
        <v>-29117</v>
      </c>
      <c r="F713" s="3" t="s">
        <v>1451</v>
      </c>
      <c r="G713" s="3" t="s">
        <v>1452</v>
      </c>
      <c r="H713" s="2" t="s">
        <v>21</v>
      </c>
      <c r="I713" s="2" t="s">
        <v>1739</v>
      </c>
      <c r="J713" s="3" t="str">
        <f>HYPERLINK("https://www.boe.es/gazeta/dias/1820/04/11/pdfs/GMD-1820-64.pdf#page=8","Abrir facsímil")</f>
        <v>Abrir facsímil</v>
      </c>
      <c r="K713" s="3" t="s">
        <v>23</v>
      </c>
    </row>
    <row r="714" spans="1:11" ht="42" customHeight="1">
      <c r="A714" s="2" t="s">
        <v>1740</v>
      </c>
      <c r="B714" s="2" t="s">
        <v>1741</v>
      </c>
      <c r="C714" s="2" t="s">
        <v>17</v>
      </c>
      <c r="D714" s="2" t="s">
        <v>18</v>
      </c>
      <c r="E714" s="5">
        <v>-29150</v>
      </c>
      <c r="F714" s="3" t="s">
        <v>299</v>
      </c>
      <c r="G714" s="3" t="s">
        <v>256</v>
      </c>
      <c r="H714" s="2" t="s">
        <v>21</v>
      </c>
      <c r="I714" s="2" t="s">
        <v>1742</v>
      </c>
      <c r="J714" s="3" t="str">
        <f>HYPERLINK("https://www.boe.es/gazeta/dias/1820/03/09/pdfs/GMD-1820-32.pdf#page=5","Abrir facsímil")</f>
        <v>Abrir facsímil</v>
      </c>
      <c r="K714" s="3" t="s">
        <v>23</v>
      </c>
    </row>
    <row r="715" spans="1:11" ht="42" customHeight="1">
      <c r="A715" s="2" t="s">
        <v>1743</v>
      </c>
      <c r="B715" s="2" t="s">
        <v>1744</v>
      </c>
      <c r="C715" s="2" t="s">
        <v>26</v>
      </c>
      <c r="D715" s="2" t="s">
        <v>27</v>
      </c>
      <c r="E715" s="5">
        <v>-29029</v>
      </c>
      <c r="F715" s="3" t="s">
        <v>282</v>
      </c>
      <c r="G715" s="3" t="s">
        <v>20</v>
      </c>
      <c r="H715" s="2" t="s">
        <v>21</v>
      </c>
      <c r="I715" s="2" t="s">
        <v>1745</v>
      </c>
      <c r="J715" s="3" t="str">
        <f>HYPERLINK("https://www.boe.es/gazeta/dias/1820/07/08/pdfs/GGB-1820-9.pdf#page=4","Abrir facsímil")</f>
        <v>Abrir facsímil</v>
      </c>
      <c r="K715" s="3" t="s">
        <v>23</v>
      </c>
    </row>
    <row r="716" spans="1:11" ht="42" customHeight="1">
      <c r="A716" s="2" t="s">
        <v>1746</v>
      </c>
      <c r="B716" s="2" t="s">
        <v>1747</v>
      </c>
      <c r="C716" s="2" t="s">
        <v>47</v>
      </c>
      <c r="D716" s="2" t="s">
        <v>18</v>
      </c>
      <c r="E716" s="5">
        <v>-28941</v>
      </c>
      <c r="F716" s="3" t="s">
        <v>1727</v>
      </c>
      <c r="G716" s="3" t="s">
        <v>43</v>
      </c>
      <c r="H716" s="2" t="s">
        <v>21</v>
      </c>
      <c r="I716" s="2" t="s">
        <v>1748</v>
      </c>
      <c r="J716" s="3" t="str">
        <f>HYPERLINK("https://www.boe.es/gazeta/dias/1820/10/04/pdfs/GGB-1820-98.pdf#page=2","Abrir facsímil")</f>
        <v>Abrir facsímil</v>
      </c>
      <c r="K716" s="3" t="s">
        <v>23</v>
      </c>
    </row>
    <row r="717" spans="1:11" ht="42" customHeight="1">
      <c r="A717" s="2" t="s">
        <v>1749</v>
      </c>
      <c r="B717" s="2" t="s">
        <v>1750</v>
      </c>
      <c r="C717" s="2" t="s">
        <v>26</v>
      </c>
      <c r="D717" s="2" t="s">
        <v>27</v>
      </c>
      <c r="E717" s="5">
        <v>-29173</v>
      </c>
      <c r="F717" s="3" t="s">
        <v>829</v>
      </c>
      <c r="G717" s="3" t="s">
        <v>256</v>
      </c>
      <c r="H717" s="2" t="s">
        <v>21</v>
      </c>
      <c r="I717" s="2" t="s">
        <v>1751</v>
      </c>
      <c r="J717" s="3" t="str">
        <f>HYPERLINK("https://www.boe.es/gazeta/dias/1820/02/15/pdfs/GMD-1820-20.pdf#page=5","Abrir facsímil")</f>
        <v>Abrir facsímil</v>
      </c>
      <c r="K717" s="3" t="s">
        <v>23</v>
      </c>
    </row>
    <row r="718" spans="1:11" ht="42" customHeight="1">
      <c r="A718" s="2" t="s">
        <v>1752</v>
      </c>
      <c r="B718" s="2" t="s">
        <v>1753</v>
      </c>
      <c r="C718" s="2" t="s">
        <v>26</v>
      </c>
      <c r="D718" s="2" t="s">
        <v>27</v>
      </c>
      <c r="E718" s="5">
        <v>-29218</v>
      </c>
      <c r="F718" s="3" t="s">
        <v>834</v>
      </c>
      <c r="G718" s="3" t="s">
        <v>20</v>
      </c>
      <c r="H718" s="2" t="s">
        <v>21</v>
      </c>
      <c r="I718" s="2" t="s">
        <v>1754</v>
      </c>
      <c r="J718" s="3" t="str">
        <f>HYPERLINK("https://www.boe.es/gazeta/dias/1820/01/01/pdfs/GMD-1820-1.pdf#page=4","Abrir facsímil")</f>
        <v>Abrir facsímil</v>
      </c>
      <c r="K718" s="3" t="s">
        <v>23</v>
      </c>
    </row>
    <row r="719" spans="1:11" ht="42" customHeight="1">
      <c r="A719" s="2" t="s">
        <v>1755</v>
      </c>
      <c r="B719" s="2" t="s">
        <v>1756</v>
      </c>
      <c r="C719" s="2" t="s">
        <v>35</v>
      </c>
      <c r="D719" s="2" t="s">
        <v>36</v>
      </c>
      <c r="E719" s="5">
        <v>-28977</v>
      </c>
      <c r="F719" s="3" t="s">
        <v>687</v>
      </c>
      <c r="G719" s="3" t="s">
        <v>20</v>
      </c>
      <c r="H719" s="2" t="s">
        <v>21</v>
      </c>
      <c r="I719" s="2" t="s">
        <v>1757</v>
      </c>
      <c r="J719" s="3" t="str">
        <f>HYPERLINK("https://www.boe.es/gazeta/dias/1820/08/29/pdfs/GGB-1820-62.pdf#page=4","Abrir facsímil")</f>
        <v>Abrir facsímil</v>
      </c>
      <c r="K719" s="3" t="s">
        <v>23</v>
      </c>
    </row>
    <row r="720" spans="1:11" ht="42" customHeight="1">
      <c r="A720" s="2" t="s">
        <v>1758</v>
      </c>
      <c r="B720" s="2" t="s">
        <v>1758</v>
      </c>
      <c r="C720" s="2" t="s">
        <v>26</v>
      </c>
      <c r="D720" s="2" t="s">
        <v>27</v>
      </c>
      <c r="E720" s="5">
        <v>-28970</v>
      </c>
      <c r="F720" s="3" t="s">
        <v>693</v>
      </c>
      <c r="G720" s="3" t="s">
        <v>128</v>
      </c>
      <c r="H720" s="2" t="s">
        <v>21</v>
      </c>
      <c r="I720" s="2" t="s">
        <v>1759</v>
      </c>
      <c r="J720" s="3" t="str">
        <f>HYPERLINK("https://www.boe.es/gazeta/dias/1820/09/05/pdfs/GGB-1820-69.pdf#page=1","Abrir facsímil")</f>
        <v>Abrir facsímil</v>
      </c>
      <c r="K720" s="3" t="s">
        <v>23</v>
      </c>
    </row>
    <row r="721" spans="1:11" ht="42" customHeight="1">
      <c r="A721" s="2" t="s">
        <v>1760</v>
      </c>
      <c r="B721" s="2" t="s">
        <v>1761</v>
      </c>
      <c r="C721" s="2" t="s">
        <v>26</v>
      </c>
      <c r="D721" s="2" t="s">
        <v>27</v>
      </c>
      <c r="E721" s="5">
        <v>-29019</v>
      </c>
      <c r="F721" s="3" t="s">
        <v>655</v>
      </c>
      <c r="G721" s="3" t="s">
        <v>62</v>
      </c>
      <c r="H721" s="2" t="s">
        <v>21</v>
      </c>
      <c r="I721" s="2" t="s">
        <v>1762</v>
      </c>
      <c r="J721" s="3" t="str">
        <f>HYPERLINK("https://www.boe.es/gazeta/dias/1820/07/18/pdfs/GGB-1820-20.pdf#page=3","Abrir facsímil")</f>
        <v>Abrir facsímil</v>
      </c>
      <c r="K721" s="3" t="s">
        <v>23</v>
      </c>
    </row>
    <row r="722" spans="1:11" ht="42" customHeight="1">
      <c r="A722" s="2" t="s">
        <v>1763</v>
      </c>
      <c r="B722" s="2" t="s">
        <v>1764</v>
      </c>
      <c r="C722" s="2" t="s">
        <v>17</v>
      </c>
      <c r="D722" s="2" t="s">
        <v>18</v>
      </c>
      <c r="E722" s="5">
        <v>-28931</v>
      </c>
      <c r="F722" s="3" t="s">
        <v>724</v>
      </c>
      <c r="G722" s="3" t="s">
        <v>20</v>
      </c>
      <c r="H722" s="2" t="s">
        <v>21</v>
      </c>
      <c r="I722" s="2" t="s">
        <v>1765</v>
      </c>
      <c r="J722" s="3" t="str">
        <f>HYPERLINK("https://www.boe.es/gazeta/dias/1820/10/14/pdfs/GGB-1820-108.pdf#page=4","Abrir facsímil")</f>
        <v>Abrir facsímil</v>
      </c>
      <c r="K722" s="3" t="s">
        <v>23</v>
      </c>
    </row>
    <row r="723" spans="1:11" ht="42" customHeight="1">
      <c r="A723" s="2" t="s">
        <v>1766</v>
      </c>
      <c r="B723" s="2" t="s">
        <v>1767</v>
      </c>
      <c r="C723" s="2" t="s">
        <v>35</v>
      </c>
      <c r="D723" s="2" t="s">
        <v>36</v>
      </c>
      <c r="E723" s="5">
        <v>-28931</v>
      </c>
      <c r="F723" s="3" t="s">
        <v>724</v>
      </c>
      <c r="G723" s="3" t="s">
        <v>43</v>
      </c>
      <c r="H723" s="2" t="s">
        <v>21</v>
      </c>
      <c r="I723" s="2" t="s">
        <v>1768</v>
      </c>
      <c r="J723" s="3" t="str">
        <f>HYPERLINK("https://www.boe.es/gazeta/dias/1820/10/14/pdfs/GGB-1820-108.pdf#page=2","Abrir facsímil")</f>
        <v>Abrir facsímil</v>
      </c>
      <c r="K723" s="3" t="s">
        <v>23</v>
      </c>
    </row>
    <row r="724" spans="1:11" ht="42" customHeight="1">
      <c r="A724" s="2" t="s">
        <v>1769</v>
      </c>
      <c r="B724" s="2" t="s">
        <v>1770</v>
      </c>
      <c r="C724" s="2" t="s">
        <v>17</v>
      </c>
      <c r="D724" s="2" t="s">
        <v>18</v>
      </c>
      <c r="E724" s="5">
        <v>-28866</v>
      </c>
      <c r="F724" s="3" t="s">
        <v>507</v>
      </c>
      <c r="G724" s="3" t="s">
        <v>62</v>
      </c>
      <c r="H724" s="2" t="s">
        <v>30</v>
      </c>
      <c r="I724" s="2" t="s">
        <v>1771</v>
      </c>
      <c r="J724" s="3" t="str">
        <f>HYPERLINK("https://www.boe.es/gazeta/dias/1820/12/18/pdfs/GGB-1820-175.pdf#page=3","Abrir facsímil")</f>
        <v>Abrir facsímil</v>
      </c>
      <c r="K724" s="3" t="s">
        <v>32</v>
      </c>
    </row>
    <row r="725" spans="1:11" ht="42" customHeight="1">
      <c r="A725" s="2" t="s">
        <v>1772</v>
      </c>
      <c r="B725" s="2" t="s">
        <v>1773</v>
      </c>
      <c r="C725" s="2" t="s">
        <v>26</v>
      </c>
      <c r="D725" s="2" t="s">
        <v>27</v>
      </c>
      <c r="E725" s="5">
        <v>-29178</v>
      </c>
      <c r="F725" s="3" t="s">
        <v>782</v>
      </c>
      <c r="G725" s="3" t="s">
        <v>256</v>
      </c>
      <c r="H725" s="2" t="s">
        <v>21</v>
      </c>
      <c r="I725" s="2" t="s">
        <v>1774</v>
      </c>
      <c r="J725" s="3" t="str">
        <f>HYPERLINK("https://www.boe.es/gazeta/dias/1820/02/10/pdfs/GMD-1820-18.pdf#page=5","Abrir facsímil")</f>
        <v>Abrir facsímil</v>
      </c>
      <c r="K725" s="3" t="s">
        <v>23</v>
      </c>
    </row>
    <row r="726" spans="1:11" ht="42" customHeight="1">
      <c r="A726" s="2" t="s">
        <v>1775</v>
      </c>
      <c r="B726" s="2" t="s">
        <v>1776</v>
      </c>
      <c r="C726" s="2" t="s">
        <v>26</v>
      </c>
      <c r="D726" s="2" t="s">
        <v>27</v>
      </c>
      <c r="E726" s="5">
        <v>-29138</v>
      </c>
      <c r="F726" s="3" t="s">
        <v>200</v>
      </c>
      <c r="G726" s="3" t="s">
        <v>201</v>
      </c>
      <c r="H726" s="2" t="s">
        <v>21</v>
      </c>
      <c r="I726" s="2" t="s">
        <v>1777</v>
      </c>
      <c r="J726" s="3" t="str">
        <f>HYPERLINK("https://www.boe.es/gazeta/dias/1820/03/21/pdfs/GMD-1820-46.pdf#page=7","Abrir facsímil")</f>
        <v>Abrir facsímil</v>
      </c>
      <c r="K726" s="3" t="s">
        <v>23</v>
      </c>
    </row>
    <row r="727" spans="1:11" ht="42" customHeight="1">
      <c r="A727" s="2" t="s">
        <v>1778</v>
      </c>
      <c r="B727" s="2" t="s">
        <v>1779</v>
      </c>
      <c r="C727" s="2" t="s">
        <v>26</v>
      </c>
      <c r="D727" s="2" t="s">
        <v>27</v>
      </c>
      <c r="E727" s="5">
        <v>-29215</v>
      </c>
      <c r="F727" s="3" t="s">
        <v>827</v>
      </c>
      <c r="G727" s="3" t="s">
        <v>295</v>
      </c>
      <c r="H727" s="2" t="s">
        <v>21</v>
      </c>
      <c r="I727" s="2" t="s">
        <v>1780</v>
      </c>
      <c r="J727" s="3" t="str">
        <f>HYPERLINK("https://www.boe.es/gazeta/dias/1820/01/04/pdfs/GMD-1820-2.pdf#page=8","Abrir facsímil")</f>
        <v>Abrir facsímil</v>
      </c>
      <c r="K727" s="3" t="s">
        <v>23</v>
      </c>
    </row>
    <row r="728" spans="1:11" ht="42" customHeight="1">
      <c r="A728" s="2" t="s">
        <v>1781</v>
      </c>
      <c r="B728" s="2" t="s">
        <v>1782</v>
      </c>
      <c r="C728" s="2" t="s">
        <v>111</v>
      </c>
      <c r="D728" s="2" t="s">
        <v>18</v>
      </c>
      <c r="E728" s="5">
        <v>-28898</v>
      </c>
      <c r="F728" s="3" t="s">
        <v>1405</v>
      </c>
      <c r="G728" s="3" t="s">
        <v>20</v>
      </c>
      <c r="H728" s="2" t="s">
        <v>21</v>
      </c>
      <c r="I728" s="2" t="s">
        <v>1783</v>
      </c>
      <c r="J728" s="3" t="str">
        <f>HYPERLINK("https://www.boe.es/gazeta/dias/1820/11/16/pdfs/GGB-1820-142.pdf#page=4","Abrir facsímil")</f>
        <v>Abrir facsímil</v>
      </c>
      <c r="K728" s="3" t="s">
        <v>23</v>
      </c>
    </row>
    <row r="729" spans="1:11" ht="42" customHeight="1">
      <c r="A729" s="2" t="s">
        <v>1784</v>
      </c>
      <c r="B729" s="2" t="s">
        <v>1784</v>
      </c>
      <c r="C729" s="2" t="s">
        <v>26</v>
      </c>
      <c r="D729" s="2" t="s">
        <v>27</v>
      </c>
      <c r="E729" s="5">
        <v>-28956</v>
      </c>
      <c r="F729" s="3" t="s">
        <v>190</v>
      </c>
      <c r="G729" s="3" t="s">
        <v>128</v>
      </c>
      <c r="H729" s="2" t="s">
        <v>21</v>
      </c>
      <c r="I729" s="2" t="s">
        <v>1785</v>
      </c>
      <c r="J729" s="3" t="str">
        <f>HYPERLINK("https://www.boe.es/gazeta/dias/1820/09/19/pdfs/GGB-1820-83.pdf#page=1","Abrir facsímil")</f>
        <v>Abrir facsímil</v>
      </c>
      <c r="K729" s="3" t="s">
        <v>23</v>
      </c>
    </row>
    <row r="730" spans="1:11" ht="42" customHeight="1">
      <c r="A730" s="2" t="s">
        <v>1786</v>
      </c>
      <c r="B730" s="2" t="s">
        <v>1787</v>
      </c>
      <c r="C730" s="2" t="s">
        <v>26</v>
      </c>
      <c r="D730" s="2" t="s">
        <v>27</v>
      </c>
      <c r="E730" s="5">
        <v>-29141</v>
      </c>
      <c r="F730" s="3" t="s">
        <v>319</v>
      </c>
      <c r="G730" s="3" t="s">
        <v>295</v>
      </c>
      <c r="H730" s="2" t="s">
        <v>21</v>
      </c>
      <c r="I730" s="2" t="s">
        <v>1788</v>
      </c>
      <c r="J730" s="3" t="str">
        <f>HYPERLINK("https://www.boe.es/gazeta/dias/1820/03/18/pdfs/GMD-1820-44.pdf#page=8","Abrir facsímil")</f>
        <v>Abrir facsímil</v>
      </c>
      <c r="K730" s="3" t="s">
        <v>23</v>
      </c>
    </row>
    <row r="731" spans="1:11" ht="42" customHeight="1">
      <c r="A731" s="2" t="s">
        <v>1789</v>
      </c>
      <c r="B731" s="2" t="s">
        <v>1790</v>
      </c>
      <c r="C731" s="2" t="s">
        <v>26</v>
      </c>
      <c r="D731" s="2" t="s">
        <v>27</v>
      </c>
      <c r="E731" s="5">
        <v>-28894</v>
      </c>
      <c r="F731" s="3" t="s">
        <v>469</v>
      </c>
      <c r="G731" s="3" t="s">
        <v>20</v>
      </c>
      <c r="H731" s="2" t="s">
        <v>21</v>
      </c>
      <c r="I731" s="2" t="s">
        <v>1791</v>
      </c>
      <c r="J731" s="3" t="str">
        <f>HYPERLINK("https://www.boe.es/gazeta/dias/1820/11/20/pdfs/GGB-1820-147.pdf#page=4","Abrir facsímil")</f>
        <v>Abrir facsímil</v>
      </c>
      <c r="K731" s="3" t="s">
        <v>23</v>
      </c>
    </row>
    <row r="732" spans="1:11" ht="42" customHeight="1">
      <c r="A732" s="2" t="s">
        <v>1792</v>
      </c>
      <c r="B732" s="2" t="s">
        <v>1793</v>
      </c>
      <c r="C732" s="2" t="s">
        <v>26</v>
      </c>
      <c r="D732" s="2" t="s">
        <v>27</v>
      </c>
      <c r="E732" s="5">
        <v>-29213</v>
      </c>
      <c r="F732" s="3" t="s">
        <v>195</v>
      </c>
      <c r="G732" s="3" t="s">
        <v>196</v>
      </c>
      <c r="H732" s="2" t="s">
        <v>30</v>
      </c>
      <c r="I732" s="2" t="s">
        <v>1794</v>
      </c>
      <c r="J732" s="3" t="str">
        <f>HYPERLINK("https://www.boe.es/gazeta/dias/1820/01/06/pdfs/GMD-1820-3.pdf#page=11","Abrir facsímil")</f>
        <v>Abrir facsímil</v>
      </c>
      <c r="K732" s="3" t="s">
        <v>32</v>
      </c>
    </row>
    <row r="733" spans="1:11" ht="42" customHeight="1">
      <c r="A733" s="2" t="s">
        <v>1795</v>
      </c>
      <c r="B733" s="2" t="s">
        <v>1796</v>
      </c>
      <c r="C733" s="2" t="s">
        <v>293</v>
      </c>
      <c r="D733" s="2" t="s">
        <v>18</v>
      </c>
      <c r="E733" s="5">
        <v>-29197</v>
      </c>
      <c r="F733" s="3" t="s">
        <v>48</v>
      </c>
      <c r="G733" s="3" t="s">
        <v>201</v>
      </c>
      <c r="H733" s="2" t="s">
        <v>21</v>
      </c>
      <c r="I733" s="2" t="s">
        <v>1797</v>
      </c>
      <c r="J733" s="3" t="str">
        <f>HYPERLINK("https://www.boe.es/gazeta/dias/1820/01/22/pdfs/GMD-1820-10.pdf#page=7","Abrir facsímil")</f>
        <v>Abrir facsímil</v>
      </c>
      <c r="K733" s="3" t="s">
        <v>23</v>
      </c>
    </row>
    <row r="734" spans="1:11" ht="42" customHeight="1">
      <c r="A734" s="2" t="s">
        <v>1798</v>
      </c>
      <c r="B734" s="2" t="s">
        <v>1799</v>
      </c>
      <c r="C734" s="2" t="s">
        <v>26</v>
      </c>
      <c r="D734" s="2" t="s">
        <v>27</v>
      </c>
      <c r="E734" s="5">
        <v>-28924</v>
      </c>
      <c r="F734" s="3" t="s">
        <v>78</v>
      </c>
      <c r="G734" s="3" t="s">
        <v>43</v>
      </c>
      <c r="H734" s="2" t="s">
        <v>21</v>
      </c>
      <c r="I734" s="2" t="s">
        <v>1800</v>
      </c>
      <c r="J734" s="3" t="str">
        <f>HYPERLINK("https://www.boe.es/gazeta/dias/1820/10/21/pdfs/GGB-1820-115.pdf#page=2","Abrir facsímil")</f>
        <v>Abrir facsímil</v>
      </c>
      <c r="K734" s="3" t="s">
        <v>23</v>
      </c>
    </row>
    <row r="735" spans="1:11" ht="42" customHeight="1">
      <c r="A735" s="2" t="s">
        <v>1801</v>
      </c>
      <c r="B735" s="2" t="s">
        <v>1802</v>
      </c>
      <c r="C735" s="2" t="s">
        <v>17</v>
      </c>
      <c r="D735" s="2" t="s">
        <v>18</v>
      </c>
      <c r="E735" s="5">
        <v>-28931</v>
      </c>
      <c r="F735" s="3" t="s">
        <v>724</v>
      </c>
      <c r="G735" s="3" t="s">
        <v>20</v>
      </c>
      <c r="H735" s="2" t="s">
        <v>30</v>
      </c>
      <c r="I735" s="2" t="s">
        <v>1803</v>
      </c>
      <c r="J735" s="3" t="str">
        <f>HYPERLINK("https://www.boe.es/gazeta/dias/1820/10/14/pdfs/GGB-1820-108.pdf#page=4","Abrir facsímil")</f>
        <v>Abrir facsímil</v>
      </c>
      <c r="K735" s="3" t="s">
        <v>32</v>
      </c>
    </row>
    <row r="736" spans="1:11" ht="42" customHeight="1">
      <c r="A736" s="2" t="s">
        <v>1804</v>
      </c>
      <c r="B736" s="2" t="s">
        <v>1804</v>
      </c>
      <c r="C736" s="2" t="s">
        <v>35</v>
      </c>
      <c r="D736" s="2" t="s">
        <v>36</v>
      </c>
      <c r="E736" s="5">
        <v>-29148</v>
      </c>
      <c r="F736" s="3" t="s">
        <v>493</v>
      </c>
      <c r="G736" s="3" t="s">
        <v>1805</v>
      </c>
      <c r="H736" s="2" t="s">
        <v>21</v>
      </c>
      <c r="I736" s="2" t="s">
        <v>1806</v>
      </c>
      <c r="J736" s="3" t="str">
        <f>HYPERLINK("https://www.boe.es/gazeta/dias/1820/03/11/pdfs/GMD-1820-36.pdf#page=5","Abrir facsímil")</f>
        <v>Abrir facsímil</v>
      </c>
      <c r="K736" s="3" t="s">
        <v>23</v>
      </c>
    </row>
    <row r="737" spans="1:11" ht="42" customHeight="1">
      <c r="A737" s="2" t="s">
        <v>1804</v>
      </c>
      <c r="B737" s="2" t="s">
        <v>1804</v>
      </c>
      <c r="C737" s="2" t="s">
        <v>26</v>
      </c>
      <c r="D737" s="2" t="s">
        <v>27</v>
      </c>
      <c r="E737" s="5">
        <v>-29001</v>
      </c>
      <c r="F737" s="3" t="s">
        <v>633</v>
      </c>
      <c r="G737" s="3" t="s">
        <v>128</v>
      </c>
      <c r="H737" s="2" t="s">
        <v>21</v>
      </c>
      <c r="I737" s="2" t="s">
        <v>1807</v>
      </c>
      <c r="J737" s="3" t="str">
        <f>HYPERLINK("https://www.boe.es/gazeta/dias/1820/08/05/pdfs/GGB-1820-38.pdf#page=1","Abrir facsímil")</f>
        <v>Abrir facsímil</v>
      </c>
      <c r="K737" s="3" t="s">
        <v>23</v>
      </c>
    </row>
    <row r="738" spans="1:11" ht="42" customHeight="1">
      <c r="A738" s="2" t="s">
        <v>1804</v>
      </c>
      <c r="B738" s="2" t="s">
        <v>1804</v>
      </c>
      <c r="C738" s="2" t="s">
        <v>1808</v>
      </c>
      <c r="D738" s="2" t="s">
        <v>36</v>
      </c>
      <c r="E738" s="5">
        <v>-28939</v>
      </c>
      <c r="F738" s="3" t="s">
        <v>992</v>
      </c>
      <c r="G738" s="3" t="s">
        <v>128</v>
      </c>
      <c r="H738" s="2" t="s">
        <v>21</v>
      </c>
      <c r="I738" s="2" t="s">
        <v>1809</v>
      </c>
      <c r="J738" s="3" t="str">
        <f>HYPERLINK("https://www.boe.es/gazeta/dias/1820/10/06/pdfs/GGB-1820-100.pdf#page=1","Abrir facsímil")</f>
        <v>Abrir facsímil</v>
      </c>
      <c r="K738" s="3" t="s">
        <v>23</v>
      </c>
    </row>
    <row r="739" spans="1:11" ht="42" customHeight="1">
      <c r="A739" s="2" t="s">
        <v>1804</v>
      </c>
      <c r="B739" s="2" t="s">
        <v>1804</v>
      </c>
      <c r="C739" s="2" t="s">
        <v>35</v>
      </c>
      <c r="D739" s="2" t="s">
        <v>36</v>
      </c>
      <c r="E739" s="5">
        <v>-28918</v>
      </c>
      <c r="F739" s="3" t="s">
        <v>160</v>
      </c>
      <c r="G739" s="3" t="s">
        <v>43</v>
      </c>
      <c r="H739" s="2" t="s">
        <v>21</v>
      </c>
      <c r="I739" s="2" t="s">
        <v>1810</v>
      </c>
      <c r="J739" s="3" t="str">
        <f>HYPERLINK("https://www.boe.es/gazeta/dias/1820/10/27/pdfs/GGB-1820-121.pdf#page=2","Abrir facsímil")</f>
        <v>Abrir facsímil</v>
      </c>
      <c r="K739" s="3" t="s">
        <v>23</v>
      </c>
    </row>
    <row r="740" spans="1:11" ht="42" customHeight="1">
      <c r="A740" s="2" t="s">
        <v>1811</v>
      </c>
      <c r="B740" s="2" t="s">
        <v>1812</v>
      </c>
      <c r="C740" s="2" t="s">
        <v>35</v>
      </c>
      <c r="D740" s="2" t="s">
        <v>36</v>
      </c>
      <c r="E740" s="5">
        <v>-29120</v>
      </c>
      <c r="F740" s="3" t="s">
        <v>852</v>
      </c>
      <c r="G740" s="3" t="s">
        <v>201</v>
      </c>
      <c r="H740" s="2" t="s">
        <v>21</v>
      </c>
      <c r="I740" s="2" t="s">
        <v>1813</v>
      </c>
      <c r="J740" s="3" t="str">
        <f>HYPERLINK("https://www.boe.es/gazeta/dias/1820/04/08/pdfs/GMD-1820-63.pdf#page=7","Abrir facsímil")</f>
        <v>Abrir facsímil</v>
      </c>
      <c r="K740" s="3" t="s">
        <v>23</v>
      </c>
    </row>
    <row r="741" spans="1:11" ht="42" customHeight="1">
      <c r="A741" s="2" t="s">
        <v>1814</v>
      </c>
      <c r="B741" s="2" t="s">
        <v>1815</v>
      </c>
      <c r="C741" s="2" t="s">
        <v>107</v>
      </c>
      <c r="D741" s="2" t="s">
        <v>18</v>
      </c>
      <c r="E741" s="5">
        <v>-29138</v>
      </c>
      <c r="F741" s="3" t="s">
        <v>200</v>
      </c>
      <c r="G741" s="3" t="s">
        <v>201</v>
      </c>
      <c r="H741" s="2" t="s">
        <v>21</v>
      </c>
      <c r="I741" s="2" t="s">
        <v>1816</v>
      </c>
      <c r="J741" s="3" t="str">
        <f>HYPERLINK("https://www.boe.es/gazeta/dias/1820/03/21/pdfs/GMD-1820-46.pdf#page=7","Abrir facsímil")</f>
        <v>Abrir facsímil</v>
      </c>
      <c r="K741" s="3" t="s">
        <v>23</v>
      </c>
    </row>
    <row r="742" spans="1:11" ht="42" customHeight="1">
      <c r="A742" s="2" t="s">
        <v>1817</v>
      </c>
      <c r="B742" s="2" t="s">
        <v>1818</v>
      </c>
      <c r="C742" s="2" t="s">
        <v>35</v>
      </c>
      <c r="D742" s="2" t="s">
        <v>36</v>
      </c>
      <c r="E742" s="5">
        <v>-29078</v>
      </c>
      <c r="F742" s="3" t="s">
        <v>260</v>
      </c>
      <c r="G742" s="3" t="s">
        <v>261</v>
      </c>
      <c r="H742" s="2" t="s">
        <v>21</v>
      </c>
      <c r="I742" s="2" t="s">
        <v>1819</v>
      </c>
      <c r="J742" s="3" t="str">
        <f>HYPERLINK("https://www.boe.es/gazeta/dias/1820/05/20/pdfs/GMD-1820-83.pdf#page=9","Abrir facsímil")</f>
        <v>Abrir facsímil</v>
      </c>
      <c r="K742" s="3" t="s">
        <v>23</v>
      </c>
    </row>
    <row r="743" spans="1:11" ht="42" customHeight="1">
      <c r="A743" s="2" t="s">
        <v>1820</v>
      </c>
      <c r="B743" s="2" t="s">
        <v>1820</v>
      </c>
      <c r="C743" s="2" t="s">
        <v>26</v>
      </c>
      <c r="D743" s="2" t="s">
        <v>27</v>
      </c>
      <c r="E743" s="5">
        <v>-28976</v>
      </c>
      <c r="F743" s="3" t="s">
        <v>689</v>
      </c>
      <c r="G743" s="3" t="s">
        <v>128</v>
      </c>
      <c r="H743" s="2" t="s">
        <v>21</v>
      </c>
      <c r="I743" s="2" t="s">
        <v>1821</v>
      </c>
      <c r="J743" s="3" t="str">
        <f>HYPERLINK("https://www.boe.es/gazeta/dias/1820/08/30/pdfs/GGB-1820-63.pdf#page=1","Abrir facsímil")</f>
        <v>Abrir facsímil</v>
      </c>
      <c r="K743" s="3" t="s">
        <v>23</v>
      </c>
    </row>
    <row r="744" spans="1:11" ht="42" customHeight="1">
      <c r="A744" s="2" t="s">
        <v>1820</v>
      </c>
      <c r="B744" s="2" t="s">
        <v>1820</v>
      </c>
      <c r="C744" s="2" t="s">
        <v>74</v>
      </c>
      <c r="D744" s="2" t="s">
        <v>18</v>
      </c>
      <c r="E744" s="5">
        <v>-28874</v>
      </c>
      <c r="F744" s="3" t="s">
        <v>103</v>
      </c>
      <c r="G744" s="3" t="s">
        <v>1822</v>
      </c>
      <c r="H744" s="2" t="s">
        <v>21</v>
      </c>
      <c r="I744" s="2" t="s">
        <v>1823</v>
      </c>
      <c r="J744" s="3" t="str">
        <f>HYPERLINK("https://www.boe.es/gazeta/dias/1820/12/10/pdfs/GGB-1820-167.pdf#page=1","Abrir facsímil")</f>
        <v>Abrir facsímil</v>
      </c>
      <c r="K744" s="3" t="s">
        <v>23</v>
      </c>
    </row>
    <row r="745" spans="1:11" ht="42" customHeight="1">
      <c r="A745" s="2" t="s">
        <v>1824</v>
      </c>
      <c r="B745" s="2" t="s">
        <v>1825</v>
      </c>
      <c r="C745" s="2" t="s">
        <v>26</v>
      </c>
      <c r="D745" s="2" t="s">
        <v>27</v>
      </c>
      <c r="E745" s="5">
        <v>-28931</v>
      </c>
      <c r="F745" s="3" t="s">
        <v>724</v>
      </c>
      <c r="G745" s="3" t="s">
        <v>20</v>
      </c>
      <c r="H745" s="2" t="s">
        <v>21</v>
      </c>
      <c r="I745" s="2" t="s">
        <v>1826</v>
      </c>
      <c r="J745" s="3" t="str">
        <f>HYPERLINK("https://www.boe.es/gazeta/dias/1820/10/14/pdfs/GGB-1820-108.pdf#page=4","Abrir facsímil")</f>
        <v>Abrir facsímil</v>
      </c>
      <c r="K745" s="3" t="s">
        <v>23</v>
      </c>
    </row>
    <row r="746" spans="1:11" ht="42" customHeight="1">
      <c r="A746" s="2" t="s">
        <v>1827</v>
      </c>
      <c r="B746" s="2" t="s">
        <v>1828</v>
      </c>
      <c r="C746" s="2" t="s">
        <v>35</v>
      </c>
      <c r="D746" s="2" t="s">
        <v>36</v>
      </c>
      <c r="E746" s="5">
        <v>-29012</v>
      </c>
      <c r="F746" s="3" t="s">
        <v>72</v>
      </c>
      <c r="G746" s="3" t="s">
        <v>661</v>
      </c>
      <c r="H746" s="2" t="s">
        <v>21</v>
      </c>
      <c r="I746" s="2" t="s">
        <v>1829</v>
      </c>
      <c r="J746" s="3" t="str">
        <f>HYPERLINK("https://www.boe.es/gazeta/dias/1820/07/25/pdfs/GGB-1820-27.pdf#page=2","Abrir facsímil")</f>
        <v>Abrir facsímil</v>
      </c>
      <c r="K746" s="3" t="s">
        <v>23</v>
      </c>
    </row>
    <row r="747" spans="1:11" ht="42" customHeight="1">
      <c r="A747" s="2" t="s">
        <v>1830</v>
      </c>
      <c r="B747" s="2" t="s">
        <v>1831</v>
      </c>
      <c r="C747" s="2" t="s">
        <v>26</v>
      </c>
      <c r="D747" s="2" t="s">
        <v>27</v>
      </c>
      <c r="E747" s="5">
        <v>-28959</v>
      </c>
      <c r="F747" s="3" t="s">
        <v>37</v>
      </c>
      <c r="G747" s="3" t="s">
        <v>38</v>
      </c>
      <c r="H747" s="2" t="s">
        <v>21</v>
      </c>
      <c r="I747" s="2" t="s">
        <v>1832</v>
      </c>
      <c r="J747" s="3" t="str">
        <f>HYPERLINK("https://www.boe.es/gazeta/dias/1820/09/16/pdfs/GGB-1820-80.pdf#page=6","Abrir facsímil")</f>
        <v>Abrir facsímil</v>
      </c>
      <c r="K747" s="3" t="s">
        <v>23</v>
      </c>
    </row>
    <row r="748" spans="1:11" ht="42" customHeight="1">
      <c r="A748" s="2" t="s">
        <v>1833</v>
      </c>
      <c r="B748" s="2" t="s">
        <v>1834</v>
      </c>
      <c r="C748" s="2" t="s">
        <v>26</v>
      </c>
      <c r="D748" s="2" t="s">
        <v>27</v>
      </c>
      <c r="E748" s="5">
        <v>-29129</v>
      </c>
      <c r="F748" s="3" t="s">
        <v>269</v>
      </c>
      <c r="G748" s="3" t="s">
        <v>553</v>
      </c>
      <c r="H748" s="2" t="s">
        <v>21</v>
      </c>
      <c r="I748" s="2" t="s">
        <v>1835</v>
      </c>
      <c r="J748" s="3" t="str">
        <f>HYPERLINK("https://www.boe.es/gazeta/dias/1820/03/30/pdfs/GMD-1820-58.pdf#page=10","Abrir facsímil")</f>
        <v>Abrir facsímil</v>
      </c>
      <c r="K748" s="3" t="s">
        <v>23</v>
      </c>
    </row>
    <row r="749" spans="1:11" ht="42" customHeight="1">
      <c r="A749" s="2" t="s">
        <v>1836</v>
      </c>
      <c r="B749" s="2" t="s">
        <v>1836</v>
      </c>
      <c r="C749" s="2" t="s">
        <v>26</v>
      </c>
      <c r="D749" s="2" t="s">
        <v>27</v>
      </c>
      <c r="E749" s="5">
        <v>-29000</v>
      </c>
      <c r="F749" s="3" t="s">
        <v>670</v>
      </c>
      <c r="G749" s="3" t="s">
        <v>128</v>
      </c>
      <c r="H749" s="2" t="s">
        <v>21</v>
      </c>
      <c r="I749" s="2" t="s">
        <v>1837</v>
      </c>
      <c r="J749" s="3" t="str">
        <f>HYPERLINK("https://www.boe.es/gazeta/dias/1820/08/06/pdfs/GGB-1820-39.pdf#page=1","Abrir facsímil")</f>
        <v>Abrir facsímil</v>
      </c>
      <c r="K749" s="3" t="s">
        <v>23</v>
      </c>
    </row>
    <row r="750" spans="1:11" ht="42" customHeight="1">
      <c r="A750" s="2" t="s">
        <v>1838</v>
      </c>
      <c r="B750" s="2" t="s">
        <v>1839</v>
      </c>
      <c r="C750" s="2" t="s">
        <v>26</v>
      </c>
      <c r="D750" s="2" t="s">
        <v>27</v>
      </c>
      <c r="E750" s="5">
        <v>-28865</v>
      </c>
      <c r="F750" s="3" t="s">
        <v>136</v>
      </c>
      <c r="G750" s="3" t="s">
        <v>137</v>
      </c>
      <c r="H750" s="2" t="s">
        <v>21</v>
      </c>
      <c r="I750" s="2" t="s">
        <v>1840</v>
      </c>
      <c r="J750" s="3" t="str">
        <f>HYPERLINK("https://www.boe.es/gazeta/dias/1820/12/19/pdfs/GGB-1820-176.pdf#page=3","Abrir facsímil")</f>
        <v>Abrir facsímil</v>
      </c>
      <c r="K750" s="3" t="s">
        <v>23</v>
      </c>
    </row>
    <row r="751" spans="1:11" ht="42" customHeight="1">
      <c r="A751" s="2" t="s">
        <v>1841</v>
      </c>
      <c r="B751" s="2" t="s">
        <v>1842</v>
      </c>
      <c r="C751" s="2" t="s">
        <v>17</v>
      </c>
      <c r="D751" s="2" t="s">
        <v>18</v>
      </c>
      <c r="E751" s="5">
        <v>-29138</v>
      </c>
      <c r="F751" s="3" t="s">
        <v>200</v>
      </c>
      <c r="G751" s="3" t="s">
        <v>201</v>
      </c>
      <c r="H751" s="2" t="s">
        <v>21</v>
      </c>
      <c r="I751" s="2" t="s">
        <v>1843</v>
      </c>
      <c r="J751" s="3" t="str">
        <f>HYPERLINK("https://www.boe.es/gazeta/dias/1820/03/21/pdfs/GMD-1820-46.pdf#page=7","Abrir facsímil")</f>
        <v>Abrir facsímil</v>
      </c>
      <c r="K751" s="3" t="s">
        <v>23</v>
      </c>
    </row>
    <row r="752" spans="1:11" ht="42" customHeight="1">
      <c r="A752" s="2" t="s">
        <v>1844</v>
      </c>
      <c r="B752" s="2" t="s">
        <v>1845</v>
      </c>
      <c r="C752" s="2" t="s">
        <v>107</v>
      </c>
      <c r="D752" s="2" t="s">
        <v>18</v>
      </c>
      <c r="E752" s="5">
        <v>-29171</v>
      </c>
      <c r="F752" s="3" t="s">
        <v>764</v>
      </c>
      <c r="G752" s="3" t="s">
        <v>295</v>
      </c>
      <c r="H752" s="2" t="s">
        <v>21</v>
      </c>
      <c r="I752" s="2" t="s">
        <v>1846</v>
      </c>
      <c r="J752" s="3" t="str">
        <f>HYPERLINK("https://www.boe.es/gazeta/dias/1820/02/17/pdfs/GMD-1820-21.pdf#page=8","Abrir facsímil")</f>
        <v>Abrir facsímil</v>
      </c>
      <c r="K752" s="3" t="s">
        <v>23</v>
      </c>
    </row>
    <row r="753" spans="1:11" ht="42" customHeight="1">
      <c r="A753" s="2" t="s">
        <v>1847</v>
      </c>
      <c r="B753" s="2" t="s">
        <v>1848</v>
      </c>
      <c r="C753" s="2" t="s">
        <v>26</v>
      </c>
      <c r="D753" s="2" t="s">
        <v>27</v>
      </c>
      <c r="E753" s="5">
        <v>-28943</v>
      </c>
      <c r="F753" s="3" t="s">
        <v>1403</v>
      </c>
      <c r="G753" s="3" t="s">
        <v>1710</v>
      </c>
      <c r="H753" s="2" t="s">
        <v>21</v>
      </c>
      <c r="I753" s="2" t="s">
        <v>1849</v>
      </c>
      <c r="J753" s="3" t="str">
        <f>HYPERLINK("https://www.boe.es/gazeta/dias/1820/10/02/pdfs/GGB-1820-96.pdf#page=4","Abrir facsímil")</f>
        <v>Abrir facsímil</v>
      </c>
      <c r="K753" s="3" t="s">
        <v>23</v>
      </c>
    </row>
    <row r="754" spans="1:11" ht="42" customHeight="1">
      <c r="A754" s="2" t="s">
        <v>1850</v>
      </c>
      <c r="B754" s="2" t="s">
        <v>1850</v>
      </c>
      <c r="C754" s="2" t="s">
        <v>111</v>
      </c>
      <c r="D754" s="2" t="s">
        <v>18</v>
      </c>
      <c r="E754" s="5">
        <v>-29199</v>
      </c>
      <c r="F754" s="3" t="s">
        <v>1178</v>
      </c>
      <c r="G754" s="3" t="s">
        <v>62</v>
      </c>
      <c r="H754" s="2" t="s">
        <v>21</v>
      </c>
      <c r="I754" s="2" t="s">
        <v>1851</v>
      </c>
      <c r="J754" s="3" t="str">
        <f>HYPERLINK("https://www.boe.es/gazeta/dias/1820/01/20/pdfs/GMD-1820-9.pdf#page=3","Abrir facsímil")</f>
        <v>Abrir facsímil</v>
      </c>
      <c r="K754" s="3" t="s">
        <v>23</v>
      </c>
    </row>
    <row r="755" spans="1:11" ht="42" customHeight="1">
      <c r="A755" s="2" t="s">
        <v>1852</v>
      </c>
      <c r="B755" s="2" t="s">
        <v>1852</v>
      </c>
      <c r="C755" s="2" t="s">
        <v>26</v>
      </c>
      <c r="D755" s="2" t="s">
        <v>27</v>
      </c>
      <c r="E755" s="5">
        <v>-28944</v>
      </c>
      <c r="F755" s="3" t="s">
        <v>990</v>
      </c>
      <c r="G755" s="3" t="s">
        <v>128</v>
      </c>
      <c r="H755" s="2" t="s">
        <v>21</v>
      </c>
      <c r="I755" s="2" t="s">
        <v>1853</v>
      </c>
      <c r="J755" s="3" t="str">
        <f>HYPERLINK("https://www.boe.es/gazeta/dias/1820/10/01/pdfs/GGB-1820-95.pdf#page=1","Abrir facsímil")</f>
        <v>Abrir facsímil</v>
      </c>
      <c r="K755" s="3" t="s">
        <v>23</v>
      </c>
    </row>
    <row r="756" spans="1:11" ht="42" customHeight="1">
      <c r="A756" s="2" t="s">
        <v>1854</v>
      </c>
      <c r="B756" s="2" t="s">
        <v>1855</v>
      </c>
      <c r="C756" s="2" t="s">
        <v>35</v>
      </c>
      <c r="D756" s="2" t="s">
        <v>36</v>
      </c>
      <c r="E756" s="5">
        <v>-28946</v>
      </c>
      <c r="F756" s="3" t="s">
        <v>1055</v>
      </c>
      <c r="G756" s="3" t="s">
        <v>20</v>
      </c>
      <c r="H756" s="2" t="s">
        <v>21</v>
      </c>
      <c r="I756" s="2" t="s">
        <v>1856</v>
      </c>
      <c r="J756" s="3" t="str">
        <f>HYPERLINK("https://www.boe.es/gazeta/dias/1820/09/29/pdfs/GGB-1820-93.pdf#page=4","Abrir facsímil")</f>
        <v>Abrir facsímil</v>
      </c>
      <c r="K756" s="3" t="s">
        <v>23</v>
      </c>
    </row>
    <row r="757" spans="1:11" ht="42" customHeight="1">
      <c r="A757" s="2" t="s">
        <v>1857</v>
      </c>
      <c r="B757" s="2" t="s">
        <v>1858</v>
      </c>
      <c r="C757" s="2" t="s">
        <v>17</v>
      </c>
      <c r="D757" s="2" t="s">
        <v>18</v>
      </c>
      <c r="E757" s="5">
        <v>-29171</v>
      </c>
      <c r="F757" s="3" t="s">
        <v>764</v>
      </c>
      <c r="G757" s="3" t="s">
        <v>20</v>
      </c>
      <c r="H757" s="2" t="s">
        <v>21</v>
      </c>
      <c r="I757" s="2" t="s">
        <v>1859</v>
      </c>
      <c r="J757" s="3" t="str">
        <f>HYPERLINK("https://www.boe.es/gazeta/dias/1820/02/17/pdfs/GMD-1820-21.pdf#page=4","Abrir facsímil")</f>
        <v>Abrir facsímil</v>
      </c>
      <c r="K757" s="3" t="s">
        <v>23</v>
      </c>
    </row>
    <row r="758" spans="1:11" ht="42" customHeight="1">
      <c r="A758" s="2" t="s">
        <v>1860</v>
      </c>
      <c r="B758" s="2" t="s">
        <v>1861</v>
      </c>
      <c r="C758" s="2" t="s">
        <v>26</v>
      </c>
      <c r="D758" s="2" t="s">
        <v>27</v>
      </c>
      <c r="E758" s="5">
        <v>-28976</v>
      </c>
      <c r="F758" s="3" t="s">
        <v>689</v>
      </c>
      <c r="G758" s="3" t="s">
        <v>43</v>
      </c>
      <c r="H758" s="2" t="s">
        <v>21</v>
      </c>
      <c r="I758" s="2" t="s">
        <v>1862</v>
      </c>
      <c r="J758" s="3" t="str">
        <f>HYPERLINK("https://www.boe.es/gazeta/dias/1820/08/30/pdfs/GGB-1820-63.pdf#page=2","Abrir facsímil")</f>
        <v>Abrir facsímil</v>
      </c>
      <c r="K758" s="3" t="s">
        <v>23</v>
      </c>
    </row>
    <row r="759" spans="1:11" ht="42" customHeight="1">
      <c r="A759" s="2" t="s">
        <v>1863</v>
      </c>
      <c r="B759" s="2" t="s">
        <v>1863</v>
      </c>
      <c r="C759" s="2" t="s">
        <v>74</v>
      </c>
      <c r="D759" s="2" t="s">
        <v>18</v>
      </c>
      <c r="E759" s="5">
        <v>-29009</v>
      </c>
      <c r="F759" s="3" t="s">
        <v>605</v>
      </c>
      <c r="G759" s="3" t="s">
        <v>43</v>
      </c>
      <c r="H759" s="2" t="s">
        <v>21</v>
      </c>
      <c r="I759" s="2" t="s">
        <v>1864</v>
      </c>
      <c r="J759" s="3" t="str">
        <f>HYPERLINK("https://www.boe.es/gazeta/dias/1820/07/28/pdfs/GGB-1820-30.pdf#page=2","Abrir facsímil")</f>
        <v>Abrir facsímil</v>
      </c>
      <c r="K759" s="3" t="s">
        <v>23</v>
      </c>
    </row>
    <row r="760" spans="1:11" ht="42" customHeight="1">
      <c r="A760" s="2" t="s">
        <v>1863</v>
      </c>
      <c r="B760" s="2" t="s">
        <v>1863</v>
      </c>
      <c r="C760" s="2" t="s">
        <v>47</v>
      </c>
      <c r="D760" s="2" t="s">
        <v>18</v>
      </c>
      <c r="E760" s="5">
        <v>-28990</v>
      </c>
      <c r="F760" s="3" t="s">
        <v>61</v>
      </c>
      <c r="G760" s="3" t="s">
        <v>1438</v>
      </c>
      <c r="H760" s="2" t="s">
        <v>21</v>
      </c>
      <c r="I760" s="2" t="s">
        <v>1865</v>
      </c>
      <c r="J760" s="3" t="str">
        <f>HYPERLINK("https://www.boe.es/gazeta/dias/1820/08/16/pdfs/GGB-1820-49.pdf#page=4","Abrir facsímil")</f>
        <v>Abrir facsímil</v>
      </c>
      <c r="K760" s="3" t="s">
        <v>23</v>
      </c>
    </row>
    <row r="761" spans="1:11" ht="42" customHeight="1">
      <c r="A761" s="2" t="s">
        <v>1866</v>
      </c>
      <c r="B761" s="2" t="s">
        <v>1866</v>
      </c>
      <c r="C761" s="2" t="s">
        <v>35</v>
      </c>
      <c r="D761" s="2" t="s">
        <v>36</v>
      </c>
      <c r="E761" s="5">
        <v>-28925</v>
      </c>
      <c r="F761" s="3" t="s">
        <v>228</v>
      </c>
      <c r="G761" s="3" t="s">
        <v>128</v>
      </c>
      <c r="H761" s="2" t="s">
        <v>21</v>
      </c>
      <c r="I761" s="2" t="s">
        <v>1867</v>
      </c>
      <c r="J761" s="3" t="str">
        <f>HYPERLINK("https://www.boe.es/gazeta/dias/1820/10/20/pdfs/GGB-1820-114.pdf#page=1","Abrir facsímil")</f>
        <v>Abrir facsímil</v>
      </c>
      <c r="K761" s="3" t="s">
        <v>23</v>
      </c>
    </row>
    <row r="762" spans="1:11" ht="42" customHeight="1">
      <c r="A762" s="2" t="s">
        <v>1863</v>
      </c>
      <c r="B762" s="2" t="s">
        <v>1863</v>
      </c>
      <c r="C762" s="2" t="s">
        <v>17</v>
      </c>
      <c r="D762" s="2" t="s">
        <v>18</v>
      </c>
      <c r="E762" s="5">
        <v>-28920</v>
      </c>
      <c r="F762" s="3" t="s">
        <v>399</v>
      </c>
      <c r="G762" s="3" t="s">
        <v>62</v>
      </c>
      <c r="H762" s="2" t="s">
        <v>21</v>
      </c>
      <c r="I762" s="2" t="s">
        <v>1868</v>
      </c>
      <c r="J762" s="3" t="str">
        <f>HYPERLINK("https://www.boe.es/gazeta/dias/1820/10/25/pdfs/GGB-1820-119.pdf#page=3","Abrir facsímil")</f>
        <v>Abrir facsímil</v>
      </c>
      <c r="K762" s="3" t="s">
        <v>23</v>
      </c>
    </row>
    <row r="763" spans="1:11" ht="42" customHeight="1">
      <c r="A763" s="2" t="s">
        <v>1869</v>
      </c>
      <c r="B763" s="2" t="s">
        <v>1870</v>
      </c>
      <c r="C763" s="2" t="s">
        <v>26</v>
      </c>
      <c r="D763" s="2" t="s">
        <v>27</v>
      </c>
      <c r="E763" s="5">
        <v>-28908</v>
      </c>
      <c r="F763" s="3" t="s">
        <v>1060</v>
      </c>
      <c r="G763" s="3" t="s">
        <v>62</v>
      </c>
      <c r="H763" s="2" t="s">
        <v>21</v>
      </c>
      <c r="I763" s="2" t="s">
        <v>1871</v>
      </c>
      <c r="J763" s="3" t="str">
        <f>HYPERLINK("https://www.boe.es/gazeta/dias/1820/11/06/pdfs/GGB-1820-131.pdf#page=3","Abrir facsímil")</f>
        <v>Abrir facsímil</v>
      </c>
      <c r="K763" s="3" t="s">
        <v>23</v>
      </c>
    </row>
    <row r="764" spans="1:11" ht="42" customHeight="1">
      <c r="A764" s="2" t="s">
        <v>1872</v>
      </c>
      <c r="B764" s="2" t="s">
        <v>1873</v>
      </c>
      <c r="C764" s="2" t="s">
        <v>111</v>
      </c>
      <c r="D764" s="2" t="s">
        <v>18</v>
      </c>
      <c r="E764" s="5">
        <v>-28900</v>
      </c>
      <c r="F764" s="3" t="s">
        <v>878</v>
      </c>
      <c r="G764" s="3" t="s">
        <v>20</v>
      </c>
      <c r="H764" s="2" t="s">
        <v>21</v>
      </c>
      <c r="I764" s="2" t="s">
        <v>1874</v>
      </c>
      <c r="J764" s="3" t="str">
        <f>HYPERLINK("https://www.boe.es/gazeta/dias/1820/11/14/pdfs/GGB-1820-140.pdf#page=4","Abrir facsímil")</f>
        <v>Abrir facsímil</v>
      </c>
      <c r="K764" s="3" t="s">
        <v>23</v>
      </c>
    </row>
    <row r="765" spans="1:11" ht="42" customHeight="1">
      <c r="A765" s="2" t="s">
        <v>1875</v>
      </c>
      <c r="B765" s="2" t="s">
        <v>1875</v>
      </c>
      <c r="C765" s="2" t="s">
        <v>111</v>
      </c>
      <c r="D765" s="2" t="s">
        <v>18</v>
      </c>
      <c r="E765" s="5">
        <v>-29204</v>
      </c>
      <c r="F765" s="3" t="s">
        <v>753</v>
      </c>
      <c r="G765" s="3" t="s">
        <v>38</v>
      </c>
      <c r="H765" s="2" t="s">
        <v>21</v>
      </c>
      <c r="I765" s="2" t="s">
        <v>1876</v>
      </c>
      <c r="J765" s="3" t="str">
        <f>HYPERLINK("https://www.boe.es/gazeta/dias/1820/01/15/pdfs/GMD-1820-7.pdf#page=6","Abrir facsímil")</f>
        <v>Abrir facsímil</v>
      </c>
      <c r="K765" s="3" t="s">
        <v>23</v>
      </c>
    </row>
    <row r="766" spans="1:11" ht="42" customHeight="1">
      <c r="A766" s="2" t="s">
        <v>1875</v>
      </c>
      <c r="B766" s="2" t="s">
        <v>1875</v>
      </c>
      <c r="C766" s="2" t="s">
        <v>1808</v>
      </c>
      <c r="D766" s="2" t="s">
        <v>36</v>
      </c>
      <c r="E766" s="5">
        <v>-29078</v>
      </c>
      <c r="F766" s="3" t="s">
        <v>260</v>
      </c>
      <c r="G766" s="3" t="s">
        <v>201</v>
      </c>
      <c r="H766" s="2" t="s">
        <v>21</v>
      </c>
      <c r="I766" s="2" t="s">
        <v>1877</v>
      </c>
      <c r="J766" s="3" t="str">
        <f>HYPERLINK("https://www.boe.es/gazeta/dias/1820/05/20/pdfs/GMD-1820-83.pdf#page=7","Abrir facsímil")</f>
        <v>Abrir facsímil</v>
      </c>
      <c r="K766" s="3" t="s">
        <v>23</v>
      </c>
    </row>
    <row r="767" spans="1:11" ht="42" customHeight="1">
      <c r="A767" s="2" t="s">
        <v>1875</v>
      </c>
      <c r="B767" s="2" t="s">
        <v>1875</v>
      </c>
      <c r="C767" s="2" t="s">
        <v>35</v>
      </c>
      <c r="D767" s="2" t="s">
        <v>36</v>
      </c>
      <c r="E767" s="5">
        <v>-28926</v>
      </c>
      <c r="F767" s="3" t="s">
        <v>597</v>
      </c>
      <c r="G767" s="3" t="s">
        <v>43</v>
      </c>
      <c r="H767" s="2" t="s">
        <v>21</v>
      </c>
      <c r="I767" s="2" t="s">
        <v>1878</v>
      </c>
      <c r="J767" s="3" t="str">
        <f>HYPERLINK("https://www.boe.es/gazeta/dias/1820/10/19/pdfs/GGB-1820-113.pdf#page=2","Abrir facsímil")</f>
        <v>Abrir facsímil</v>
      </c>
      <c r="K767" s="3" t="s">
        <v>23</v>
      </c>
    </row>
    <row r="768" spans="1:11" ht="42" customHeight="1">
      <c r="A768" s="2" t="s">
        <v>1879</v>
      </c>
      <c r="B768" s="2" t="s">
        <v>1880</v>
      </c>
      <c r="C768" s="2" t="s">
        <v>74</v>
      </c>
      <c r="D768" s="2" t="s">
        <v>18</v>
      </c>
      <c r="E768" s="5">
        <v>-28890</v>
      </c>
      <c r="F768" s="3" t="s">
        <v>248</v>
      </c>
      <c r="G768" s="3" t="s">
        <v>62</v>
      </c>
      <c r="H768" s="2" t="s">
        <v>21</v>
      </c>
      <c r="I768" s="2" t="s">
        <v>1881</v>
      </c>
      <c r="J768" s="3" t="str">
        <f>HYPERLINK("https://www.boe.es/gazeta/dias/1820/11/24/pdfs/GGB-1820-151.pdf#page=3","Abrir facsímil")</f>
        <v>Abrir facsímil</v>
      </c>
      <c r="K768" s="3" t="s">
        <v>23</v>
      </c>
    </row>
    <row r="769" spans="1:11" ht="42" customHeight="1">
      <c r="A769" s="2" t="s">
        <v>1882</v>
      </c>
      <c r="B769" s="2" t="s">
        <v>1883</v>
      </c>
      <c r="C769" s="2" t="s">
        <v>17</v>
      </c>
      <c r="D769" s="2" t="s">
        <v>18</v>
      </c>
      <c r="E769" s="5">
        <v>-28957</v>
      </c>
      <c r="F769" s="3" t="s">
        <v>361</v>
      </c>
      <c r="G769" s="3" t="s">
        <v>62</v>
      </c>
      <c r="H769" s="2" t="s">
        <v>21</v>
      </c>
      <c r="I769" s="2" t="s">
        <v>1884</v>
      </c>
      <c r="J769" s="3" t="str">
        <f>HYPERLINK("https://www.boe.es/gazeta/dias/1820/09/18/pdfs/GGB-1820-82.pdf#page=3","Abrir facsímil")</f>
        <v>Abrir facsímil</v>
      </c>
      <c r="K769" s="3" t="s">
        <v>23</v>
      </c>
    </row>
    <row r="770" spans="1:11" ht="42" customHeight="1">
      <c r="A770" s="2" t="s">
        <v>1885</v>
      </c>
      <c r="B770" s="2" t="s">
        <v>1886</v>
      </c>
      <c r="C770" s="2" t="s">
        <v>17</v>
      </c>
      <c r="D770" s="2" t="s">
        <v>18</v>
      </c>
      <c r="E770" s="5">
        <v>-28931</v>
      </c>
      <c r="F770" s="3" t="s">
        <v>724</v>
      </c>
      <c r="G770" s="3" t="s">
        <v>20</v>
      </c>
      <c r="H770" s="2" t="s">
        <v>21</v>
      </c>
      <c r="I770" s="2" t="s">
        <v>1887</v>
      </c>
      <c r="J770" s="3" t="str">
        <f>HYPERLINK("https://www.boe.es/gazeta/dias/1820/10/14/pdfs/GGB-1820-108.pdf#page=4","Abrir facsímil")</f>
        <v>Abrir facsímil</v>
      </c>
      <c r="K770" s="3" t="s">
        <v>23</v>
      </c>
    </row>
    <row r="771" spans="1:11" ht="42" customHeight="1">
      <c r="A771" s="2" t="s">
        <v>1888</v>
      </c>
      <c r="B771" s="2" t="s">
        <v>1889</v>
      </c>
      <c r="C771" s="2" t="s">
        <v>35</v>
      </c>
      <c r="D771" s="2" t="s">
        <v>36</v>
      </c>
      <c r="E771" s="5">
        <v>-29185</v>
      </c>
      <c r="F771" s="3" t="s">
        <v>772</v>
      </c>
      <c r="G771" s="3" t="s">
        <v>62</v>
      </c>
      <c r="H771" s="2" t="s">
        <v>21</v>
      </c>
      <c r="I771" s="2" t="s">
        <v>1890</v>
      </c>
      <c r="J771" s="3" t="str">
        <f>HYPERLINK("https://www.boe.es/gazeta/dias/1820/02/03/pdfs/GMD-1820-15.pdf#page=3","Abrir facsímil")</f>
        <v>Abrir facsímil</v>
      </c>
      <c r="K771" s="3" t="s">
        <v>23</v>
      </c>
    </row>
    <row r="772" spans="1:11" ht="42" customHeight="1">
      <c r="A772" s="2" t="s">
        <v>1891</v>
      </c>
      <c r="B772" s="2" t="s">
        <v>1891</v>
      </c>
      <c r="C772" s="2" t="s">
        <v>47</v>
      </c>
      <c r="D772" s="2" t="s">
        <v>18</v>
      </c>
      <c r="E772" s="5">
        <v>-29120</v>
      </c>
      <c r="F772" s="3" t="s">
        <v>852</v>
      </c>
      <c r="G772" s="3" t="s">
        <v>1080</v>
      </c>
      <c r="H772" s="2" t="s">
        <v>21</v>
      </c>
      <c r="I772" s="2" t="s">
        <v>1892</v>
      </c>
      <c r="J772" s="3" t="str">
        <f>HYPERLINK("https://www.boe.es/gazeta/dias/1820/04/08/pdfs/GMD-1820-63.pdf#page=1","Abrir facsímil")</f>
        <v>Abrir facsímil</v>
      </c>
      <c r="K772" s="3" t="s">
        <v>23</v>
      </c>
    </row>
    <row r="773" spans="1:11" ht="42" customHeight="1">
      <c r="A773" s="2" t="s">
        <v>1893</v>
      </c>
      <c r="B773" s="2" t="s">
        <v>1894</v>
      </c>
      <c r="C773" s="2" t="s">
        <v>26</v>
      </c>
      <c r="D773" s="2" t="s">
        <v>27</v>
      </c>
      <c r="E773" s="5">
        <v>-29122</v>
      </c>
      <c r="F773" s="3" t="s">
        <v>844</v>
      </c>
      <c r="G773" s="3" t="s">
        <v>1895</v>
      </c>
      <c r="H773" s="2" t="s">
        <v>21</v>
      </c>
      <c r="I773" s="2" t="s">
        <v>1896</v>
      </c>
      <c r="J773" s="3" t="str">
        <f>HYPERLINK("https://www.boe.es/gazeta/dias/1820/04/06/pdfs/GMD-1820-62.pdf#page=4","Abrir facsímil")</f>
        <v>Abrir facsímil</v>
      </c>
      <c r="K773" s="3" t="s">
        <v>23</v>
      </c>
    </row>
    <row r="774" spans="1:11" ht="42" customHeight="1">
      <c r="A774" s="2" t="s">
        <v>1897</v>
      </c>
      <c r="B774" s="2" t="s">
        <v>1897</v>
      </c>
      <c r="C774" s="2" t="s">
        <v>111</v>
      </c>
      <c r="D774" s="2" t="s">
        <v>18</v>
      </c>
      <c r="E774" s="5">
        <v>-29059</v>
      </c>
      <c r="F774" s="3" t="s">
        <v>1898</v>
      </c>
      <c r="G774" s="3" t="s">
        <v>43</v>
      </c>
      <c r="H774" s="2" t="s">
        <v>21</v>
      </c>
      <c r="I774" s="2" t="s">
        <v>1899</v>
      </c>
      <c r="J774" s="3" t="str">
        <f>HYPERLINK("https://www.boe.es/gazeta/dias/1820/06/08/pdfs/GMD-1820-91.pdf#page=2","Abrir facsímil")</f>
        <v>Abrir facsímil</v>
      </c>
      <c r="K774" s="3" t="s">
        <v>23</v>
      </c>
    </row>
    <row r="775" spans="1:11" ht="42" customHeight="1">
      <c r="A775" s="2" t="s">
        <v>1900</v>
      </c>
      <c r="B775" s="2" t="s">
        <v>1901</v>
      </c>
      <c r="C775" s="2" t="s">
        <v>111</v>
      </c>
      <c r="D775" s="2" t="s">
        <v>18</v>
      </c>
      <c r="E775" s="5">
        <v>-29029</v>
      </c>
      <c r="F775" s="3" t="s">
        <v>282</v>
      </c>
      <c r="G775" s="3" t="s">
        <v>20</v>
      </c>
      <c r="H775" s="2" t="s">
        <v>21</v>
      </c>
      <c r="I775" s="2" t="s">
        <v>1902</v>
      </c>
      <c r="J775" s="3" t="str">
        <f>HYPERLINK("https://www.boe.es/gazeta/dias/1820/07/08/pdfs/GGB-1820-9.pdf#page=4","Abrir facsímil")</f>
        <v>Abrir facsímil</v>
      </c>
      <c r="K775" s="3" t="s">
        <v>23</v>
      </c>
    </row>
    <row r="776" spans="1:11" ht="42" customHeight="1">
      <c r="A776" s="2" t="s">
        <v>1903</v>
      </c>
      <c r="B776" s="2" t="s">
        <v>1904</v>
      </c>
      <c r="C776" s="2" t="s">
        <v>107</v>
      </c>
      <c r="D776" s="2" t="s">
        <v>18</v>
      </c>
      <c r="E776" s="5">
        <v>-28862</v>
      </c>
      <c r="F776" s="3" t="s">
        <v>1905</v>
      </c>
      <c r="G776" s="3" t="s">
        <v>20</v>
      </c>
      <c r="H776" s="2" t="s">
        <v>21</v>
      </c>
      <c r="I776" s="2" t="s">
        <v>1906</v>
      </c>
      <c r="J776" s="3" t="str">
        <f>HYPERLINK("https://www.boe.es/gazeta/dias/1820/12/22/pdfs/GGB-1820-179.pdf#page=4","Abrir facsímil")</f>
        <v>Abrir facsímil</v>
      </c>
      <c r="K776" s="3" t="s">
        <v>23</v>
      </c>
    </row>
    <row r="777" spans="1:11" ht="42" customHeight="1">
      <c r="A777" s="2" t="s">
        <v>1907</v>
      </c>
      <c r="B777" s="2" t="s">
        <v>1908</v>
      </c>
      <c r="C777" s="2" t="s">
        <v>293</v>
      </c>
      <c r="D777" s="2" t="s">
        <v>18</v>
      </c>
      <c r="E777" s="5">
        <v>-29013</v>
      </c>
      <c r="F777" s="3" t="s">
        <v>52</v>
      </c>
      <c r="G777" s="3" t="s">
        <v>53</v>
      </c>
      <c r="H777" s="2" t="s">
        <v>21</v>
      </c>
      <c r="I777" s="2" t="s">
        <v>1909</v>
      </c>
      <c r="J777" s="3" t="str">
        <f>HYPERLINK("https://www.boe.es/gazeta/dias/1820/07/24/pdfs/GGB-1820-26.pdf#page=3","Abrir facsímil")</f>
        <v>Abrir facsímil</v>
      </c>
      <c r="K777" s="3" t="s">
        <v>23</v>
      </c>
    </row>
    <row r="778" spans="1:11" ht="42" customHeight="1">
      <c r="A778" s="2" t="s">
        <v>1907</v>
      </c>
      <c r="B778" s="2" t="s">
        <v>1908</v>
      </c>
      <c r="C778" s="2" t="s">
        <v>74</v>
      </c>
      <c r="D778" s="2" t="s">
        <v>18</v>
      </c>
      <c r="E778" s="5">
        <v>-28948</v>
      </c>
      <c r="F778" s="3" t="s">
        <v>1069</v>
      </c>
      <c r="G778" s="3" t="s">
        <v>43</v>
      </c>
      <c r="H778" s="2" t="s">
        <v>21</v>
      </c>
      <c r="I778" s="2" t="s">
        <v>1910</v>
      </c>
      <c r="J778" s="3" t="str">
        <f>HYPERLINK("https://www.boe.es/gazeta/dias/1820/09/27/pdfs/GGB-1820-91.pdf#page=2","Abrir facsímil")</f>
        <v>Abrir facsímil</v>
      </c>
      <c r="K778" s="3" t="s">
        <v>23</v>
      </c>
    </row>
    <row r="779" spans="1:11" ht="42" customHeight="1">
      <c r="A779" s="2" t="s">
        <v>1911</v>
      </c>
      <c r="B779" s="2" t="s">
        <v>1912</v>
      </c>
      <c r="C779" s="2" t="s">
        <v>26</v>
      </c>
      <c r="D779" s="2" t="s">
        <v>27</v>
      </c>
      <c r="E779" s="5">
        <v>-29017</v>
      </c>
      <c r="F779" s="3" t="s">
        <v>274</v>
      </c>
      <c r="G779" s="3" t="s">
        <v>20</v>
      </c>
      <c r="H779" s="2" t="s">
        <v>21</v>
      </c>
      <c r="I779" s="2" t="s">
        <v>1913</v>
      </c>
      <c r="J779" s="3" t="str">
        <f>HYPERLINK("https://www.boe.es/gazeta/dias/1820/07/20/pdfs/GGB-1820-22.pdf#page=4","Abrir facsímil")</f>
        <v>Abrir facsímil</v>
      </c>
      <c r="K779" s="3" t="s">
        <v>23</v>
      </c>
    </row>
    <row r="780" spans="1:11" ht="42" customHeight="1">
      <c r="A780" s="2" t="s">
        <v>1914</v>
      </c>
      <c r="B780" s="2" t="s">
        <v>1915</v>
      </c>
      <c r="C780" s="2" t="s">
        <v>35</v>
      </c>
      <c r="D780" s="2" t="s">
        <v>36</v>
      </c>
      <c r="E780" s="5">
        <v>-29024</v>
      </c>
      <c r="F780" s="3" t="s">
        <v>1916</v>
      </c>
      <c r="G780" s="3" t="s">
        <v>62</v>
      </c>
      <c r="H780" s="2" t="s">
        <v>21</v>
      </c>
      <c r="I780" s="2" t="s">
        <v>1917</v>
      </c>
      <c r="J780" s="3" t="str">
        <f>HYPERLINK("https://www.boe.es/gazeta/dias/1820/07/13/pdfs/GGB-1820-15.pdf#page=3","Abrir facsímil")</f>
        <v>Abrir facsímil</v>
      </c>
      <c r="K780" s="3" t="s">
        <v>23</v>
      </c>
    </row>
    <row r="781" spans="1:11" ht="42" customHeight="1">
      <c r="A781" s="2" t="s">
        <v>1918</v>
      </c>
      <c r="B781" s="2" t="s">
        <v>1918</v>
      </c>
      <c r="C781" s="2" t="s">
        <v>35</v>
      </c>
      <c r="D781" s="2" t="s">
        <v>36</v>
      </c>
      <c r="E781" s="5">
        <v>-28876</v>
      </c>
      <c r="F781" s="3" t="s">
        <v>1919</v>
      </c>
      <c r="G781" s="3" t="s">
        <v>1920</v>
      </c>
      <c r="H781" s="2" t="s">
        <v>21</v>
      </c>
      <c r="I781" s="2" t="s">
        <v>1921</v>
      </c>
      <c r="J781" s="3" t="str">
        <f>HYPERLINK("https://www.boe.es/gazeta/dias/1820/12/08/pdfs/GGB-1820-165.pdf#page=3","Abrir facsímil")</f>
        <v>Abrir facsímil</v>
      </c>
      <c r="K781" s="3" t="s">
        <v>23</v>
      </c>
    </row>
    <row r="782" spans="1:11" ht="42" customHeight="1">
      <c r="A782" s="2" t="s">
        <v>1922</v>
      </c>
      <c r="B782" s="2" t="s">
        <v>1923</v>
      </c>
      <c r="C782" s="2" t="s">
        <v>26</v>
      </c>
      <c r="D782" s="2" t="s">
        <v>27</v>
      </c>
      <c r="E782" s="5">
        <v>-28954</v>
      </c>
      <c r="F782" s="3" t="s">
        <v>28</v>
      </c>
      <c r="G782" s="3" t="s">
        <v>29</v>
      </c>
      <c r="H782" s="2" t="s">
        <v>21</v>
      </c>
      <c r="I782" s="2" t="s">
        <v>1924</v>
      </c>
      <c r="J782" s="3" t="str">
        <f>HYPERLINK("https://www.boe.es/gazeta/dias/1820/09/21/pdfs/GGB-1820-85.pdf#page=2","Abrir facsímil")</f>
        <v>Abrir facsímil</v>
      </c>
      <c r="K782" s="3" t="s">
        <v>23</v>
      </c>
    </row>
    <row r="783" spans="1:11" ht="42" customHeight="1">
      <c r="A783" s="2" t="s">
        <v>1925</v>
      </c>
      <c r="B783" s="2" t="s">
        <v>1925</v>
      </c>
      <c r="C783" s="2" t="s">
        <v>74</v>
      </c>
      <c r="D783" s="2" t="s">
        <v>18</v>
      </c>
      <c r="E783" s="5">
        <v>-29021</v>
      </c>
      <c r="F783" s="3" t="s">
        <v>377</v>
      </c>
      <c r="G783" s="3" t="s">
        <v>62</v>
      </c>
      <c r="H783" s="2" t="s">
        <v>21</v>
      </c>
      <c r="I783" s="2" t="s">
        <v>1926</v>
      </c>
      <c r="J783" s="3" t="str">
        <f>HYPERLINK("https://www.boe.es/gazeta/dias/1820/07/16/pdfs/GGB-1820-18.pdf#page=3","Abrir facsímil")</f>
        <v>Abrir facsímil</v>
      </c>
      <c r="K783" s="3" t="s">
        <v>23</v>
      </c>
    </row>
    <row r="784" spans="1:11" ht="42" customHeight="1">
      <c r="A784" s="2" t="s">
        <v>1927</v>
      </c>
      <c r="B784" s="2" t="s">
        <v>1927</v>
      </c>
      <c r="C784" s="2" t="s">
        <v>111</v>
      </c>
      <c r="D784" s="2" t="s">
        <v>18</v>
      </c>
      <c r="E784" s="5">
        <v>-29073</v>
      </c>
      <c r="F784" s="3" t="s">
        <v>1928</v>
      </c>
      <c r="G784" s="3" t="s">
        <v>20</v>
      </c>
      <c r="H784" s="2" t="s">
        <v>21</v>
      </c>
      <c r="I784" s="2" t="s">
        <v>1929</v>
      </c>
      <c r="J784" s="3" t="str">
        <f>HYPERLINK("https://www.boe.es/gazeta/dias/1820/05/25/pdfs/GMD-1820-85.pdf#page=4","Abrir facsímil")</f>
        <v>Abrir facsímil</v>
      </c>
      <c r="K784" s="3" t="s">
        <v>23</v>
      </c>
    </row>
    <row r="785" spans="1:11" ht="42" customHeight="1">
      <c r="A785" s="2" t="s">
        <v>1927</v>
      </c>
      <c r="B785" s="2" t="s">
        <v>1927</v>
      </c>
      <c r="C785" s="2" t="s">
        <v>26</v>
      </c>
      <c r="D785" s="2" t="s">
        <v>27</v>
      </c>
      <c r="E785" s="5">
        <v>-29000</v>
      </c>
      <c r="F785" s="3" t="s">
        <v>670</v>
      </c>
      <c r="G785" s="3" t="s">
        <v>128</v>
      </c>
      <c r="H785" s="2" t="s">
        <v>21</v>
      </c>
      <c r="I785" s="2" t="s">
        <v>1930</v>
      </c>
      <c r="J785" s="3" t="str">
        <f>HYPERLINK("https://www.boe.es/gazeta/dias/1820/08/06/pdfs/GGB-1820-39.pdf#page=1","Abrir facsímil")</f>
        <v>Abrir facsímil</v>
      </c>
      <c r="K785" s="3" t="s">
        <v>23</v>
      </c>
    </row>
    <row r="786" spans="1:11" ht="42" customHeight="1">
      <c r="A786" s="2" t="s">
        <v>1927</v>
      </c>
      <c r="B786" s="2" t="s">
        <v>1927</v>
      </c>
      <c r="C786" s="2" t="s">
        <v>26</v>
      </c>
      <c r="D786" s="2" t="s">
        <v>27</v>
      </c>
      <c r="E786" s="5">
        <v>-28978</v>
      </c>
      <c r="F786" s="3" t="s">
        <v>203</v>
      </c>
      <c r="G786" s="3" t="s">
        <v>128</v>
      </c>
      <c r="H786" s="2" t="s">
        <v>21</v>
      </c>
      <c r="I786" s="2" t="s">
        <v>1931</v>
      </c>
      <c r="J786" s="3" t="str">
        <f>HYPERLINK("https://www.boe.es/gazeta/dias/1820/08/28/pdfs/GGB-1820-61.pdf#page=1","Abrir facsímil")</f>
        <v>Abrir facsímil</v>
      </c>
      <c r="K786" s="3" t="s">
        <v>23</v>
      </c>
    </row>
    <row r="787" spans="1:11" ht="42" customHeight="1">
      <c r="A787" s="2" t="s">
        <v>1927</v>
      </c>
      <c r="B787" s="2" t="s">
        <v>1927</v>
      </c>
      <c r="C787" s="2" t="s">
        <v>26</v>
      </c>
      <c r="D787" s="2" t="s">
        <v>27</v>
      </c>
      <c r="E787" s="5">
        <v>-28942</v>
      </c>
      <c r="F787" s="3" t="s">
        <v>244</v>
      </c>
      <c r="G787" s="3" t="s">
        <v>43</v>
      </c>
      <c r="H787" s="2" t="s">
        <v>21</v>
      </c>
      <c r="I787" s="2" t="s">
        <v>1932</v>
      </c>
      <c r="J787" s="3" t="str">
        <f>HYPERLINK("https://www.boe.es/gazeta/dias/1820/10/03/pdfs/GGB-1820-97.pdf#page=2","Abrir facsímil")</f>
        <v>Abrir facsímil</v>
      </c>
      <c r="K787" s="3" t="s">
        <v>23</v>
      </c>
    </row>
    <row r="788" spans="1:11" ht="42" customHeight="1">
      <c r="A788" s="2" t="s">
        <v>1927</v>
      </c>
      <c r="B788" s="2" t="s">
        <v>1927</v>
      </c>
      <c r="C788" s="2" t="s">
        <v>26</v>
      </c>
      <c r="D788" s="2" t="s">
        <v>27</v>
      </c>
      <c r="E788" s="5">
        <v>-28922</v>
      </c>
      <c r="F788" s="3" t="s">
        <v>735</v>
      </c>
      <c r="G788" s="3" t="s">
        <v>128</v>
      </c>
      <c r="H788" s="2" t="s">
        <v>21</v>
      </c>
      <c r="I788" s="2" t="s">
        <v>1933</v>
      </c>
      <c r="J788" s="3" t="str">
        <f>HYPERLINK("https://www.boe.es/gazeta/dias/1820/10/23/pdfs/GGB-1820-117.pdf#page=1","Abrir facsímil")</f>
        <v>Abrir facsímil</v>
      </c>
      <c r="K788" s="3" t="s">
        <v>23</v>
      </c>
    </row>
    <row r="789" spans="1:11" ht="42" customHeight="1">
      <c r="A789" s="2" t="s">
        <v>1927</v>
      </c>
      <c r="B789" s="2" t="s">
        <v>1927</v>
      </c>
      <c r="C789" s="2" t="s">
        <v>293</v>
      </c>
      <c r="D789" s="2" t="s">
        <v>18</v>
      </c>
      <c r="E789" s="5">
        <v>-28914</v>
      </c>
      <c r="F789" s="3" t="s">
        <v>434</v>
      </c>
      <c r="G789" s="3" t="s">
        <v>128</v>
      </c>
      <c r="H789" s="2" t="s">
        <v>21</v>
      </c>
      <c r="I789" s="2" t="s">
        <v>1934</v>
      </c>
      <c r="J789" s="3" t="str">
        <f>HYPERLINK("https://www.boe.es/gazeta/dias/1820/10/31/pdfs/GGB-1820-125.pdf#page=1","Abrir facsímil")</f>
        <v>Abrir facsímil</v>
      </c>
      <c r="K789" s="3" t="s">
        <v>23</v>
      </c>
    </row>
    <row r="790" spans="1:11" ht="42" customHeight="1">
      <c r="A790" s="2" t="s">
        <v>1927</v>
      </c>
      <c r="B790" s="2" t="s">
        <v>1927</v>
      </c>
      <c r="C790" s="2" t="s">
        <v>74</v>
      </c>
      <c r="D790" s="2" t="s">
        <v>18</v>
      </c>
      <c r="E790" s="5">
        <v>-28897</v>
      </c>
      <c r="F790" s="3" t="s">
        <v>1935</v>
      </c>
      <c r="G790" s="3" t="s">
        <v>43</v>
      </c>
      <c r="H790" s="2" t="s">
        <v>21</v>
      </c>
      <c r="I790" s="2" t="s">
        <v>1936</v>
      </c>
      <c r="J790" s="3" t="str">
        <f>HYPERLINK("https://www.boe.es/gazeta/dias/1820/11/17/pdfs/GGB-1820-143.pdf#page=2","Abrir facsímil")</f>
        <v>Abrir facsímil</v>
      </c>
      <c r="K790" s="3" t="s">
        <v>23</v>
      </c>
    </row>
    <row r="791" spans="1:11" ht="42" customHeight="1">
      <c r="A791" s="2" t="s">
        <v>1927</v>
      </c>
      <c r="B791" s="2" t="s">
        <v>1927</v>
      </c>
      <c r="C791" s="2" t="s">
        <v>17</v>
      </c>
      <c r="D791" s="2" t="s">
        <v>18</v>
      </c>
      <c r="E791" s="5">
        <v>-28894</v>
      </c>
      <c r="F791" s="3" t="s">
        <v>469</v>
      </c>
      <c r="G791" s="3" t="s">
        <v>43</v>
      </c>
      <c r="H791" s="2" t="s">
        <v>21</v>
      </c>
      <c r="I791" s="2" t="s">
        <v>1937</v>
      </c>
      <c r="J791" s="3" t="str">
        <f>HYPERLINK("https://www.boe.es/gazeta/dias/1820/11/20/pdfs/GGB-1820-147.pdf#page=2","Abrir facsímil")</f>
        <v>Abrir facsímil</v>
      </c>
      <c r="K791" s="3" t="s">
        <v>23</v>
      </c>
    </row>
    <row r="792" spans="1:11" ht="42" customHeight="1">
      <c r="A792" s="2" t="s">
        <v>1927</v>
      </c>
      <c r="B792" s="2" t="s">
        <v>1927</v>
      </c>
      <c r="C792" s="2" t="s">
        <v>17</v>
      </c>
      <c r="D792" s="2" t="s">
        <v>18</v>
      </c>
      <c r="E792" s="5">
        <v>-28876</v>
      </c>
      <c r="F792" s="3" t="s">
        <v>1919</v>
      </c>
      <c r="G792" s="3" t="s">
        <v>1920</v>
      </c>
      <c r="H792" s="2" t="s">
        <v>21</v>
      </c>
      <c r="I792" s="2" t="s">
        <v>1938</v>
      </c>
      <c r="J792" s="3" t="str">
        <f>HYPERLINK("https://www.boe.es/gazeta/dias/1820/12/08/pdfs/GGB-1820-165.pdf#page=3","Abrir facsímil")</f>
        <v>Abrir facsímil</v>
      </c>
      <c r="K792" s="3" t="s">
        <v>23</v>
      </c>
    </row>
    <row r="793" spans="1:11" ht="42" customHeight="1">
      <c r="A793" s="2" t="s">
        <v>1927</v>
      </c>
      <c r="B793" s="2" t="s">
        <v>1927</v>
      </c>
      <c r="C793" s="2" t="s">
        <v>26</v>
      </c>
      <c r="D793" s="2" t="s">
        <v>27</v>
      </c>
      <c r="E793" s="5">
        <v>-28872</v>
      </c>
      <c r="F793" s="3" t="s">
        <v>1939</v>
      </c>
      <c r="G793" s="3" t="s">
        <v>43</v>
      </c>
      <c r="H793" s="2" t="s">
        <v>21</v>
      </c>
      <c r="I793" s="2" t="s">
        <v>1940</v>
      </c>
      <c r="J793" s="3" t="str">
        <f>HYPERLINK("https://www.boe.es/gazeta/dias/1820/12/12/pdfs/GGB-1820-169.pdf#page=2","Abrir facsímil")</f>
        <v>Abrir facsímil</v>
      </c>
      <c r="K793" s="3" t="s">
        <v>23</v>
      </c>
    </row>
    <row r="794" spans="1:11" ht="42" customHeight="1">
      <c r="A794" s="2" t="s">
        <v>1927</v>
      </c>
      <c r="B794" s="2" t="s">
        <v>1927</v>
      </c>
      <c r="C794" s="2" t="s">
        <v>47</v>
      </c>
      <c r="D794" s="2" t="s">
        <v>18</v>
      </c>
      <c r="E794" s="5">
        <v>-28869</v>
      </c>
      <c r="F794" s="3" t="s">
        <v>449</v>
      </c>
      <c r="G794" s="3" t="s">
        <v>43</v>
      </c>
      <c r="H794" s="2" t="s">
        <v>21</v>
      </c>
      <c r="I794" s="2" t="s">
        <v>1941</v>
      </c>
      <c r="J794" s="3" t="str">
        <f>HYPERLINK("https://www.boe.es/gazeta/dias/1820/12/15/pdfs/GGB-1820-172.pdf#page=2","Abrir facsímil")</f>
        <v>Abrir facsímil</v>
      </c>
      <c r="K794" s="3" t="s">
        <v>23</v>
      </c>
    </row>
    <row r="795" spans="1:11" ht="42" customHeight="1">
      <c r="A795" s="2" t="s">
        <v>1942</v>
      </c>
      <c r="B795" s="2" t="s">
        <v>1942</v>
      </c>
      <c r="C795" s="2" t="s">
        <v>35</v>
      </c>
      <c r="D795" s="2" t="s">
        <v>36</v>
      </c>
      <c r="E795" s="5">
        <v>-28966</v>
      </c>
      <c r="F795" s="3" t="s">
        <v>701</v>
      </c>
      <c r="G795" s="3" t="s">
        <v>128</v>
      </c>
      <c r="H795" s="2" t="s">
        <v>21</v>
      </c>
      <c r="I795" s="2" t="s">
        <v>1943</v>
      </c>
      <c r="J795" s="3" t="str">
        <f>HYPERLINK("https://www.boe.es/gazeta/dias/1820/09/09/pdfs/GGB-1820-73.pdf#page=1","Abrir facsímil")</f>
        <v>Abrir facsímil</v>
      </c>
      <c r="K795" s="3" t="s">
        <v>23</v>
      </c>
    </row>
    <row r="796" spans="1:11" ht="42" customHeight="1">
      <c r="A796" s="2" t="s">
        <v>1944</v>
      </c>
      <c r="B796" s="2" t="s">
        <v>1945</v>
      </c>
      <c r="C796" s="2" t="s">
        <v>111</v>
      </c>
      <c r="D796" s="2" t="s">
        <v>18</v>
      </c>
      <c r="E796" s="5">
        <v>-29054</v>
      </c>
      <c r="F796" s="3" t="s">
        <v>481</v>
      </c>
      <c r="G796" s="3" t="s">
        <v>553</v>
      </c>
      <c r="H796" s="2" t="s">
        <v>21</v>
      </c>
      <c r="I796" s="2" t="s">
        <v>1946</v>
      </c>
      <c r="J796" s="3" t="str">
        <f>HYPERLINK("https://www.boe.es/gazeta/dias/1820/06/13/pdfs/GMD-1820-93.pdf#page=10","Abrir facsímil")</f>
        <v>Abrir facsímil</v>
      </c>
      <c r="K796" s="3" t="s">
        <v>23</v>
      </c>
    </row>
    <row r="797" spans="1:11" ht="42" customHeight="1">
      <c r="A797" s="2" t="s">
        <v>1947</v>
      </c>
      <c r="B797" s="2" t="s">
        <v>1948</v>
      </c>
      <c r="C797" s="2" t="s">
        <v>17</v>
      </c>
      <c r="D797" s="2" t="s">
        <v>18</v>
      </c>
      <c r="E797" s="5">
        <v>-28908</v>
      </c>
      <c r="F797" s="3" t="s">
        <v>1060</v>
      </c>
      <c r="G797" s="3" t="s">
        <v>20</v>
      </c>
      <c r="H797" s="2" t="s">
        <v>21</v>
      </c>
      <c r="I797" s="2" t="s">
        <v>1949</v>
      </c>
      <c r="J797" s="3" t="str">
        <f>HYPERLINK("https://www.boe.es/gazeta/dias/1820/11/06/pdfs/GGB-1820-131.pdf#page=4","Abrir facsímil")</f>
        <v>Abrir facsímil</v>
      </c>
      <c r="K797" s="3" t="s">
        <v>23</v>
      </c>
    </row>
    <row r="798" spans="1:11" ht="42" customHeight="1">
      <c r="A798" s="2" t="s">
        <v>1950</v>
      </c>
      <c r="B798" s="2" t="s">
        <v>1951</v>
      </c>
      <c r="C798" s="2" t="s">
        <v>1808</v>
      </c>
      <c r="D798" s="2" t="s">
        <v>36</v>
      </c>
      <c r="E798" s="5">
        <v>-29040</v>
      </c>
      <c r="F798" s="3" t="s">
        <v>1125</v>
      </c>
      <c r="G798" s="3" t="s">
        <v>553</v>
      </c>
      <c r="H798" s="2" t="s">
        <v>21</v>
      </c>
      <c r="I798" s="2" t="s">
        <v>1952</v>
      </c>
      <c r="J798" s="3" t="str">
        <f>HYPERLINK("https://www.boe.es/gazeta/dias/1820/06/27/pdfs/GMD-1820-99.pdf#page=10","Abrir facsímil")</f>
        <v>Abrir facsímil</v>
      </c>
      <c r="K798" s="3" t="s">
        <v>23</v>
      </c>
    </row>
    <row r="799" spans="1:11" ht="42" customHeight="1">
      <c r="A799" s="2" t="s">
        <v>1953</v>
      </c>
      <c r="B799" s="2" t="s">
        <v>1954</v>
      </c>
      <c r="C799" s="2" t="s">
        <v>47</v>
      </c>
      <c r="D799" s="2" t="s">
        <v>18</v>
      </c>
      <c r="E799" s="5">
        <v>-28959</v>
      </c>
      <c r="F799" s="3" t="s">
        <v>37</v>
      </c>
      <c r="G799" s="3" t="s">
        <v>38</v>
      </c>
      <c r="H799" s="2" t="s">
        <v>21</v>
      </c>
      <c r="I799" s="2" t="s">
        <v>1955</v>
      </c>
      <c r="J799" s="3" t="str">
        <f>HYPERLINK("https://www.boe.es/gazeta/dias/1820/09/16/pdfs/GGB-1820-80.pdf#page=6","Abrir facsímil")</f>
        <v>Abrir facsímil</v>
      </c>
      <c r="K799" s="3" t="s">
        <v>23</v>
      </c>
    </row>
    <row r="800" spans="1:11" ht="42" customHeight="1">
      <c r="A800" s="2" t="s">
        <v>1956</v>
      </c>
      <c r="B800" s="2" t="s">
        <v>1956</v>
      </c>
      <c r="C800" s="2" t="s">
        <v>26</v>
      </c>
      <c r="D800" s="2" t="s">
        <v>27</v>
      </c>
      <c r="E800" s="5">
        <v>-29017</v>
      </c>
      <c r="F800" s="3" t="s">
        <v>274</v>
      </c>
      <c r="G800" s="3" t="s">
        <v>62</v>
      </c>
      <c r="H800" s="2" t="s">
        <v>21</v>
      </c>
      <c r="I800" s="2" t="s">
        <v>1957</v>
      </c>
      <c r="J800" s="3" t="str">
        <f>HYPERLINK("https://www.boe.es/gazeta/dias/1820/07/20/pdfs/GGB-1820-22.pdf#page=3","Abrir facsímil")</f>
        <v>Abrir facsímil</v>
      </c>
      <c r="K800" s="3" t="s">
        <v>23</v>
      </c>
    </row>
    <row r="801" spans="1:11" ht="42" customHeight="1">
      <c r="A801" s="2" t="s">
        <v>1958</v>
      </c>
      <c r="B801" s="2" t="s">
        <v>1958</v>
      </c>
      <c r="C801" s="2" t="s">
        <v>26</v>
      </c>
      <c r="D801" s="2" t="s">
        <v>27</v>
      </c>
      <c r="E801" s="5">
        <v>-29025</v>
      </c>
      <c r="F801" s="3" t="s">
        <v>902</v>
      </c>
      <c r="G801" s="3" t="s">
        <v>20</v>
      </c>
      <c r="H801" s="2" t="s">
        <v>21</v>
      </c>
      <c r="I801" s="2" t="s">
        <v>1959</v>
      </c>
      <c r="J801" s="3" t="str">
        <f>HYPERLINK("https://www.boe.es/gazeta/dias/1820/07/12/pdfs/GGB-1820-14.pdf#page=4","Abrir facsímil")</f>
        <v>Abrir facsímil</v>
      </c>
      <c r="K801" s="3" t="s">
        <v>23</v>
      </c>
    </row>
    <row r="802" spans="1:11" ht="42" customHeight="1">
      <c r="A802" s="2" t="s">
        <v>1958</v>
      </c>
      <c r="B802" s="2" t="s">
        <v>1958</v>
      </c>
      <c r="C802" s="2" t="s">
        <v>17</v>
      </c>
      <c r="D802" s="2" t="s">
        <v>18</v>
      </c>
      <c r="E802" s="5">
        <v>-29017</v>
      </c>
      <c r="F802" s="3" t="s">
        <v>274</v>
      </c>
      <c r="G802" s="3" t="s">
        <v>43</v>
      </c>
      <c r="H802" s="2" t="s">
        <v>21</v>
      </c>
      <c r="I802" s="2" t="s">
        <v>1960</v>
      </c>
      <c r="J802" s="3" t="str">
        <f>HYPERLINK("https://www.boe.es/gazeta/dias/1820/07/20/pdfs/GGB-1820-22.pdf#page=2","Abrir facsímil")</f>
        <v>Abrir facsímil</v>
      </c>
      <c r="K802" s="3" t="s">
        <v>23</v>
      </c>
    </row>
    <row r="803" spans="1:11" ht="42" customHeight="1">
      <c r="A803" s="2" t="s">
        <v>1958</v>
      </c>
      <c r="B803" s="2" t="s">
        <v>1958</v>
      </c>
      <c r="C803" s="2" t="s">
        <v>74</v>
      </c>
      <c r="D803" s="2" t="s">
        <v>18</v>
      </c>
      <c r="E803" s="5">
        <v>-28993</v>
      </c>
      <c r="F803" s="3" t="s">
        <v>465</v>
      </c>
      <c r="G803" s="3" t="s">
        <v>62</v>
      </c>
      <c r="H803" s="2" t="s">
        <v>21</v>
      </c>
      <c r="I803" s="2" t="s">
        <v>1961</v>
      </c>
      <c r="J803" s="3" t="str">
        <f>HYPERLINK("https://www.boe.es/gazeta/dias/1820/08/13/pdfs/GGB-1820-46.pdf#page=3","Abrir facsímil")</f>
        <v>Abrir facsímil</v>
      </c>
      <c r="K803" s="3" t="s">
        <v>23</v>
      </c>
    </row>
    <row r="804" spans="1:11" ht="42" customHeight="1">
      <c r="A804" s="2" t="s">
        <v>1958</v>
      </c>
      <c r="B804" s="2" t="s">
        <v>1958</v>
      </c>
      <c r="C804" s="2" t="s">
        <v>35</v>
      </c>
      <c r="D804" s="2" t="s">
        <v>36</v>
      </c>
      <c r="E804" s="5">
        <v>-28938</v>
      </c>
      <c r="F804" s="3" t="s">
        <v>716</v>
      </c>
      <c r="G804" s="3" t="s">
        <v>717</v>
      </c>
      <c r="H804" s="2" t="s">
        <v>21</v>
      </c>
      <c r="I804" s="2" t="s">
        <v>1962</v>
      </c>
      <c r="J804" s="3" t="str">
        <f>HYPERLINK("https://www.boe.es/gazeta/dias/1820/10/07/pdfs/GGB-1820-101.pdf#page=2","Abrir facsímil")</f>
        <v>Abrir facsímil</v>
      </c>
      <c r="K804" s="3" t="s">
        <v>23</v>
      </c>
    </row>
    <row r="805" spans="1:11" ht="42" customHeight="1">
      <c r="A805" s="2" t="s">
        <v>1958</v>
      </c>
      <c r="B805" s="2" t="s">
        <v>1958</v>
      </c>
      <c r="C805" s="2" t="s">
        <v>35</v>
      </c>
      <c r="D805" s="2" t="s">
        <v>36</v>
      </c>
      <c r="E805" s="5">
        <v>-28925</v>
      </c>
      <c r="F805" s="3" t="s">
        <v>228</v>
      </c>
      <c r="G805" s="3" t="s">
        <v>43</v>
      </c>
      <c r="H805" s="2" t="s">
        <v>21</v>
      </c>
      <c r="I805" s="2" t="s">
        <v>1963</v>
      </c>
      <c r="J805" s="3" t="str">
        <f>HYPERLINK("https://www.boe.es/gazeta/dias/1820/10/20/pdfs/GGB-1820-114.pdf#page=2","Abrir facsímil")</f>
        <v>Abrir facsímil</v>
      </c>
      <c r="K805" s="3" t="s">
        <v>23</v>
      </c>
    </row>
    <row r="806" spans="1:11" ht="42" customHeight="1">
      <c r="A806" s="2" t="s">
        <v>1964</v>
      </c>
      <c r="B806" s="2" t="s">
        <v>1965</v>
      </c>
      <c r="C806" s="2" t="s">
        <v>74</v>
      </c>
      <c r="D806" s="2" t="s">
        <v>18</v>
      </c>
      <c r="E806" s="5">
        <v>-29066</v>
      </c>
      <c r="F806" s="3" t="s">
        <v>1966</v>
      </c>
      <c r="G806" s="3" t="s">
        <v>1967</v>
      </c>
      <c r="H806" s="2" t="s">
        <v>21</v>
      </c>
      <c r="I806" s="2" t="s">
        <v>1968</v>
      </c>
      <c r="J806" s="3" t="str">
        <f>HYPERLINK("https://www.boe.es/gazeta/dias/1820/06/01/pdfs/GMD-1820-88.pdf#page=8","Abrir facsímil")</f>
        <v>Abrir facsímil</v>
      </c>
      <c r="K806" s="3" t="s">
        <v>23</v>
      </c>
    </row>
    <row r="807" spans="1:11" ht="42" customHeight="1">
      <c r="A807" s="2" t="s">
        <v>1964</v>
      </c>
      <c r="B807" s="2" t="s">
        <v>1965</v>
      </c>
      <c r="C807" s="2" t="s">
        <v>26</v>
      </c>
      <c r="D807" s="2" t="s">
        <v>27</v>
      </c>
      <c r="E807" s="5">
        <v>-29011</v>
      </c>
      <c r="F807" s="3" t="s">
        <v>338</v>
      </c>
      <c r="G807" s="3" t="s">
        <v>20</v>
      </c>
      <c r="H807" s="2" t="s">
        <v>21</v>
      </c>
      <c r="I807" s="2" t="s">
        <v>1969</v>
      </c>
      <c r="J807" s="3" t="str">
        <f>HYPERLINK("https://www.boe.es/gazeta/dias/1820/07/26/pdfs/GGB-1820-28.pdf#page=4","Abrir facsímil")</f>
        <v>Abrir facsímil</v>
      </c>
      <c r="K807" s="3" t="s">
        <v>23</v>
      </c>
    </row>
    <row r="808" spans="1:11" ht="42" customHeight="1">
      <c r="A808" s="2" t="s">
        <v>1964</v>
      </c>
      <c r="B808" s="2" t="s">
        <v>1965</v>
      </c>
      <c r="C808" s="2" t="s">
        <v>35</v>
      </c>
      <c r="D808" s="2" t="s">
        <v>36</v>
      </c>
      <c r="E808" s="5">
        <v>-28960</v>
      </c>
      <c r="F808" s="3" t="s">
        <v>704</v>
      </c>
      <c r="G808" s="3" t="s">
        <v>20</v>
      </c>
      <c r="H808" s="2" t="s">
        <v>21</v>
      </c>
      <c r="I808" s="2" t="s">
        <v>1970</v>
      </c>
      <c r="J808" s="3" t="str">
        <f>HYPERLINK("https://www.boe.es/gazeta/dias/1820/09/15/pdfs/GGB-1820-79.pdf#page=4","Abrir facsímil")</f>
        <v>Abrir facsímil</v>
      </c>
      <c r="K808" s="3" t="s">
        <v>23</v>
      </c>
    </row>
    <row r="809" spans="1:11" ht="42" customHeight="1">
      <c r="A809" s="2" t="s">
        <v>1971</v>
      </c>
      <c r="B809" s="2" t="s">
        <v>1971</v>
      </c>
      <c r="C809" s="2" t="s">
        <v>35</v>
      </c>
      <c r="D809" s="2" t="s">
        <v>36</v>
      </c>
      <c r="E809" s="5">
        <v>-29073</v>
      </c>
      <c r="F809" s="3" t="s">
        <v>1928</v>
      </c>
      <c r="G809" s="3" t="s">
        <v>62</v>
      </c>
      <c r="H809" s="2" t="s">
        <v>21</v>
      </c>
      <c r="I809" s="2" t="s">
        <v>1972</v>
      </c>
      <c r="J809" s="3" t="str">
        <f>HYPERLINK("https://www.boe.es/gazeta/dias/1820/05/25/pdfs/GMD-1820-85.pdf#page=3","Abrir facsímil")</f>
        <v>Abrir facsímil</v>
      </c>
      <c r="K809" s="3" t="s">
        <v>23</v>
      </c>
    </row>
    <row r="810" spans="1:11" ht="42" customHeight="1">
      <c r="A810" s="2" t="s">
        <v>1973</v>
      </c>
      <c r="B810" s="2" t="s">
        <v>1974</v>
      </c>
      <c r="C810" s="2" t="s">
        <v>35</v>
      </c>
      <c r="D810" s="2" t="s">
        <v>36</v>
      </c>
      <c r="E810" s="5">
        <v>-29059</v>
      </c>
      <c r="F810" s="3" t="s">
        <v>1898</v>
      </c>
      <c r="G810" s="3" t="s">
        <v>201</v>
      </c>
      <c r="H810" s="2" t="s">
        <v>21</v>
      </c>
      <c r="I810" s="2" t="s">
        <v>1975</v>
      </c>
      <c r="J810" s="3" t="str">
        <f>HYPERLINK("https://www.boe.es/gazeta/dias/1820/06/08/pdfs/GMD-1820-91.pdf#page=7","Abrir facsímil")</f>
        <v>Abrir facsímil</v>
      </c>
      <c r="K810" s="3" t="s">
        <v>23</v>
      </c>
    </row>
    <row r="811" spans="1:11" ht="42" customHeight="1">
      <c r="A811" s="2" t="s">
        <v>1976</v>
      </c>
      <c r="B811" s="2" t="s">
        <v>1976</v>
      </c>
      <c r="C811" s="2" t="s">
        <v>17</v>
      </c>
      <c r="D811" s="2" t="s">
        <v>18</v>
      </c>
      <c r="E811" s="5">
        <v>-29138</v>
      </c>
      <c r="F811" s="3" t="s">
        <v>200</v>
      </c>
      <c r="G811" s="3" t="s">
        <v>201</v>
      </c>
      <c r="H811" s="2" t="s">
        <v>21</v>
      </c>
      <c r="I811" s="2" t="s">
        <v>1977</v>
      </c>
      <c r="J811" s="3" t="str">
        <f>HYPERLINK("https://www.boe.es/gazeta/dias/1820/03/21/pdfs/GMD-1820-46.pdf#page=7","Abrir facsímil")</f>
        <v>Abrir facsímil</v>
      </c>
      <c r="K811" s="3" t="s">
        <v>23</v>
      </c>
    </row>
    <row r="812" spans="1:11" ht="42" customHeight="1">
      <c r="A812" s="2" t="s">
        <v>1976</v>
      </c>
      <c r="B812" s="2" t="s">
        <v>1976</v>
      </c>
      <c r="C812" s="2" t="s">
        <v>26</v>
      </c>
      <c r="D812" s="2" t="s">
        <v>27</v>
      </c>
      <c r="E812" s="5">
        <v>-28928</v>
      </c>
      <c r="F812" s="3" t="s">
        <v>86</v>
      </c>
      <c r="G812" s="3" t="s">
        <v>43</v>
      </c>
      <c r="H812" s="2" t="s">
        <v>21</v>
      </c>
      <c r="I812" s="2" t="s">
        <v>1978</v>
      </c>
      <c r="J812" s="3" t="str">
        <f>HYPERLINK("https://www.boe.es/gazeta/dias/1820/10/17/pdfs/GGB-1820-111.pdf#page=2","Abrir facsímil")</f>
        <v>Abrir facsímil</v>
      </c>
      <c r="K812" s="3" t="s">
        <v>23</v>
      </c>
    </row>
    <row r="813" spans="1:11" ht="42" customHeight="1">
      <c r="A813" s="2" t="s">
        <v>1976</v>
      </c>
      <c r="B813" s="2" t="s">
        <v>1976</v>
      </c>
      <c r="C813" s="2" t="s">
        <v>26</v>
      </c>
      <c r="D813" s="2" t="s">
        <v>27</v>
      </c>
      <c r="E813" s="5">
        <v>-28920</v>
      </c>
      <c r="F813" s="3" t="s">
        <v>399</v>
      </c>
      <c r="G813" s="3" t="s">
        <v>43</v>
      </c>
      <c r="H813" s="2" t="s">
        <v>21</v>
      </c>
      <c r="I813" s="2" t="s">
        <v>1979</v>
      </c>
      <c r="J813" s="3" t="str">
        <f>HYPERLINK("https://www.boe.es/gazeta/dias/1820/10/25/pdfs/GGB-1820-119.pdf#page=2","Abrir facsímil")</f>
        <v>Abrir facsímil</v>
      </c>
      <c r="K813" s="3" t="s">
        <v>23</v>
      </c>
    </row>
    <row r="814" spans="1:11" ht="42" customHeight="1">
      <c r="A814" s="2" t="s">
        <v>1980</v>
      </c>
      <c r="B814" s="2" t="s">
        <v>1980</v>
      </c>
      <c r="C814" s="2" t="s">
        <v>74</v>
      </c>
      <c r="D814" s="2" t="s">
        <v>18</v>
      </c>
      <c r="E814" s="5">
        <v>-28861</v>
      </c>
      <c r="F814" s="3" t="s">
        <v>894</v>
      </c>
      <c r="G814" s="3" t="s">
        <v>128</v>
      </c>
      <c r="H814" s="2" t="s">
        <v>21</v>
      </c>
      <c r="I814" s="2" t="s">
        <v>1981</v>
      </c>
      <c r="J814" s="3" t="str">
        <f>HYPERLINK("https://www.boe.es/gazeta/dias/1820/12/23/pdfs/GGB-1820-180.pdf#page=1","Abrir facsímil")</f>
        <v>Abrir facsímil</v>
      </c>
      <c r="K814" s="3" t="s">
        <v>23</v>
      </c>
    </row>
    <row r="815" spans="1:11" ht="42" customHeight="1">
      <c r="A815" s="2" t="s">
        <v>1982</v>
      </c>
      <c r="B815" s="2" t="s">
        <v>1983</v>
      </c>
      <c r="C815" s="2" t="s">
        <v>26</v>
      </c>
      <c r="D815" s="2" t="s">
        <v>27</v>
      </c>
      <c r="E815" s="5">
        <v>-29141</v>
      </c>
      <c r="F815" s="3" t="s">
        <v>319</v>
      </c>
      <c r="G815" s="3" t="s">
        <v>38</v>
      </c>
      <c r="H815" s="2" t="s">
        <v>21</v>
      </c>
      <c r="I815" s="2" t="s">
        <v>1984</v>
      </c>
      <c r="J815" s="3" t="str">
        <f>HYPERLINK("https://www.boe.es/gazeta/dias/1820/03/18/pdfs/GMD-1820-44.pdf#page=6","Abrir facsímil")</f>
        <v>Abrir facsímil</v>
      </c>
      <c r="K815" s="3" t="s">
        <v>23</v>
      </c>
    </row>
    <row r="816" spans="1:11" ht="42" customHeight="1">
      <c r="A816" s="2" t="s">
        <v>1985</v>
      </c>
      <c r="B816" s="2" t="s">
        <v>1986</v>
      </c>
      <c r="C816" s="2" t="s">
        <v>35</v>
      </c>
      <c r="D816" s="2" t="s">
        <v>36</v>
      </c>
      <c r="E816" s="5">
        <v>-29030</v>
      </c>
      <c r="F816" s="3" t="s">
        <v>789</v>
      </c>
      <c r="G816" s="3" t="s">
        <v>1987</v>
      </c>
      <c r="H816" s="2" t="s">
        <v>21</v>
      </c>
      <c r="I816" s="2" t="s">
        <v>1988</v>
      </c>
      <c r="J816" s="3" t="str">
        <f>HYPERLINK("https://www.boe.es/gazeta/dias/1820/07/07/pdfs/GGB-1820-8.pdf#page=4","Abrir facsímil")</f>
        <v>Abrir facsímil</v>
      </c>
      <c r="K816" s="3" t="s">
        <v>23</v>
      </c>
    </row>
    <row r="817" spans="1:11" ht="42" customHeight="1">
      <c r="A817" s="2" t="s">
        <v>1989</v>
      </c>
      <c r="B817" s="2" t="s">
        <v>1990</v>
      </c>
      <c r="C817" s="2" t="s">
        <v>35</v>
      </c>
      <c r="D817" s="2" t="s">
        <v>36</v>
      </c>
      <c r="E817" s="5">
        <v>-29187</v>
      </c>
      <c r="F817" s="3" t="s">
        <v>859</v>
      </c>
      <c r="G817" s="3" t="s">
        <v>295</v>
      </c>
      <c r="H817" s="2" t="s">
        <v>21</v>
      </c>
      <c r="I817" s="2" t="s">
        <v>1991</v>
      </c>
      <c r="J817" s="3" t="str">
        <f>HYPERLINK("https://www.boe.es/gazeta/dias/1820/02/01/pdfs/GMD-1820-14.pdf#page=8","Abrir facsímil")</f>
        <v>Abrir facsímil</v>
      </c>
      <c r="K817" s="3" t="s">
        <v>23</v>
      </c>
    </row>
    <row r="818" spans="1:11" ht="42" customHeight="1">
      <c r="A818" s="2" t="s">
        <v>1992</v>
      </c>
      <c r="B818" s="2" t="s">
        <v>1993</v>
      </c>
      <c r="C818" s="2" t="s">
        <v>74</v>
      </c>
      <c r="D818" s="2" t="s">
        <v>18</v>
      </c>
      <c r="E818" s="5">
        <v>-28878</v>
      </c>
      <c r="F818" s="3" t="s">
        <v>866</v>
      </c>
      <c r="G818" s="3" t="s">
        <v>62</v>
      </c>
      <c r="H818" s="2" t="s">
        <v>21</v>
      </c>
      <c r="I818" s="2" t="s">
        <v>1994</v>
      </c>
      <c r="J818" s="3" t="str">
        <f>HYPERLINK("https://www.boe.es/gazeta/dias/1820/12/06/pdfs/GGB-1820-163.pdf#page=3","Abrir facsímil")</f>
        <v>Abrir facsímil</v>
      </c>
      <c r="K818" s="3" t="s">
        <v>23</v>
      </c>
    </row>
    <row r="819" spans="1:11" ht="42" customHeight="1">
      <c r="A819" s="2" t="s">
        <v>1995</v>
      </c>
      <c r="B819" s="2" t="s">
        <v>1995</v>
      </c>
      <c r="C819" s="2" t="s">
        <v>35</v>
      </c>
      <c r="D819" s="2" t="s">
        <v>36</v>
      </c>
      <c r="E819" s="5">
        <v>-29215</v>
      </c>
      <c r="F819" s="3" t="s">
        <v>827</v>
      </c>
      <c r="G819" s="3" t="s">
        <v>62</v>
      </c>
      <c r="H819" s="2" t="s">
        <v>21</v>
      </c>
      <c r="I819" s="2" t="s">
        <v>1996</v>
      </c>
      <c r="J819" s="3" t="str">
        <f>HYPERLINK("https://www.boe.es/gazeta/dias/1820/01/04/pdfs/GMD-1820-2.pdf#page=3","Abrir facsímil")</f>
        <v>Abrir facsímil</v>
      </c>
      <c r="K819" s="3" t="s">
        <v>23</v>
      </c>
    </row>
    <row r="820" spans="1:11" ht="42" customHeight="1">
      <c r="A820" s="2" t="s">
        <v>1997</v>
      </c>
      <c r="B820" s="2" t="s">
        <v>1997</v>
      </c>
      <c r="C820" s="2" t="s">
        <v>26</v>
      </c>
      <c r="D820" s="2" t="s">
        <v>27</v>
      </c>
      <c r="E820" s="5">
        <v>-28994</v>
      </c>
      <c r="F820" s="3" t="s">
        <v>1612</v>
      </c>
      <c r="G820" s="3" t="s">
        <v>20</v>
      </c>
      <c r="H820" s="2" t="s">
        <v>21</v>
      </c>
      <c r="I820" s="2" t="s">
        <v>1998</v>
      </c>
      <c r="J820" s="3" t="str">
        <f>HYPERLINK("https://www.boe.es/gazeta/dias/1820/08/12/pdfs/GGB-1820-45.pdf#page=4","Abrir facsímil")</f>
        <v>Abrir facsímil</v>
      </c>
      <c r="K820" s="3" t="s">
        <v>23</v>
      </c>
    </row>
    <row r="821" spans="1:11" ht="42" customHeight="1">
      <c r="A821" s="2" t="s">
        <v>1999</v>
      </c>
      <c r="B821" s="2" t="s">
        <v>2000</v>
      </c>
      <c r="C821" s="2" t="s">
        <v>17</v>
      </c>
      <c r="D821" s="2" t="s">
        <v>18</v>
      </c>
      <c r="E821" s="5">
        <v>-28931</v>
      </c>
      <c r="F821" s="3" t="s">
        <v>724</v>
      </c>
      <c r="G821" s="3" t="s">
        <v>20</v>
      </c>
      <c r="H821" s="2" t="s">
        <v>21</v>
      </c>
      <c r="I821" s="2" t="s">
        <v>2001</v>
      </c>
      <c r="J821" s="3" t="str">
        <f>HYPERLINK("https://www.boe.es/gazeta/dias/1820/10/14/pdfs/GGB-1820-108.pdf#page=4","Abrir facsímil")</f>
        <v>Abrir facsímil</v>
      </c>
      <c r="K821" s="3" t="s">
        <v>23</v>
      </c>
    </row>
    <row r="822" spans="1:11" ht="42" customHeight="1">
      <c r="A822" s="2" t="s">
        <v>2002</v>
      </c>
      <c r="B822" s="2" t="s">
        <v>2002</v>
      </c>
      <c r="C822" s="2" t="s">
        <v>26</v>
      </c>
      <c r="D822" s="2" t="s">
        <v>27</v>
      </c>
      <c r="E822" s="5">
        <v>-28862</v>
      </c>
      <c r="F822" s="3" t="s">
        <v>1905</v>
      </c>
      <c r="G822" s="3" t="s">
        <v>128</v>
      </c>
      <c r="H822" s="2" t="s">
        <v>21</v>
      </c>
      <c r="I822" s="2" t="s">
        <v>2003</v>
      </c>
      <c r="J822" s="3" t="str">
        <f>HYPERLINK("https://www.boe.es/gazeta/dias/1820/12/22/pdfs/GGB-1820-179.pdf#page=1","Abrir facsímil")</f>
        <v>Abrir facsímil</v>
      </c>
      <c r="K822" s="3" t="s">
        <v>23</v>
      </c>
    </row>
    <row r="823" spans="1:11" ht="42" customHeight="1">
      <c r="A823" s="2" t="s">
        <v>2004</v>
      </c>
      <c r="B823" s="2" t="s">
        <v>2005</v>
      </c>
      <c r="C823" s="2" t="s">
        <v>74</v>
      </c>
      <c r="D823" s="2" t="s">
        <v>18</v>
      </c>
      <c r="E823" s="5">
        <v>-28911</v>
      </c>
      <c r="F823" s="3" t="s">
        <v>82</v>
      </c>
      <c r="G823" s="3" t="s">
        <v>43</v>
      </c>
      <c r="H823" s="2" t="s">
        <v>21</v>
      </c>
      <c r="I823" s="2" t="s">
        <v>2006</v>
      </c>
      <c r="J823" s="3" t="str">
        <f>HYPERLINK("https://www.boe.es/gazeta/dias/1820/11/03/pdfs/GGB-1820-128.pdf#page=2","Abrir facsímil")</f>
        <v>Abrir facsímil</v>
      </c>
      <c r="K823" s="3" t="s">
        <v>23</v>
      </c>
    </row>
    <row r="824" spans="1:11" ht="42" customHeight="1">
      <c r="A824" s="2" t="s">
        <v>2007</v>
      </c>
      <c r="B824" s="2" t="s">
        <v>2008</v>
      </c>
      <c r="C824" s="2" t="s">
        <v>26</v>
      </c>
      <c r="D824" s="2" t="s">
        <v>27</v>
      </c>
      <c r="E824" s="5">
        <v>-28948</v>
      </c>
      <c r="F824" s="3" t="s">
        <v>1069</v>
      </c>
      <c r="G824" s="3" t="s">
        <v>20</v>
      </c>
      <c r="H824" s="2" t="s">
        <v>21</v>
      </c>
      <c r="I824" s="2" t="s">
        <v>2009</v>
      </c>
      <c r="J824" s="3" t="str">
        <f>HYPERLINK("https://www.boe.es/gazeta/dias/1820/09/27/pdfs/GGB-1820-91.pdf#page=4","Abrir facsímil")</f>
        <v>Abrir facsímil</v>
      </c>
      <c r="K824" s="3" t="s">
        <v>23</v>
      </c>
    </row>
    <row r="825" spans="1:11" ht="42" customHeight="1">
      <c r="A825" s="2" t="s">
        <v>2010</v>
      </c>
      <c r="B825" s="2" t="s">
        <v>2010</v>
      </c>
      <c r="C825" s="2" t="s">
        <v>26</v>
      </c>
      <c r="D825" s="2" t="s">
        <v>27</v>
      </c>
      <c r="E825" s="5">
        <v>-28893</v>
      </c>
      <c r="F825" s="3" t="s">
        <v>546</v>
      </c>
      <c r="G825" s="3" t="s">
        <v>20</v>
      </c>
      <c r="H825" s="2" t="s">
        <v>21</v>
      </c>
      <c r="I825" s="2" t="s">
        <v>2011</v>
      </c>
      <c r="J825" s="3" t="str">
        <f>HYPERLINK("https://www.boe.es/gazeta/dias/1820/11/21/pdfs/GGB-1820-148.pdf#page=4","Abrir facsímil")</f>
        <v>Abrir facsímil</v>
      </c>
      <c r="K825" s="3" t="s">
        <v>23</v>
      </c>
    </row>
    <row r="826" spans="1:11" ht="42" customHeight="1">
      <c r="A826" s="2" t="s">
        <v>2012</v>
      </c>
      <c r="B826" s="2" t="s">
        <v>2012</v>
      </c>
      <c r="C826" s="2" t="s">
        <v>26</v>
      </c>
      <c r="D826" s="2" t="s">
        <v>27</v>
      </c>
      <c r="E826" s="5">
        <v>-29113</v>
      </c>
      <c r="F826" s="3" t="s">
        <v>501</v>
      </c>
      <c r="G826" s="3" t="s">
        <v>128</v>
      </c>
      <c r="H826" s="2" t="s">
        <v>21</v>
      </c>
      <c r="I826" s="2" t="s">
        <v>2013</v>
      </c>
      <c r="J826" s="3" t="str">
        <f>HYPERLINK("https://www.boe.es/gazeta/dias/1820/04/15/pdfs/GMD-1820-66.pdf#page=1","Abrir facsímil")</f>
        <v>Abrir facsímil</v>
      </c>
      <c r="K826" s="3" t="s">
        <v>23</v>
      </c>
    </row>
    <row r="827" spans="1:11" ht="42" customHeight="1">
      <c r="A827" s="2" t="s">
        <v>2014</v>
      </c>
      <c r="B827" s="2" t="s">
        <v>2015</v>
      </c>
      <c r="C827" s="2" t="s">
        <v>47</v>
      </c>
      <c r="D827" s="2" t="s">
        <v>18</v>
      </c>
      <c r="E827" s="5">
        <v>-28902</v>
      </c>
      <c r="F827" s="3" t="s">
        <v>440</v>
      </c>
      <c r="G827" s="3" t="s">
        <v>20</v>
      </c>
      <c r="H827" s="2" t="s">
        <v>21</v>
      </c>
      <c r="I827" s="2" t="s">
        <v>2016</v>
      </c>
      <c r="J827" s="3" t="str">
        <f>HYPERLINK("https://www.boe.es/gazeta/dias/1820/11/12/pdfs/GGB-1820-138.pdf#page=4","Abrir facsímil")</f>
        <v>Abrir facsímil</v>
      </c>
      <c r="K827" s="3" t="s">
        <v>23</v>
      </c>
    </row>
    <row r="828" spans="1:11" ht="42" customHeight="1">
      <c r="A828" s="2" t="s">
        <v>2017</v>
      </c>
      <c r="B828" s="2" t="s">
        <v>2018</v>
      </c>
      <c r="C828" s="2" t="s">
        <v>26</v>
      </c>
      <c r="D828" s="2" t="s">
        <v>27</v>
      </c>
      <c r="E828" s="5">
        <v>-28998</v>
      </c>
      <c r="F828" s="3" t="s">
        <v>629</v>
      </c>
      <c r="G828" s="3" t="s">
        <v>43</v>
      </c>
      <c r="H828" s="2" t="s">
        <v>21</v>
      </c>
      <c r="I828" s="2" t="s">
        <v>2019</v>
      </c>
      <c r="J828" s="3" t="str">
        <f>HYPERLINK("https://www.boe.es/gazeta/dias/1820/08/08/pdfs/GGB-1820-41.pdf#page=2","Abrir facsímil")</f>
        <v>Abrir facsímil</v>
      </c>
      <c r="K828" s="3" t="s">
        <v>23</v>
      </c>
    </row>
    <row r="829" spans="1:11" ht="42" customHeight="1">
      <c r="A829" s="2" t="s">
        <v>2020</v>
      </c>
      <c r="B829" s="2" t="s">
        <v>2021</v>
      </c>
      <c r="C829" s="2" t="s">
        <v>26</v>
      </c>
      <c r="D829" s="2" t="s">
        <v>27</v>
      </c>
      <c r="E829" s="5">
        <v>-29073</v>
      </c>
      <c r="F829" s="3" t="s">
        <v>1928</v>
      </c>
      <c r="G829" s="3" t="s">
        <v>295</v>
      </c>
      <c r="H829" s="2" t="s">
        <v>21</v>
      </c>
      <c r="I829" s="2" t="s">
        <v>2022</v>
      </c>
      <c r="J829" s="3" t="str">
        <f>HYPERLINK("https://www.boe.es/gazeta/dias/1820/05/25/pdfs/GMD-1820-85.pdf#page=8","Abrir facsímil")</f>
        <v>Abrir facsímil</v>
      </c>
      <c r="K829" s="3" t="s">
        <v>23</v>
      </c>
    </row>
    <row r="830" spans="1:11" ht="42" customHeight="1">
      <c r="A830" s="2" t="s">
        <v>2020</v>
      </c>
      <c r="B830" s="2" t="s">
        <v>2021</v>
      </c>
      <c r="C830" s="2" t="s">
        <v>26</v>
      </c>
      <c r="D830" s="2" t="s">
        <v>27</v>
      </c>
      <c r="E830" s="5">
        <v>-28911</v>
      </c>
      <c r="F830" s="3" t="s">
        <v>82</v>
      </c>
      <c r="G830" s="3" t="s">
        <v>43</v>
      </c>
      <c r="H830" s="2" t="s">
        <v>21</v>
      </c>
      <c r="I830" s="2" t="s">
        <v>2023</v>
      </c>
      <c r="J830" s="3" t="str">
        <f>HYPERLINK("https://www.boe.es/gazeta/dias/1820/11/03/pdfs/GGB-1820-128.pdf#page=2","Abrir facsímil")</f>
        <v>Abrir facsímil</v>
      </c>
      <c r="K830" s="3" t="s">
        <v>23</v>
      </c>
    </row>
    <row r="831" spans="1:11" ht="42" customHeight="1">
      <c r="A831" s="2" t="s">
        <v>2024</v>
      </c>
      <c r="B831" s="2" t="s">
        <v>2025</v>
      </c>
      <c r="C831" s="2" t="s">
        <v>35</v>
      </c>
      <c r="D831" s="2" t="s">
        <v>36</v>
      </c>
      <c r="E831" s="5">
        <v>-28912</v>
      </c>
      <c r="F831" s="3" t="s">
        <v>1329</v>
      </c>
      <c r="G831" s="3" t="s">
        <v>20</v>
      </c>
      <c r="H831" s="2" t="s">
        <v>30</v>
      </c>
      <c r="I831" s="2" t="s">
        <v>2026</v>
      </c>
      <c r="J831" s="3" t="str">
        <f>HYPERLINK("https://www.boe.es/gazeta/dias/1820/11/02/pdfs/GGB-1820-127.pdf#page=4","Abrir facsímil")</f>
        <v>Abrir facsímil</v>
      </c>
      <c r="K831" s="3" t="s">
        <v>32</v>
      </c>
    </row>
    <row r="832" spans="1:11" ht="42" customHeight="1">
      <c r="A832" s="2" t="s">
        <v>2027</v>
      </c>
      <c r="B832" s="2" t="s">
        <v>2028</v>
      </c>
      <c r="C832" s="2" t="s">
        <v>26</v>
      </c>
      <c r="D832" s="2" t="s">
        <v>27</v>
      </c>
      <c r="E832" s="5">
        <v>-29092</v>
      </c>
      <c r="F832" s="3" t="s">
        <v>1261</v>
      </c>
      <c r="G832" s="3" t="s">
        <v>295</v>
      </c>
      <c r="H832" s="2" t="s">
        <v>21</v>
      </c>
      <c r="I832" s="2" t="s">
        <v>2029</v>
      </c>
      <c r="J832" s="3" t="str">
        <f>HYPERLINK("https://www.boe.es/gazeta/dias/1820/05/06/pdfs/GMD-1820-76.pdf#page=8","Abrir facsímil")</f>
        <v>Abrir facsímil</v>
      </c>
      <c r="K832" s="3" t="s">
        <v>23</v>
      </c>
    </row>
    <row r="833" spans="1:11" ht="42" customHeight="1">
      <c r="A833" s="2" t="s">
        <v>2030</v>
      </c>
      <c r="B833" s="2" t="s">
        <v>2031</v>
      </c>
      <c r="C833" s="2" t="s">
        <v>26</v>
      </c>
      <c r="D833" s="2" t="s">
        <v>310</v>
      </c>
      <c r="E833" s="5">
        <v>-29132</v>
      </c>
      <c r="F833" s="3" t="s">
        <v>311</v>
      </c>
      <c r="G833" s="3" t="s">
        <v>128</v>
      </c>
      <c r="H833" s="2" t="s">
        <v>21</v>
      </c>
      <c r="I833" s="2" t="s">
        <v>2032</v>
      </c>
      <c r="J833" s="3" t="str">
        <f>HYPERLINK("https://www.boe.es/gazeta/dias/1820/03/27/pdfs/GMD-1820-55E.pdf#page=1","Abrir facsímil")</f>
        <v>Abrir facsímil</v>
      </c>
      <c r="K833" s="3" t="s">
        <v>23</v>
      </c>
    </row>
    <row r="834" spans="1:11" ht="42" customHeight="1">
      <c r="A834" s="2" t="s">
        <v>2033</v>
      </c>
      <c r="B834" s="2" t="s">
        <v>2034</v>
      </c>
      <c r="C834" s="2" t="s">
        <v>26</v>
      </c>
      <c r="D834" s="2" t="s">
        <v>27</v>
      </c>
      <c r="E834" s="5">
        <v>-28906</v>
      </c>
      <c r="F834" s="3" t="s">
        <v>232</v>
      </c>
      <c r="G834" s="3" t="s">
        <v>128</v>
      </c>
      <c r="H834" s="2" t="s">
        <v>21</v>
      </c>
      <c r="I834" s="2" t="s">
        <v>2035</v>
      </c>
      <c r="J834" s="3" t="str">
        <f>HYPERLINK("https://www.boe.es/gazeta/dias/1820/11/08/pdfs/GGB-1820-133.pdf#page=1","Abrir facsímil")</f>
        <v>Abrir facsímil</v>
      </c>
      <c r="K834" s="3" t="s">
        <v>23</v>
      </c>
    </row>
    <row r="835" spans="1:11" ht="42" customHeight="1">
      <c r="A835" s="2" t="s">
        <v>2036</v>
      </c>
      <c r="B835" s="2" t="s">
        <v>2037</v>
      </c>
      <c r="C835" s="2" t="s">
        <v>107</v>
      </c>
      <c r="D835" s="2" t="s">
        <v>18</v>
      </c>
      <c r="E835" s="5">
        <v>-29206</v>
      </c>
      <c r="F835" s="3" t="s">
        <v>897</v>
      </c>
      <c r="G835" s="3" t="s">
        <v>295</v>
      </c>
      <c r="H835" s="2" t="s">
        <v>30</v>
      </c>
      <c r="I835" s="2" t="s">
        <v>2038</v>
      </c>
      <c r="J835" s="3" t="str">
        <f>HYPERLINK("https://www.boe.es/gazeta/dias/1820/01/13/pdfs/GMD-1820-6.pdf#page=8","Abrir facsímil")</f>
        <v>Abrir facsímil</v>
      </c>
      <c r="K835" s="3" t="s">
        <v>32</v>
      </c>
    </row>
    <row r="836" spans="1:11" ht="42" customHeight="1">
      <c r="A836" s="2" t="s">
        <v>2039</v>
      </c>
      <c r="B836" s="2" t="s">
        <v>2040</v>
      </c>
      <c r="C836" s="2" t="s">
        <v>26</v>
      </c>
      <c r="D836" s="2" t="s">
        <v>27</v>
      </c>
      <c r="E836" s="5">
        <v>-29138</v>
      </c>
      <c r="F836" s="3" t="s">
        <v>200</v>
      </c>
      <c r="G836" s="3" t="s">
        <v>295</v>
      </c>
      <c r="H836" s="2" t="s">
        <v>30</v>
      </c>
      <c r="I836" s="2" t="s">
        <v>2041</v>
      </c>
      <c r="J836" s="3" t="str">
        <f>HYPERLINK("https://www.boe.es/gazeta/dias/1820/03/21/pdfs/GMD-1820-46.pdf#page=8","Abrir facsímil")</f>
        <v>Abrir facsímil</v>
      </c>
      <c r="K836" s="3" t="s">
        <v>32</v>
      </c>
    </row>
    <row r="837" spans="1:11" ht="42" customHeight="1">
      <c r="A837" s="2" t="s">
        <v>2042</v>
      </c>
      <c r="B837" s="2" t="s">
        <v>2043</v>
      </c>
      <c r="C837" s="2" t="s">
        <v>107</v>
      </c>
      <c r="D837" s="2" t="s">
        <v>18</v>
      </c>
      <c r="E837" s="5">
        <v>-29038</v>
      </c>
      <c r="F837" s="3" t="s">
        <v>957</v>
      </c>
      <c r="G837" s="3" t="s">
        <v>295</v>
      </c>
      <c r="H837" s="2" t="s">
        <v>30</v>
      </c>
      <c r="I837" s="2" t="s">
        <v>2044</v>
      </c>
      <c r="J837" s="3" t="str">
        <f>HYPERLINK("https://www.boe.es/gazeta/dias/1820/06/29/pdfs/GMD-1820-100.pdf#page=8","Abrir facsímil")</f>
        <v>Abrir facsímil</v>
      </c>
      <c r="K837" s="3" t="s">
        <v>32</v>
      </c>
    </row>
    <row r="838" spans="1:11" ht="42" customHeight="1">
      <c r="A838" s="2" t="s">
        <v>2045</v>
      </c>
      <c r="B838" s="2" t="s">
        <v>2046</v>
      </c>
      <c r="C838" s="2" t="s">
        <v>17</v>
      </c>
      <c r="D838" s="2" t="s">
        <v>18</v>
      </c>
      <c r="E838" s="5">
        <v>-28917</v>
      </c>
      <c r="F838" s="3" t="s">
        <v>19</v>
      </c>
      <c r="G838" s="3" t="s">
        <v>43</v>
      </c>
      <c r="H838" s="2" t="s">
        <v>21</v>
      </c>
      <c r="I838" s="2" t="s">
        <v>2047</v>
      </c>
      <c r="J838" s="3" t="str">
        <f>HYPERLINK("https://www.boe.es/gazeta/dias/1820/10/28/pdfs/GGB-1820-122.pdf#page=2","Abrir facsímil")</f>
        <v>Abrir facsímil</v>
      </c>
      <c r="K838" s="3" t="s">
        <v>23</v>
      </c>
    </row>
    <row r="839" spans="1:11" ht="42" customHeight="1">
      <c r="A839" s="2" t="s">
        <v>2048</v>
      </c>
      <c r="B839" s="2" t="s">
        <v>2049</v>
      </c>
      <c r="C839" s="2" t="s">
        <v>74</v>
      </c>
      <c r="D839" s="2" t="s">
        <v>18</v>
      </c>
      <c r="E839" s="5">
        <v>-28910</v>
      </c>
      <c r="F839" s="3" t="s">
        <v>746</v>
      </c>
      <c r="G839" s="3" t="s">
        <v>43</v>
      </c>
      <c r="H839" s="2" t="s">
        <v>21</v>
      </c>
      <c r="I839" s="2" t="s">
        <v>2050</v>
      </c>
      <c r="J839" s="3" t="str">
        <f>HYPERLINK("https://www.boe.es/gazeta/dias/1820/11/04/pdfs/GGB-1820-129.pdf#page=2","Abrir facsímil")</f>
        <v>Abrir facsímil</v>
      </c>
      <c r="K839" s="3" t="s">
        <v>23</v>
      </c>
    </row>
    <row r="840" spans="1:11" ht="42" customHeight="1">
      <c r="A840" s="2" t="s">
        <v>2051</v>
      </c>
      <c r="B840" s="2" t="s">
        <v>2051</v>
      </c>
      <c r="C840" s="2" t="s">
        <v>26</v>
      </c>
      <c r="D840" s="2" t="s">
        <v>27</v>
      </c>
      <c r="E840" s="5">
        <v>-28886</v>
      </c>
      <c r="F840" s="3" t="s">
        <v>874</v>
      </c>
      <c r="G840" s="3" t="s">
        <v>20</v>
      </c>
      <c r="H840" s="2" t="s">
        <v>21</v>
      </c>
      <c r="I840" s="2" t="s">
        <v>2052</v>
      </c>
      <c r="J840" s="3" t="str">
        <f>HYPERLINK("https://www.boe.es/gazeta/dias/1820/11/28/pdfs/GGB-1820-155.pdf#page=4","Abrir facsímil")</f>
        <v>Abrir facsímil</v>
      </c>
      <c r="K840" s="3" t="s">
        <v>23</v>
      </c>
    </row>
    <row r="841" spans="1:11" ht="42" customHeight="1">
      <c r="A841" s="2" t="s">
        <v>2053</v>
      </c>
      <c r="B841" s="2" t="s">
        <v>2054</v>
      </c>
      <c r="C841" s="2" t="s">
        <v>111</v>
      </c>
      <c r="D841" s="2" t="s">
        <v>18</v>
      </c>
      <c r="E841" s="5">
        <v>-28855</v>
      </c>
      <c r="F841" s="3" t="s">
        <v>2055</v>
      </c>
      <c r="G841" s="3" t="s">
        <v>20</v>
      </c>
      <c r="H841" s="2" t="s">
        <v>30</v>
      </c>
      <c r="I841" s="2" t="s">
        <v>2056</v>
      </c>
      <c r="J841" s="3" t="str">
        <f>HYPERLINK("https://www.boe.es/gazeta/dias/1820/12/29/pdfs/GGB-1820-186.pdf#page=4","Abrir facsímil")</f>
        <v>Abrir facsímil</v>
      </c>
      <c r="K841" s="3" t="s">
        <v>32</v>
      </c>
    </row>
    <row r="842" spans="1:11" ht="42" customHeight="1">
      <c r="A842" s="2" t="s">
        <v>2057</v>
      </c>
      <c r="B842" s="2" t="s">
        <v>2058</v>
      </c>
      <c r="C842" s="2" t="s">
        <v>26</v>
      </c>
      <c r="D842" s="2" t="s">
        <v>27</v>
      </c>
      <c r="E842" s="5">
        <v>-28973</v>
      </c>
      <c r="F842" s="3" t="s">
        <v>151</v>
      </c>
      <c r="G842" s="3" t="s">
        <v>20</v>
      </c>
      <c r="H842" s="2" t="s">
        <v>21</v>
      </c>
      <c r="I842" s="2" t="s">
        <v>2059</v>
      </c>
      <c r="J842" s="3" t="str">
        <f>HYPERLINK("https://www.boe.es/gazeta/dias/1820/09/02/pdfs/GGB-1820-66.pdf#page=4","Abrir facsímil")</f>
        <v>Abrir facsímil</v>
      </c>
      <c r="K842" s="3" t="s">
        <v>23</v>
      </c>
    </row>
    <row r="843" spans="1:11" ht="42" customHeight="1">
      <c r="A843" s="2" t="s">
        <v>2060</v>
      </c>
      <c r="B843" s="2" t="s">
        <v>2060</v>
      </c>
      <c r="C843" s="2" t="s">
        <v>26</v>
      </c>
      <c r="D843" s="2" t="s">
        <v>27</v>
      </c>
      <c r="E843" s="5">
        <v>-28911</v>
      </c>
      <c r="F843" s="3" t="s">
        <v>82</v>
      </c>
      <c r="G843" s="3" t="s">
        <v>43</v>
      </c>
      <c r="H843" s="2" t="s">
        <v>21</v>
      </c>
      <c r="I843" s="2" t="s">
        <v>2061</v>
      </c>
      <c r="J843" s="3" t="str">
        <f>HYPERLINK("https://www.boe.es/gazeta/dias/1820/11/03/pdfs/GGB-1820-128.pdf#page=2","Abrir facsímil")</f>
        <v>Abrir facsímil</v>
      </c>
      <c r="K843" s="3" t="s">
        <v>23</v>
      </c>
    </row>
    <row r="844" spans="1:11" ht="42" customHeight="1">
      <c r="A844" s="2" t="s">
        <v>2062</v>
      </c>
      <c r="B844" s="2" t="s">
        <v>2063</v>
      </c>
      <c r="C844" s="2" t="s">
        <v>26</v>
      </c>
      <c r="D844" s="2" t="s">
        <v>27</v>
      </c>
      <c r="E844" s="5">
        <v>-28990</v>
      </c>
      <c r="F844" s="3" t="s">
        <v>61</v>
      </c>
      <c r="G844" s="3" t="s">
        <v>1438</v>
      </c>
      <c r="H844" s="2" t="s">
        <v>21</v>
      </c>
      <c r="I844" s="2" t="s">
        <v>2064</v>
      </c>
      <c r="J844" s="3" t="str">
        <f>HYPERLINK("https://www.boe.es/gazeta/dias/1820/08/16/pdfs/GGB-1820-49.pdf#page=4","Abrir facsímil")</f>
        <v>Abrir facsímil</v>
      </c>
      <c r="K844" s="3" t="s">
        <v>23</v>
      </c>
    </row>
    <row r="845" spans="1:11" ht="42" customHeight="1">
      <c r="A845" s="2" t="s">
        <v>2065</v>
      </c>
      <c r="B845" s="2" t="s">
        <v>2066</v>
      </c>
      <c r="C845" s="2" t="s">
        <v>35</v>
      </c>
      <c r="D845" s="2" t="s">
        <v>36</v>
      </c>
      <c r="E845" s="5">
        <v>-29141</v>
      </c>
      <c r="F845" s="3" t="s">
        <v>319</v>
      </c>
      <c r="G845" s="3" t="s">
        <v>38</v>
      </c>
      <c r="H845" s="2" t="s">
        <v>21</v>
      </c>
      <c r="I845" s="2" t="s">
        <v>2067</v>
      </c>
      <c r="J845" s="3" t="str">
        <f>HYPERLINK("https://www.boe.es/gazeta/dias/1820/03/18/pdfs/GMD-1820-44.pdf#page=6","Abrir facsímil")</f>
        <v>Abrir facsímil</v>
      </c>
      <c r="K845" s="3" t="s">
        <v>23</v>
      </c>
    </row>
    <row r="846" spans="1:11" ht="42" customHeight="1">
      <c r="A846" s="2" t="s">
        <v>2068</v>
      </c>
      <c r="B846" s="2" t="s">
        <v>2069</v>
      </c>
      <c r="C846" s="2" t="s">
        <v>26</v>
      </c>
      <c r="D846" s="2" t="s">
        <v>27</v>
      </c>
      <c r="E846" s="5">
        <v>-28940</v>
      </c>
      <c r="F846" s="3" t="s">
        <v>141</v>
      </c>
      <c r="G846" s="3" t="s">
        <v>128</v>
      </c>
      <c r="H846" s="2" t="s">
        <v>30</v>
      </c>
      <c r="I846" s="2" t="s">
        <v>2070</v>
      </c>
      <c r="J846" s="3" t="str">
        <f>HYPERLINK("https://www.boe.es/gazeta/dias/1820/10/05/pdfs/GGB-1820-99.pdf#page=1","Abrir facsímil")</f>
        <v>Abrir facsímil</v>
      </c>
      <c r="K846" s="3" t="s">
        <v>32</v>
      </c>
    </row>
    <row r="847" spans="1:11" ht="42" customHeight="1">
      <c r="A847" s="2" t="s">
        <v>2071</v>
      </c>
      <c r="B847" s="2" t="s">
        <v>2072</v>
      </c>
      <c r="C847" s="2" t="s">
        <v>17</v>
      </c>
      <c r="D847" s="2" t="s">
        <v>18</v>
      </c>
      <c r="E847" s="5">
        <v>-28905</v>
      </c>
      <c r="F847" s="3" t="s">
        <v>749</v>
      </c>
      <c r="G847" s="3" t="s">
        <v>20</v>
      </c>
      <c r="H847" s="2" t="s">
        <v>21</v>
      </c>
      <c r="I847" s="2" t="s">
        <v>2073</v>
      </c>
      <c r="J847" s="3" t="str">
        <f>HYPERLINK("https://www.boe.es/gazeta/dias/1820/11/09/pdfs/GGB-1820-134.pdf#page=4","Abrir facsímil")</f>
        <v>Abrir facsímil</v>
      </c>
      <c r="K847" s="3" t="s">
        <v>23</v>
      </c>
    </row>
    <row r="848" spans="1:11" ht="42" customHeight="1">
      <c r="A848" s="2" t="s">
        <v>2074</v>
      </c>
      <c r="B848" s="2" t="s">
        <v>2075</v>
      </c>
      <c r="C848" s="2" t="s">
        <v>17</v>
      </c>
      <c r="D848" s="2" t="s">
        <v>18</v>
      </c>
      <c r="E848" s="5">
        <v>-28931</v>
      </c>
      <c r="F848" s="3" t="s">
        <v>724</v>
      </c>
      <c r="G848" s="3" t="s">
        <v>20</v>
      </c>
      <c r="H848" s="2" t="s">
        <v>21</v>
      </c>
      <c r="I848" s="2" t="s">
        <v>2076</v>
      </c>
      <c r="J848" s="3" t="str">
        <f>HYPERLINK("https://www.boe.es/gazeta/dias/1820/10/14/pdfs/GGB-1820-108.pdf#page=4","Abrir facsímil")</f>
        <v>Abrir facsímil</v>
      </c>
      <c r="K848" s="3" t="s">
        <v>23</v>
      </c>
    </row>
    <row r="849" spans="1:11" ht="42" customHeight="1">
      <c r="A849" s="2" t="s">
        <v>2077</v>
      </c>
      <c r="B849" s="2" t="s">
        <v>2077</v>
      </c>
      <c r="C849" s="2" t="s">
        <v>26</v>
      </c>
      <c r="D849" s="2" t="s">
        <v>27</v>
      </c>
      <c r="E849" s="5">
        <v>-28895</v>
      </c>
      <c r="F849" s="3" t="s">
        <v>347</v>
      </c>
      <c r="G849" s="3" t="s">
        <v>128</v>
      </c>
      <c r="H849" s="2" t="s">
        <v>21</v>
      </c>
      <c r="I849" s="2" t="s">
        <v>2078</v>
      </c>
      <c r="J849" s="3" t="str">
        <f>HYPERLINK("https://www.boe.es/gazeta/dias/1820/11/19/pdfs/GGB-1820-146.pdf#page=1","Abrir facsímil")</f>
        <v>Abrir facsímil</v>
      </c>
      <c r="K849" s="3" t="s">
        <v>23</v>
      </c>
    </row>
    <row r="850" spans="1:11" ht="42" customHeight="1">
      <c r="A850" s="2" t="s">
        <v>2079</v>
      </c>
      <c r="B850" s="2" t="s">
        <v>2079</v>
      </c>
      <c r="C850" s="2" t="s">
        <v>26</v>
      </c>
      <c r="D850" s="2" t="s">
        <v>27</v>
      </c>
      <c r="E850" s="5">
        <v>-28899</v>
      </c>
      <c r="F850" s="3" t="s">
        <v>285</v>
      </c>
      <c r="G850" s="3" t="s">
        <v>20</v>
      </c>
      <c r="H850" s="2" t="s">
        <v>21</v>
      </c>
      <c r="I850" s="2" t="s">
        <v>2080</v>
      </c>
      <c r="J850" s="3" t="str">
        <f>HYPERLINK("https://www.boe.es/gazeta/dias/1820/11/15/pdfs/GGB-1820-141.pdf#page=4","Abrir facsímil")</f>
        <v>Abrir facsímil</v>
      </c>
      <c r="K850" s="3" t="s">
        <v>23</v>
      </c>
    </row>
    <row r="851" spans="1:11" ht="42" customHeight="1">
      <c r="A851" s="2" t="s">
        <v>2081</v>
      </c>
      <c r="B851" s="2" t="s">
        <v>2081</v>
      </c>
      <c r="C851" s="2" t="s">
        <v>17</v>
      </c>
      <c r="D851" s="2" t="s">
        <v>18</v>
      </c>
      <c r="E851" s="5">
        <v>-29026</v>
      </c>
      <c r="F851" s="3" t="s">
        <v>1197</v>
      </c>
      <c r="G851" s="3" t="s">
        <v>62</v>
      </c>
      <c r="H851" s="2" t="s">
        <v>21</v>
      </c>
      <c r="I851" s="2" t="s">
        <v>2082</v>
      </c>
      <c r="J851" s="3" t="str">
        <f>HYPERLINK("https://www.boe.es/gazeta/dias/1820/07/11/pdfs/GGB-1820-13.pdf#page=3","Abrir facsímil")</f>
        <v>Abrir facsímil</v>
      </c>
      <c r="K851" s="3" t="s">
        <v>23</v>
      </c>
    </row>
    <row r="852" spans="1:11" ht="42" customHeight="1">
      <c r="A852" s="2" t="s">
        <v>2083</v>
      </c>
      <c r="B852" s="2" t="s">
        <v>2084</v>
      </c>
      <c r="C852" s="2" t="s">
        <v>293</v>
      </c>
      <c r="D852" s="2" t="s">
        <v>18</v>
      </c>
      <c r="E852" s="5">
        <v>-29022</v>
      </c>
      <c r="F852" s="3" t="s">
        <v>1310</v>
      </c>
      <c r="G852" s="3" t="s">
        <v>20</v>
      </c>
      <c r="H852" s="2" t="s">
        <v>21</v>
      </c>
      <c r="I852" s="2" t="s">
        <v>2085</v>
      </c>
      <c r="J852" s="3" t="str">
        <f>HYPERLINK("https://www.boe.es/gazeta/dias/1820/07/15/pdfs/GGB-1820-17.pdf#page=4","Abrir facsímil")</f>
        <v>Abrir facsímil</v>
      </c>
      <c r="K852" s="3" t="s">
        <v>23</v>
      </c>
    </row>
    <row r="853" spans="1:11" ht="42" customHeight="1">
      <c r="A853" s="2" t="s">
        <v>2086</v>
      </c>
      <c r="B853" s="2" t="s">
        <v>2087</v>
      </c>
      <c r="C853" s="2" t="s">
        <v>107</v>
      </c>
      <c r="D853" s="2" t="s">
        <v>18</v>
      </c>
      <c r="E853" s="5">
        <v>-29040</v>
      </c>
      <c r="F853" s="3" t="s">
        <v>1125</v>
      </c>
      <c r="G853" s="3" t="s">
        <v>196</v>
      </c>
      <c r="H853" s="2" t="s">
        <v>21</v>
      </c>
      <c r="I853" s="2" t="s">
        <v>2088</v>
      </c>
      <c r="J853" s="3" t="str">
        <f>HYPERLINK("https://www.boe.es/gazeta/dias/1820/06/27/pdfs/GMD-1820-99.pdf#page=11","Abrir facsímil")</f>
        <v>Abrir facsímil</v>
      </c>
      <c r="K853" s="3" t="s">
        <v>23</v>
      </c>
    </row>
    <row r="854" spans="1:11" ht="42" customHeight="1">
      <c r="A854" s="2" t="s">
        <v>2089</v>
      </c>
      <c r="B854" s="2" t="s">
        <v>2090</v>
      </c>
      <c r="C854" s="2" t="s">
        <v>107</v>
      </c>
      <c r="D854" s="2" t="s">
        <v>18</v>
      </c>
      <c r="E854" s="5">
        <v>-29040</v>
      </c>
      <c r="F854" s="3" t="s">
        <v>1125</v>
      </c>
      <c r="G854" s="3" t="s">
        <v>196</v>
      </c>
      <c r="H854" s="2" t="s">
        <v>21</v>
      </c>
      <c r="I854" s="2" t="s">
        <v>2091</v>
      </c>
      <c r="J854" s="3" t="str">
        <f>HYPERLINK("https://www.boe.es/gazeta/dias/1820/06/27/pdfs/GMD-1820-99.pdf#page=11","Abrir facsímil")</f>
        <v>Abrir facsímil</v>
      </c>
      <c r="K854" s="3" t="s">
        <v>23</v>
      </c>
    </row>
    <row r="855" spans="1:11" ht="42" customHeight="1">
      <c r="A855" s="2" t="s">
        <v>2092</v>
      </c>
      <c r="B855" s="2" t="s">
        <v>2092</v>
      </c>
      <c r="C855" s="2" t="s">
        <v>26</v>
      </c>
      <c r="D855" s="2" t="s">
        <v>27</v>
      </c>
      <c r="E855" s="5">
        <v>-28943</v>
      </c>
      <c r="F855" s="3" t="s">
        <v>1403</v>
      </c>
      <c r="G855" s="3" t="s">
        <v>1710</v>
      </c>
      <c r="H855" s="2" t="s">
        <v>21</v>
      </c>
      <c r="I855" s="2" t="s">
        <v>2093</v>
      </c>
      <c r="J855" s="3" t="str">
        <f>HYPERLINK("https://www.boe.es/gazeta/dias/1820/10/02/pdfs/GGB-1820-96.pdf#page=4","Abrir facsímil")</f>
        <v>Abrir facsímil</v>
      </c>
      <c r="K855" s="3" t="s">
        <v>23</v>
      </c>
    </row>
    <row r="856" spans="1:11" ht="42" customHeight="1">
      <c r="A856" s="2" t="s">
        <v>2094</v>
      </c>
      <c r="B856" s="2" t="s">
        <v>2094</v>
      </c>
      <c r="C856" s="2" t="s">
        <v>26</v>
      </c>
      <c r="D856" s="2" t="s">
        <v>27</v>
      </c>
      <c r="E856" s="5">
        <v>-29155</v>
      </c>
      <c r="F856" s="3" t="s">
        <v>2095</v>
      </c>
      <c r="G856" s="3" t="s">
        <v>20</v>
      </c>
      <c r="H856" s="2" t="s">
        <v>21</v>
      </c>
      <c r="I856" s="2" t="s">
        <v>2096</v>
      </c>
      <c r="J856" s="3" t="str">
        <f>HYPERLINK("https://www.boe.es/gazeta/dias/1820/03/04/pdfs/GMD-1820-28.pdf#page=4","Abrir facsímil")</f>
        <v>Abrir facsímil</v>
      </c>
      <c r="K856" s="3" t="s">
        <v>23</v>
      </c>
    </row>
    <row r="857" spans="1:11" ht="42" customHeight="1">
      <c r="A857" s="2" t="s">
        <v>2097</v>
      </c>
      <c r="B857" s="2" t="s">
        <v>2097</v>
      </c>
      <c r="C857" s="2" t="s">
        <v>26</v>
      </c>
      <c r="D857" s="2" t="s">
        <v>27</v>
      </c>
      <c r="E857" s="5">
        <v>-28887</v>
      </c>
      <c r="F857" s="3" t="s">
        <v>2098</v>
      </c>
      <c r="G857" s="3" t="s">
        <v>128</v>
      </c>
      <c r="H857" s="2" t="s">
        <v>21</v>
      </c>
      <c r="I857" s="2" t="s">
        <v>2099</v>
      </c>
      <c r="J857" s="3" t="str">
        <f>HYPERLINK("https://www.boe.es/gazeta/dias/1820/11/27/pdfs/GGB-1820-154.pdf#page=1","Abrir facsímil")</f>
        <v>Abrir facsímil</v>
      </c>
      <c r="K857" s="3" t="s">
        <v>23</v>
      </c>
    </row>
    <row r="858" spans="1:11" ht="42" customHeight="1">
      <c r="A858" s="2" t="s">
        <v>2100</v>
      </c>
      <c r="B858" s="2" t="s">
        <v>2101</v>
      </c>
      <c r="C858" s="2" t="s">
        <v>107</v>
      </c>
      <c r="D858" s="2" t="s">
        <v>18</v>
      </c>
      <c r="E858" s="5">
        <v>-29171</v>
      </c>
      <c r="F858" s="3" t="s">
        <v>764</v>
      </c>
      <c r="G858" s="3" t="s">
        <v>295</v>
      </c>
      <c r="H858" s="2" t="s">
        <v>21</v>
      </c>
      <c r="I858" s="2" t="s">
        <v>2102</v>
      </c>
      <c r="J858" s="3" t="str">
        <f>HYPERLINK("https://www.boe.es/gazeta/dias/1820/02/17/pdfs/GMD-1820-21.pdf#page=8","Abrir facsímil")</f>
        <v>Abrir facsímil</v>
      </c>
      <c r="K858" s="3" t="s">
        <v>23</v>
      </c>
    </row>
    <row r="859" spans="1:11" ht="42" customHeight="1">
      <c r="A859" s="2" t="s">
        <v>2103</v>
      </c>
      <c r="B859" s="2" t="s">
        <v>2104</v>
      </c>
      <c r="C859" s="2" t="s">
        <v>35</v>
      </c>
      <c r="D859" s="2" t="s">
        <v>36</v>
      </c>
      <c r="E859" s="5">
        <v>-29117</v>
      </c>
      <c r="F859" s="3" t="s">
        <v>1451</v>
      </c>
      <c r="G859" s="3" t="s">
        <v>1710</v>
      </c>
      <c r="H859" s="2" t="s">
        <v>21</v>
      </c>
      <c r="I859" s="2" t="s">
        <v>2105</v>
      </c>
      <c r="J859" s="3" t="str">
        <f>HYPERLINK("https://www.boe.es/gazeta/dias/1820/04/11/pdfs/GMD-1820-64.pdf#page=4","Abrir facsímil")</f>
        <v>Abrir facsímil</v>
      </c>
      <c r="K859" s="3" t="s">
        <v>23</v>
      </c>
    </row>
    <row r="860" spans="1:11" ht="42" customHeight="1">
      <c r="A860" s="2" t="s">
        <v>2106</v>
      </c>
      <c r="B860" s="2" t="s">
        <v>2107</v>
      </c>
      <c r="C860" s="2" t="s">
        <v>26</v>
      </c>
      <c r="D860" s="2" t="s">
        <v>27</v>
      </c>
      <c r="E860" s="5">
        <v>-28945</v>
      </c>
      <c r="F860" s="3" t="s">
        <v>99</v>
      </c>
      <c r="G860" s="3" t="s">
        <v>43</v>
      </c>
      <c r="H860" s="2" t="s">
        <v>21</v>
      </c>
      <c r="I860" s="2" t="s">
        <v>2108</v>
      </c>
      <c r="J860" s="3" t="str">
        <f>HYPERLINK("https://www.boe.es/gazeta/dias/1820/09/30/pdfs/GGB-1820-94.pdf#page=2","Abrir facsímil")</f>
        <v>Abrir facsímil</v>
      </c>
      <c r="K860" s="3" t="s">
        <v>23</v>
      </c>
    </row>
    <row r="861" spans="1:11" ht="42" customHeight="1">
      <c r="A861" s="2" t="s">
        <v>2109</v>
      </c>
      <c r="B861" s="2" t="s">
        <v>2109</v>
      </c>
      <c r="C861" s="2" t="s">
        <v>35</v>
      </c>
      <c r="D861" s="2" t="s">
        <v>36</v>
      </c>
      <c r="E861" s="5">
        <v>-28878</v>
      </c>
      <c r="F861" s="3" t="s">
        <v>866</v>
      </c>
      <c r="G861" s="3" t="s">
        <v>128</v>
      </c>
      <c r="H861" s="2" t="s">
        <v>21</v>
      </c>
      <c r="I861" s="2" t="s">
        <v>2110</v>
      </c>
      <c r="J861" s="3" t="str">
        <f>HYPERLINK("https://www.boe.es/gazeta/dias/1820/12/06/pdfs/GGB-1820-163.pdf#page=1","Abrir facsímil")</f>
        <v>Abrir facsímil</v>
      </c>
      <c r="K861" s="3" t="s">
        <v>23</v>
      </c>
    </row>
    <row r="862" spans="1:11" ht="42" customHeight="1">
      <c r="A862" s="2" t="s">
        <v>2111</v>
      </c>
      <c r="B862" s="2" t="s">
        <v>2112</v>
      </c>
      <c r="C862" s="2" t="s">
        <v>26</v>
      </c>
      <c r="D862" s="2" t="s">
        <v>27</v>
      </c>
      <c r="E862" s="5">
        <v>-28986</v>
      </c>
      <c r="F862" s="3" t="s">
        <v>488</v>
      </c>
      <c r="G862" s="3" t="s">
        <v>128</v>
      </c>
      <c r="H862" s="2" t="s">
        <v>21</v>
      </c>
      <c r="I862" s="2" t="s">
        <v>2113</v>
      </c>
      <c r="J862" s="3" t="str">
        <f>HYPERLINK("https://www.boe.es/gazeta/dias/1820/08/20/pdfs/GGB-1820-53.pdf#page=1","Abrir facsímil")</f>
        <v>Abrir facsímil</v>
      </c>
      <c r="K862" s="3" t="s">
        <v>23</v>
      </c>
    </row>
    <row r="863" spans="1:11" ht="42" customHeight="1">
      <c r="A863" s="2" t="s">
        <v>2114</v>
      </c>
      <c r="B863" s="2" t="s">
        <v>2115</v>
      </c>
      <c r="C863" s="2" t="s">
        <v>17</v>
      </c>
      <c r="D863" s="2" t="s">
        <v>18</v>
      </c>
      <c r="E863" s="5">
        <v>-29115</v>
      </c>
      <c r="F863" s="3" t="s">
        <v>289</v>
      </c>
      <c r="G863" s="3" t="s">
        <v>256</v>
      </c>
      <c r="H863" s="2" t="s">
        <v>21</v>
      </c>
      <c r="I863" s="2" t="s">
        <v>2116</v>
      </c>
      <c r="J863" s="3" t="str">
        <f>HYPERLINK("https://www.boe.es/gazeta/dias/1820/04/13/pdfs/GMD-1820-65.pdf#page=5","Abrir facsímil")</f>
        <v>Abrir facsímil</v>
      </c>
      <c r="K863" s="3" t="s">
        <v>23</v>
      </c>
    </row>
    <row r="864" spans="1:11" ht="42" customHeight="1">
      <c r="A864" s="2" t="s">
        <v>2117</v>
      </c>
      <c r="B864" s="2" t="s">
        <v>2118</v>
      </c>
      <c r="C864" s="2" t="s">
        <v>17</v>
      </c>
      <c r="D864" s="2" t="s">
        <v>18</v>
      </c>
      <c r="E864" s="5">
        <v>-29011</v>
      </c>
      <c r="F864" s="3" t="s">
        <v>338</v>
      </c>
      <c r="G864" s="3" t="s">
        <v>43</v>
      </c>
      <c r="H864" s="2" t="s">
        <v>21</v>
      </c>
      <c r="I864" s="2" t="s">
        <v>2119</v>
      </c>
      <c r="J864" s="3" t="str">
        <f>HYPERLINK("https://www.boe.es/gazeta/dias/1820/07/26/pdfs/GGB-1820-28.pdf#page=2","Abrir facsímil")</f>
        <v>Abrir facsímil</v>
      </c>
      <c r="K864" s="3" t="s">
        <v>23</v>
      </c>
    </row>
    <row r="865" spans="1:11" ht="42" customHeight="1">
      <c r="A865" s="2" t="s">
        <v>2120</v>
      </c>
      <c r="B865" s="2" t="s">
        <v>2121</v>
      </c>
      <c r="C865" s="2" t="s">
        <v>26</v>
      </c>
      <c r="D865" s="2" t="s">
        <v>27</v>
      </c>
      <c r="E865" s="5">
        <v>-29047</v>
      </c>
      <c r="F865" s="3" t="s">
        <v>1033</v>
      </c>
      <c r="G865" s="3" t="s">
        <v>1034</v>
      </c>
      <c r="H865" s="2" t="s">
        <v>21</v>
      </c>
      <c r="I865" s="2" t="s">
        <v>2122</v>
      </c>
      <c r="J865" s="3" t="str">
        <f>HYPERLINK("https://www.boe.es/gazeta/dias/1820/06/20/pdfs/GMD-1820-96.pdf#page=9","Abrir facsímil")</f>
        <v>Abrir facsímil</v>
      </c>
      <c r="K865" s="3" t="s">
        <v>23</v>
      </c>
    </row>
    <row r="866" spans="1:11" ht="42" customHeight="1">
      <c r="A866" s="2" t="s">
        <v>2123</v>
      </c>
      <c r="B866" s="2" t="s">
        <v>2124</v>
      </c>
      <c r="C866" s="2" t="s">
        <v>26</v>
      </c>
      <c r="D866" s="2" t="s">
        <v>27</v>
      </c>
      <c r="E866" s="5">
        <v>-28990</v>
      </c>
      <c r="F866" s="3" t="s">
        <v>61</v>
      </c>
      <c r="G866" s="3" t="s">
        <v>128</v>
      </c>
      <c r="H866" s="2" t="s">
        <v>21</v>
      </c>
      <c r="I866" s="2" t="s">
        <v>2125</v>
      </c>
      <c r="J866" s="3" t="str">
        <f>HYPERLINK("https://www.boe.es/gazeta/dias/1820/08/16/pdfs/GGB-1820-49.pdf#page=1","Abrir facsímil")</f>
        <v>Abrir facsímil</v>
      </c>
      <c r="K866" s="3" t="s">
        <v>23</v>
      </c>
    </row>
    <row r="867" spans="1:11" ht="42" customHeight="1">
      <c r="A867" s="2" t="s">
        <v>2126</v>
      </c>
      <c r="B867" s="2" t="s">
        <v>2127</v>
      </c>
      <c r="C867" s="2" t="s">
        <v>293</v>
      </c>
      <c r="D867" s="2" t="s">
        <v>18</v>
      </c>
      <c r="E867" s="5">
        <v>-29089</v>
      </c>
      <c r="F867" s="3" t="s">
        <v>2128</v>
      </c>
      <c r="G867" s="3" t="s">
        <v>201</v>
      </c>
      <c r="H867" s="2" t="s">
        <v>21</v>
      </c>
      <c r="I867" s="2" t="s">
        <v>2129</v>
      </c>
      <c r="J867" s="3" t="str">
        <f>HYPERLINK("https://www.boe.es/gazeta/dias/1820/05/09/pdfs/GMD-1820-77.pdf#page=7","Abrir facsímil")</f>
        <v>Abrir facsímil</v>
      </c>
      <c r="K867" s="3" t="s">
        <v>23</v>
      </c>
    </row>
    <row r="868" spans="1:11" ht="42" customHeight="1">
      <c r="A868" s="2" t="s">
        <v>2130</v>
      </c>
      <c r="B868" s="2" t="s">
        <v>2131</v>
      </c>
      <c r="C868" s="2" t="s">
        <v>293</v>
      </c>
      <c r="D868" s="2" t="s">
        <v>18</v>
      </c>
      <c r="E868" s="5">
        <v>-29050</v>
      </c>
      <c r="F868" s="3" t="s">
        <v>423</v>
      </c>
      <c r="G868" s="3" t="s">
        <v>201</v>
      </c>
      <c r="H868" s="2" t="s">
        <v>21</v>
      </c>
      <c r="I868" s="2" t="s">
        <v>2132</v>
      </c>
      <c r="J868" s="3" t="str">
        <f>HYPERLINK("https://www.boe.es/gazeta/dias/1820/06/17/pdfs/GMD-1820-95.pdf#page=7","Abrir facsímil")</f>
        <v>Abrir facsímil</v>
      </c>
      <c r="K868" s="3" t="s">
        <v>23</v>
      </c>
    </row>
    <row r="869" spans="1:11" ht="42" customHeight="1">
      <c r="A869" s="2" t="s">
        <v>2133</v>
      </c>
      <c r="B869" s="2" t="s">
        <v>2133</v>
      </c>
      <c r="C869" s="2" t="s">
        <v>26</v>
      </c>
      <c r="D869" s="2" t="s">
        <v>27</v>
      </c>
      <c r="E869" s="5">
        <v>-29162</v>
      </c>
      <c r="F869" s="3" t="s">
        <v>2134</v>
      </c>
      <c r="G869" s="3" t="s">
        <v>128</v>
      </c>
      <c r="H869" s="2" t="s">
        <v>21</v>
      </c>
      <c r="I869" s="2" t="s">
        <v>2135</v>
      </c>
      <c r="J869" s="3" t="str">
        <f>HYPERLINK("https://www.boe.es/gazeta/dias/1820/02/26/pdfs/GMD-1820-25.pdf#page=1","Abrir facsímil")</f>
        <v>Abrir facsímil</v>
      </c>
      <c r="K869" s="3" t="s">
        <v>23</v>
      </c>
    </row>
    <row r="870" spans="1:11" ht="42" customHeight="1">
      <c r="A870" s="2" t="s">
        <v>2136</v>
      </c>
      <c r="B870" s="2" t="s">
        <v>2137</v>
      </c>
      <c r="C870" s="2" t="s">
        <v>26</v>
      </c>
      <c r="D870" s="2" t="s">
        <v>27</v>
      </c>
      <c r="E870" s="5">
        <v>-28928</v>
      </c>
      <c r="F870" s="3" t="s">
        <v>86</v>
      </c>
      <c r="G870" s="3" t="s">
        <v>128</v>
      </c>
      <c r="H870" s="2" t="s">
        <v>21</v>
      </c>
      <c r="I870" s="2" t="s">
        <v>2138</v>
      </c>
      <c r="J870" s="3" t="str">
        <f>HYPERLINK("https://www.boe.es/gazeta/dias/1820/10/17/pdfs/GGB-1820-111.pdf#page=1","Abrir facsímil")</f>
        <v>Abrir facsímil</v>
      </c>
      <c r="K870" s="3" t="s">
        <v>23</v>
      </c>
    </row>
    <row r="871" spans="1:11" ht="42" customHeight="1">
      <c r="A871" s="2" t="s">
        <v>2139</v>
      </c>
      <c r="B871" s="2" t="s">
        <v>2140</v>
      </c>
      <c r="C871" s="2" t="s">
        <v>26</v>
      </c>
      <c r="D871" s="2" t="s">
        <v>27</v>
      </c>
      <c r="E871" s="5">
        <v>-29057</v>
      </c>
      <c r="F871" s="3" t="s">
        <v>2141</v>
      </c>
      <c r="G871" s="3" t="s">
        <v>43</v>
      </c>
      <c r="H871" s="2" t="s">
        <v>21</v>
      </c>
      <c r="I871" s="2" t="s">
        <v>2142</v>
      </c>
      <c r="J871" s="3" t="str">
        <f>HYPERLINK("https://www.boe.es/gazeta/dias/1820/06/10/pdfs/GMD-1820-92.pdf#page=2","Abrir facsímil")</f>
        <v>Abrir facsímil</v>
      </c>
      <c r="K871" s="3" t="s">
        <v>23</v>
      </c>
    </row>
    <row r="872" spans="1:11" ht="42" customHeight="1">
      <c r="A872" s="2" t="s">
        <v>2143</v>
      </c>
      <c r="B872" s="2" t="s">
        <v>2143</v>
      </c>
      <c r="C872" s="2" t="s">
        <v>26</v>
      </c>
      <c r="D872" s="2" t="s">
        <v>27</v>
      </c>
      <c r="E872" s="5">
        <v>-28864</v>
      </c>
      <c r="F872" s="3" t="s">
        <v>1275</v>
      </c>
      <c r="G872" s="3" t="s">
        <v>128</v>
      </c>
      <c r="H872" s="2" t="s">
        <v>21</v>
      </c>
      <c r="I872" s="2" t="s">
        <v>2144</v>
      </c>
      <c r="J872" s="3" t="str">
        <f>HYPERLINK("https://www.boe.es/gazeta/dias/1820/12/20/pdfs/GGB-1820-177.pdf#page=1","Abrir facsímil")</f>
        <v>Abrir facsímil</v>
      </c>
      <c r="K872" s="3" t="s">
        <v>23</v>
      </c>
    </row>
    <row r="873" spans="1:11" ht="42" customHeight="1">
      <c r="A873" s="2" t="s">
        <v>2145</v>
      </c>
      <c r="B873" s="2" t="s">
        <v>2146</v>
      </c>
      <c r="C873" s="2" t="s">
        <v>74</v>
      </c>
      <c r="D873" s="2" t="s">
        <v>18</v>
      </c>
      <c r="E873" s="5">
        <v>-28888</v>
      </c>
      <c r="F873" s="3" t="s">
        <v>112</v>
      </c>
      <c r="G873" s="3" t="s">
        <v>20</v>
      </c>
      <c r="H873" s="2" t="s">
        <v>21</v>
      </c>
      <c r="I873" s="2" t="s">
        <v>2147</v>
      </c>
      <c r="J873" s="3" t="str">
        <f>HYPERLINK("https://www.boe.es/gazeta/dias/1820/11/26/pdfs/GGB-1820-153.pdf#page=4","Abrir facsímil")</f>
        <v>Abrir facsímil</v>
      </c>
      <c r="K873" s="3" t="s">
        <v>23</v>
      </c>
    </row>
    <row r="874" spans="1:11" ht="42" customHeight="1">
      <c r="A874" s="2" t="s">
        <v>2148</v>
      </c>
      <c r="B874" s="2" t="s">
        <v>2149</v>
      </c>
      <c r="C874" s="2" t="s">
        <v>17</v>
      </c>
      <c r="D874" s="2" t="s">
        <v>18</v>
      </c>
      <c r="E874" s="5">
        <v>-29122</v>
      </c>
      <c r="F874" s="3" t="s">
        <v>844</v>
      </c>
      <c r="G874" s="3" t="s">
        <v>845</v>
      </c>
      <c r="H874" s="2" t="s">
        <v>21</v>
      </c>
      <c r="I874" s="2" t="s">
        <v>2150</v>
      </c>
      <c r="J874" s="3" t="str">
        <f>HYPERLINK("https://www.boe.es/gazeta/dias/1820/04/06/pdfs/GMD-1820-62.pdf#page=8","Abrir facsímil")</f>
        <v>Abrir facsímil</v>
      </c>
      <c r="K874" s="3" t="s">
        <v>23</v>
      </c>
    </row>
    <row r="875" spans="1:11" ht="42" customHeight="1">
      <c r="A875" s="2" t="s">
        <v>2151</v>
      </c>
      <c r="B875" s="2" t="s">
        <v>2151</v>
      </c>
      <c r="C875" s="2" t="s">
        <v>35</v>
      </c>
      <c r="D875" s="2" t="s">
        <v>36</v>
      </c>
      <c r="E875" s="5">
        <v>-29024</v>
      </c>
      <c r="F875" s="3" t="s">
        <v>1916</v>
      </c>
      <c r="G875" s="3" t="s">
        <v>128</v>
      </c>
      <c r="H875" s="2" t="s">
        <v>21</v>
      </c>
      <c r="I875" s="2" t="s">
        <v>2152</v>
      </c>
      <c r="J875" s="3" t="str">
        <f>HYPERLINK("https://www.boe.es/gazeta/dias/1820/07/13/pdfs/GGB-1820-15.pdf#page=1","Abrir facsímil")</f>
        <v>Abrir facsímil</v>
      </c>
      <c r="K875" s="3" t="s">
        <v>23</v>
      </c>
    </row>
    <row r="876" spans="1:11" ht="42" customHeight="1">
      <c r="A876" s="2" t="s">
        <v>2153</v>
      </c>
      <c r="B876" s="2" t="s">
        <v>2154</v>
      </c>
      <c r="C876" s="2" t="s">
        <v>17</v>
      </c>
      <c r="D876" s="2" t="s">
        <v>18</v>
      </c>
      <c r="E876" s="5">
        <v>-28931</v>
      </c>
      <c r="F876" s="3" t="s">
        <v>724</v>
      </c>
      <c r="G876" s="3" t="s">
        <v>20</v>
      </c>
      <c r="H876" s="2" t="s">
        <v>21</v>
      </c>
      <c r="I876" s="2" t="s">
        <v>2155</v>
      </c>
      <c r="J876" s="3" t="str">
        <f>HYPERLINK("https://www.boe.es/gazeta/dias/1820/10/14/pdfs/GGB-1820-108.pdf#page=4","Abrir facsímil")</f>
        <v>Abrir facsímil</v>
      </c>
      <c r="K876" s="3" t="s">
        <v>23</v>
      </c>
    </row>
    <row r="877" spans="1:11" ht="42" customHeight="1">
      <c r="A877" s="2" t="s">
        <v>2156</v>
      </c>
      <c r="B877" s="2" t="s">
        <v>2157</v>
      </c>
      <c r="C877" s="2" t="s">
        <v>293</v>
      </c>
      <c r="D877" s="2" t="s">
        <v>18</v>
      </c>
      <c r="E877" s="5">
        <v>-29101</v>
      </c>
      <c r="F877" s="3" t="s">
        <v>999</v>
      </c>
      <c r="G877" s="3" t="s">
        <v>196</v>
      </c>
      <c r="H877" s="2" t="s">
        <v>21</v>
      </c>
      <c r="I877" s="2" t="s">
        <v>2158</v>
      </c>
      <c r="J877" s="3" t="str">
        <f>HYPERLINK("https://www.boe.es/gazeta/dias/1820/04/27/pdfs/GMD-1820-72.pdf#page=11","Abrir facsímil")</f>
        <v>Abrir facsímil</v>
      </c>
      <c r="K877" s="3" t="s">
        <v>23</v>
      </c>
    </row>
    <row r="878" spans="1:11" ht="42" customHeight="1">
      <c r="A878" s="2" t="s">
        <v>2159</v>
      </c>
      <c r="B878" s="2" t="s">
        <v>2160</v>
      </c>
      <c r="C878" s="2" t="s">
        <v>26</v>
      </c>
      <c r="D878" s="2" t="s">
        <v>27</v>
      </c>
      <c r="E878" s="5">
        <v>-29201</v>
      </c>
      <c r="F878" s="3" t="s">
        <v>411</v>
      </c>
      <c r="G878" s="3" t="s">
        <v>20</v>
      </c>
      <c r="H878" s="2" t="s">
        <v>21</v>
      </c>
      <c r="I878" s="2" t="s">
        <v>2161</v>
      </c>
      <c r="J878" s="3" t="str">
        <f>HYPERLINK("https://www.boe.es/gazeta/dias/1820/01/18/pdfs/GMD-1820-8.pdf#page=4","Abrir facsímil")</f>
        <v>Abrir facsímil</v>
      </c>
      <c r="K878" s="3" t="s">
        <v>23</v>
      </c>
    </row>
    <row r="879" spans="1:11" ht="42" customHeight="1">
      <c r="A879" s="2" t="s">
        <v>2162</v>
      </c>
      <c r="B879" s="2" t="s">
        <v>2162</v>
      </c>
      <c r="C879" s="2" t="s">
        <v>26</v>
      </c>
      <c r="D879" s="2" t="s">
        <v>27</v>
      </c>
      <c r="E879" s="5">
        <v>-28903</v>
      </c>
      <c r="F879" s="3" t="s">
        <v>2163</v>
      </c>
      <c r="G879" s="3" t="s">
        <v>43</v>
      </c>
      <c r="H879" s="2" t="s">
        <v>21</v>
      </c>
      <c r="I879" s="2" t="s">
        <v>2164</v>
      </c>
      <c r="J879" s="3" t="str">
        <f>HYPERLINK("https://www.boe.es/gazeta/dias/1820/11/11/pdfs/GGB-1820-137.pdf#page=2","Abrir facsímil")</f>
        <v>Abrir facsímil</v>
      </c>
      <c r="K879" s="3" t="s">
        <v>23</v>
      </c>
    </row>
    <row r="880" spans="1:11" ht="42" customHeight="1">
      <c r="A880" s="2" t="s">
        <v>2165</v>
      </c>
      <c r="B880" s="2" t="s">
        <v>2166</v>
      </c>
      <c r="C880" s="2" t="s">
        <v>26</v>
      </c>
      <c r="D880" s="2" t="s">
        <v>27</v>
      </c>
      <c r="E880" s="5">
        <v>-28953</v>
      </c>
      <c r="F880" s="3" t="s">
        <v>367</v>
      </c>
      <c r="G880" s="3" t="s">
        <v>128</v>
      </c>
      <c r="H880" s="2" t="s">
        <v>21</v>
      </c>
      <c r="I880" s="2" t="s">
        <v>2167</v>
      </c>
      <c r="J880" s="3" t="str">
        <f>HYPERLINK("https://www.boe.es/gazeta/dias/1820/09/22/pdfs/GGB-1820-86.pdf#page=1","Abrir facsímil")</f>
        <v>Abrir facsímil</v>
      </c>
      <c r="K880" s="3" t="s">
        <v>23</v>
      </c>
    </row>
    <row r="881" spans="1:11" ht="42" customHeight="1">
      <c r="A881" s="2" t="s">
        <v>2168</v>
      </c>
      <c r="B881" s="2" t="s">
        <v>2168</v>
      </c>
      <c r="C881" s="2" t="s">
        <v>26</v>
      </c>
      <c r="D881" s="2" t="s">
        <v>27</v>
      </c>
      <c r="E881" s="5">
        <v>-28911</v>
      </c>
      <c r="F881" s="3" t="s">
        <v>82</v>
      </c>
      <c r="G881" s="3" t="s">
        <v>128</v>
      </c>
      <c r="H881" s="2" t="s">
        <v>21</v>
      </c>
      <c r="I881" s="2" t="s">
        <v>2169</v>
      </c>
      <c r="J881" s="3" t="str">
        <f>HYPERLINK("https://www.boe.es/gazeta/dias/1820/11/03/pdfs/GGB-1820-128.pdf#page=1","Abrir facsímil")</f>
        <v>Abrir facsímil</v>
      </c>
      <c r="K881" s="3" t="s">
        <v>23</v>
      </c>
    </row>
    <row r="882" spans="1:11" ht="42" customHeight="1">
      <c r="A882" s="2" t="s">
        <v>2168</v>
      </c>
      <c r="B882" s="2" t="s">
        <v>2168</v>
      </c>
      <c r="C882" s="2" t="s">
        <v>26</v>
      </c>
      <c r="D882" s="2" t="s">
        <v>27</v>
      </c>
      <c r="E882" s="5">
        <v>-28900</v>
      </c>
      <c r="F882" s="3" t="s">
        <v>878</v>
      </c>
      <c r="G882" s="3" t="s">
        <v>62</v>
      </c>
      <c r="H882" s="2" t="s">
        <v>21</v>
      </c>
      <c r="I882" s="2" t="s">
        <v>2170</v>
      </c>
      <c r="J882" s="3" t="str">
        <f>HYPERLINK("https://www.boe.es/gazeta/dias/1820/11/14/pdfs/GGB-1820-140.pdf#page=3","Abrir facsímil")</f>
        <v>Abrir facsímil</v>
      </c>
      <c r="K882" s="3" t="s">
        <v>23</v>
      </c>
    </row>
    <row r="883" spans="1:11" ht="42" customHeight="1">
      <c r="A883" s="2" t="s">
        <v>2171</v>
      </c>
      <c r="B883" s="2" t="s">
        <v>2171</v>
      </c>
      <c r="C883" s="2" t="s">
        <v>35</v>
      </c>
      <c r="D883" s="2" t="s">
        <v>36</v>
      </c>
      <c r="E883" s="5">
        <v>-29192</v>
      </c>
      <c r="F883" s="3" t="s">
        <v>497</v>
      </c>
      <c r="G883" s="3" t="s">
        <v>256</v>
      </c>
      <c r="H883" s="2" t="s">
        <v>21</v>
      </c>
      <c r="I883" s="2" t="s">
        <v>2172</v>
      </c>
      <c r="J883" s="3" t="str">
        <f>HYPERLINK("https://www.boe.es/gazeta/dias/1820/01/27/pdfs/GMD-1820-12.pdf#page=5","Abrir facsímil")</f>
        <v>Abrir facsímil</v>
      </c>
      <c r="K883" s="3" t="s">
        <v>23</v>
      </c>
    </row>
    <row r="884" spans="1:11" ht="42" customHeight="1">
      <c r="A884" s="2" t="s">
        <v>2173</v>
      </c>
      <c r="B884" s="2" t="s">
        <v>2174</v>
      </c>
      <c r="C884" s="2" t="s">
        <v>17</v>
      </c>
      <c r="D884" s="2" t="s">
        <v>18</v>
      </c>
      <c r="E884" s="5">
        <v>-28994</v>
      </c>
      <c r="F884" s="3" t="s">
        <v>1612</v>
      </c>
      <c r="G884" s="3" t="s">
        <v>20</v>
      </c>
      <c r="H884" s="2" t="s">
        <v>21</v>
      </c>
      <c r="I884" s="2" t="s">
        <v>2175</v>
      </c>
      <c r="J884" s="3" t="str">
        <f>HYPERLINK("https://www.boe.es/gazeta/dias/1820/08/12/pdfs/GGB-1820-45.pdf#page=4","Abrir facsímil")</f>
        <v>Abrir facsímil</v>
      </c>
      <c r="K884" s="3" t="s">
        <v>23</v>
      </c>
    </row>
    <row r="885" spans="1:11" ht="42" customHeight="1">
      <c r="A885" s="2" t="s">
        <v>2176</v>
      </c>
      <c r="B885" s="2" t="s">
        <v>2177</v>
      </c>
      <c r="C885" s="2" t="s">
        <v>17</v>
      </c>
      <c r="D885" s="2" t="s">
        <v>18</v>
      </c>
      <c r="E885" s="5">
        <v>-28974</v>
      </c>
      <c r="F885" s="3" t="s">
        <v>1144</v>
      </c>
      <c r="G885" s="3" t="s">
        <v>1145</v>
      </c>
      <c r="H885" s="2" t="s">
        <v>30</v>
      </c>
      <c r="I885" s="2" t="s">
        <v>2178</v>
      </c>
      <c r="J885" s="3" t="str">
        <f>HYPERLINK("https://www.boe.es/gazeta/dias/1820/09/01/pdfs/GGB-1820-65.pdf#page=4","Abrir facsímil")</f>
        <v>Abrir facsímil</v>
      </c>
      <c r="K885" s="3" t="s">
        <v>32</v>
      </c>
    </row>
    <row r="886" spans="1:11" ht="42" customHeight="1">
      <c r="A886" s="2" t="s">
        <v>2179</v>
      </c>
      <c r="B886" s="2" t="s">
        <v>2179</v>
      </c>
      <c r="C886" s="2" t="s">
        <v>26</v>
      </c>
      <c r="D886" s="2" t="s">
        <v>27</v>
      </c>
      <c r="E886" s="5">
        <v>-28903</v>
      </c>
      <c r="F886" s="3" t="s">
        <v>2163</v>
      </c>
      <c r="G886" s="3" t="s">
        <v>128</v>
      </c>
      <c r="H886" s="2" t="s">
        <v>21</v>
      </c>
      <c r="I886" s="2" t="s">
        <v>2180</v>
      </c>
      <c r="J886" s="3" t="str">
        <f>HYPERLINK("https://www.boe.es/gazeta/dias/1820/11/11/pdfs/GGB-1820-137.pdf#page=1","Abrir facsímil")</f>
        <v>Abrir facsímil</v>
      </c>
      <c r="K886" s="3" t="s">
        <v>23</v>
      </c>
    </row>
    <row r="887" spans="1:11" ht="42" customHeight="1">
      <c r="A887" s="2" t="s">
        <v>2181</v>
      </c>
      <c r="B887" s="2" t="s">
        <v>2182</v>
      </c>
      <c r="C887" s="2" t="s">
        <v>26</v>
      </c>
      <c r="D887" s="2" t="s">
        <v>27</v>
      </c>
      <c r="E887" s="5">
        <v>-28975</v>
      </c>
      <c r="F887" s="3" t="s">
        <v>182</v>
      </c>
      <c r="G887" s="3" t="s">
        <v>183</v>
      </c>
      <c r="H887" s="2" t="s">
        <v>21</v>
      </c>
      <c r="I887" s="2" t="s">
        <v>2183</v>
      </c>
      <c r="J887" s="3" t="str">
        <f>HYPERLINK("https://www.boe.es/gazeta/dias/1820/08/31/pdfs/GGB-1820-64.pdf#page=4","Abrir facsímil")</f>
        <v>Abrir facsímil</v>
      </c>
      <c r="K887" s="3" t="s">
        <v>23</v>
      </c>
    </row>
    <row r="888" spans="1:11" ht="42" customHeight="1">
      <c r="A888" s="2" t="s">
        <v>2184</v>
      </c>
      <c r="B888" s="2" t="s">
        <v>2184</v>
      </c>
      <c r="C888" s="2" t="s">
        <v>26</v>
      </c>
      <c r="D888" s="2" t="s">
        <v>27</v>
      </c>
      <c r="E888" s="5">
        <v>-28934</v>
      </c>
      <c r="F888" s="3" t="s">
        <v>163</v>
      </c>
      <c r="G888" s="3" t="s">
        <v>128</v>
      </c>
      <c r="H888" s="2" t="s">
        <v>21</v>
      </c>
      <c r="I888" s="2" t="s">
        <v>2185</v>
      </c>
      <c r="J888" s="3" t="str">
        <f>HYPERLINK("https://www.boe.es/gazeta/dias/1820/10/11/pdfs/GGB-1820-105.pdf#page=1","Abrir facsímil")</f>
        <v>Abrir facsímil</v>
      </c>
      <c r="K888" s="3" t="s">
        <v>23</v>
      </c>
    </row>
    <row r="889" spans="1:11" ht="42" customHeight="1">
      <c r="A889" s="2" t="s">
        <v>2186</v>
      </c>
      <c r="B889" s="2" t="s">
        <v>2186</v>
      </c>
      <c r="C889" s="2" t="s">
        <v>35</v>
      </c>
      <c r="D889" s="2" t="s">
        <v>36</v>
      </c>
      <c r="E889" s="5">
        <v>-28990</v>
      </c>
      <c r="F889" s="3" t="s">
        <v>61</v>
      </c>
      <c r="G889" s="3" t="s">
        <v>2187</v>
      </c>
      <c r="H889" s="2" t="s">
        <v>21</v>
      </c>
      <c r="I889" s="2" t="s">
        <v>2188</v>
      </c>
      <c r="J889" s="3" t="str">
        <f>HYPERLINK("https://www.boe.es/gazeta/dias/1820/08/16/pdfs/GGB-1820-49.pdf#page=2","Abrir facsímil")</f>
        <v>Abrir facsímil</v>
      </c>
      <c r="K889" s="3" t="s">
        <v>23</v>
      </c>
    </row>
    <row r="890" spans="1:11" ht="42" customHeight="1">
      <c r="A890" s="2" t="s">
        <v>2189</v>
      </c>
      <c r="B890" s="2" t="s">
        <v>2189</v>
      </c>
      <c r="C890" s="2" t="s">
        <v>26</v>
      </c>
      <c r="D890" s="2" t="s">
        <v>27</v>
      </c>
      <c r="E890" s="5">
        <v>-28921</v>
      </c>
      <c r="F890" s="3" t="s">
        <v>738</v>
      </c>
      <c r="G890" s="3" t="s">
        <v>128</v>
      </c>
      <c r="H890" s="2" t="s">
        <v>21</v>
      </c>
      <c r="I890" s="2" t="s">
        <v>2190</v>
      </c>
      <c r="J890" s="3" t="str">
        <f>HYPERLINK("https://www.boe.es/gazeta/dias/1820/10/24/pdfs/GGB-1820-118.pdf#page=1","Abrir facsímil")</f>
        <v>Abrir facsímil</v>
      </c>
      <c r="K890" s="3" t="s">
        <v>23</v>
      </c>
    </row>
    <row r="891" spans="1:11" ht="42" customHeight="1">
      <c r="A891" s="2" t="s">
        <v>2191</v>
      </c>
      <c r="B891" s="2" t="s">
        <v>2191</v>
      </c>
      <c r="C891" s="2" t="s">
        <v>26</v>
      </c>
      <c r="D891" s="2" t="s">
        <v>27</v>
      </c>
      <c r="E891" s="5">
        <v>-28897</v>
      </c>
      <c r="F891" s="3" t="s">
        <v>1935</v>
      </c>
      <c r="G891" s="3" t="s">
        <v>128</v>
      </c>
      <c r="H891" s="2" t="s">
        <v>21</v>
      </c>
      <c r="I891" s="2" t="s">
        <v>2192</v>
      </c>
      <c r="J891" s="3" t="str">
        <f>HYPERLINK("https://www.boe.es/gazeta/dias/1820/11/17/pdfs/GGB-1820-143.pdf#page=1","Abrir facsímil")</f>
        <v>Abrir facsímil</v>
      </c>
      <c r="K891" s="3" t="s">
        <v>23</v>
      </c>
    </row>
    <row r="892" spans="1:11" ht="42" customHeight="1">
      <c r="A892" s="2" t="s">
        <v>2193</v>
      </c>
      <c r="B892" s="2" t="s">
        <v>2193</v>
      </c>
      <c r="C892" s="2" t="s">
        <v>26</v>
      </c>
      <c r="D892" s="2" t="s">
        <v>27</v>
      </c>
      <c r="E892" s="5">
        <v>-28955</v>
      </c>
      <c r="F892" s="3" t="s">
        <v>175</v>
      </c>
      <c r="G892" s="3" t="s">
        <v>43</v>
      </c>
      <c r="H892" s="2" t="s">
        <v>21</v>
      </c>
      <c r="I892" s="2" t="s">
        <v>2194</v>
      </c>
      <c r="J892" s="3" t="str">
        <f>HYPERLINK("https://www.boe.es/gazeta/dias/1820/09/20/pdfs/GGB-1820-84.pdf#page=2","Abrir facsímil")</f>
        <v>Abrir facsímil</v>
      </c>
      <c r="K892" s="3" t="s">
        <v>23</v>
      </c>
    </row>
    <row r="893" spans="1:11" ht="42" customHeight="1">
      <c r="A893" s="2" t="s">
        <v>2193</v>
      </c>
      <c r="B893" s="2" t="s">
        <v>2193</v>
      </c>
      <c r="C893" s="2" t="s">
        <v>26</v>
      </c>
      <c r="D893" s="2" t="s">
        <v>27</v>
      </c>
      <c r="E893" s="5">
        <v>-28942</v>
      </c>
      <c r="F893" s="3" t="s">
        <v>244</v>
      </c>
      <c r="G893" s="3" t="s">
        <v>128</v>
      </c>
      <c r="H893" s="2" t="s">
        <v>21</v>
      </c>
      <c r="I893" s="2" t="s">
        <v>2195</v>
      </c>
      <c r="J893" s="3" t="str">
        <f>HYPERLINK("https://www.boe.es/gazeta/dias/1820/10/03/pdfs/GGB-1820-97.pdf#page=1","Abrir facsímil")</f>
        <v>Abrir facsímil</v>
      </c>
      <c r="K893" s="3" t="s">
        <v>23</v>
      </c>
    </row>
    <row r="894" spans="1:11" ht="42" customHeight="1">
      <c r="A894" s="2" t="s">
        <v>2193</v>
      </c>
      <c r="B894" s="2" t="s">
        <v>2193</v>
      </c>
      <c r="C894" s="2" t="s">
        <v>26</v>
      </c>
      <c r="D894" s="2" t="s">
        <v>27</v>
      </c>
      <c r="E894" s="5">
        <v>-28903</v>
      </c>
      <c r="F894" s="3" t="s">
        <v>2163</v>
      </c>
      <c r="G894" s="3" t="s">
        <v>128</v>
      </c>
      <c r="H894" s="2" t="s">
        <v>21</v>
      </c>
      <c r="I894" s="2" t="s">
        <v>2196</v>
      </c>
      <c r="J894" s="3" t="str">
        <f>HYPERLINK("https://www.boe.es/gazeta/dias/1820/11/11/pdfs/GGB-1820-137.pdf#page=1","Abrir facsímil")</f>
        <v>Abrir facsímil</v>
      </c>
      <c r="K894" s="3" t="s">
        <v>23</v>
      </c>
    </row>
    <row r="895" spans="1:11" ht="42" customHeight="1">
      <c r="A895" s="2" t="s">
        <v>2193</v>
      </c>
      <c r="B895" s="2" t="s">
        <v>2193</v>
      </c>
      <c r="C895" s="2" t="s">
        <v>26</v>
      </c>
      <c r="D895" s="2" t="s">
        <v>27</v>
      </c>
      <c r="E895" s="5">
        <v>-28902</v>
      </c>
      <c r="F895" s="3" t="s">
        <v>440</v>
      </c>
      <c r="G895" s="3" t="s">
        <v>43</v>
      </c>
      <c r="H895" s="2" t="s">
        <v>21</v>
      </c>
      <c r="I895" s="2" t="s">
        <v>2197</v>
      </c>
      <c r="J895" s="3" t="str">
        <f>HYPERLINK("https://www.boe.es/gazeta/dias/1820/11/12/pdfs/GGB-1820-138.pdf#page=2","Abrir facsímil")</f>
        <v>Abrir facsímil</v>
      </c>
      <c r="K895" s="3" t="s">
        <v>23</v>
      </c>
    </row>
    <row r="896" spans="1:11" ht="42" customHeight="1">
      <c r="A896" s="2" t="s">
        <v>2193</v>
      </c>
      <c r="B896" s="2" t="s">
        <v>2193</v>
      </c>
      <c r="C896" s="2" t="s">
        <v>26</v>
      </c>
      <c r="D896" s="2" t="s">
        <v>27</v>
      </c>
      <c r="E896" s="5">
        <v>-28899</v>
      </c>
      <c r="F896" s="3" t="s">
        <v>285</v>
      </c>
      <c r="G896" s="3" t="s">
        <v>286</v>
      </c>
      <c r="H896" s="2" t="s">
        <v>21</v>
      </c>
      <c r="I896" s="2" t="s">
        <v>2198</v>
      </c>
      <c r="J896" s="3" t="str">
        <f>HYPERLINK("https://www.boe.es/gazeta/dias/1820/11/15/pdfs/GGB-1820-141.pdf#page=2","Abrir facsímil")</f>
        <v>Abrir facsímil</v>
      </c>
      <c r="K896" s="3" t="s">
        <v>23</v>
      </c>
    </row>
    <row r="897" spans="1:11" ht="42" customHeight="1">
      <c r="A897" s="2" t="s">
        <v>2193</v>
      </c>
      <c r="B897" s="2" t="s">
        <v>2193</v>
      </c>
      <c r="C897" s="2" t="s">
        <v>26</v>
      </c>
      <c r="D897" s="2" t="s">
        <v>27</v>
      </c>
      <c r="E897" s="5">
        <v>-28898</v>
      </c>
      <c r="F897" s="3" t="s">
        <v>1405</v>
      </c>
      <c r="G897" s="3" t="s">
        <v>1588</v>
      </c>
      <c r="H897" s="2" t="s">
        <v>21</v>
      </c>
      <c r="I897" s="2" t="s">
        <v>2199</v>
      </c>
      <c r="J897" s="3" t="str">
        <f>HYPERLINK("https://www.boe.es/gazeta/dias/1820/11/16/pdfs/GGB-1820-142.pdf#page=2","Abrir facsímil")</f>
        <v>Abrir facsímil</v>
      </c>
      <c r="K897" s="3" t="s">
        <v>23</v>
      </c>
    </row>
    <row r="898" spans="1:11" ht="42" customHeight="1">
      <c r="A898" s="2" t="s">
        <v>2200</v>
      </c>
      <c r="B898" s="2" t="s">
        <v>2200</v>
      </c>
      <c r="C898" s="2" t="s">
        <v>26</v>
      </c>
      <c r="D898" s="2" t="s">
        <v>27</v>
      </c>
      <c r="E898" s="5">
        <v>-28948</v>
      </c>
      <c r="F898" s="3" t="s">
        <v>1069</v>
      </c>
      <c r="G898" s="3" t="s">
        <v>128</v>
      </c>
      <c r="H898" s="2" t="s">
        <v>21</v>
      </c>
      <c r="I898" s="2" t="s">
        <v>2201</v>
      </c>
      <c r="J898" s="3" t="str">
        <f>HYPERLINK("https://www.boe.es/gazeta/dias/1820/09/27/pdfs/GGB-1820-91.pdf#page=1","Abrir facsímil")</f>
        <v>Abrir facsímil</v>
      </c>
      <c r="K898" s="3" t="s">
        <v>23</v>
      </c>
    </row>
    <row r="899" spans="1:11" ht="42" customHeight="1">
      <c r="A899" s="2" t="s">
        <v>2202</v>
      </c>
      <c r="B899" s="2" t="s">
        <v>2203</v>
      </c>
      <c r="C899" s="2" t="s">
        <v>74</v>
      </c>
      <c r="D899" s="2" t="s">
        <v>18</v>
      </c>
      <c r="E899" s="5">
        <v>-28992</v>
      </c>
      <c r="F899" s="3" t="s">
        <v>587</v>
      </c>
      <c r="G899" s="3" t="s">
        <v>128</v>
      </c>
      <c r="H899" s="2" t="s">
        <v>21</v>
      </c>
      <c r="I899" s="2" t="s">
        <v>2204</v>
      </c>
      <c r="J899" s="3" t="str">
        <f>HYPERLINK("https://www.boe.es/gazeta/dias/1820/08/14/pdfs/GGB-1820-47.pdf#page=1","Abrir facsímil")</f>
        <v>Abrir facsímil</v>
      </c>
      <c r="K899" s="3" t="s">
        <v>23</v>
      </c>
    </row>
    <row r="900" spans="1:11" ht="42" customHeight="1">
      <c r="A900" s="2" t="s">
        <v>2205</v>
      </c>
      <c r="B900" s="2" t="s">
        <v>2206</v>
      </c>
      <c r="C900" s="2" t="s">
        <v>35</v>
      </c>
      <c r="D900" s="2" t="s">
        <v>36</v>
      </c>
      <c r="E900" s="5">
        <v>-29194</v>
      </c>
      <c r="F900" s="3" t="s">
        <v>416</v>
      </c>
      <c r="G900" s="3" t="s">
        <v>1391</v>
      </c>
      <c r="H900" s="2" t="s">
        <v>21</v>
      </c>
      <c r="I900" s="2" t="s">
        <v>2207</v>
      </c>
      <c r="J900" s="3" t="str">
        <f>HYPERLINK("https://www.boe.es/gazeta/dias/1820/01/25/pdfs/GMD-1820-11.pdf#page=8","Abrir facsímil")</f>
        <v>Abrir facsímil</v>
      </c>
      <c r="K900" s="3" t="s">
        <v>23</v>
      </c>
    </row>
    <row r="901" spans="1:11" ht="42" customHeight="1">
      <c r="A901" s="2" t="s">
        <v>2208</v>
      </c>
      <c r="B901" s="2" t="s">
        <v>2209</v>
      </c>
      <c r="C901" s="2" t="s">
        <v>26</v>
      </c>
      <c r="D901" s="2" t="s">
        <v>27</v>
      </c>
      <c r="E901" s="5">
        <v>-29115</v>
      </c>
      <c r="F901" s="3" t="s">
        <v>289</v>
      </c>
      <c r="G901" s="3" t="s">
        <v>142</v>
      </c>
      <c r="H901" s="2" t="s">
        <v>21</v>
      </c>
      <c r="I901" s="2" t="s">
        <v>2210</v>
      </c>
      <c r="J901" s="3" t="str">
        <f>HYPERLINK("https://www.boe.es/gazeta/dias/1820/04/13/pdfs/GMD-1820-65.pdf#page=8","Abrir facsímil")</f>
        <v>Abrir facsímil</v>
      </c>
      <c r="K901" s="3" t="s">
        <v>23</v>
      </c>
    </row>
    <row r="902" spans="1:11" ht="42" customHeight="1">
      <c r="A902" s="2" t="s">
        <v>2211</v>
      </c>
      <c r="B902" s="2" t="s">
        <v>2212</v>
      </c>
      <c r="C902" s="2" t="s">
        <v>17</v>
      </c>
      <c r="D902" s="2" t="s">
        <v>18</v>
      </c>
      <c r="E902" s="5">
        <v>-28882</v>
      </c>
      <c r="F902" s="3" t="s">
        <v>1245</v>
      </c>
      <c r="G902" s="3" t="s">
        <v>43</v>
      </c>
      <c r="H902" s="2" t="s">
        <v>21</v>
      </c>
      <c r="I902" s="2" t="s">
        <v>2213</v>
      </c>
      <c r="J902" s="3" t="str">
        <f>HYPERLINK("https://www.boe.es/gazeta/dias/1820/12/02/pdfs/GGB-1820-159.pdf#page=2","Abrir facsímil")</f>
        <v>Abrir facsímil</v>
      </c>
      <c r="K902" s="3" t="s">
        <v>23</v>
      </c>
    </row>
    <row r="903" spans="1:11" ht="42" customHeight="1">
      <c r="A903" s="2" t="s">
        <v>2214</v>
      </c>
      <c r="B903" s="2" t="s">
        <v>2214</v>
      </c>
      <c r="C903" s="2" t="s">
        <v>26</v>
      </c>
      <c r="D903" s="2" t="s">
        <v>27</v>
      </c>
      <c r="E903" s="5">
        <v>-28901</v>
      </c>
      <c r="F903" s="3" t="s">
        <v>1492</v>
      </c>
      <c r="G903" s="3" t="s">
        <v>43</v>
      </c>
      <c r="H903" s="2" t="s">
        <v>21</v>
      </c>
      <c r="I903" s="2" t="s">
        <v>2215</v>
      </c>
      <c r="J903" s="3" t="str">
        <f>HYPERLINK("https://www.boe.es/gazeta/dias/1820/11/13/pdfs/GGB-1820-139.pdf#page=2","Abrir facsímil")</f>
        <v>Abrir facsímil</v>
      </c>
      <c r="K903" s="3" t="s">
        <v>23</v>
      </c>
    </row>
    <row r="904" spans="1:11" ht="42" customHeight="1">
      <c r="A904" s="2" t="s">
        <v>2216</v>
      </c>
      <c r="B904" s="2" t="s">
        <v>2217</v>
      </c>
      <c r="C904" s="2" t="s">
        <v>26</v>
      </c>
      <c r="D904" s="2" t="s">
        <v>27</v>
      </c>
      <c r="E904" s="5">
        <v>-28973</v>
      </c>
      <c r="F904" s="3" t="s">
        <v>151</v>
      </c>
      <c r="G904" s="3" t="s">
        <v>20</v>
      </c>
      <c r="H904" s="2" t="s">
        <v>21</v>
      </c>
      <c r="I904" s="2" t="s">
        <v>2218</v>
      </c>
      <c r="J904" s="3" t="str">
        <f>HYPERLINK("https://www.boe.es/gazeta/dias/1820/09/02/pdfs/GGB-1820-66.pdf#page=4","Abrir facsímil")</f>
        <v>Abrir facsímil</v>
      </c>
      <c r="K904" s="3" t="s">
        <v>23</v>
      </c>
    </row>
    <row r="905" spans="1:11" ht="42" customHeight="1">
      <c r="A905" s="2" t="s">
        <v>2219</v>
      </c>
      <c r="B905" s="2" t="s">
        <v>2220</v>
      </c>
      <c r="C905" s="2" t="s">
        <v>26</v>
      </c>
      <c r="D905" s="2" t="s">
        <v>27</v>
      </c>
      <c r="E905" s="5">
        <v>-28931</v>
      </c>
      <c r="F905" s="3" t="s">
        <v>724</v>
      </c>
      <c r="G905" s="3" t="s">
        <v>20</v>
      </c>
      <c r="H905" s="2" t="s">
        <v>21</v>
      </c>
      <c r="I905" s="2" t="s">
        <v>2221</v>
      </c>
      <c r="J905" s="3" t="str">
        <f>HYPERLINK("https://www.boe.es/gazeta/dias/1820/10/14/pdfs/GGB-1820-108.pdf#page=4","Abrir facsímil")</f>
        <v>Abrir facsímil</v>
      </c>
      <c r="K905" s="3" t="s">
        <v>23</v>
      </c>
    </row>
    <row r="906" spans="1:11" ht="42" customHeight="1">
      <c r="A906" s="2" t="s">
        <v>2222</v>
      </c>
      <c r="B906" s="2" t="s">
        <v>2223</v>
      </c>
      <c r="C906" s="2" t="s">
        <v>26</v>
      </c>
      <c r="D906" s="2" t="s">
        <v>27</v>
      </c>
      <c r="E906" s="5">
        <v>-29122</v>
      </c>
      <c r="F906" s="3" t="s">
        <v>844</v>
      </c>
      <c r="G906" s="3" t="s">
        <v>256</v>
      </c>
      <c r="H906" s="2" t="s">
        <v>21</v>
      </c>
      <c r="I906" s="2" t="s">
        <v>2224</v>
      </c>
      <c r="J906" s="3" t="str">
        <f>HYPERLINK("https://www.boe.es/gazeta/dias/1820/04/06/pdfs/GMD-1820-62.pdf#page=5","Abrir facsímil")</f>
        <v>Abrir facsímil</v>
      </c>
      <c r="K906" s="3" t="s">
        <v>23</v>
      </c>
    </row>
    <row r="907" spans="1:11" ht="42" customHeight="1">
      <c r="A907" s="2" t="s">
        <v>2225</v>
      </c>
      <c r="B907" s="2" t="s">
        <v>2226</v>
      </c>
      <c r="C907" s="2" t="s">
        <v>26</v>
      </c>
      <c r="D907" s="2" t="s">
        <v>27</v>
      </c>
      <c r="E907" s="5">
        <v>-29045</v>
      </c>
      <c r="F907" s="3" t="s">
        <v>155</v>
      </c>
      <c r="G907" s="3" t="s">
        <v>38</v>
      </c>
      <c r="H907" s="2" t="s">
        <v>21</v>
      </c>
      <c r="I907" s="2" t="s">
        <v>2227</v>
      </c>
      <c r="J907" s="3" t="str">
        <f>HYPERLINK("https://www.boe.es/gazeta/dias/1820/06/22/pdfs/GMD-1820-97.pdf#page=6","Abrir facsímil")</f>
        <v>Abrir facsímil</v>
      </c>
      <c r="K907" s="3" t="s">
        <v>23</v>
      </c>
    </row>
    <row r="908" spans="1:11" ht="42" customHeight="1">
      <c r="A908" s="2" t="s">
        <v>2228</v>
      </c>
      <c r="B908" s="2" t="s">
        <v>2229</v>
      </c>
      <c r="C908" s="2" t="s">
        <v>35</v>
      </c>
      <c r="D908" s="2" t="s">
        <v>36</v>
      </c>
      <c r="E908" s="5">
        <v>-28923</v>
      </c>
      <c r="F908" s="3" t="s">
        <v>648</v>
      </c>
      <c r="G908" s="3" t="s">
        <v>128</v>
      </c>
      <c r="H908" s="2" t="s">
        <v>21</v>
      </c>
      <c r="I908" s="2" t="s">
        <v>2230</v>
      </c>
      <c r="J908" s="3" t="str">
        <f>HYPERLINK("https://www.boe.es/gazeta/dias/1820/10/22/pdfs/GGB-1820-116.pdf#page=1","Abrir facsímil")</f>
        <v>Abrir facsímil</v>
      </c>
      <c r="K908" s="3" t="s">
        <v>23</v>
      </c>
    </row>
    <row r="909" spans="1:11" ht="42" customHeight="1">
      <c r="A909" s="2" t="s">
        <v>2231</v>
      </c>
      <c r="B909" s="2" t="s">
        <v>2232</v>
      </c>
      <c r="C909" s="2" t="s">
        <v>35</v>
      </c>
      <c r="D909" s="2" t="s">
        <v>36</v>
      </c>
      <c r="E909" s="5">
        <v>-28967</v>
      </c>
      <c r="F909" s="3" t="s">
        <v>238</v>
      </c>
      <c r="G909" s="3" t="s">
        <v>38</v>
      </c>
      <c r="H909" s="2" t="s">
        <v>21</v>
      </c>
      <c r="I909" s="2" t="s">
        <v>2233</v>
      </c>
      <c r="J909" s="3" t="str">
        <f>HYPERLINK("https://www.boe.es/gazeta/dias/1820/09/08/pdfs/GGB-1820-72.pdf#page=6","Abrir facsímil")</f>
        <v>Abrir facsímil</v>
      </c>
      <c r="K909" s="3" t="s">
        <v>23</v>
      </c>
    </row>
    <row r="910" spans="1:11" ht="42" customHeight="1">
      <c r="A910" s="2" t="s">
        <v>2234</v>
      </c>
      <c r="B910" s="2" t="s">
        <v>2235</v>
      </c>
      <c r="C910" s="2" t="s">
        <v>35</v>
      </c>
      <c r="D910" s="2" t="s">
        <v>36</v>
      </c>
      <c r="E910" s="5">
        <v>-28872</v>
      </c>
      <c r="F910" s="3" t="s">
        <v>1939</v>
      </c>
      <c r="G910" s="3" t="s">
        <v>62</v>
      </c>
      <c r="H910" s="2" t="s">
        <v>21</v>
      </c>
      <c r="I910" s="2" t="s">
        <v>2236</v>
      </c>
      <c r="J910" s="3" t="str">
        <f>HYPERLINK("https://www.boe.es/gazeta/dias/1820/12/12/pdfs/GGB-1820-169.pdf#page=3","Abrir facsímil")</f>
        <v>Abrir facsímil</v>
      </c>
      <c r="K910" s="3" t="s">
        <v>23</v>
      </c>
    </row>
    <row r="911" spans="1:11" ht="42" customHeight="1">
      <c r="A911" s="2" t="s">
        <v>2237</v>
      </c>
      <c r="B911" s="2" t="s">
        <v>2238</v>
      </c>
      <c r="C911" s="2" t="s">
        <v>111</v>
      </c>
      <c r="D911" s="2" t="s">
        <v>18</v>
      </c>
      <c r="E911" s="5">
        <v>-28869</v>
      </c>
      <c r="F911" s="3" t="s">
        <v>449</v>
      </c>
      <c r="G911" s="3" t="s">
        <v>450</v>
      </c>
      <c r="H911" s="2" t="s">
        <v>21</v>
      </c>
      <c r="I911" s="2" t="s">
        <v>2239</v>
      </c>
      <c r="J911" s="3" t="str">
        <f>HYPERLINK("https://www.boe.es/gazeta/dias/1820/12/15/pdfs/GGB-1820-172.pdf#page=4","Abrir facsímil")</f>
        <v>Abrir facsímil</v>
      </c>
      <c r="K911" s="3" t="s">
        <v>23</v>
      </c>
    </row>
    <row r="912" spans="1:11" ht="42" customHeight="1">
      <c r="A912" s="2" t="s">
        <v>2240</v>
      </c>
      <c r="B912" s="2" t="s">
        <v>2240</v>
      </c>
      <c r="C912" s="2" t="s">
        <v>26</v>
      </c>
      <c r="D912" s="2" t="s">
        <v>27</v>
      </c>
      <c r="E912" s="5">
        <v>-29190</v>
      </c>
      <c r="F912" s="3" t="s">
        <v>537</v>
      </c>
      <c r="G912" s="3" t="s">
        <v>2241</v>
      </c>
      <c r="H912" s="2" t="s">
        <v>21</v>
      </c>
      <c r="I912" s="2" t="s">
        <v>2242</v>
      </c>
      <c r="J912" s="3" t="str">
        <f>HYPERLINK("https://www.boe.es/gazeta/dias/1820/01/29/pdfs/GMD-1820-13.pdf#page=4","Abrir facsímil")</f>
        <v>Abrir facsímil</v>
      </c>
      <c r="K912" s="3" t="s">
        <v>23</v>
      </c>
    </row>
    <row r="913" spans="1:11" ht="42" customHeight="1">
      <c r="A913" s="2" t="s">
        <v>2240</v>
      </c>
      <c r="B913" s="2" t="s">
        <v>2240</v>
      </c>
      <c r="C913" s="2" t="s">
        <v>26</v>
      </c>
      <c r="D913" s="2" t="s">
        <v>27</v>
      </c>
      <c r="E913" s="5">
        <v>-29190</v>
      </c>
      <c r="F913" s="3" t="s">
        <v>537</v>
      </c>
      <c r="G913" s="3" t="s">
        <v>62</v>
      </c>
      <c r="H913" s="2" t="s">
        <v>21</v>
      </c>
      <c r="I913" s="2" t="s">
        <v>2243</v>
      </c>
      <c r="J913" s="3" t="str">
        <f>HYPERLINK("https://www.boe.es/gazeta/dias/1820/01/29/pdfs/GMD-1820-13.pdf#page=3","Abrir facsímil")</f>
        <v>Abrir facsímil</v>
      </c>
      <c r="K913" s="3" t="s">
        <v>23</v>
      </c>
    </row>
    <row r="914" spans="1:11" ht="42" customHeight="1">
      <c r="A914" s="2" t="s">
        <v>2244</v>
      </c>
      <c r="B914" s="2" t="s">
        <v>2245</v>
      </c>
      <c r="C914" s="2" t="s">
        <v>26</v>
      </c>
      <c r="D914" s="2" t="s">
        <v>27</v>
      </c>
      <c r="E914" s="5">
        <v>-29129</v>
      </c>
      <c r="F914" s="3" t="s">
        <v>269</v>
      </c>
      <c r="G914" s="3" t="s">
        <v>2246</v>
      </c>
      <c r="H914" s="2" t="s">
        <v>21</v>
      </c>
      <c r="I914" s="2" t="s">
        <v>2247</v>
      </c>
      <c r="J914" s="3" t="str">
        <f>HYPERLINK("https://www.boe.es/gazeta/dias/1820/03/30/pdfs/GMD-1820-58.pdf#page=7","Abrir facsímil")</f>
        <v>Abrir facsímil</v>
      </c>
      <c r="K914" s="3" t="s">
        <v>23</v>
      </c>
    </row>
    <row r="915" spans="1:11" ht="42" customHeight="1">
      <c r="A915" s="2" t="s">
        <v>2248</v>
      </c>
      <c r="B915" s="2" t="s">
        <v>2249</v>
      </c>
      <c r="C915" s="2" t="s">
        <v>35</v>
      </c>
      <c r="D915" s="2" t="s">
        <v>36</v>
      </c>
      <c r="E915" s="5">
        <v>-29008</v>
      </c>
      <c r="F915" s="3" t="s">
        <v>2250</v>
      </c>
      <c r="G915" s="3" t="s">
        <v>43</v>
      </c>
      <c r="H915" s="2" t="s">
        <v>21</v>
      </c>
      <c r="I915" s="2" t="s">
        <v>2251</v>
      </c>
      <c r="J915" s="3" t="str">
        <f>HYPERLINK("https://www.boe.es/gazeta/dias/1820/07/29/pdfs/GGB-1820-31.pdf#page=2","Abrir facsímil")</f>
        <v>Abrir facsímil</v>
      </c>
      <c r="K915" s="3" t="s">
        <v>23</v>
      </c>
    </row>
    <row r="916" spans="1:11" ht="42" customHeight="1">
      <c r="A916" s="2" t="s">
        <v>2252</v>
      </c>
      <c r="B916" s="2" t="s">
        <v>2253</v>
      </c>
      <c r="C916" s="2" t="s">
        <v>26</v>
      </c>
      <c r="D916" s="2" t="s">
        <v>27</v>
      </c>
      <c r="E916" s="5">
        <v>-29150</v>
      </c>
      <c r="F916" s="3" t="s">
        <v>299</v>
      </c>
      <c r="G916" s="3" t="s">
        <v>2254</v>
      </c>
      <c r="H916" s="2" t="s">
        <v>21</v>
      </c>
      <c r="I916" s="2" t="s">
        <v>2255</v>
      </c>
      <c r="J916" s="3" t="str">
        <f>HYPERLINK("https://www.boe.es/gazeta/dias/1820/03/09/pdfs/GMD-1820-32.pdf#page=6","Abrir facsímil")</f>
        <v>Abrir facsímil</v>
      </c>
      <c r="K916" s="3" t="s">
        <v>23</v>
      </c>
    </row>
    <row r="917" spans="1:11" ht="42" customHeight="1">
      <c r="A917" s="2" t="s">
        <v>2256</v>
      </c>
      <c r="B917" s="2" t="s">
        <v>2257</v>
      </c>
      <c r="C917" s="2" t="s">
        <v>35</v>
      </c>
      <c r="D917" s="2" t="s">
        <v>36</v>
      </c>
      <c r="E917" s="5">
        <v>-28965</v>
      </c>
      <c r="F917" s="3" t="s">
        <v>1520</v>
      </c>
      <c r="G917" s="3" t="s">
        <v>20</v>
      </c>
      <c r="H917" s="2" t="s">
        <v>21</v>
      </c>
      <c r="I917" s="2" t="s">
        <v>2258</v>
      </c>
      <c r="J917" s="3" t="str">
        <f>HYPERLINK("https://www.boe.es/gazeta/dias/1820/09/10/pdfs/GGB-1820-74.pdf#page=4","Abrir facsímil")</f>
        <v>Abrir facsímil</v>
      </c>
      <c r="K917" s="3" t="s">
        <v>23</v>
      </c>
    </row>
    <row r="918" spans="1:11" ht="42" customHeight="1">
      <c r="A918" s="2" t="s">
        <v>2259</v>
      </c>
      <c r="B918" s="2" t="s">
        <v>2260</v>
      </c>
      <c r="C918" s="2" t="s">
        <v>26</v>
      </c>
      <c r="D918" s="2" t="s">
        <v>27</v>
      </c>
      <c r="E918" s="5">
        <v>-28948</v>
      </c>
      <c r="F918" s="3" t="s">
        <v>1069</v>
      </c>
      <c r="G918" s="3" t="s">
        <v>62</v>
      </c>
      <c r="H918" s="2" t="s">
        <v>21</v>
      </c>
      <c r="I918" s="2" t="s">
        <v>2261</v>
      </c>
      <c r="J918" s="3" t="str">
        <f>HYPERLINK("https://www.boe.es/gazeta/dias/1820/09/27/pdfs/GGB-1820-91.pdf#page=3","Abrir facsímil")</f>
        <v>Abrir facsímil</v>
      </c>
      <c r="K918" s="3" t="s">
        <v>23</v>
      </c>
    </row>
    <row r="919" spans="1:11" ht="42" customHeight="1">
      <c r="A919" s="2" t="s">
        <v>2262</v>
      </c>
      <c r="B919" s="2" t="s">
        <v>2263</v>
      </c>
      <c r="C919" s="2" t="s">
        <v>35</v>
      </c>
      <c r="D919" s="2" t="s">
        <v>36</v>
      </c>
      <c r="E919" s="5">
        <v>-28913</v>
      </c>
      <c r="F919" s="3" t="s">
        <v>230</v>
      </c>
      <c r="G919" s="3" t="s">
        <v>20</v>
      </c>
      <c r="H919" s="2" t="s">
        <v>21</v>
      </c>
      <c r="I919" s="2" t="s">
        <v>2264</v>
      </c>
      <c r="J919" s="3" t="str">
        <f>HYPERLINK("https://www.boe.es/gazeta/dias/1820/11/01/pdfs/GGB-1820-126.pdf#page=4","Abrir facsímil")</f>
        <v>Abrir facsímil</v>
      </c>
      <c r="K919" s="3" t="s">
        <v>23</v>
      </c>
    </row>
    <row r="920" spans="1:11" ht="42" customHeight="1">
      <c r="A920" s="2" t="s">
        <v>2265</v>
      </c>
      <c r="B920" s="2" t="s">
        <v>2266</v>
      </c>
      <c r="C920" s="2" t="s">
        <v>26</v>
      </c>
      <c r="D920" s="2" t="s">
        <v>27</v>
      </c>
      <c r="E920" s="5">
        <v>-29035</v>
      </c>
      <c r="F920" s="3" t="s">
        <v>2267</v>
      </c>
      <c r="G920" s="3" t="s">
        <v>20</v>
      </c>
      <c r="H920" s="2" t="s">
        <v>21</v>
      </c>
      <c r="I920" s="2" t="s">
        <v>2268</v>
      </c>
      <c r="J920" s="3" t="str">
        <f>HYPERLINK("https://www.boe.es/gazeta/dias/1820/07/02/pdfs/GGB-1820-2.pdf#page=4","Abrir facsímil")</f>
        <v>Abrir facsímil</v>
      </c>
      <c r="K920" s="3" t="s">
        <v>23</v>
      </c>
    </row>
    <row r="921" spans="1:11" ht="42" customHeight="1">
      <c r="A921" s="2" t="s">
        <v>2269</v>
      </c>
      <c r="B921" s="2" t="s">
        <v>2270</v>
      </c>
      <c r="C921" s="2" t="s">
        <v>26</v>
      </c>
      <c r="D921" s="2" t="s">
        <v>27</v>
      </c>
      <c r="E921" s="5">
        <v>-29129</v>
      </c>
      <c r="F921" s="3" t="s">
        <v>269</v>
      </c>
      <c r="G921" s="3" t="s">
        <v>553</v>
      </c>
      <c r="H921" s="2" t="s">
        <v>21</v>
      </c>
      <c r="I921" s="2" t="s">
        <v>2271</v>
      </c>
      <c r="J921" s="3" t="str">
        <f>HYPERLINK("https://www.boe.es/gazeta/dias/1820/03/30/pdfs/GMD-1820-58.pdf#page=10","Abrir facsímil")</f>
        <v>Abrir facsímil</v>
      </c>
      <c r="K921" s="3" t="s">
        <v>23</v>
      </c>
    </row>
    <row r="922" spans="1:11" ht="42" customHeight="1">
      <c r="A922" s="2" t="s">
        <v>2272</v>
      </c>
      <c r="B922" s="2" t="s">
        <v>2273</v>
      </c>
      <c r="C922" s="2" t="s">
        <v>74</v>
      </c>
      <c r="D922" s="2" t="s">
        <v>18</v>
      </c>
      <c r="E922" s="5">
        <v>-28928</v>
      </c>
      <c r="F922" s="3" t="s">
        <v>86</v>
      </c>
      <c r="G922" s="3" t="s">
        <v>20</v>
      </c>
      <c r="H922" s="2" t="s">
        <v>21</v>
      </c>
      <c r="I922" s="2" t="s">
        <v>2274</v>
      </c>
      <c r="J922" s="3" t="str">
        <f>HYPERLINK("https://www.boe.es/gazeta/dias/1820/10/17/pdfs/GGB-1820-111.pdf#page=4","Abrir facsímil")</f>
        <v>Abrir facsímil</v>
      </c>
      <c r="K922" s="3" t="s">
        <v>23</v>
      </c>
    </row>
    <row r="923" spans="1:11" ht="42" customHeight="1">
      <c r="A923" s="2" t="s">
        <v>2275</v>
      </c>
      <c r="B923" s="2" t="s">
        <v>2276</v>
      </c>
      <c r="C923" s="2" t="s">
        <v>107</v>
      </c>
      <c r="D923" s="2" t="s">
        <v>18</v>
      </c>
      <c r="E923" s="5">
        <v>-28889</v>
      </c>
      <c r="F923" s="3" t="s">
        <v>777</v>
      </c>
      <c r="G923" s="3" t="s">
        <v>778</v>
      </c>
      <c r="H923" s="2" t="s">
        <v>21</v>
      </c>
      <c r="I923" s="2" t="s">
        <v>2277</v>
      </c>
      <c r="J923" s="3" t="str">
        <f>HYPERLINK("https://www.boe.es/gazeta/dias/1820/11/25/pdfs/GGB-1820-152.pdf#page=4","Abrir facsímil")</f>
        <v>Abrir facsímil</v>
      </c>
      <c r="K923" s="3" t="s">
        <v>23</v>
      </c>
    </row>
    <row r="924" spans="1:11" ht="42" customHeight="1">
      <c r="A924" s="2" t="s">
        <v>2278</v>
      </c>
      <c r="B924" s="2" t="s">
        <v>2279</v>
      </c>
      <c r="C924" s="2" t="s">
        <v>26</v>
      </c>
      <c r="D924" s="2" t="s">
        <v>27</v>
      </c>
      <c r="E924" s="5">
        <v>-28990</v>
      </c>
      <c r="F924" s="3" t="s">
        <v>61</v>
      </c>
      <c r="G924" s="3" t="s">
        <v>62</v>
      </c>
      <c r="H924" s="2" t="s">
        <v>21</v>
      </c>
      <c r="I924" s="2" t="s">
        <v>2280</v>
      </c>
      <c r="J924" s="3" t="str">
        <f>HYPERLINK("https://www.boe.es/gazeta/dias/1820/08/16/pdfs/GGB-1820-49.pdf#page=3","Abrir facsímil")</f>
        <v>Abrir facsímil</v>
      </c>
      <c r="K924" s="3" t="s">
        <v>23</v>
      </c>
    </row>
    <row r="925" spans="1:11" ht="42" customHeight="1">
      <c r="A925" s="2" t="s">
        <v>2281</v>
      </c>
      <c r="B925" s="2" t="s">
        <v>2282</v>
      </c>
      <c r="C925" s="2" t="s">
        <v>107</v>
      </c>
      <c r="D925" s="2" t="s">
        <v>18</v>
      </c>
      <c r="E925" s="5">
        <v>-29127</v>
      </c>
      <c r="F925" s="3" t="s">
        <v>583</v>
      </c>
      <c r="G925" s="3" t="s">
        <v>295</v>
      </c>
      <c r="H925" s="2" t="s">
        <v>21</v>
      </c>
      <c r="I925" s="2" t="s">
        <v>2283</v>
      </c>
      <c r="J925" s="3" t="str">
        <f>HYPERLINK("https://www.boe.es/gazeta/dias/1820/04/01/pdfs/GMD-1820-59.pdf#page=8","Abrir facsímil")</f>
        <v>Abrir facsímil</v>
      </c>
      <c r="K925" s="3" t="s">
        <v>23</v>
      </c>
    </row>
    <row r="926" spans="1:11" ht="42" customHeight="1">
      <c r="A926" s="2" t="s">
        <v>2284</v>
      </c>
      <c r="B926" s="2" t="s">
        <v>2285</v>
      </c>
      <c r="C926" s="2" t="s">
        <v>17</v>
      </c>
      <c r="D926" s="2" t="s">
        <v>18</v>
      </c>
      <c r="E926" s="5">
        <v>-28931</v>
      </c>
      <c r="F926" s="3" t="s">
        <v>724</v>
      </c>
      <c r="G926" s="3" t="s">
        <v>20</v>
      </c>
      <c r="H926" s="2" t="s">
        <v>30</v>
      </c>
      <c r="I926" s="2" t="s">
        <v>2286</v>
      </c>
      <c r="J926" s="3" t="str">
        <f>HYPERLINK("https://www.boe.es/gazeta/dias/1820/10/14/pdfs/GGB-1820-108.pdf#page=4","Abrir facsímil")</f>
        <v>Abrir facsímil</v>
      </c>
      <c r="K926" s="3" t="s">
        <v>32</v>
      </c>
    </row>
    <row r="927" spans="1:11" ht="42" customHeight="1">
      <c r="A927" s="2" t="s">
        <v>2287</v>
      </c>
      <c r="B927" s="2" t="s">
        <v>2288</v>
      </c>
      <c r="C927" s="2" t="s">
        <v>26</v>
      </c>
      <c r="D927" s="2" t="s">
        <v>27</v>
      </c>
      <c r="E927" s="5">
        <v>-29087</v>
      </c>
      <c r="F927" s="3" t="s">
        <v>1018</v>
      </c>
      <c r="G927" s="3" t="s">
        <v>38</v>
      </c>
      <c r="H927" s="2" t="s">
        <v>30</v>
      </c>
      <c r="I927" s="2" t="s">
        <v>2289</v>
      </c>
      <c r="J927" s="3" t="str">
        <f>HYPERLINK("https://www.boe.es/gazeta/dias/1820/05/11/pdfs/GMD-1820-78.pdf#page=6","Abrir facsímil")</f>
        <v>Abrir facsímil</v>
      </c>
      <c r="K927" s="3" t="s">
        <v>32</v>
      </c>
    </row>
    <row r="928" spans="1:11" ht="42" customHeight="1">
      <c r="A928" s="2" t="s">
        <v>2290</v>
      </c>
      <c r="B928" s="2" t="s">
        <v>2291</v>
      </c>
      <c r="C928" s="2" t="s">
        <v>17</v>
      </c>
      <c r="D928" s="2" t="s">
        <v>18</v>
      </c>
      <c r="E928" s="5">
        <v>-29085</v>
      </c>
      <c r="F928" s="3" t="s">
        <v>1502</v>
      </c>
      <c r="G928" s="3" t="s">
        <v>261</v>
      </c>
      <c r="H928" s="2" t="s">
        <v>30</v>
      </c>
      <c r="I928" s="2" t="s">
        <v>2292</v>
      </c>
      <c r="J928" s="3" t="str">
        <f>HYPERLINK("https://www.boe.es/gazeta/dias/1820/05/13/pdfs/GMD-1820-79.pdf#page=9","Abrir facsímil")</f>
        <v>Abrir facsímil</v>
      </c>
      <c r="K928" s="3" t="s">
        <v>32</v>
      </c>
    </row>
    <row r="929" spans="1:11" ht="42" customHeight="1">
      <c r="A929" s="2" t="s">
        <v>2293</v>
      </c>
      <c r="B929" s="2" t="s">
        <v>2294</v>
      </c>
      <c r="C929" s="2" t="s">
        <v>17</v>
      </c>
      <c r="D929" s="2" t="s">
        <v>18</v>
      </c>
      <c r="E929" s="5">
        <v>-28858</v>
      </c>
      <c r="F929" s="3" t="s">
        <v>117</v>
      </c>
      <c r="G929" s="3" t="s">
        <v>20</v>
      </c>
      <c r="H929" s="2" t="s">
        <v>30</v>
      </c>
      <c r="I929" s="2" t="s">
        <v>2295</v>
      </c>
      <c r="J929" s="3" t="str">
        <f>HYPERLINK("https://www.boe.es/gazeta/dias/1820/12/26/pdfs/GGB-1820-183.pdf#page=4","Abrir facsímil")</f>
        <v>Abrir facsímil</v>
      </c>
      <c r="K929" s="3" t="s">
        <v>32</v>
      </c>
    </row>
    <row r="930" spans="1:11" ht="42" customHeight="1">
      <c r="A930" s="2" t="s">
        <v>2296</v>
      </c>
      <c r="B930" s="2" t="s">
        <v>2297</v>
      </c>
      <c r="C930" s="2" t="s">
        <v>26</v>
      </c>
      <c r="D930" s="2" t="s">
        <v>27</v>
      </c>
      <c r="E930" s="5">
        <v>-28867</v>
      </c>
      <c r="F930" s="3" t="s">
        <v>590</v>
      </c>
      <c r="G930" s="3" t="s">
        <v>62</v>
      </c>
      <c r="H930" s="2" t="s">
        <v>30</v>
      </c>
      <c r="I930" s="2" t="s">
        <v>2298</v>
      </c>
      <c r="J930" s="3" t="str">
        <f>HYPERLINK("https://www.boe.es/gazeta/dias/1820/12/17/pdfs/GGB-1820-174.pdf#page=3","Abrir facsímil")</f>
        <v>Abrir facsímil</v>
      </c>
      <c r="K930" s="3" t="s">
        <v>32</v>
      </c>
    </row>
    <row r="931" spans="1:11" ht="42" customHeight="1">
      <c r="A931" s="2" t="s">
        <v>2299</v>
      </c>
      <c r="B931" s="2" t="s">
        <v>2300</v>
      </c>
      <c r="C931" s="2" t="s">
        <v>35</v>
      </c>
      <c r="D931" s="2" t="s">
        <v>36</v>
      </c>
      <c r="E931" s="5">
        <v>-29204</v>
      </c>
      <c r="F931" s="3" t="s">
        <v>753</v>
      </c>
      <c r="G931" s="3" t="s">
        <v>38</v>
      </c>
      <c r="H931" s="2" t="s">
        <v>30</v>
      </c>
      <c r="I931" s="2" t="s">
        <v>2301</v>
      </c>
      <c r="J931" s="3" t="str">
        <f>HYPERLINK("https://www.boe.es/gazeta/dias/1820/01/15/pdfs/GMD-1820-7.pdf#page=6","Abrir facsímil")</f>
        <v>Abrir facsímil</v>
      </c>
      <c r="K931" s="3" t="s">
        <v>32</v>
      </c>
    </row>
    <row r="932" spans="1:11" ht="42" customHeight="1">
      <c r="A932" s="2" t="s">
        <v>2302</v>
      </c>
      <c r="B932" s="2" t="s">
        <v>2303</v>
      </c>
      <c r="C932" s="2" t="s">
        <v>111</v>
      </c>
      <c r="D932" s="2" t="s">
        <v>18</v>
      </c>
      <c r="E932" s="5">
        <v>-29117</v>
      </c>
      <c r="F932" s="3" t="s">
        <v>1451</v>
      </c>
      <c r="G932" s="3" t="s">
        <v>1452</v>
      </c>
      <c r="H932" s="2" t="s">
        <v>30</v>
      </c>
      <c r="I932" s="2" t="s">
        <v>2304</v>
      </c>
      <c r="J932" s="3" t="str">
        <f>HYPERLINK("https://www.boe.es/gazeta/dias/1820/04/11/pdfs/GMD-1820-64.pdf#page=8","Abrir facsímil")</f>
        <v>Abrir facsímil</v>
      </c>
      <c r="K932" s="3" t="s">
        <v>32</v>
      </c>
    </row>
    <row r="933" spans="1:11" ht="42" customHeight="1">
      <c r="A933" s="2" t="s">
        <v>2305</v>
      </c>
      <c r="B933" s="2" t="s">
        <v>2306</v>
      </c>
      <c r="C933" s="2" t="s">
        <v>111</v>
      </c>
      <c r="D933" s="2" t="s">
        <v>18</v>
      </c>
      <c r="E933" s="5">
        <v>-29197</v>
      </c>
      <c r="F933" s="3" t="s">
        <v>48</v>
      </c>
      <c r="G933" s="3" t="s">
        <v>201</v>
      </c>
      <c r="H933" s="2" t="s">
        <v>30</v>
      </c>
      <c r="I933" s="2" t="s">
        <v>2307</v>
      </c>
      <c r="J933" s="3" t="str">
        <f>HYPERLINK("https://www.boe.es/gazeta/dias/1820/01/22/pdfs/GMD-1820-10.pdf#page=7","Abrir facsímil")</f>
        <v>Abrir facsímil</v>
      </c>
      <c r="K933" s="3" t="s">
        <v>32</v>
      </c>
    </row>
    <row r="934" spans="1:11" ht="42" customHeight="1">
      <c r="A934" s="2" t="s">
        <v>2308</v>
      </c>
      <c r="B934" s="2" t="s">
        <v>2309</v>
      </c>
      <c r="C934" s="2" t="s">
        <v>35</v>
      </c>
      <c r="D934" s="2" t="s">
        <v>36</v>
      </c>
      <c r="E934" s="5">
        <v>-28900</v>
      </c>
      <c r="F934" s="3" t="s">
        <v>878</v>
      </c>
      <c r="G934" s="3" t="s">
        <v>20</v>
      </c>
      <c r="H934" s="2" t="s">
        <v>30</v>
      </c>
      <c r="I934" s="2" t="s">
        <v>2310</v>
      </c>
      <c r="J934" s="3" t="str">
        <f>HYPERLINK("https://www.boe.es/gazeta/dias/1820/11/14/pdfs/GGB-1820-140.pdf#page=4","Abrir facsímil")</f>
        <v>Abrir facsímil</v>
      </c>
      <c r="K934" s="3" t="s">
        <v>32</v>
      </c>
    </row>
    <row r="935" spans="1:11" ht="42" customHeight="1">
      <c r="A935" s="2" t="s">
        <v>2311</v>
      </c>
      <c r="B935" s="2" t="s">
        <v>2311</v>
      </c>
      <c r="C935" s="2" t="s">
        <v>35</v>
      </c>
      <c r="D935" s="2" t="s">
        <v>36</v>
      </c>
      <c r="E935" s="5">
        <v>-29201</v>
      </c>
      <c r="F935" s="3" t="s">
        <v>411</v>
      </c>
      <c r="G935" s="3" t="s">
        <v>2312</v>
      </c>
      <c r="H935" s="2" t="s">
        <v>21</v>
      </c>
      <c r="I935" s="2" t="s">
        <v>2313</v>
      </c>
      <c r="J935" s="3" t="str">
        <f>HYPERLINK("https://www.boe.es/gazeta/dias/1820/01/18/pdfs/GMD-1820-8.pdf#page=8","Abrir facsímil")</f>
        <v>Abrir facsímil</v>
      </c>
      <c r="K935" s="3" t="s">
        <v>23</v>
      </c>
    </row>
    <row r="936" spans="1:11" ht="42" customHeight="1">
      <c r="A936" s="2" t="s">
        <v>2311</v>
      </c>
      <c r="B936" s="2" t="s">
        <v>2311</v>
      </c>
      <c r="C936" s="2" t="s">
        <v>47</v>
      </c>
      <c r="D936" s="2" t="s">
        <v>18</v>
      </c>
      <c r="E936" s="5">
        <v>-29176</v>
      </c>
      <c r="F936" s="3" t="s">
        <v>797</v>
      </c>
      <c r="G936" s="3" t="s">
        <v>295</v>
      </c>
      <c r="H936" s="2" t="s">
        <v>21</v>
      </c>
      <c r="I936" s="2" t="s">
        <v>2314</v>
      </c>
      <c r="J936" s="3" t="str">
        <f>HYPERLINK("https://www.boe.es/gazeta/dias/1820/02/12/pdfs/GMD-1820-19.pdf#page=8","Abrir facsímil")</f>
        <v>Abrir facsímil</v>
      </c>
      <c r="K936" s="3" t="s">
        <v>23</v>
      </c>
    </row>
    <row r="937" spans="1:11" ht="42" customHeight="1">
      <c r="A937" s="2" t="s">
        <v>2311</v>
      </c>
      <c r="B937" s="2" t="s">
        <v>2311</v>
      </c>
      <c r="C937" s="2" t="s">
        <v>26</v>
      </c>
      <c r="D937" s="2" t="s">
        <v>27</v>
      </c>
      <c r="E937" s="5">
        <v>-28990</v>
      </c>
      <c r="F937" s="3" t="s">
        <v>61</v>
      </c>
      <c r="G937" s="3" t="s">
        <v>1438</v>
      </c>
      <c r="H937" s="2" t="s">
        <v>21</v>
      </c>
      <c r="I937" s="2" t="s">
        <v>2315</v>
      </c>
      <c r="J937" s="3" t="str">
        <f>HYPERLINK("https://www.boe.es/gazeta/dias/1820/08/16/pdfs/GGB-1820-49.pdf#page=4","Abrir facsímil")</f>
        <v>Abrir facsímil</v>
      </c>
      <c r="K937" s="3" t="s">
        <v>23</v>
      </c>
    </row>
    <row r="938" spans="1:11" ht="42" customHeight="1">
      <c r="A938" s="2" t="s">
        <v>2311</v>
      </c>
      <c r="B938" s="2" t="s">
        <v>2311</v>
      </c>
      <c r="C938" s="2" t="s">
        <v>293</v>
      </c>
      <c r="D938" s="2" t="s">
        <v>18</v>
      </c>
      <c r="E938" s="5">
        <v>-28979</v>
      </c>
      <c r="F938" s="3" t="s">
        <v>218</v>
      </c>
      <c r="G938" s="3" t="s">
        <v>62</v>
      </c>
      <c r="H938" s="2" t="s">
        <v>21</v>
      </c>
      <c r="I938" s="2" t="s">
        <v>2316</v>
      </c>
      <c r="J938" s="3" t="str">
        <f>HYPERLINK("https://www.boe.es/gazeta/dias/1820/08/27/pdfs/GGB-1820-60.pdf#page=3","Abrir facsímil")</f>
        <v>Abrir facsímil</v>
      </c>
      <c r="K938" s="3" t="s">
        <v>23</v>
      </c>
    </row>
    <row r="939" spans="1:11" ht="42" customHeight="1">
      <c r="A939" s="2" t="s">
        <v>2317</v>
      </c>
      <c r="B939" s="2" t="s">
        <v>2317</v>
      </c>
      <c r="C939" s="2" t="s">
        <v>74</v>
      </c>
      <c r="D939" s="2" t="s">
        <v>18</v>
      </c>
      <c r="E939" s="5">
        <v>-28895</v>
      </c>
      <c r="F939" s="3" t="s">
        <v>347</v>
      </c>
      <c r="G939" s="3" t="s">
        <v>2318</v>
      </c>
      <c r="H939" s="2" t="s">
        <v>21</v>
      </c>
      <c r="I939" s="2" t="s">
        <v>2319</v>
      </c>
      <c r="J939" s="3" t="str">
        <f>HYPERLINK("https://www.boe.es/gazeta/dias/1820/11/19/pdfs/GGB-1820-146.pdf#page=2","Abrir facsímil")</f>
        <v>Abrir facsímil</v>
      </c>
      <c r="K939" s="3" t="s">
        <v>23</v>
      </c>
    </row>
    <row r="940" spans="1:11" ht="42" customHeight="1">
      <c r="A940" s="2" t="s">
        <v>2320</v>
      </c>
      <c r="B940" s="2" t="s">
        <v>2321</v>
      </c>
      <c r="C940" s="2" t="s">
        <v>26</v>
      </c>
      <c r="D940" s="2" t="s">
        <v>27</v>
      </c>
      <c r="E940" s="5">
        <v>-28973</v>
      </c>
      <c r="F940" s="3" t="s">
        <v>151</v>
      </c>
      <c r="G940" s="3" t="s">
        <v>20</v>
      </c>
      <c r="H940" s="2" t="s">
        <v>21</v>
      </c>
      <c r="I940" s="2" t="s">
        <v>2322</v>
      </c>
      <c r="J940" s="3" t="str">
        <f>HYPERLINK("https://www.boe.es/gazeta/dias/1820/09/02/pdfs/GGB-1820-66.pdf#page=4","Abrir facsímil")</f>
        <v>Abrir facsímil</v>
      </c>
      <c r="K940" s="3" t="s">
        <v>23</v>
      </c>
    </row>
    <row r="941" spans="1:11" ht="42" customHeight="1">
      <c r="A941" s="2" t="s">
        <v>2323</v>
      </c>
      <c r="B941" s="2" t="s">
        <v>2324</v>
      </c>
      <c r="C941" s="2" t="s">
        <v>35</v>
      </c>
      <c r="D941" s="2" t="s">
        <v>36</v>
      </c>
      <c r="E941" s="5">
        <v>-28900</v>
      </c>
      <c r="F941" s="3" t="s">
        <v>878</v>
      </c>
      <c r="G941" s="3" t="s">
        <v>20</v>
      </c>
      <c r="H941" s="2" t="s">
        <v>21</v>
      </c>
      <c r="I941" s="2" t="s">
        <v>2325</v>
      </c>
      <c r="J941" s="3" t="str">
        <f>HYPERLINK("https://www.boe.es/gazeta/dias/1820/11/14/pdfs/GGB-1820-140.pdf#page=4","Abrir facsímil")</f>
        <v>Abrir facsímil</v>
      </c>
      <c r="K941" s="3" t="s">
        <v>23</v>
      </c>
    </row>
    <row r="942" spans="1:11" ht="42" customHeight="1">
      <c r="A942" s="2" t="s">
        <v>2326</v>
      </c>
      <c r="B942" s="2" t="s">
        <v>2327</v>
      </c>
      <c r="C942" s="2" t="s">
        <v>26</v>
      </c>
      <c r="D942" s="2" t="s">
        <v>27</v>
      </c>
      <c r="E942" s="5">
        <v>-29013</v>
      </c>
      <c r="F942" s="3" t="s">
        <v>52</v>
      </c>
      <c r="G942" s="3" t="s">
        <v>53</v>
      </c>
      <c r="H942" s="2" t="s">
        <v>21</v>
      </c>
      <c r="I942" s="2" t="s">
        <v>2328</v>
      </c>
      <c r="J942" s="3" t="str">
        <f>HYPERLINK("https://www.boe.es/gazeta/dias/1820/07/24/pdfs/GGB-1820-26.pdf#page=3","Abrir facsímil")</f>
        <v>Abrir facsímil</v>
      </c>
      <c r="K942" s="3" t="s">
        <v>23</v>
      </c>
    </row>
    <row r="943" spans="1:11" ht="42" customHeight="1">
      <c r="A943" s="2" t="s">
        <v>2326</v>
      </c>
      <c r="B943" s="2" t="s">
        <v>2327</v>
      </c>
      <c r="C943" s="2" t="s">
        <v>35</v>
      </c>
      <c r="D943" s="2" t="s">
        <v>36</v>
      </c>
      <c r="E943" s="5">
        <v>-28925</v>
      </c>
      <c r="F943" s="3" t="s">
        <v>228</v>
      </c>
      <c r="G943" s="3" t="s">
        <v>62</v>
      </c>
      <c r="H943" s="2" t="s">
        <v>21</v>
      </c>
      <c r="I943" s="2" t="s">
        <v>2329</v>
      </c>
      <c r="J943" s="3" t="str">
        <f>HYPERLINK("https://www.boe.es/gazeta/dias/1820/10/20/pdfs/GGB-1820-114.pdf#page=3","Abrir facsímil")</f>
        <v>Abrir facsímil</v>
      </c>
      <c r="K943" s="3" t="s">
        <v>23</v>
      </c>
    </row>
    <row r="944" spans="1:11" ht="42" customHeight="1">
      <c r="A944" s="2" t="s">
        <v>2330</v>
      </c>
      <c r="B944" s="2" t="s">
        <v>2331</v>
      </c>
      <c r="C944" s="2" t="s">
        <v>35</v>
      </c>
      <c r="D944" s="2" t="s">
        <v>36</v>
      </c>
      <c r="E944" s="5">
        <v>-29192</v>
      </c>
      <c r="F944" s="3" t="s">
        <v>497</v>
      </c>
      <c r="G944" s="3" t="s">
        <v>295</v>
      </c>
      <c r="H944" s="2" t="s">
        <v>21</v>
      </c>
      <c r="I944" s="2" t="s">
        <v>2332</v>
      </c>
      <c r="J944" s="3" t="str">
        <f>HYPERLINK("https://www.boe.es/gazeta/dias/1820/01/27/pdfs/GMD-1820-12.pdf#page=8","Abrir facsímil")</f>
        <v>Abrir facsímil</v>
      </c>
      <c r="K944" s="3" t="s">
        <v>23</v>
      </c>
    </row>
    <row r="945" spans="1:11" ht="42" customHeight="1">
      <c r="A945" s="2" t="s">
        <v>2333</v>
      </c>
      <c r="B945" s="2" t="s">
        <v>2333</v>
      </c>
      <c r="C945" s="2" t="s">
        <v>111</v>
      </c>
      <c r="D945" s="2" t="s">
        <v>18</v>
      </c>
      <c r="E945" s="5">
        <v>-28979</v>
      </c>
      <c r="F945" s="3" t="s">
        <v>218</v>
      </c>
      <c r="G945" s="3" t="s">
        <v>43</v>
      </c>
      <c r="H945" s="2" t="s">
        <v>21</v>
      </c>
      <c r="I945" s="2" t="s">
        <v>2334</v>
      </c>
      <c r="J945" s="3" t="str">
        <f>HYPERLINK("https://www.boe.es/gazeta/dias/1820/08/27/pdfs/GGB-1820-60.pdf#page=2","Abrir facsímil")</f>
        <v>Abrir facsímil</v>
      </c>
      <c r="K945" s="3" t="s">
        <v>23</v>
      </c>
    </row>
    <row r="946" spans="1:11" ht="42" customHeight="1">
      <c r="A946" s="2" t="s">
        <v>2335</v>
      </c>
      <c r="B946" s="2" t="s">
        <v>2336</v>
      </c>
      <c r="C946" s="2" t="s">
        <v>17</v>
      </c>
      <c r="D946" s="2" t="s">
        <v>18</v>
      </c>
      <c r="E946" s="5">
        <v>-28929</v>
      </c>
      <c r="F946" s="3" t="s">
        <v>728</v>
      </c>
      <c r="G946" s="3" t="s">
        <v>62</v>
      </c>
      <c r="H946" s="2" t="s">
        <v>21</v>
      </c>
      <c r="I946" s="2" t="s">
        <v>2337</v>
      </c>
      <c r="J946" s="3" t="str">
        <f>HYPERLINK("https://www.boe.es/gazeta/dias/1820/10/16/pdfs/GGB-1820-110.pdf#page=3","Abrir facsímil")</f>
        <v>Abrir facsímil</v>
      </c>
      <c r="K946" s="3" t="s">
        <v>23</v>
      </c>
    </row>
    <row r="947" spans="1:11" ht="42" customHeight="1">
      <c r="A947" s="2" t="s">
        <v>2338</v>
      </c>
      <c r="B947" s="2" t="s">
        <v>2339</v>
      </c>
      <c r="C947" s="2" t="s">
        <v>17</v>
      </c>
      <c r="D947" s="2" t="s">
        <v>18</v>
      </c>
      <c r="E947" s="5">
        <v>-28931</v>
      </c>
      <c r="F947" s="3" t="s">
        <v>724</v>
      </c>
      <c r="G947" s="3" t="s">
        <v>20</v>
      </c>
      <c r="H947" s="2" t="s">
        <v>21</v>
      </c>
      <c r="I947" s="2" t="s">
        <v>2340</v>
      </c>
      <c r="J947" s="3" t="str">
        <f>HYPERLINK("https://www.boe.es/gazeta/dias/1820/10/14/pdfs/GGB-1820-108.pdf#page=4","Abrir facsímil")</f>
        <v>Abrir facsímil</v>
      </c>
      <c r="K947" s="3" t="s">
        <v>23</v>
      </c>
    </row>
    <row r="948" spans="1:11" ht="42" customHeight="1">
      <c r="A948" s="2" t="s">
        <v>2341</v>
      </c>
      <c r="B948" s="2" t="s">
        <v>2342</v>
      </c>
      <c r="C948" s="2" t="s">
        <v>35</v>
      </c>
      <c r="D948" s="2" t="s">
        <v>36</v>
      </c>
      <c r="E948" s="5">
        <v>-29113</v>
      </c>
      <c r="F948" s="3" t="s">
        <v>501</v>
      </c>
      <c r="G948" s="3" t="s">
        <v>295</v>
      </c>
      <c r="H948" s="2" t="s">
        <v>21</v>
      </c>
      <c r="I948" s="2" t="s">
        <v>2343</v>
      </c>
      <c r="J948" s="3" t="str">
        <f>HYPERLINK("https://www.boe.es/gazeta/dias/1820/04/15/pdfs/GMD-1820-66.pdf#page=8","Abrir facsímil")</f>
        <v>Abrir facsímil</v>
      </c>
      <c r="K948" s="3" t="s">
        <v>23</v>
      </c>
    </row>
    <row r="949" spans="1:11" ht="42" customHeight="1">
      <c r="A949" s="2" t="s">
        <v>2344</v>
      </c>
      <c r="B949" s="2" t="s">
        <v>2345</v>
      </c>
      <c r="C949" s="2" t="s">
        <v>17</v>
      </c>
      <c r="D949" s="2" t="s">
        <v>18</v>
      </c>
      <c r="E949" s="5">
        <v>-29162</v>
      </c>
      <c r="F949" s="3" t="s">
        <v>2134</v>
      </c>
      <c r="G949" s="3" t="s">
        <v>38</v>
      </c>
      <c r="H949" s="2" t="s">
        <v>21</v>
      </c>
      <c r="I949" s="2" t="s">
        <v>2346</v>
      </c>
      <c r="J949" s="3" t="str">
        <f>HYPERLINK("https://www.boe.es/gazeta/dias/1820/02/26/pdfs/GMD-1820-25.pdf#page=6","Abrir facsímil")</f>
        <v>Abrir facsímil</v>
      </c>
      <c r="K949" s="3" t="s">
        <v>23</v>
      </c>
    </row>
    <row r="950" spans="1:11" ht="42" customHeight="1">
      <c r="A950" s="2" t="s">
        <v>2347</v>
      </c>
      <c r="B950" s="2" t="s">
        <v>2348</v>
      </c>
      <c r="C950" s="2" t="s">
        <v>107</v>
      </c>
      <c r="D950" s="2" t="s">
        <v>18</v>
      </c>
      <c r="E950" s="5">
        <v>-29087</v>
      </c>
      <c r="F950" s="3" t="s">
        <v>1018</v>
      </c>
      <c r="G950" s="3" t="s">
        <v>295</v>
      </c>
      <c r="H950" s="2" t="s">
        <v>21</v>
      </c>
      <c r="I950" s="2" t="s">
        <v>2349</v>
      </c>
      <c r="J950" s="3" t="str">
        <f>HYPERLINK("https://www.boe.es/gazeta/dias/1820/05/11/pdfs/GMD-1820-78.pdf#page=8","Abrir facsímil")</f>
        <v>Abrir facsímil</v>
      </c>
      <c r="K950" s="3" t="s">
        <v>23</v>
      </c>
    </row>
    <row r="951" spans="1:11" ht="42" customHeight="1">
      <c r="A951" s="2" t="s">
        <v>2350</v>
      </c>
      <c r="B951" s="2" t="s">
        <v>2351</v>
      </c>
      <c r="C951" s="2" t="s">
        <v>26</v>
      </c>
      <c r="D951" s="2" t="s">
        <v>27</v>
      </c>
      <c r="E951" s="5">
        <v>-29206</v>
      </c>
      <c r="F951" s="3" t="s">
        <v>897</v>
      </c>
      <c r="G951" s="3" t="s">
        <v>38</v>
      </c>
      <c r="H951" s="2" t="s">
        <v>21</v>
      </c>
      <c r="I951" s="2" t="s">
        <v>2352</v>
      </c>
      <c r="J951" s="3" t="str">
        <f>HYPERLINK("https://www.boe.es/gazeta/dias/1820/01/13/pdfs/GMD-1820-6.pdf#page=6","Abrir facsímil")</f>
        <v>Abrir facsímil</v>
      </c>
      <c r="K951" s="3" t="s">
        <v>23</v>
      </c>
    </row>
    <row r="952" spans="1:11" ht="42" customHeight="1">
      <c r="A952" s="2" t="s">
        <v>2353</v>
      </c>
      <c r="B952" s="2" t="s">
        <v>2353</v>
      </c>
      <c r="C952" s="2" t="s">
        <v>35</v>
      </c>
      <c r="D952" s="2" t="s">
        <v>36</v>
      </c>
      <c r="E952" s="5">
        <v>-29017</v>
      </c>
      <c r="F952" s="3" t="s">
        <v>274</v>
      </c>
      <c r="G952" s="3" t="s">
        <v>43</v>
      </c>
      <c r="H952" s="2" t="s">
        <v>21</v>
      </c>
      <c r="I952" s="2" t="s">
        <v>2354</v>
      </c>
      <c r="J952" s="3" t="str">
        <f>HYPERLINK("https://www.boe.es/gazeta/dias/1820/07/20/pdfs/GGB-1820-22.pdf#page=2","Abrir facsímil")</f>
        <v>Abrir facsímil</v>
      </c>
      <c r="K952" s="3" t="s">
        <v>23</v>
      </c>
    </row>
    <row r="953" spans="1:11" ht="42" customHeight="1">
      <c r="A953" s="2" t="s">
        <v>2353</v>
      </c>
      <c r="B953" s="2" t="s">
        <v>2353</v>
      </c>
      <c r="C953" s="2" t="s">
        <v>35</v>
      </c>
      <c r="D953" s="2" t="s">
        <v>36</v>
      </c>
      <c r="E953" s="5">
        <v>-28994</v>
      </c>
      <c r="F953" s="3" t="s">
        <v>1612</v>
      </c>
      <c r="G953" s="3" t="s">
        <v>62</v>
      </c>
      <c r="H953" s="2" t="s">
        <v>21</v>
      </c>
      <c r="I953" s="2" t="s">
        <v>2355</v>
      </c>
      <c r="J953" s="3" t="str">
        <f>HYPERLINK("https://www.boe.es/gazeta/dias/1820/08/12/pdfs/GGB-1820-45.pdf#page=3","Abrir facsímil")</f>
        <v>Abrir facsímil</v>
      </c>
      <c r="K953" s="3" t="s">
        <v>23</v>
      </c>
    </row>
    <row r="954" spans="1:11" ht="42" customHeight="1">
      <c r="A954" s="2" t="s">
        <v>2353</v>
      </c>
      <c r="B954" s="2" t="s">
        <v>2353</v>
      </c>
      <c r="C954" s="2" t="s">
        <v>74</v>
      </c>
      <c r="D954" s="2" t="s">
        <v>18</v>
      </c>
      <c r="E954" s="5">
        <v>-28987</v>
      </c>
      <c r="F954" s="3" t="s">
        <v>680</v>
      </c>
      <c r="G954" s="3" t="s">
        <v>1300</v>
      </c>
      <c r="H954" s="2" t="s">
        <v>21</v>
      </c>
      <c r="I954" s="2" t="s">
        <v>2356</v>
      </c>
      <c r="J954" s="3" t="str">
        <f>HYPERLINK("https://www.boe.es/gazeta/dias/1820/08/19/pdfs/GGB-1820-52.pdf#page=2","Abrir facsímil")</f>
        <v>Abrir facsímil</v>
      </c>
      <c r="K954" s="3" t="s">
        <v>23</v>
      </c>
    </row>
    <row r="955" spans="1:11" ht="42" customHeight="1">
      <c r="A955" s="2" t="s">
        <v>2353</v>
      </c>
      <c r="B955" s="2" t="s">
        <v>2353</v>
      </c>
      <c r="C955" s="2" t="s">
        <v>35</v>
      </c>
      <c r="D955" s="2" t="s">
        <v>36</v>
      </c>
      <c r="E955" s="5">
        <v>-28972</v>
      </c>
      <c r="F955" s="3" t="s">
        <v>522</v>
      </c>
      <c r="G955" s="3" t="s">
        <v>62</v>
      </c>
      <c r="H955" s="2" t="s">
        <v>21</v>
      </c>
      <c r="I955" s="2" t="s">
        <v>2357</v>
      </c>
      <c r="J955" s="3" t="str">
        <f>HYPERLINK("https://www.boe.es/gazeta/dias/1820/09/03/pdfs/GGB-1820-67.pdf#page=3","Abrir facsímil")</f>
        <v>Abrir facsímil</v>
      </c>
      <c r="K955" s="3" t="s">
        <v>23</v>
      </c>
    </row>
    <row r="956" spans="1:11" ht="42" customHeight="1">
      <c r="A956" s="2" t="s">
        <v>2353</v>
      </c>
      <c r="B956" s="2" t="s">
        <v>2353</v>
      </c>
      <c r="C956" s="2" t="s">
        <v>293</v>
      </c>
      <c r="D956" s="2" t="s">
        <v>18</v>
      </c>
      <c r="E956" s="5">
        <v>-28949</v>
      </c>
      <c r="F956" s="3" t="s">
        <v>178</v>
      </c>
      <c r="G956" s="3" t="s">
        <v>20</v>
      </c>
      <c r="H956" s="2" t="s">
        <v>21</v>
      </c>
      <c r="I956" s="2" t="s">
        <v>2358</v>
      </c>
      <c r="J956" s="3" t="str">
        <f>HYPERLINK("https://www.boe.es/gazeta/dias/1820/09/26/pdfs/GGB-1820-90.pdf#page=4","Abrir facsímil")</f>
        <v>Abrir facsímil</v>
      </c>
      <c r="K956" s="3" t="s">
        <v>23</v>
      </c>
    </row>
    <row r="957" spans="1:11" ht="42" customHeight="1">
      <c r="A957" s="2" t="s">
        <v>2359</v>
      </c>
      <c r="B957" s="2" t="s">
        <v>2360</v>
      </c>
      <c r="C957" s="2" t="s">
        <v>1808</v>
      </c>
      <c r="D957" s="2" t="s">
        <v>36</v>
      </c>
      <c r="E957" s="5">
        <v>-28891</v>
      </c>
      <c r="F957" s="3" t="s">
        <v>965</v>
      </c>
      <c r="G957" s="3" t="s">
        <v>43</v>
      </c>
      <c r="H957" s="2" t="s">
        <v>21</v>
      </c>
      <c r="I957" s="2" t="s">
        <v>2361</v>
      </c>
      <c r="J957" s="3" t="str">
        <f>HYPERLINK("https://www.boe.es/gazeta/dias/1820/11/23/pdfs/GGB-1820-150.pdf#page=2","Abrir facsímil")</f>
        <v>Abrir facsímil</v>
      </c>
      <c r="K957" s="3" t="s">
        <v>23</v>
      </c>
    </row>
    <row r="958" spans="1:11" ht="42" customHeight="1">
      <c r="A958" s="2" t="s">
        <v>2362</v>
      </c>
      <c r="B958" s="2" t="s">
        <v>2363</v>
      </c>
      <c r="C958" s="2" t="s">
        <v>35</v>
      </c>
      <c r="D958" s="2" t="s">
        <v>36</v>
      </c>
      <c r="E958" s="5">
        <v>-29206</v>
      </c>
      <c r="F958" s="3" t="s">
        <v>897</v>
      </c>
      <c r="G958" s="3" t="s">
        <v>295</v>
      </c>
      <c r="H958" s="2" t="s">
        <v>21</v>
      </c>
      <c r="I958" s="2" t="s">
        <v>2364</v>
      </c>
      <c r="J958" s="3" t="str">
        <f>HYPERLINK("https://www.boe.es/gazeta/dias/1820/01/13/pdfs/GMD-1820-6.pdf#page=8","Abrir facsímil")</f>
        <v>Abrir facsímil</v>
      </c>
      <c r="K958" s="3" t="s">
        <v>23</v>
      </c>
    </row>
    <row r="959" spans="1:11" ht="42" customHeight="1">
      <c r="A959" s="2" t="s">
        <v>2365</v>
      </c>
      <c r="B959" s="2" t="s">
        <v>2365</v>
      </c>
      <c r="C959" s="2" t="s">
        <v>26</v>
      </c>
      <c r="D959" s="2" t="s">
        <v>27</v>
      </c>
      <c r="E959" s="5">
        <v>-29005</v>
      </c>
      <c r="F959" s="3" t="s">
        <v>1656</v>
      </c>
      <c r="G959" s="3" t="s">
        <v>1657</v>
      </c>
      <c r="H959" s="2" t="s">
        <v>21</v>
      </c>
      <c r="I959" s="2" t="s">
        <v>2366</v>
      </c>
      <c r="J959" s="3" t="str">
        <f>HYPERLINK("https://www.boe.es/gazeta/dias/1820/08/01/pdfs/GGB-1820-34.pdf#page=4","Abrir facsímil")</f>
        <v>Abrir facsímil</v>
      </c>
      <c r="K959" s="3" t="s">
        <v>23</v>
      </c>
    </row>
    <row r="960" spans="1:11" ht="42" customHeight="1">
      <c r="A960" s="2" t="s">
        <v>2367</v>
      </c>
      <c r="B960" s="2" t="s">
        <v>2367</v>
      </c>
      <c r="C960" s="2" t="s">
        <v>35</v>
      </c>
      <c r="D960" s="2" t="s">
        <v>36</v>
      </c>
      <c r="E960" s="5">
        <v>-28871</v>
      </c>
      <c r="F960" s="3" t="s">
        <v>2368</v>
      </c>
      <c r="G960" s="3" t="s">
        <v>128</v>
      </c>
      <c r="H960" s="2" t="s">
        <v>21</v>
      </c>
      <c r="I960" s="2" t="s">
        <v>2369</v>
      </c>
      <c r="J960" s="3" t="str">
        <f>HYPERLINK("https://www.boe.es/gazeta/dias/1820/12/13/pdfs/GGB-1820-170.pdf#page=1","Abrir facsímil")</f>
        <v>Abrir facsímil</v>
      </c>
      <c r="K960" s="3" t="s">
        <v>23</v>
      </c>
    </row>
    <row r="961" spans="1:11" ht="42" customHeight="1">
      <c r="A961" s="2" t="s">
        <v>2370</v>
      </c>
      <c r="B961" s="2" t="s">
        <v>2371</v>
      </c>
      <c r="C961" s="2" t="s">
        <v>35</v>
      </c>
      <c r="D961" s="2" t="s">
        <v>36</v>
      </c>
      <c r="E961" s="5">
        <v>-28981</v>
      </c>
      <c r="F961" s="3" t="s">
        <v>42</v>
      </c>
      <c r="G961" s="3" t="s">
        <v>43</v>
      </c>
      <c r="H961" s="2" t="s">
        <v>21</v>
      </c>
      <c r="I961" s="2" t="s">
        <v>2372</v>
      </c>
      <c r="J961" s="3" t="str">
        <f>HYPERLINK("https://www.boe.es/gazeta/dias/1820/08/25/pdfs/GGB-1820-58.pdf#page=2","Abrir facsímil")</f>
        <v>Abrir facsímil</v>
      </c>
      <c r="K961" s="3" t="s">
        <v>23</v>
      </c>
    </row>
    <row r="962" spans="1:11" ht="42" customHeight="1">
      <c r="A962" s="2" t="s">
        <v>2373</v>
      </c>
      <c r="B962" s="2" t="s">
        <v>2373</v>
      </c>
      <c r="C962" s="2" t="s">
        <v>35</v>
      </c>
      <c r="D962" s="2" t="s">
        <v>36</v>
      </c>
      <c r="E962" s="5">
        <v>-28980</v>
      </c>
      <c r="F962" s="3" t="s">
        <v>614</v>
      </c>
      <c r="G962" s="3" t="s">
        <v>62</v>
      </c>
      <c r="H962" s="2" t="s">
        <v>21</v>
      </c>
      <c r="I962" s="2" t="s">
        <v>2374</v>
      </c>
      <c r="J962" s="3" t="str">
        <f>HYPERLINK("https://www.boe.es/gazeta/dias/1820/08/26/pdfs/GGB-1820-59.pdf#page=3","Abrir facsímil")</f>
        <v>Abrir facsímil</v>
      </c>
      <c r="K962" s="3" t="s">
        <v>23</v>
      </c>
    </row>
    <row r="963" spans="1:11" ht="42" customHeight="1">
      <c r="A963" s="2" t="s">
        <v>2375</v>
      </c>
      <c r="B963" s="2" t="s">
        <v>2375</v>
      </c>
      <c r="C963" s="2" t="s">
        <v>17</v>
      </c>
      <c r="D963" s="2" t="s">
        <v>18</v>
      </c>
      <c r="E963" s="5">
        <v>-29005</v>
      </c>
      <c r="F963" s="3" t="s">
        <v>1656</v>
      </c>
      <c r="G963" s="3" t="s">
        <v>43</v>
      </c>
      <c r="H963" s="2" t="s">
        <v>21</v>
      </c>
      <c r="I963" s="2" t="s">
        <v>2376</v>
      </c>
      <c r="J963" s="3" t="str">
        <f>HYPERLINK("https://www.boe.es/gazeta/dias/1820/08/01/pdfs/GGB-1820-34.pdf#page=2","Abrir facsímil")</f>
        <v>Abrir facsímil</v>
      </c>
      <c r="K963" s="3" t="s">
        <v>23</v>
      </c>
    </row>
    <row r="964" spans="1:11" ht="42" customHeight="1">
      <c r="A964" s="2" t="s">
        <v>2375</v>
      </c>
      <c r="B964" s="2" t="s">
        <v>2375</v>
      </c>
      <c r="C964" s="2" t="s">
        <v>74</v>
      </c>
      <c r="D964" s="2" t="s">
        <v>18</v>
      </c>
      <c r="E964" s="5">
        <v>-28987</v>
      </c>
      <c r="F964" s="3" t="s">
        <v>680</v>
      </c>
      <c r="G964" s="3" t="s">
        <v>62</v>
      </c>
      <c r="H964" s="2" t="s">
        <v>21</v>
      </c>
      <c r="I964" s="2" t="s">
        <v>2377</v>
      </c>
      <c r="J964" s="3" t="str">
        <f>HYPERLINK("https://www.boe.es/gazeta/dias/1820/08/19/pdfs/GGB-1820-52.pdf#page=3","Abrir facsímil")</f>
        <v>Abrir facsímil</v>
      </c>
      <c r="K964" s="3" t="s">
        <v>23</v>
      </c>
    </row>
    <row r="965" spans="1:11" ht="42" customHeight="1">
      <c r="A965" s="2" t="s">
        <v>2375</v>
      </c>
      <c r="B965" s="2" t="s">
        <v>2375</v>
      </c>
      <c r="C965" s="2" t="s">
        <v>26</v>
      </c>
      <c r="D965" s="2" t="s">
        <v>27</v>
      </c>
      <c r="E965" s="5">
        <v>-28986</v>
      </c>
      <c r="F965" s="3" t="s">
        <v>488</v>
      </c>
      <c r="G965" s="3" t="s">
        <v>62</v>
      </c>
      <c r="H965" s="2" t="s">
        <v>21</v>
      </c>
      <c r="I965" s="2" t="s">
        <v>2378</v>
      </c>
      <c r="J965" s="3" t="str">
        <f>HYPERLINK("https://www.boe.es/gazeta/dias/1820/08/20/pdfs/GGB-1820-53.pdf#page=3","Abrir facsímil")</f>
        <v>Abrir facsímil</v>
      </c>
      <c r="K965" s="3" t="s">
        <v>23</v>
      </c>
    </row>
    <row r="966" spans="1:11" ht="42" customHeight="1">
      <c r="A966" s="2" t="s">
        <v>2379</v>
      </c>
      <c r="B966" s="2" t="s">
        <v>2379</v>
      </c>
      <c r="C966" s="2" t="s">
        <v>35</v>
      </c>
      <c r="D966" s="2" t="s">
        <v>36</v>
      </c>
      <c r="E966" s="5">
        <v>-28981</v>
      </c>
      <c r="F966" s="3" t="s">
        <v>42</v>
      </c>
      <c r="G966" s="3" t="s">
        <v>62</v>
      </c>
      <c r="H966" s="2" t="s">
        <v>21</v>
      </c>
      <c r="I966" s="2" t="s">
        <v>2380</v>
      </c>
      <c r="J966" s="3" t="str">
        <f>HYPERLINK("https://www.boe.es/gazeta/dias/1820/08/25/pdfs/GGB-1820-58.pdf#page=3","Abrir facsímil")</f>
        <v>Abrir facsímil</v>
      </c>
      <c r="K966" s="3" t="s">
        <v>23</v>
      </c>
    </row>
    <row r="967" spans="1:11" ht="42" customHeight="1">
      <c r="A967" s="2" t="s">
        <v>2375</v>
      </c>
      <c r="B967" s="2" t="s">
        <v>2375</v>
      </c>
      <c r="C967" s="2" t="s">
        <v>26</v>
      </c>
      <c r="D967" s="2" t="s">
        <v>27</v>
      </c>
      <c r="E967" s="5">
        <v>-28977</v>
      </c>
      <c r="F967" s="3" t="s">
        <v>687</v>
      </c>
      <c r="G967" s="3" t="s">
        <v>20</v>
      </c>
      <c r="H967" s="2" t="s">
        <v>21</v>
      </c>
      <c r="I967" s="2" t="s">
        <v>2381</v>
      </c>
      <c r="J967" s="3" t="str">
        <f>HYPERLINK("https://www.boe.es/gazeta/dias/1820/08/29/pdfs/GGB-1820-62.pdf#page=4","Abrir facsímil")</f>
        <v>Abrir facsímil</v>
      </c>
      <c r="K967" s="3" t="s">
        <v>23</v>
      </c>
    </row>
    <row r="968" spans="1:11" ht="42" customHeight="1">
      <c r="A968" s="2" t="s">
        <v>2382</v>
      </c>
      <c r="B968" s="2" t="s">
        <v>2382</v>
      </c>
      <c r="C968" s="2" t="s">
        <v>17</v>
      </c>
      <c r="D968" s="2" t="s">
        <v>18</v>
      </c>
      <c r="E968" s="5">
        <v>-28983</v>
      </c>
      <c r="F968" s="3" t="s">
        <v>682</v>
      </c>
      <c r="G968" s="3" t="s">
        <v>62</v>
      </c>
      <c r="H968" s="2" t="s">
        <v>21</v>
      </c>
      <c r="I968" s="2" t="s">
        <v>2383</v>
      </c>
      <c r="J968" s="3" t="str">
        <f>HYPERLINK("https://www.boe.es/gazeta/dias/1820/08/23/pdfs/GGB-1820-56.pdf#page=3","Abrir facsímil")</f>
        <v>Abrir facsímil</v>
      </c>
      <c r="K968" s="3" t="s">
        <v>23</v>
      </c>
    </row>
    <row r="969" spans="1:11" ht="42" customHeight="1">
      <c r="A969" s="2" t="s">
        <v>2384</v>
      </c>
      <c r="B969" s="2" t="s">
        <v>2384</v>
      </c>
      <c r="C969" s="2" t="s">
        <v>26</v>
      </c>
      <c r="D969" s="2" t="s">
        <v>27</v>
      </c>
      <c r="E969" s="5">
        <v>-28938</v>
      </c>
      <c r="F969" s="3" t="s">
        <v>716</v>
      </c>
      <c r="G969" s="3" t="s">
        <v>1452</v>
      </c>
      <c r="H969" s="2" t="s">
        <v>21</v>
      </c>
      <c r="I969" s="2" t="s">
        <v>2385</v>
      </c>
      <c r="J969" s="3" t="str">
        <f>HYPERLINK("https://www.boe.es/gazeta/dias/1820/10/07/pdfs/GGB-1820-101.pdf#page=4","Abrir facsímil")</f>
        <v>Abrir facsímil</v>
      </c>
      <c r="K969" s="3" t="s">
        <v>23</v>
      </c>
    </row>
    <row r="970" spans="1:11" ht="42" customHeight="1">
      <c r="A970" s="2" t="s">
        <v>2384</v>
      </c>
      <c r="B970" s="2" t="s">
        <v>2384</v>
      </c>
      <c r="C970" s="2" t="s">
        <v>17</v>
      </c>
      <c r="D970" s="2" t="s">
        <v>18</v>
      </c>
      <c r="E970" s="5">
        <v>-28927</v>
      </c>
      <c r="F970" s="3" t="s">
        <v>345</v>
      </c>
      <c r="G970" s="3" t="s">
        <v>20</v>
      </c>
      <c r="H970" s="2" t="s">
        <v>21</v>
      </c>
      <c r="I970" s="2" t="s">
        <v>2386</v>
      </c>
      <c r="J970" s="3" t="str">
        <f>HYPERLINK("https://www.boe.es/gazeta/dias/1820/10/18/pdfs/GGB-1820-112.pdf#page=4","Abrir facsímil")</f>
        <v>Abrir facsímil</v>
      </c>
      <c r="K970" s="3" t="s">
        <v>23</v>
      </c>
    </row>
    <row r="971" spans="1:11" ht="42" customHeight="1">
      <c r="A971" s="2" t="s">
        <v>2387</v>
      </c>
      <c r="B971" s="2" t="s">
        <v>2388</v>
      </c>
      <c r="C971" s="2" t="s">
        <v>107</v>
      </c>
      <c r="D971" s="2" t="s">
        <v>18</v>
      </c>
      <c r="E971" s="5">
        <v>-28941</v>
      </c>
      <c r="F971" s="3" t="s">
        <v>1727</v>
      </c>
      <c r="G971" s="3" t="s">
        <v>62</v>
      </c>
      <c r="H971" s="2" t="s">
        <v>21</v>
      </c>
      <c r="I971" s="2" t="s">
        <v>2389</v>
      </c>
      <c r="J971" s="3" t="str">
        <f>HYPERLINK("https://www.boe.es/gazeta/dias/1820/10/04/pdfs/GGB-1820-98.pdf#page=3","Abrir facsímil")</f>
        <v>Abrir facsímil</v>
      </c>
      <c r="K971" s="3" t="s">
        <v>23</v>
      </c>
    </row>
    <row r="972" spans="1:11" ht="42" customHeight="1">
      <c r="A972" s="2" t="s">
        <v>2390</v>
      </c>
      <c r="B972" s="2" t="s">
        <v>2390</v>
      </c>
      <c r="C972" s="2" t="s">
        <v>35</v>
      </c>
      <c r="D972" s="2" t="s">
        <v>36</v>
      </c>
      <c r="E972" s="5">
        <v>-28966</v>
      </c>
      <c r="F972" s="3" t="s">
        <v>701</v>
      </c>
      <c r="G972" s="3" t="s">
        <v>62</v>
      </c>
      <c r="H972" s="2" t="s">
        <v>21</v>
      </c>
      <c r="I972" s="2" t="s">
        <v>2391</v>
      </c>
      <c r="J972" s="3" t="str">
        <f>HYPERLINK("https://www.boe.es/gazeta/dias/1820/09/09/pdfs/GGB-1820-73.pdf#page=3","Abrir facsímil")</f>
        <v>Abrir facsímil</v>
      </c>
      <c r="K972" s="3" t="s">
        <v>23</v>
      </c>
    </row>
    <row r="973" spans="1:11" ht="42" customHeight="1">
      <c r="A973" s="2" t="s">
        <v>2392</v>
      </c>
      <c r="B973" s="2" t="s">
        <v>2392</v>
      </c>
      <c r="C973" s="2" t="s">
        <v>35</v>
      </c>
      <c r="D973" s="2" t="s">
        <v>36</v>
      </c>
      <c r="E973" s="5">
        <v>-28966</v>
      </c>
      <c r="F973" s="3" t="s">
        <v>701</v>
      </c>
      <c r="G973" s="3" t="s">
        <v>62</v>
      </c>
      <c r="H973" s="2" t="s">
        <v>21</v>
      </c>
      <c r="I973" s="2" t="s">
        <v>2393</v>
      </c>
      <c r="J973" s="3" t="str">
        <f>HYPERLINK("https://www.boe.es/gazeta/dias/1820/09/09/pdfs/GGB-1820-73.pdf#page=3","Abrir facsímil")</f>
        <v>Abrir facsímil</v>
      </c>
      <c r="K973" s="3" t="s">
        <v>23</v>
      </c>
    </row>
    <row r="974" spans="1:11" ht="42" customHeight="1">
      <c r="A974" s="2" t="s">
        <v>2394</v>
      </c>
      <c r="B974" s="2" t="s">
        <v>2395</v>
      </c>
      <c r="C974" s="2" t="s">
        <v>17</v>
      </c>
      <c r="D974" s="2" t="s">
        <v>18</v>
      </c>
      <c r="E974" s="5">
        <v>-29002</v>
      </c>
      <c r="F974" s="3" t="s">
        <v>124</v>
      </c>
      <c r="G974" s="3" t="s">
        <v>43</v>
      </c>
      <c r="H974" s="2" t="s">
        <v>21</v>
      </c>
      <c r="I974" s="2" t="s">
        <v>2396</v>
      </c>
      <c r="J974" s="3" t="str">
        <f>HYPERLINK("https://www.boe.es/gazeta/dias/1820/08/04/pdfs/GGB-1820-37.pdf#page=2","Abrir facsímil")</f>
        <v>Abrir facsímil</v>
      </c>
      <c r="K974" s="3" t="s">
        <v>23</v>
      </c>
    </row>
    <row r="975" spans="1:11" ht="42" customHeight="1">
      <c r="A975" s="2" t="s">
        <v>2397</v>
      </c>
      <c r="B975" s="2" t="s">
        <v>2397</v>
      </c>
      <c r="C975" s="2" t="s">
        <v>26</v>
      </c>
      <c r="D975" s="2" t="s">
        <v>27</v>
      </c>
      <c r="E975" s="5">
        <v>-29024</v>
      </c>
      <c r="F975" s="3" t="s">
        <v>1916</v>
      </c>
      <c r="G975" s="3" t="s">
        <v>62</v>
      </c>
      <c r="H975" s="2" t="s">
        <v>21</v>
      </c>
      <c r="I975" s="2" t="s">
        <v>2398</v>
      </c>
      <c r="J975" s="3" t="str">
        <f>HYPERLINK("https://www.boe.es/gazeta/dias/1820/07/13/pdfs/GGB-1820-15.pdf#page=3","Abrir facsímil")</f>
        <v>Abrir facsímil</v>
      </c>
      <c r="K975" s="3" t="s">
        <v>23</v>
      </c>
    </row>
    <row r="976" spans="1:11" ht="42" customHeight="1">
      <c r="A976" s="2" t="s">
        <v>2399</v>
      </c>
      <c r="B976" s="2" t="s">
        <v>2399</v>
      </c>
      <c r="C976" s="2" t="s">
        <v>74</v>
      </c>
      <c r="D976" s="2" t="s">
        <v>18</v>
      </c>
      <c r="E976" s="5">
        <v>-28986</v>
      </c>
      <c r="F976" s="3" t="s">
        <v>488</v>
      </c>
      <c r="G976" s="3" t="s">
        <v>62</v>
      </c>
      <c r="H976" s="2" t="s">
        <v>21</v>
      </c>
      <c r="I976" s="2" t="s">
        <v>2400</v>
      </c>
      <c r="J976" s="3" t="str">
        <f>HYPERLINK("https://www.boe.es/gazeta/dias/1820/08/20/pdfs/GGB-1820-53.pdf#page=3","Abrir facsímil")</f>
        <v>Abrir facsímil</v>
      </c>
      <c r="K976" s="3" t="s">
        <v>23</v>
      </c>
    </row>
    <row r="977" spans="1:11" ht="42" customHeight="1">
      <c r="A977" s="2" t="s">
        <v>2401</v>
      </c>
      <c r="B977" s="2" t="s">
        <v>2401</v>
      </c>
      <c r="C977" s="2" t="s">
        <v>111</v>
      </c>
      <c r="D977" s="2" t="s">
        <v>18</v>
      </c>
      <c r="E977" s="5">
        <v>-28947</v>
      </c>
      <c r="F977" s="3" t="s">
        <v>127</v>
      </c>
      <c r="G977" s="3" t="s">
        <v>43</v>
      </c>
      <c r="H977" s="2" t="s">
        <v>21</v>
      </c>
      <c r="I977" s="2" t="s">
        <v>2402</v>
      </c>
      <c r="J977" s="3" t="str">
        <f>HYPERLINK("https://www.boe.es/gazeta/dias/1820/09/28/pdfs/GGB-1820-92.pdf#page=2","Abrir facsímil")</f>
        <v>Abrir facsímil</v>
      </c>
      <c r="K977" s="3" t="s">
        <v>23</v>
      </c>
    </row>
    <row r="978" spans="1:11" ht="42" customHeight="1">
      <c r="A978" s="2" t="s">
        <v>2403</v>
      </c>
      <c r="B978" s="2" t="s">
        <v>2403</v>
      </c>
      <c r="C978" s="2" t="s">
        <v>35</v>
      </c>
      <c r="D978" s="2" t="s">
        <v>36</v>
      </c>
      <c r="E978" s="5">
        <v>-28981</v>
      </c>
      <c r="F978" s="3" t="s">
        <v>42</v>
      </c>
      <c r="G978" s="3" t="s">
        <v>62</v>
      </c>
      <c r="H978" s="2" t="s">
        <v>21</v>
      </c>
      <c r="I978" s="2" t="s">
        <v>2404</v>
      </c>
      <c r="J978" s="3" t="str">
        <f>HYPERLINK("https://www.boe.es/gazeta/dias/1820/08/25/pdfs/GGB-1820-58.pdf#page=3","Abrir facsímil")</f>
        <v>Abrir facsímil</v>
      </c>
      <c r="K978" s="3" t="s">
        <v>23</v>
      </c>
    </row>
    <row r="979" spans="1:11" ht="42" customHeight="1">
      <c r="A979" s="2" t="s">
        <v>2405</v>
      </c>
      <c r="B979" s="2" t="s">
        <v>2405</v>
      </c>
      <c r="C979" s="2" t="s">
        <v>35</v>
      </c>
      <c r="D979" s="2" t="s">
        <v>36</v>
      </c>
      <c r="E979" s="5">
        <v>-29023</v>
      </c>
      <c r="F979" s="3" t="s">
        <v>1662</v>
      </c>
      <c r="G979" s="3" t="s">
        <v>1663</v>
      </c>
      <c r="H979" s="2" t="s">
        <v>21</v>
      </c>
      <c r="I979" s="2" t="s">
        <v>2406</v>
      </c>
      <c r="J979" s="3" t="str">
        <f>HYPERLINK("https://www.boe.es/gazeta/dias/1820/07/14/pdfs/GGB-1820-16.pdf#page=3","Abrir facsímil")</f>
        <v>Abrir facsímil</v>
      </c>
      <c r="K979" s="3" t="s">
        <v>23</v>
      </c>
    </row>
    <row r="980" spans="1:11" ht="42" customHeight="1">
      <c r="A980" s="2" t="s">
        <v>2405</v>
      </c>
      <c r="B980" s="2" t="s">
        <v>2405</v>
      </c>
      <c r="C980" s="2" t="s">
        <v>17</v>
      </c>
      <c r="D980" s="2" t="s">
        <v>18</v>
      </c>
      <c r="E980" s="5">
        <v>-29022</v>
      </c>
      <c r="F980" s="3" t="s">
        <v>1310</v>
      </c>
      <c r="G980" s="3" t="s">
        <v>62</v>
      </c>
      <c r="H980" s="2" t="s">
        <v>21</v>
      </c>
      <c r="I980" s="2" t="s">
        <v>2407</v>
      </c>
      <c r="J980" s="3" t="str">
        <f>HYPERLINK("https://www.boe.es/gazeta/dias/1820/07/15/pdfs/GGB-1820-17.pdf#page=3","Abrir facsímil")</f>
        <v>Abrir facsímil</v>
      </c>
      <c r="K980" s="3" t="s">
        <v>23</v>
      </c>
    </row>
    <row r="981" spans="1:11" ht="42" customHeight="1">
      <c r="A981" s="2" t="s">
        <v>2405</v>
      </c>
      <c r="B981" s="2" t="s">
        <v>2405</v>
      </c>
      <c r="C981" s="2" t="s">
        <v>293</v>
      </c>
      <c r="D981" s="2" t="s">
        <v>18</v>
      </c>
      <c r="E981" s="5">
        <v>-29016</v>
      </c>
      <c r="F981" s="3" t="s">
        <v>657</v>
      </c>
      <c r="G981" s="3" t="s">
        <v>43</v>
      </c>
      <c r="H981" s="2" t="s">
        <v>21</v>
      </c>
      <c r="I981" s="2" t="s">
        <v>2408</v>
      </c>
      <c r="J981" s="3" t="str">
        <f>HYPERLINK("https://www.boe.es/gazeta/dias/1820/07/21/pdfs/GGB-1820-23.pdf#page=2","Abrir facsímil")</f>
        <v>Abrir facsímil</v>
      </c>
      <c r="K981" s="3" t="s">
        <v>23</v>
      </c>
    </row>
    <row r="982" spans="1:11" ht="42" customHeight="1">
      <c r="A982" s="2" t="s">
        <v>2405</v>
      </c>
      <c r="B982" s="2" t="s">
        <v>2405</v>
      </c>
      <c r="C982" s="2" t="s">
        <v>35</v>
      </c>
      <c r="D982" s="2" t="s">
        <v>36</v>
      </c>
      <c r="E982" s="5">
        <v>-29016</v>
      </c>
      <c r="F982" s="3" t="s">
        <v>657</v>
      </c>
      <c r="G982" s="3" t="s">
        <v>62</v>
      </c>
      <c r="H982" s="2" t="s">
        <v>21</v>
      </c>
      <c r="I982" s="2" t="s">
        <v>2409</v>
      </c>
      <c r="J982" s="3" t="str">
        <f>HYPERLINK("https://www.boe.es/gazeta/dias/1820/07/21/pdfs/GGB-1820-23.pdf#page=3","Abrir facsímil")</f>
        <v>Abrir facsímil</v>
      </c>
      <c r="K982" s="3" t="s">
        <v>23</v>
      </c>
    </row>
    <row r="983" spans="1:11" ht="42" customHeight="1">
      <c r="A983" s="2" t="s">
        <v>2405</v>
      </c>
      <c r="B983" s="2" t="s">
        <v>2405</v>
      </c>
      <c r="C983" s="2" t="s">
        <v>35</v>
      </c>
      <c r="D983" s="2" t="s">
        <v>36</v>
      </c>
      <c r="E983" s="5">
        <v>-29015</v>
      </c>
      <c r="F983" s="3" t="s">
        <v>359</v>
      </c>
      <c r="G983" s="3" t="s">
        <v>43</v>
      </c>
      <c r="H983" s="2" t="s">
        <v>21</v>
      </c>
      <c r="I983" s="2" t="s">
        <v>2410</v>
      </c>
      <c r="J983" s="3" t="str">
        <f>HYPERLINK("https://www.boe.es/gazeta/dias/1820/07/22/pdfs/GGB-1820-24.pdf#page=2","Abrir facsímil")</f>
        <v>Abrir facsímil</v>
      </c>
      <c r="K983" s="3" t="s">
        <v>23</v>
      </c>
    </row>
    <row r="984" spans="1:11" ht="42" customHeight="1">
      <c r="A984" s="2" t="s">
        <v>2405</v>
      </c>
      <c r="B984" s="2" t="s">
        <v>2405</v>
      </c>
      <c r="C984" s="2" t="s">
        <v>74</v>
      </c>
      <c r="D984" s="2" t="s">
        <v>18</v>
      </c>
      <c r="E984" s="5">
        <v>-29014</v>
      </c>
      <c r="F984" s="3" t="s">
        <v>70</v>
      </c>
      <c r="G984" s="3" t="s">
        <v>43</v>
      </c>
      <c r="H984" s="2" t="s">
        <v>21</v>
      </c>
      <c r="I984" s="2" t="s">
        <v>2411</v>
      </c>
      <c r="J984" s="3" t="str">
        <f>HYPERLINK("https://www.boe.es/gazeta/dias/1820/07/23/pdfs/GGB-1820-25.pdf#page=2","Abrir facsímil")</f>
        <v>Abrir facsímil</v>
      </c>
      <c r="K984" s="3" t="s">
        <v>23</v>
      </c>
    </row>
    <row r="985" spans="1:11" ht="42" customHeight="1">
      <c r="A985" s="2" t="s">
        <v>2405</v>
      </c>
      <c r="B985" s="2" t="s">
        <v>2405</v>
      </c>
      <c r="C985" s="2" t="s">
        <v>26</v>
      </c>
      <c r="D985" s="2" t="s">
        <v>27</v>
      </c>
      <c r="E985" s="5">
        <v>-29013</v>
      </c>
      <c r="F985" s="3" t="s">
        <v>52</v>
      </c>
      <c r="G985" s="3" t="s">
        <v>20</v>
      </c>
      <c r="H985" s="2" t="s">
        <v>21</v>
      </c>
      <c r="I985" s="2" t="s">
        <v>2412</v>
      </c>
      <c r="J985" s="3" t="str">
        <f>HYPERLINK("https://www.boe.es/gazeta/dias/1820/07/24/pdfs/GGB-1820-26.pdf#page=4","Abrir facsímil")</f>
        <v>Abrir facsímil</v>
      </c>
      <c r="K985" s="3" t="s">
        <v>23</v>
      </c>
    </row>
    <row r="986" spans="1:11" ht="42" customHeight="1">
      <c r="A986" s="2" t="s">
        <v>2405</v>
      </c>
      <c r="B986" s="2" t="s">
        <v>2405</v>
      </c>
      <c r="C986" s="2" t="s">
        <v>74</v>
      </c>
      <c r="D986" s="2" t="s">
        <v>18</v>
      </c>
      <c r="E986" s="5">
        <v>-29012</v>
      </c>
      <c r="F986" s="3" t="s">
        <v>72</v>
      </c>
      <c r="G986" s="3" t="s">
        <v>661</v>
      </c>
      <c r="H986" s="2" t="s">
        <v>21</v>
      </c>
      <c r="I986" s="2" t="s">
        <v>2413</v>
      </c>
      <c r="J986" s="3" t="str">
        <f>HYPERLINK("https://www.boe.es/gazeta/dias/1820/07/25/pdfs/GGB-1820-27.pdf#page=2","Abrir facsímil")</f>
        <v>Abrir facsímil</v>
      </c>
      <c r="K986" s="3" t="s">
        <v>23</v>
      </c>
    </row>
    <row r="987" spans="1:11" ht="42" customHeight="1">
      <c r="A987" s="2" t="s">
        <v>2405</v>
      </c>
      <c r="B987" s="2" t="s">
        <v>2405</v>
      </c>
      <c r="C987" s="2" t="s">
        <v>26</v>
      </c>
      <c r="D987" s="2" t="s">
        <v>27</v>
      </c>
      <c r="E987" s="5">
        <v>-29012</v>
      </c>
      <c r="F987" s="3" t="s">
        <v>72</v>
      </c>
      <c r="G987" s="3" t="s">
        <v>62</v>
      </c>
      <c r="H987" s="2" t="s">
        <v>21</v>
      </c>
      <c r="I987" s="2" t="s">
        <v>2414</v>
      </c>
      <c r="J987" s="3" t="str">
        <f>HYPERLINK("https://www.boe.es/gazeta/dias/1820/07/25/pdfs/GGB-1820-27.pdf#page=3","Abrir facsímil")</f>
        <v>Abrir facsímil</v>
      </c>
      <c r="K987" s="3" t="s">
        <v>23</v>
      </c>
    </row>
    <row r="988" spans="1:11" ht="42" customHeight="1">
      <c r="A988" s="2" t="s">
        <v>2405</v>
      </c>
      <c r="B988" s="2" t="s">
        <v>2405</v>
      </c>
      <c r="C988" s="2" t="s">
        <v>26</v>
      </c>
      <c r="D988" s="2" t="s">
        <v>27</v>
      </c>
      <c r="E988" s="5">
        <v>-29011</v>
      </c>
      <c r="F988" s="3" t="s">
        <v>338</v>
      </c>
      <c r="G988" s="3" t="s">
        <v>62</v>
      </c>
      <c r="H988" s="2" t="s">
        <v>21</v>
      </c>
      <c r="I988" s="2" t="s">
        <v>2415</v>
      </c>
      <c r="J988" s="3" t="str">
        <f>HYPERLINK("https://www.boe.es/gazeta/dias/1820/07/26/pdfs/GGB-1820-28.pdf#page=3","Abrir facsímil")</f>
        <v>Abrir facsímil</v>
      </c>
      <c r="K988" s="3" t="s">
        <v>23</v>
      </c>
    </row>
    <row r="989" spans="1:11" ht="42" customHeight="1">
      <c r="A989" s="2" t="s">
        <v>2405</v>
      </c>
      <c r="B989" s="2" t="s">
        <v>2405</v>
      </c>
      <c r="C989" s="2" t="s">
        <v>35</v>
      </c>
      <c r="D989" s="2" t="s">
        <v>36</v>
      </c>
      <c r="E989" s="5">
        <v>-29010</v>
      </c>
      <c r="F989" s="3" t="s">
        <v>664</v>
      </c>
      <c r="G989" s="3" t="s">
        <v>773</v>
      </c>
      <c r="H989" s="2" t="s">
        <v>21</v>
      </c>
      <c r="I989" s="2" t="s">
        <v>2416</v>
      </c>
      <c r="J989" s="3" t="str">
        <f>HYPERLINK("https://www.boe.es/gazeta/dias/1820/07/27/pdfs/GGB-1820-29.pdf#page=4","Abrir facsímil")</f>
        <v>Abrir facsímil</v>
      </c>
      <c r="K989" s="3" t="s">
        <v>23</v>
      </c>
    </row>
    <row r="990" spans="1:11" ht="42" customHeight="1">
      <c r="A990" s="2" t="s">
        <v>2405</v>
      </c>
      <c r="B990" s="2" t="s">
        <v>2405</v>
      </c>
      <c r="C990" s="2" t="s">
        <v>293</v>
      </c>
      <c r="D990" s="2" t="s">
        <v>18</v>
      </c>
      <c r="E990" s="5">
        <v>-29010</v>
      </c>
      <c r="F990" s="3" t="s">
        <v>664</v>
      </c>
      <c r="G990" s="3" t="s">
        <v>62</v>
      </c>
      <c r="H990" s="2" t="s">
        <v>21</v>
      </c>
      <c r="I990" s="2" t="s">
        <v>2417</v>
      </c>
      <c r="J990" s="3" t="str">
        <f>HYPERLINK("https://www.boe.es/gazeta/dias/1820/07/27/pdfs/GGB-1820-29.pdf#page=3","Abrir facsímil")</f>
        <v>Abrir facsímil</v>
      </c>
      <c r="K990" s="3" t="s">
        <v>23</v>
      </c>
    </row>
    <row r="991" spans="1:11" ht="42" customHeight="1">
      <c r="A991" s="2" t="s">
        <v>2405</v>
      </c>
      <c r="B991" s="2" t="s">
        <v>2405</v>
      </c>
      <c r="C991" s="2" t="s">
        <v>26</v>
      </c>
      <c r="D991" s="2" t="s">
        <v>27</v>
      </c>
      <c r="E991" s="5">
        <v>-29009</v>
      </c>
      <c r="F991" s="3" t="s">
        <v>605</v>
      </c>
      <c r="G991" s="3" t="s">
        <v>43</v>
      </c>
      <c r="H991" s="2" t="s">
        <v>21</v>
      </c>
      <c r="I991" s="2" t="s">
        <v>2418</v>
      </c>
      <c r="J991" s="3" t="str">
        <f>HYPERLINK("https://www.boe.es/gazeta/dias/1820/07/28/pdfs/GGB-1820-30.pdf#page=2","Abrir facsímil")</f>
        <v>Abrir facsímil</v>
      </c>
      <c r="K991" s="3" t="s">
        <v>23</v>
      </c>
    </row>
    <row r="992" spans="1:11" ht="42" customHeight="1">
      <c r="A992" s="2" t="s">
        <v>2405</v>
      </c>
      <c r="B992" s="2" t="s">
        <v>2405</v>
      </c>
      <c r="C992" s="2" t="s">
        <v>35</v>
      </c>
      <c r="D992" s="2" t="s">
        <v>36</v>
      </c>
      <c r="E992" s="5">
        <v>-29008</v>
      </c>
      <c r="F992" s="3" t="s">
        <v>2250</v>
      </c>
      <c r="G992" s="3" t="s">
        <v>20</v>
      </c>
      <c r="H992" s="2" t="s">
        <v>21</v>
      </c>
      <c r="I992" s="2" t="s">
        <v>2419</v>
      </c>
      <c r="J992" s="3" t="str">
        <f>HYPERLINK("https://www.boe.es/gazeta/dias/1820/07/29/pdfs/GGB-1820-31.pdf#page=4","Abrir facsímil")</f>
        <v>Abrir facsímil</v>
      </c>
      <c r="K992" s="3" t="s">
        <v>23</v>
      </c>
    </row>
    <row r="993" spans="1:11" ht="42" customHeight="1">
      <c r="A993" s="2" t="s">
        <v>2405</v>
      </c>
      <c r="B993" s="2" t="s">
        <v>2405</v>
      </c>
      <c r="C993" s="2" t="s">
        <v>74</v>
      </c>
      <c r="D993" s="2" t="s">
        <v>18</v>
      </c>
      <c r="E993" s="5">
        <v>-29003</v>
      </c>
      <c r="F993" s="3" t="s">
        <v>340</v>
      </c>
      <c r="G993" s="3" t="s">
        <v>62</v>
      </c>
      <c r="H993" s="2" t="s">
        <v>21</v>
      </c>
      <c r="I993" s="2" t="s">
        <v>2420</v>
      </c>
      <c r="J993" s="3" t="str">
        <f>HYPERLINK("https://www.boe.es/gazeta/dias/1820/08/03/pdfs/GGB-1820-36.pdf#page=3","Abrir facsímil")</f>
        <v>Abrir facsímil</v>
      </c>
      <c r="K993" s="3" t="s">
        <v>23</v>
      </c>
    </row>
    <row r="994" spans="1:11" ht="42" customHeight="1">
      <c r="A994" s="2" t="s">
        <v>2405</v>
      </c>
      <c r="B994" s="2" t="s">
        <v>2405</v>
      </c>
      <c r="C994" s="2" t="s">
        <v>74</v>
      </c>
      <c r="D994" s="2" t="s">
        <v>18</v>
      </c>
      <c r="E994" s="5">
        <v>-29003</v>
      </c>
      <c r="F994" s="3" t="s">
        <v>340</v>
      </c>
      <c r="G994" s="3" t="s">
        <v>20</v>
      </c>
      <c r="H994" s="2" t="s">
        <v>21</v>
      </c>
      <c r="I994" s="2" t="s">
        <v>2421</v>
      </c>
      <c r="J994" s="3" t="str">
        <f>HYPERLINK("https://www.boe.es/gazeta/dias/1820/08/03/pdfs/GGB-1820-36.pdf#page=4","Abrir facsímil")</f>
        <v>Abrir facsímil</v>
      </c>
      <c r="K994" s="3" t="s">
        <v>23</v>
      </c>
    </row>
    <row r="995" spans="1:11" ht="42" customHeight="1">
      <c r="A995" s="2" t="s">
        <v>2405</v>
      </c>
      <c r="B995" s="2" t="s">
        <v>2405</v>
      </c>
      <c r="C995" s="2" t="s">
        <v>293</v>
      </c>
      <c r="D995" s="2" t="s">
        <v>18</v>
      </c>
      <c r="E995" s="5">
        <v>-29002</v>
      </c>
      <c r="F995" s="3" t="s">
        <v>124</v>
      </c>
      <c r="G995" s="3" t="s">
        <v>20</v>
      </c>
      <c r="H995" s="2" t="s">
        <v>21</v>
      </c>
      <c r="I995" s="2" t="s">
        <v>2422</v>
      </c>
      <c r="J995" s="3" t="str">
        <f>HYPERLINK("https://www.boe.es/gazeta/dias/1820/08/04/pdfs/GGB-1820-37.pdf#page=4","Abrir facsímil")</f>
        <v>Abrir facsímil</v>
      </c>
      <c r="K995" s="3" t="s">
        <v>23</v>
      </c>
    </row>
    <row r="996" spans="1:11" ht="42" customHeight="1">
      <c r="A996" s="2" t="s">
        <v>2405</v>
      </c>
      <c r="B996" s="2" t="s">
        <v>2405</v>
      </c>
      <c r="C996" s="2" t="s">
        <v>74</v>
      </c>
      <c r="D996" s="2" t="s">
        <v>18</v>
      </c>
      <c r="E996" s="5">
        <v>-29000</v>
      </c>
      <c r="F996" s="3" t="s">
        <v>670</v>
      </c>
      <c r="G996" s="3" t="s">
        <v>20</v>
      </c>
      <c r="H996" s="2" t="s">
        <v>21</v>
      </c>
      <c r="I996" s="2" t="s">
        <v>2423</v>
      </c>
      <c r="J996" s="3" t="str">
        <f>HYPERLINK("https://www.boe.es/gazeta/dias/1820/08/06/pdfs/GGB-1820-39.pdf#page=4","Abrir facsímil")</f>
        <v>Abrir facsímil</v>
      </c>
      <c r="K996" s="3" t="s">
        <v>23</v>
      </c>
    </row>
    <row r="997" spans="1:11" ht="42" customHeight="1">
      <c r="A997" s="2" t="s">
        <v>2405</v>
      </c>
      <c r="B997" s="2" t="s">
        <v>2405</v>
      </c>
      <c r="C997" s="2" t="s">
        <v>74</v>
      </c>
      <c r="D997" s="2" t="s">
        <v>18</v>
      </c>
      <c r="E997" s="5">
        <v>-28991</v>
      </c>
      <c r="F997" s="3" t="s">
        <v>213</v>
      </c>
      <c r="G997" s="3" t="s">
        <v>62</v>
      </c>
      <c r="H997" s="2" t="s">
        <v>21</v>
      </c>
      <c r="I997" s="2" t="s">
        <v>2424</v>
      </c>
      <c r="J997" s="3" t="str">
        <f>HYPERLINK("https://www.boe.es/gazeta/dias/1820/08/15/pdfs/GGB-1820-48.pdf#page=3","Abrir facsímil")</f>
        <v>Abrir facsímil</v>
      </c>
      <c r="K997" s="3" t="s">
        <v>23</v>
      </c>
    </row>
    <row r="998" spans="1:11" ht="42" customHeight="1">
      <c r="A998" s="2" t="s">
        <v>2405</v>
      </c>
      <c r="B998" s="2" t="s">
        <v>2405</v>
      </c>
      <c r="C998" s="2" t="s">
        <v>35</v>
      </c>
      <c r="D998" s="2" t="s">
        <v>36</v>
      </c>
      <c r="E998" s="5">
        <v>-28989</v>
      </c>
      <c r="F998" s="3" t="s">
        <v>809</v>
      </c>
      <c r="G998" s="3" t="s">
        <v>62</v>
      </c>
      <c r="H998" s="2" t="s">
        <v>21</v>
      </c>
      <c r="I998" s="2" t="s">
        <v>2425</v>
      </c>
      <c r="J998" s="3" t="str">
        <f>HYPERLINK("https://www.boe.es/gazeta/dias/1820/08/17/pdfs/GGB-1820-50.pdf#page=3","Abrir facsímil")</f>
        <v>Abrir facsímil</v>
      </c>
      <c r="K998" s="3" t="s">
        <v>23</v>
      </c>
    </row>
    <row r="999" spans="1:11" ht="42" customHeight="1">
      <c r="A999" s="2" t="s">
        <v>2405</v>
      </c>
      <c r="B999" s="2" t="s">
        <v>2405</v>
      </c>
      <c r="C999" s="2" t="s">
        <v>35</v>
      </c>
      <c r="D999" s="2" t="s">
        <v>36</v>
      </c>
      <c r="E999" s="5">
        <v>-28988</v>
      </c>
      <c r="F999" s="3" t="s">
        <v>618</v>
      </c>
      <c r="G999" s="3" t="s">
        <v>20</v>
      </c>
      <c r="H999" s="2" t="s">
        <v>21</v>
      </c>
      <c r="I999" s="2" t="s">
        <v>2426</v>
      </c>
      <c r="J999" s="3" t="str">
        <f>HYPERLINK("https://www.boe.es/gazeta/dias/1820/08/18/pdfs/GGB-1820-51.pdf#page=4","Abrir facsímil")</f>
        <v>Abrir facsímil</v>
      </c>
      <c r="K999" s="3" t="s">
        <v>23</v>
      </c>
    </row>
    <row r="1000" spans="1:11" ht="42" customHeight="1">
      <c r="A1000" s="2" t="s">
        <v>2405</v>
      </c>
      <c r="B1000" s="2" t="s">
        <v>2405</v>
      </c>
      <c r="C1000" s="2" t="s">
        <v>35</v>
      </c>
      <c r="D1000" s="2" t="s">
        <v>36</v>
      </c>
      <c r="E1000" s="5">
        <v>-28987</v>
      </c>
      <c r="F1000" s="3" t="s">
        <v>680</v>
      </c>
      <c r="G1000" s="3" t="s">
        <v>20</v>
      </c>
      <c r="H1000" s="2" t="s">
        <v>21</v>
      </c>
      <c r="I1000" s="2" t="s">
        <v>2427</v>
      </c>
      <c r="J1000" s="3" t="str">
        <f>HYPERLINK("https://www.boe.es/gazeta/dias/1820/08/19/pdfs/GGB-1820-52.pdf#page=4","Abrir facsímil")</f>
        <v>Abrir facsímil</v>
      </c>
      <c r="K1000" s="3" t="s">
        <v>23</v>
      </c>
    </row>
    <row r="1001" spans="1:11" ht="42" customHeight="1">
      <c r="A1001" s="2" t="s">
        <v>2405</v>
      </c>
      <c r="B1001" s="2" t="s">
        <v>2405</v>
      </c>
      <c r="C1001" s="2" t="s">
        <v>26</v>
      </c>
      <c r="D1001" s="2" t="s">
        <v>27</v>
      </c>
      <c r="E1001" s="5">
        <v>-28984</v>
      </c>
      <c r="F1001" s="3" t="s">
        <v>520</v>
      </c>
      <c r="G1001" s="3" t="s">
        <v>20</v>
      </c>
      <c r="H1001" s="2" t="s">
        <v>21</v>
      </c>
      <c r="I1001" s="2" t="s">
        <v>2428</v>
      </c>
      <c r="J1001" s="3" t="str">
        <f>HYPERLINK("https://www.boe.es/gazeta/dias/1820/08/22/pdfs/GGB-1820-55.pdf#page=4","Abrir facsímil")</f>
        <v>Abrir facsímil</v>
      </c>
      <c r="K1001" s="3" t="s">
        <v>23</v>
      </c>
    </row>
    <row r="1002" spans="1:11" ht="42" customHeight="1">
      <c r="A1002" s="2" t="s">
        <v>2405</v>
      </c>
      <c r="B1002" s="2" t="s">
        <v>2405</v>
      </c>
      <c r="C1002" s="2" t="s">
        <v>26</v>
      </c>
      <c r="D1002" s="2" t="s">
        <v>27</v>
      </c>
      <c r="E1002" s="5">
        <v>-28982</v>
      </c>
      <c r="F1002" s="3" t="s">
        <v>173</v>
      </c>
      <c r="G1002" s="3" t="s">
        <v>62</v>
      </c>
      <c r="H1002" s="2" t="s">
        <v>21</v>
      </c>
      <c r="I1002" s="2" t="s">
        <v>2429</v>
      </c>
      <c r="J1002" s="3" t="str">
        <f>HYPERLINK("https://www.boe.es/gazeta/dias/1820/08/24/pdfs/GGB-1820-57.pdf#page=3","Abrir facsímil")</f>
        <v>Abrir facsímil</v>
      </c>
      <c r="K1002" s="3" t="s">
        <v>23</v>
      </c>
    </row>
    <row r="1003" spans="1:11" ht="42" customHeight="1">
      <c r="A1003" s="2" t="s">
        <v>2405</v>
      </c>
      <c r="B1003" s="2" t="s">
        <v>2405</v>
      </c>
      <c r="C1003" s="2" t="s">
        <v>293</v>
      </c>
      <c r="D1003" s="2" t="s">
        <v>18</v>
      </c>
      <c r="E1003" s="5">
        <v>-28981</v>
      </c>
      <c r="F1003" s="3" t="s">
        <v>42</v>
      </c>
      <c r="G1003" s="3" t="s">
        <v>62</v>
      </c>
      <c r="H1003" s="2" t="s">
        <v>21</v>
      </c>
      <c r="I1003" s="2" t="s">
        <v>2430</v>
      </c>
      <c r="J1003" s="3" t="str">
        <f>HYPERLINK("https://www.boe.es/gazeta/dias/1820/08/25/pdfs/GGB-1820-58.pdf#page=3","Abrir facsímil")</f>
        <v>Abrir facsímil</v>
      </c>
      <c r="K1003" s="3" t="s">
        <v>23</v>
      </c>
    </row>
    <row r="1004" spans="1:11" ht="42" customHeight="1">
      <c r="A1004" s="2" t="s">
        <v>2405</v>
      </c>
      <c r="B1004" s="2" t="s">
        <v>2405</v>
      </c>
      <c r="C1004" s="2" t="s">
        <v>17</v>
      </c>
      <c r="D1004" s="2" t="s">
        <v>18</v>
      </c>
      <c r="E1004" s="5">
        <v>-28980</v>
      </c>
      <c r="F1004" s="3" t="s">
        <v>614</v>
      </c>
      <c r="G1004" s="3" t="s">
        <v>62</v>
      </c>
      <c r="H1004" s="2" t="s">
        <v>21</v>
      </c>
      <c r="I1004" s="2" t="s">
        <v>2431</v>
      </c>
      <c r="J1004" s="3" t="str">
        <f>HYPERLINK("https://www.boe.es/gazeta/dias/1820/08/26/pdfs/GGB-1820-59.pdf#page=3","Abrir facsímil")</f>
        <v>Abrir facsímil</v>
      </c>
      <c r="K1004" s="3" t="s">
        <v>23</v>
      </c>
    </row>
    <row r="1005" spans="1:11" ht="42" customHeight="1">
      <c r="A1005" s="2" t="s">
        <v>2405</v>
      </c>
      <c r="B1005" s="2" t="s">
        <v>2405</v>
      </c>
      <c r="C1005" s="2" t="s">
        <v>35</v>
      </c>
      <c r="D1005" s="2" t="s">
        <v>36</v>
      </c>
      <c r="E1005" s="5">
        <v>-28979</v>
      </c>
      <c r="F1005" s="3" t="s">
        <v>218</v>
      </c>
      <c r="G1005" s="3" t="s">
        <v>62</v>
      </c>
      <c r="H1005" s="2" t="s">
        <v>21</v>
      </c>
      <c r="I1005" s="2" t="s">
        <v>2432</v>
      </c>
      <c r="J1005" s="3" t="str">
        <f>HYPERLINK("https://www.boe.es/gazeta/dias/1820/08/27/pdfs/GGB-1820-60.pdf#page=3","Abrir facsímil")</f>
        <v>Abrir facsímil</v>
      </c>
      <c r="K1005" s="3" t="s">
        <v>23</v>
      </c>
    </row>
    <row r="1006" spans="1:11" ht="42" customHeight="1">
      <c r="A1006" s="2" t="s">
        <v>2405</v>
      </c>
      <c r="B1006" s="2" t="s">
        <v>2405</v>
      </c>
      <c r="C1006" s="2" t="s">
        <v>74</v>
      </c>
      <c r="D1006" s="2" t="s">
        <v>18</v>
      </c>
      <c r="E1006" s="5">
        <v>-28972</v>
      </c>
      <c r="F1006" s="3" t="s">
        <v>522</v>
      </c>
      <c r="G1006" s="3" t="s">
        <v>20</v>
      </c>
      <c r="H1006" s="2" t="s">
        <v>21</v>
      </c>
      <c r="I1006" s="2" t="s">
        <v>2433</v>
      </c>
      <c r="J1006" s="3" t="str">
        <f>HYPERLINK("https://www.boe.es/gazeta/dias/1820/09/03/pdfs/GGB-1820-67.pdf#page=4","Abrir facsímil")</f>
        <v>Abrir facsímil</v>
      </c>
      <c r="K1006" s="3" t="s">
        <v>23</v>
      </c>
    </row>
    <row r="1007" spans="1:11" ht="42" customHeight="1">
      <c r="A1007" s="2" t="s">
        <v>2405</v>
      </c>
      <c r="B1007" s="2" t="s">
        <v>2405</v>
      </c>
      <c r="C1007" s="2" t="s">
        <v>293</v>
      </c>
      <c r="D1007" s="2" t="s">
        <v>18</v>
      </c>
      <c r="E1007" s="5">
        <v>-28971</v>
      </c>
      <c r="F1007" s="3" t="s">
        <v>691</v>
      </c>
      <c r="G1007" s="3" t="s">
        <v>62</v>
      </c>
      <c r="H1007" s="2" t="s">
        <v>21</v>
      </c>
      <c r="I1007" s="2" t="s">
        <v>2434</v>
      </c>
      <c r="J1007" s="3" t="str">
        <f>HYPERLINK("https://www.boe.es/gazeta/dias/1820/09/04/pdfs/GGB-1820-68.pdf#page=3","Abrir facsímil")</f>
        <v>Abrir facsímil</v>
      </c>
      <c r="K1007" s="3" t="s">
        <v>23</v>
      </c>
    </row>
    <row r="1008" spans="1:11" ht="42" customHeight="1">
      <c r="A1008" s="2" t="s">
        <v>2405</v>
      </c>
      <c r="B1008" s="2" t="s">
        <v>2405</v>
      </c>
      <c r="C1008" s="2" t="s">
        <v>35</v>
      </c>
      <c r="D1008" s="2" t="s">
        <v>36</v>
      </c>
      <c r="E1008" s="5">
        <v>-28970</v>
      </c>
      <c r="F1008" s="3" t="s">
        <v>693</v>
      </c>
      <c r="G1008" s="3" t="s">
        <v>43</v>
      </c>
      <c r="H1008" s="2" t="s">
        <v>21</v>
      </c>
      <c r="I1008" s="2" t="s">
        <v>2435</v>
      </c>
      <c r="J1008" s="3" t="str">
        <f>HYPERLINK("https://www.boe.es/gazeta/dias/1820/09/05/pdfs/GGB-1820-69.pdf#page=2","Abrir facsímil")</f>
        <v>Abrir facsímil</v>
      </c>
      <c r="K1008" s="3" t="s">
        <v>23</v>
      </c>
    </row>
    <row r="1009" spans="1:11" ht="42" customHeight="1">
      <c r="A1009" s="2" t="s">
        <v>2405</v>
      </c>
      <c r="B1009" s="2" t="s">
        <v>2405</v>
      </c>
      <c r="C1009" s="2" t="s">
        <v>26</v>
      </c>
      <c r="D1009" s="2" t="s">
        <v>27</v>
      </c>
      <c r="E1009" s="5">
        <v>-28969</v>
      </c>
      <c r="F1009" s="3" t="s">
        <v>225</v>
      </c>
      <c r="G1009" s="3" t="s">
        <v>20</v>
      </c>
      <c r="H1009" s="2" t="s">
        <v>21</v>
      </c>
      <c r="I1009" s="2" t="s">
        <v>2436</v>
      </c>
      <c r="J1009" s="3" t="str">
        <f>HYPERLINK("https://www.boe.es/gazeta/dias/1820/09/06/pdfs/GGB-1820-70.pdf#page=4","Abrir facsímil")</f>
        <v>Abrir facsímil</v>
      </c>
      <c r="K1009" s="3" t="s">
        <v>23</v>
      </c>
    </row>
    <row r="1010" spans="1:11" ht="42" customHeight="1">
      <c r="A1010" s="2" t="s">
        <v>2405</v>
      </c>
      <c r="B1010" s="2" t="s">
        <v>2405</v>
      </c>
      <c r="C1010" s="2" t="s">
        <v>26</v>
      </c>
      <c r="D1010" s="2" t="s">
        <v>27</v>
      </c>
      <c r="E1010" s="5">
        <v>-28967</v>
      </c>
      <c r="F1010" s="3" t="s">
        <v>238</v>
      </c>
      <c r="G1010" s="3" t="s">
        <v>256</v>
      </c>
      <c r="H1010" s="2" t="s">
        <v>21</v>
      </c>
      <c r="I1010" s="2" t="s">
        <v>2437</v>
      </c>
      <c r="J1010" s="3" t="str">
        <f>HYPERLINK("https://www.boe.es/gazeta/dias/1820/09/08/pdfs/GGB-1820-72.pdf#page=5","Abrir facsímil")</f>
        <v>Abrir facsímil</v>
      </c>
      <c r="K1010" s="3" t="s">
        <v>23</v>
      </c>
    </row>
    <row r="1011" spans="1:11" ht="42" customHeight="1">
      <c r="A1011" s="2" t="s">
        <v>2405</v>
      </c>
      <c r="B1011" s="2" t="s">
        <v>2405</v>
      </c>
      <c r="C1011" s="2" t="s">
        <v>74</v>
      </c>
      <c r="D1011" s="2" t="s">
        <v>18</v>
      </c>
      <c r="E1011" s="5">
        <v>-28966</v>
      </c>
      <c r="F1011" s="3" t="s">
        <v>701</v>
      </c>
      <c r="G1011" s="3" t="s">
        <v>20</v>
      </c>
      <c r="H1011" s="2" t="s">
        <v>21</v>
      </c>
      <c r="I1011" s="2" t="s">
        <v>2438</v>
      </c>
      <c r="J1011" s="3" t="str">
        <f>HYPERLINK("https://www.boe.es/gazeta/dias/1820/09/09/pdfs/GGB-1820-73.pdf#page=4","Abrir facsímil")</f>
        <v>Abrir facsímil</v>
      </c>
      <c r="K1011" s="3" t="s">
        <v>23</v>
      </c>
    </row>
    <row r="1012" spans="1:11" ht="42" customHeight="1">
      <c r="A1012" s="2" t="s">
        <v>2405</v>
      </c>
      <c r="B1012" s="2" t="s">
        <v>2405</v>
      </c>
      <c r="C1012" s="2" t="s">
        <v>26</v>
      </c>
      <c r="D1012" s="2" t="s">
        <v>27</v>
      </c>
      <c r="E1012" s="5">
        <v>-28963</v>
      </c>
      <c r="F1012" s="3" t="s">
        <v>94</v>
      </c>
      <c r="G1012" s="3" t="s">
        <v>62</v>
      </c>
      <c r="H1012" s="2" t="s">
        <v>21</v>
      </c>
      <c r="I1012" s="2" t="s">
        <v>2439</v>
      </c>
      <c r="J1012" s="3" t="str">
        <f>HYPERLINK("https://www.boe.es/gazeta/dias/1820/09/12/pdfs/GGB-1820-76.pdf#page=3","Abrir facsímil")</f>
        <v>Abrir facsímil</v>
      </c>
      <c r="K1012" s="3" t="s">
        <v>23</v>
      </c>
    </row>
    <row r="1013" spans="1:11" ht="42" customHeight="1">
      <c r="A1013" s="2" t="s">
        <v>2405</v>
      </c>
      <c r="B1013" s="2" t="s">
        <v>2405</v>
      </c>
      <c r="C1013" s="2" t="s">
        <v>17</v>
      </c>
      <c r="D1013" s="2" t="s">
        <v>18</v>
      </c>
      <c r="E1013" s="5">
        <v>-28962</v>
      </c>
      <c r="F1013" s="3" t="s">
        <v>90</v>
      </c>
      <c r="G1013" s="3" t="s">
        <v>62</v>
      </c>
      <c r="H1013" s="2" t="s">
        <v>21</v>
      </c>
      <c r="I1013" s="2" t="s">
        <v>2440</v>
      </c>
      <c r="J1013" s="3" t="str">
        <f>HYPERLINK("https://www.boe.es/gazeta/dias/1820/09/13/pdfs/GGB-1820-77.pdf#page=3","Abrir facsímil")</f>
        <v>Abrir facsímil</v>
      </c>
      <c r="K1013" s="3" t="s">
        <v>23</v>
      </c>
    </row>
    <row r="1014" spans="1:11" ht="42" customHeight="1">
      <c r="A1014" s="2" t="s">
        <v>2405</v>
      </c>
      <c r="B1014" s="2" t="s">
        <v>2405</v>
      </c>
      <c r="C1014" s="2" t="s">
        <v>17</v>
      </c>
      <c r="D1014" s="2" t="s">
        <v>18</v>
      </c>
      <c r="E1014" s="5">
        <v>-28962</v>
      </c>
      <c r="F1014" s="3" t="s">
        <v>90</v>
      </c>
      <c r="G1014" s="3" t="s">
        <v>20</v>
      </c>
      <c r="H1014" s="2" t="s">
        <v>21</v>
      </c>
      <c r="I1014" s="2" t="s">
        <v>2441</v>
      </c>
      <c r="J1014" s="3" t="str">
        <f>HYPERLINK("https://www.boe.es/gazeta/dias/1820/09/13/pdfs/GGB-1820-77.pdf#page=4","Abrir facsímil")</f>
        <v>Abrir facsímil</v>
      </c>
      <c r="K1014" s="3" t="s">
        <v>23</v>
      </c>
    </row>
    <row r="1015" spans="1:11" ht="42" customHeight="1">
      <c r="A1015" s="2" t="s">
        <v>2405</v>
      </c>
      <c r="B1015" s="2" t="s">
        <v>2405</v>
      </c>
      <c r="C1015" s="2" t="s">
        <v>17</v>
      </c>
      <c r="D1015" s="2" t="s">
        <v>18</v>
      </c>
      <c r="E1015" s="5">
        <v>-28961</v>
      </c>
      <c r="F1015" s="3" t="s">
        <v>242</v>
      </c>
      <c r="G1015" s="3" t="s">
        <v>2442</v>
      </c>
      <c r="H1015" s="2" t="s">
        <v>21</v>
      </c>
      <c r="I1015" s="2" t="s">
        <v>2443</v>
      </c>
      <c r="J1015" s="3" t="str">
        <f>HYPERLINK("https://www.boe.es/gazeta/dias/1820/09/14/pdfs/GGB-1820-78.pdf#page=4","Abrir facsímil")</f>
        <v>Abrir facsímil</v>
      </c>
      <c r="K1015" s="3" t="s">
        <v>23</v>
      </c>
    </row>
    <row r="1016" spans="1:11" ht="42" customHeight="1">
      <c r="A1016" s="2" t="s">
        <v>2405</v>
      </c>
      <c r="B1016" s="2" t="s">
        <v>2405</v>
      </c>
      <c r="C1016" s="2" t="s">
        <v>17</v>
      </c>
      <c r="D1016" s="2" t="s">
        <v>18</v>
      </c>
      <c r="E1016" s="5">
        <v>-28961</v>
      </c>
      <c r="F1016" s="3" t="s">
        <v>242</v>
      </c>
      <c r="G1016" s="3" t="s">
        <v>62</v>
      </c>
      <c r="H1016" s="2" t="s">
        <v>21</v>
      </c>
      <c r="I1016" s="2" t="s">
        <v>2444</v>
      </c>
      <c r="J1016" s="3" t="str">
        <f>HYPERLINK("https://www.boe.es/gazeta/dias/1820/09/14/pdfs/GGB-1820-78.pdf#page=3","Abrir facsímil")</f>
        <v>Abrir facsímil</v>
      </c>
      <c r="K1016" s="3" t="s">
        <v>23</v>
      </c>
    </row>
    <row r="1017" spans="1:11" ht="42" customHeight="1">
      <c r="A1017" s="2" t="s">
        <v>2405</v>
      </c>
      <c r="B1017" s="2" t="s">
        <v>2405</v>
      </c>
      <c r="C1017" s="2" t="s">
        <v>74</v>
      </c>
      <c r="D1017" s="2" t="s">
        <v>18</v>
      </c>
      <c r="E1017" s="5">
        <v>-28960</v>
      </c>
      <c r="F1017" s="3" t="s">
        <v>704</v>
      </c>
      <c r="G1017" s="3" t="s">
        <v>62</v>
      </c>
      <c r="H1017" s="2" t="s">
        <v>21</v>
      </c>
      <c r="I1017" s="2" t="s">
        <v>2445</v>
      </c>
      <c r="J1017" s="3" t="str">
        <f>HYPERLINK("https://www.boe.es/gazeta/dias/1820/09/15/pdfs/GGB-1820-79.pdf#page=3","Abrir facsímil")</f>
        <v>Abrir facsímil</v>
      </c>
      <c r="K1017" s="3" t="s">
        <v>23</v>
      </c>
    </row>
    <row r="1018" spans="1:11" ht="42" customHeight="1">
      <c r="A1018" s="2" t="s">
        <v>2405</v>
      </c>
      <c r="B1018" s="2" t="s">
        <v>2405</v>
      </c>
      <c r="C1018" s="2" t="s">
        <v>293</v>
      </c>
      <c r="D1018" s="2" t="s">
        <v>18</v>
      </c>
      <c r="E1018" s="5">
        <v>-28959</v>
      </c>
      <c r="F1018" s="3" t="s">
        <v>37</v>
      </c>
      <c r="G1018" s="3" t="s">
        <v>256</v>
      </c>
      <c r="H1018" s="2" t="s">
        <v>21</v>
      </c>
      <c r="I1018" s="2" t="s">
        <v>2446</v>
      </c>
      <c r="J1018" s="3" t="str">
        <f>HYPERLINK("https://www.boe.es/gazeta/dias/1820/09/16/pdfs/GGB-1820-80.pdf#page=5","Abrir facsímil")</f>
        <v>Abrir facsímil</v>
      </c>
      <c r="K1018" s="3" t="s">
        <v>23</v>
      </c>
    </row>
    <row r="1019" spans="1:11" ht="42" customHeight="1">
      <c r="A1019" s="2" t="s">
        <v>2405</v>
      </c>
      <c r="B1019" s="2" t="s">
        <v>2405</v>
      </c>
      <c r="C1019" s="2" t="s">
        <v>111</v>
      </c>
      <c r="D1019" s="2" t="s">
        <v>18</v>
      </c>
      <c r="E1019" s="5">
        <v>-28958</v>
      </c>
      <c r="F1019" s="3" t="s">
        <v>706</v>
      </c>
      <c r="G1019" s="3" t="s">
        <v>62</v>
      </c>
      <c r="H1019" s="2" t="s">
        <v>21</v>
      </c>
      <c r="I1019" s="2" t="s">
        <v>2447</v>
      </c>
      <c r="J1019" s="3" t="str">
        <f>HYPERLINK("https://www.boe.es/gazeta/dias/1820/09/17/pdfs/GGB-1820-81.pdf#page=3","Abrir facsímil")</f>
        <v>Abrir facsímil</v>
      </c>
      <c r="K1019" s="3" t="s">
        <v>23</v>
      </c>
    </row>
    <row r="1020" spans="1:11" ht="42" customHeight="1">
      <c r="A1020" s="2" t="s">
        <v>2405</v>
      </c>
      <c r="B1020" s="2" t="s">
        <v>2405</v>
      </c>
      <c r="C1020" s="2" t="s">
        <v>26</v>
      </c>
      <c r="D1020" s="2" t="s">
        <v>27</v>
      </c>
      <c r="E1020" s="5">
        <v>-28958</v>
      </c>
      <c r="F1020" s="3" t="s">
        <v>706</v>
      </c>
      <c r="G1020" s="3" t="s">
        <v>20</v>
      </c>
      <c r="H1020" s="2" t="s">
        <v>21</v>
      </c>
      <c r="I1020" s="2" t="s">
        <v>2448</v>
      </c>
      <c r="J1020" s="3" t="str">
        <f>HYPERLINK("https://www.boe.es/gazeta/dias/1820/09/17/pdfs/GGB-1820-81.pdf#page=4","Abrir facsímil")</f>
        <v>Abrir facsímil</v>
      </c>
      <c r="K1020" s="3" t="s">
        <v>23</v>
      </c>
    </row>
    <row r="1021" spans="1:11" ht="42" customHeight="1">
      <c r="A1021" s="2" t="s">
        <v>2405</v>
      </c>
      <c r="B1021" s="2" t="s">
        <v>2405</v>
      </c>
      <c r="C1021" s="2" t="s">
        <v>26</v>
      </c>
      <c r="D1021" s="2" t="s">
        <v>27</v>
      </c>
      <c r="E1021" s="5">
        <v>-28957</v>
      </c>
      <c r="F1021" s="3" t="s">
        <v>361</v>
      </c>
      <c r="G1021" s="3" t="s">
        <v>708</v>
      </c>
      <c r="H1021" s="2" t="s">
        <v>21</v>
      </c>
      <c r="I1021" s="2" t="s">
        <v>2449</v>
      </c>
      <c r="J1021" s="3" t="str">
        <f>HYPERLINK("https://www.boe.es/gazeta/dias/1820/09/18/pdfs/GGB-1820-82.pdf#page=4","Abrir facsímil")</f>
        <v>Abrir facsímil</v>
      </c>
      <c r="K1021" s="3" t="s">
        <v>23</v>
      </c>
    </row>
    <row r="1022" spans="1:11" ht="42" customHeight="1">
      <c r="A1022" s="2" t="s">
        <v>2405</v>
      </c>
      <c r="B1022" s="2" t="s">
        <v>2405</v>
      </c>
      <c r="C1022" s="2" t="s">
        <v>74</v>
      </c>
      <c r="D1022" s="2" t="s">
        <v>18</v>
      </c>
      <c r="E1022" s="5">
        <v>-28956</v>
      </c>
      <c r="F1022" s="3" t="s">
        <v>190</v>
      </c>
      <c r="G1022" s="3" t="s">
        <v>62</v>
      </c>
      <c r="H1022" s="2" t="s">
        <v>21</v>
      </c>
      <c r="I1022" s="2" t="s">
        <v>2450</v>
      </c>
      <c r="J1022" s="3" t="str">
        <f>HYPERLINK("https://www.boe.es/gazeta/dias/1820/09/19/pdfs/GGB-1820-83.pdf#page=3","Abrir facsímil")</f>
        <v>Abrir facsímil</v>
      </c>
      <c r="K1022" s="3" t="s">
        <v>23</v>
      </c>
    </row>
    <row r="1023" spans="1:11" ht="42" customHeight="1">
      <c r="A1023" s="2" t="s">
        <v>2405</v>
      </c>
      <c r="B1023" s="2" t="s">
        <v>2405</v>
      </c>
      <c r="C1023" s="2" t="s">
        <v>111</v>
      </c>
      <c r="D1023" s="2" t="s">
        <v>18</v>
      </c>
      <c r="E1023" s="5">
        <v>-28953</v>
      </c>
      <c r="F1023" s="3" t="s">
        <v>367</v>
      </c>
      <c r="G1023" s="3" t="s">
        <v>62</v>
      </c>
      <c r="H1023" s="2" t="s">
        <v>21</v>
      </c>
      <c r="I1023" s="2" t="s">
        <v>2451</v>
      </c>
      <c r="J1023" s="3" t="str">
        <f>HYPERLINK("https://www.boe.es/gazeta/dias/1820/09/22/pdfs/GGB-1820-86.pdf#page=3","Abrir facsímil")</f>
        <v>Abrir facsímil</v>
      </c>
      <c r="K1023" s="3" t="s">
        <v>23</v>
      </c>
    </row>
    <row r="1024" spans="1:11" ht="42" customHeight="1">
      <c r="A1024" s="2" t="s">
        <v>2405</v>
      </c>
      <c r="B1024" s="2" t="s">
        <v>2405</v>
      </c>
      <c r="C1024" s="2" t="s">
        <v>74</v>
      </c>
      <c r="D1024" s="2" t="s">
        <v>18</v>
      </c>
      <c r="E1024" s="5">
        <v>-28952</v>
      </c>
      <c r="F1024" s="3" t="s">
        <v>370</v>
      </c>
      <c r="G1024" s="3" t="s">
        <v>62</v>
      </c>
      <c r="H1024" s="2" t="s">
        <v>21</v>
      </c>
      <c r="I1024" s="2" t="s">
        <v>2452</v>
      </c>
      <c r="J1024" s="3" t="str">
        <f>HYPERLINK("https://www.boe.es/gazeta/dias/1820/09/23/pdfs/GGB-1820-87.pdf#page=3","Abrir facsímil")</f>
        <v>Abrir facsímil</v>
      </c>
      <c r="K1024" s="3" t="s">
        <v>23</v>
      </c>
    </row>
    <row r="1025" spans="1:11" ht="42" customHeight="1">
      <c r="A1025" s="2" t="s">
        <v>2405</v>
      </c>
      <c r="B1025" s="2" t="s">
        <v>2405</v>
      </c>
      <c r="C1025" s="2" t="s">
        <v>111</v>
      </c>
      <c r="D1025" s="2" t="s">
        <v>18</v>
      </c>
      <c r="E1025" s="5">
        <v>-28951</v>
      </c>
      <c r="F1025" s="3" t="s">
        <v>622</v>
      </c>
      <c r="G1025" s="3" t="s">
        <v>62</v>
      </c>
      <c r="H1025" s="2" t="s">
        <v>21</v>
      </c>
      <c r="I1025" s="2" t="s">
        <v>2453</v>
      </c>
      <c r="J1025" s="3" t="str">
        <f>HYPERLINK("https://www.boe.es/gazeta/dias/1820/09/24/pdfs/GGB-1820-88.pdf#page=3","Abrir facsímil")</f>
        <v>Abrir facsímil</v>
      </c>
      <c r="K1025" s="3" t="s">
        <v>23</v>
      </c>
    </row>
    <row r="1026" spans="1:11" ht="42" customHeight="1">
      <c r="A1026" s="2" t="s">
        <v>2405</v>
      </c>
      <c r="B1026" s="2" t="s">
        <v>2405</v>
      </c>
      <c r="C1026" s="2" t="s">
        <v>74</v>
      </c>
      <c r="D1026" s="2" t="s">
        <v>18</v>
      </c>
      <c r="E1026" s="5">
        <v>-28951</v>
      </c>
      <c r="F1026" s="3" t="s">
        <v>622</v>
      </c>
      <c r="G1026" s="3" t="s">
        <v>20</v>
      </c>
      <c r="H1026" s="2" t="s">
        <v>21</v>
      </c>
      <c r="I1026" s="2" t="s">
        <v>2454</v>
      </c>
      <c r="J1026" s="3" t="str">
        <f>HYPERLINK("https://www.boe.es/gazeta/dias/1820/09/24/pdfs/GGB-1820-88.pdf#page=4","Abrir facsímil")</f>
        <v>Abrir facsímil</v>
      </c>
      <c r="K1026" s="3" t="s">
        <v>23</v>
      </c>
    </row>
    <row r="1027" spans="1:11" ht="42" customHeight="1">
      <c r="A1027" s="2" t="s">
        <v>2405</v>
      </c>
      <c r="B1027" s="2" t="s">
        <v>2405</v>
      </c>
      <c r="C1027" s="2" t="s">
        <v>111</v>
      </c>
      <c r="D1027" s="2" t="s">
        <v>18</v>
      </c>
      <c r="E1027" s="5">
        <v>-28949</v>
      </c>
      <c r="F1027" s="3" t="s">
        <v>178</v>
      </c>
      <c r="G1027" s="3" t="s">
        <v>62</v>
      </c>
      <c r="H1027" s="2" t="s">
        <v>21</v>
      </c>
      <c r="I1027" s="2" t="s">
        <v>2455</v>
      </c>
      <c r="J1027" s="3" t="str">
        <f>HYPERLINK("https://www.boe.es/gazeta/dias/1820/09/26/pdfs/GGB-1820-90.pdf#page=3","Abrir facsímil")</f>
        <v>Abrir facsímil</v>
      </c>
      <c r="K1027" s="3" t="s">
        <v>23</v>
      </c>
    </row>
    <row r="1028" spans="1:11" ht="42" customHeight="1">
      <c r="A1028" s="2" t="s">
        <v>2405</v>
      </c>
      <c r="B1028" s="2" t="s">
        <v>2405</v>
      </c>
      <c r="C1028" s="2" t="s">
        <v>26</v>
      </c>
      <c r="D1028" s="2" t="s">
        <v>27</v>
      </c>
      <c r="E1028" s="5">
        <v>-28949</v>
      </c>
      <c r="F1028" s="3" t="s">
        <v>178</v>
      </c>
      <c r="G1028" s="3" t="s">
        <v>20</v>
      </c>
      <c r="H1028" s="2" t="s">
        <v>21</v>
      </c>
      <c r="I1028" s="2" t="s">
        <v>2456</v>
      </c>
      <c r="J1028" s="3" t="str">
        <f>HYPERLINK("https://www.boe.es/gazeta/dias/1820/09/26/pdfs/GGB-1820-90.pdf#page=4","Abrir facsímil")</f>
        <v>Abrir facsímil</v>
      </c>
      <c r="K1028" s="3" t="s">
        <v>23</v>
      </c>
    </row>
    <row r="1029" spans="1:11" ht="42" customHeight="1">
      <c r="A1029" s="2" t="s">
        <v>2405</v>
      </c>
      <c r="B1029" s="2" t="s">
        <v>2405</v>
      </c>
      <c r="C1029" s="2" t="s">
        <v>35</v>
      </c>
      <c r="D1029" s="2" t="s">
        <v>36</v>
      </c>
      <c r="E1029" s="5">
        <v>-28948</v>
      </c>
      <c r="F1029" s="3" t="s">
        <v>1069</v>
      </c>
      <c r="G1029" s="3" t="s">
        <v>62</v>
      </c>
      <c r="H1029" s="2" t="s">
        <v>21</v>
      </c>
      <c r="I1029" s="2" t="s">
        <v>2457</v>
      </c>
      <c r="J1029" s="3" t="str">
        <f>HYPERLINK("https://www.boe.es/gazeta/dias/1820/09/27/pdfs/GGB-1820-91.pdf#page=3","Abrir facsímil")</f>
        <v>Abrir facsímil</v>
      </c>
      <c r="K1029" s="3" t="s">
        <v>23</v>
      </c>
    </row>
    <row r="1030" spans="1:11" ht="42" customHeight="1">
      <c r="A1030" s="2" t="s">
        <v>2405</v>
      </c>
      <c r="B1030" s="2" t="s">
        <v>2405</v>
      </c>
      <c r="C1030" s="2" t="s">
        <v>17</v>
      </c>
      <c r="D1030" s="2" t="s">
        <v>18</v>
      </c>
      <c r="E1030" s="5">
        <v>-28947</v>
      </c>
      <c r="F1030" s="3" t="s">
        <v>127</v>
      </c>
      <c r="G1030" s="3" t="s">
        <v>43</v>
      </c>
      <c r="H1030" s="2" t="s">
        <v>21</v>
      </c>
      <c r="I1030" s="2" t="s">
        <v>2458</v>
      </c>
      <c r="J1030" s="3" t="str">
        <f>HYPERLINK("https://www.boe.es/gazeta/dias/1820/09/28/pdfs/GGB-1820-92.pdf#page=2","Abrir facsímil")</f>
        <v>Abrir facsímil</v>
      </c>
      <c r="K1030" s="3" t="s">
        <v>23</v>
      </c>
    </row>
    <row r="1031" spans="1:11" ht="42" customHeight="1">
      <c r="A1031" s="2" t="s">
        <v>2405</v>
      </c>
      <c r="B1031" s="2" t="s">
        <v>2405</v>
      </c>
      <c r="C1031" s="2" t="s">
        <v>293</v>
      </c>
      <c r="D1031" s="2" t="s">
        <v>18</v>
      </c>
      <c r="E1031" s="5">
        <v>-28947</v>
      </c>
      <c r="F1031" s="3" t="s">
        <v>127</v>
      </c>
      <c r="G1031" s="3" t="s">
        <v>62</v>
      </c>
      <c r="H1031" s="2" t="s">
        <v>21</v>
      </c>
      <c r="I1031" s="2" t="s">
        <v>2459</v>
      </c>
      <c r="J1031" s="3" t="str">
        <f>HYPERLINK("https://www.boe.es/gazeta/dias/1820/09/28/pdfs/GGB-1820-92.pdf#page=3","Abrir facsímil")</f>
        <v>Abrir facsímil</v>
      </c>
      <c r="K1031" s="3" t="s">
        <v>23</v>
      </c>
    </row>
    <row r="1032" spans="1:11" ht="42" customHeight="1">
      <c r="A1032" s="2" t="s">
        <v>2405</v>
      </c>
      <c r="B1032" s="2" t="s">
        <v>2405</v>
      </c>
      <c r="C1032" s="2" t="s">
        <v>74</v>
      </c>
      <c r="D1032" s="2" t="s">
        <v>18</v>
      </c>
      <c r="E1032" s="5">
        <v>-28947</v>
      </c>
      <c r="F1032" s="3" t="s">
        <v>127</v>
      </c>
      <c r="G1032" s="3" t="s">
        <v>20</v>
      </c>
      <c r="H1032" s="2" t="s">
        <v>21</v>
      </c>
      <c r="I1032" s="2" t="s">
        <v>2460</v>
      </c>
      <c r="J1032" s="3" t="str">
        <f>HYPERLINK("https://www.boe.es/gazeta/dias/1820/09/28/pdfs/GGB-1820-92.pdf#page=4","Abrir facsímil")</f>
        <v>Abrir facsímil</v>
      </c>
      <c r="K1032" s="3" t="s">
        <v>23</v>
      </c>
    </row>
    <row r="1033" spans="1:11" ht="42" customHeight="1">
      <c r="A1033" s="2" t="s">
        <v>2405</v>
      </c>
      <c r="B1033" s="2" t="s">
        <v>2405</v>
      </c>
      <c r="C1033" s="2" t="s">
        <v>111</v>
      </c>
      <c r="D1033" s="2" t="s">
        <v>18</v>
      </c>
      <c r="E1033" s="5">
        <v>-28945</v>
      </c>
      <c r="F1033" s="3" t="s">
        <v>99</v>
      </c>
      <c r="G1033" s="3" t="s">
        <v>62</v>
      </c>
      <c r="H1033" s="2" t="s">
        <v>21</v>
      </c>
      <c r="I1033" s="2" t="s">
        <v>2461</v>
      </c>
      <c r="J1033" s="3" t="str">
        <f>HYPERLINK("https://www.boe.es/gazeta/dias/1820/09/30/pdfs/GGB-1820-94.pdf#page=3","Abrir facsímil")</f>
        <v>Abrir facsímil</v>
      </c>
      <c r="K1033" s="3" t="s">
        <v>23</v>
      </c>
    </row>
    <row r="1034" spans="1:11" ht="42" customHeight="1">
      <c r="A1034" s="2" t="s">
        <v>2405</v>
      </c>
      <c r="B1034" s="2" t="s">
        <v>2405</v>
      </c>
      <c r="C1034" s="2" t="s">
        <v>35</v>
      </c>
      <c r="D1034" s="2" t="s">
        <v>36</v>
      </c>
      <c r="E1034" s="5">
        <v>-28940</v>
      </c>
      <c r="F1034" s="3" t="s">
        <v>141</v>
      </c>
      <c r="G1034" s="3" t="s">
        <v>43</v>
      </c>
      <c r="H1034" s="2" t="s">
        <v>21</v>
      </c>
      <c r="I1034" s="2" t="s">
        <v>2462</v>
      </c>
      <c r="J1034" s="3" t="str">
        <f>HYPERLINK("https://www.boe.es/gazeta/dias/1820/10/05/pdfs/GGB-1820-99.pdf#page=2","Abrir facsímil")</f>
        <v>Abrir facsímil</v>
      </c>
      <c r="K1034" s="3" t="s">
        <v>23</v>
      </c>
    </row>
    <row r="1035" spans="1:11" ht="42" customHeight="1">
      <c r="A1035" s="2" t="s">
        <v>2405</v>
      </c>
      <c r="B1035" s="2" t="s">
        <v>2405</v>
      </c>
      <c r="C1035" s="2" t="s">
        <v>35</v>
      </c>
      <c r="D1035" s="2" t="s">
        <v>36</v>
      </c>
      <c r="E1035" s="5">
        <v>-28940</v>
      </c>
      <c r="F1035" s="3" t="s">
        <v>141</v>
      </c>
      <c r="G1035" s="3" t="s">
        <v>62</v>
      </c>
      <c r="H1035" s="2" t="s">
        <v>21</v>
      </c>
      <c r="I1035" s="2" t="s">
        <v>2463</v>
      </c>
      <c r="J1035" s="3" t="str">
        <f>HYPERLINK("https://www.boe.es/gazeta/dias/1820/10/05/pdfs/GGB-1820-99.pdf#page=3","Abrir facsímil")</f>
        <v>Abrir facsímil</v>
      </c>
      <c r="K1035" s="3" t="s">
        <v>23</v>
      </c>
    </row>
    <row r="1036" spans="1:11" ht="42" customHeight="1">
      <c r="A1036" s="2" t="s">
        <v>2405</v>
      </c>
      <c r="B1036" s="2" t="s">
        <v>2405</v>
      </c>
      <c r="C1036" s="2" t="s">
        <v>35</v>
      </c>
      <c r="D1036" s="2" t="s">
        <v>36</v>
      </c>
      <c r="E1036" s="5">
        <v>-28935</v>
      </c>
      <c r="F1036" s="3" t="s">
        <v>2464</v>
      </c>
      <c r="G1036" s="3" t="s">
        <v>62</v>
      </c>
      <c r="H1036" s="2" t="s">
        <v>21</v>
      </c>
      <c r="I1036" s="2" t="s">
        <v>2465</v>
      </c>
      <c r="J1036" s="3" t="str">
        <f>HYPERLINK("https://www.boe.es/gazeta/dias/1820/10/10/pdfs/GGB-1820-104.pdf#page=3","Abrir facsímil")</f>
        <v>Abrir facsímil</v>
      </c>
      <c r="K1036" s="3" t="s">
        <v>23</v>
      </c>
    </row>
    <row r="1037" spans="1:11" ht="42" customHeight="1">
      <c r="A1037" s="2" t="s">
        <v>2466</v>
      </c>
      <c r="B1037" s="2" t="s">
        <v>2467</v>
      </c>
      <c r="C1037" s="2" t="s">
        <v>35</v>
      </c>
      <c r="D1037" s="2" t="s">
        <v>36</v>
      </c>
      <c r="E1037" s="5">
        <v>-28934</v>
      </c>
      <c r="F1037" s="3" t="s">
        <v>163</v>
      </c>
      <c r="G1037" s="3" t="s">
        <v>20</v>
      </c>
      <c r="H1037" s="2" t="s">
        <v>21</v>
      </c>
      <c r="I1037" s="2" t="s">
        <v>2468</v>
      </c>
      <c r="J1037" s="3" t="str">
        <f>HYPERLINK("https://www.boe.es/gazeta/dias/1820/10/11/pdfs/GGB-1820-105.pdf#page=4","Abrir facsímil")</f>
        <v>Abrir facsímil</v>
      </c>
      <c r="K1037" s="3" t="s">
        <v>23</v>
      </c>
    </row>
    <row r="1038" spans="1:11" ht="42" customHeight="1">
      <c r="A1038" s="2" t="s">
        <v>2469</v>
      </c>
      <c r="B1038" s="2" t="s">
        <v>2469</v>
      </c>
      <c r="C1038" s="2" t="s">
        <v>17</v>
      </c>
      <c r="D1038" s="2" t="s">
        <v>18</v>
      </c>
      <c r="E1038" s="5">
        <v>-29023</v>
      </c>
      <c r="F1038" s="3" t="s">
        <v>1662</v>
      </c>
      <c r="G1038" s="3" t="s">
        <v>1663</v>
      </c>
      <c r="H1038" s="2" t="s">
        <v>21</v>
      </c>
      <c r="I1038" s="2" t="s">
        <v>2470</v>
      </c>
      <c r="J1038" s="3" t="str">
        <f>HYPERLINK("https://www.boe.es/gazeta/dias/1820/07/14/pdfs/GGB-1820-16.pdf#page=3","Abrir facsímil")</f>
        <v>Abrir facsímil</v>
      </c>
      <c r="K1038" s="3" t="s">
        <v>23</v>
      </c>
    </row>
    <row r="1039" spans="1:11" ht="42" customHeight="1">
      <c r="A1039" s="2" t="s">
        <v>2471</v>
      </c>
      <c r="B1039" s="2" t="s">
        <v>2471</v>
      </c>
      <c r="C1039" s="2" t="s">
        <v>35</v>
      </c>
      <c r="D1039" s="2" t="s">
        <v>36</v>
      </c>
      <c r="E1039" s="5">
        <v>-29015</v>
      </c>
      <c r="F1039" s="3" t="s">
        <v>359</v>
      </c>
      <c r="G1039" s="3" t="s">
        <v>62</v>
      </c>
      <c r="H1039" s="2" t="s">
        <v>21</v>
      </c>
      <c r="I1039" s="2" t="s">
        <v>2472</v>
      </c>
      <c r="J1039" s="3" t="str">
        <f>HYPERLINK("https://www.boe.es/gazeta/dias/1820/07/22/pdfs/GGB-1820-24.pdf#page=3","Abrir facsímil")</f>
        <v>Abrir facsímil</v>
      </c>
      <c r="K1039" s="3" t="s">
        <v>23</v>
      </c>
    </row>
    <row r="1040" spans="1:11" ht="42" customHeight="1">
      <c r="A1040" s="2" t="s">
        <v>2471</v>
      </c>
      <c r="B1040" s="2" t="s">
        <v>2471</v>
      </c>
      <c r="C1040" s="2" t="s">
        <v>107</v>
      </c>
      <c r="D1040" s="2" t="s">
        <v>18</v>
      </c>
      <c r="E1040" s="5">
        <v>-29014</v>
      </c>
      <c r="F1040" s="3" t="s">
        <v>70</v>
      </c>
      <c r="G1040" s="3" t="s">
        <v>62</v>
      </c>
      <c r="H1040" s="2" t="s">
        <v>21</v>
      </c>
      <c r="I1040" s="2" t="s">
        <v>2473</v>
      </c>
      <c r="J1040" s="3" t="str">
        <f>HYPERLINK("https://www.boe.es/gazeta/dias/1820/07/23/pdfs/GGB-1820-25.pdf#page=3","Abrir facsímil")</f>
        <v>Abrir facsímil</v>
      </c>
      <c r="K1040" s="3" t="s">
        <v>23</v>
      </c>
    </row>
    <row r="1041" spans="1:11" ht="42" customHeight="1">
      <c r="A1041" s="2" t="s">
        <v>2471</v>
      </c>
      <c r="B1041" s="2" t="s">
        <v>2471</v>
      </c>
      <c r="C1041" s="2" t="s">
        <v>35</v>
      </c>
      <c r="D1041" s="2" t="s">
        <v>36</v>
      </c>
      <c r="E1041" s="5">
        <v>-29012</v>
      </c>
      <c r="F1041" s="3" t="s">
        <v>72</v>
      </c>
      <c r="G1041" s="3" t="s">
        <v>661</v>
      </c>
      <c r="H1041" s="2" t="s">
        <v>21</v>
      </c>
      <c r="I1041" s="2" t="s">
        <v>2474</v>
      </c>
      <c r="J1041" s="3" t="str">
        <f>HYPERLINK("https://www.boe.es/gazeta/dias/1820/07/25/pdfs/GGB-1820-27.pdf#page=2","Abrir facsímil")</f>
        <v>Abrir facsímil</v>
      </c>
      <c r="K1041" s="3" t="s">
        <v>23</v>
      </c>
    </row>
    <row r="1042" spans="1:11" ht="42" customHeight="1">
      <c r="A1042" s="2" t="s">
        <v>2471</v>
      </c>
      <c r="B1042" s="2" t="s">
        <v>2471</v>
      </c>
      <c r="C1042" s="2" t="s">
        <v>17</v>
      </c>
      <c r="D1042" s="2" t="s">
        <v>18</v>
      </c>
      <c r="E1042" s="5">
        <v>-29006</v>
      </c>
      <c r="F1042" s="3" t="s">
        <v>609</v>
      </c>
      <c r="G1042" s="3" t="s">
        <v>62</v>
      </c>
      <c r="H1042" s="2" t="s">
        <v>21</v>
      </c>
      <c r="I1042" s="2" t="s">
        <v>2475</v>
      </c>
      <c r="J1042" s="3" t="str">
        <f>HYPERLINK("https://www.boe.es/gazeta/dias/1820/07/31/pdfs/GGB-1820-33.pdf#page=3","Abrir facsímil")</f>
        <v>Abrir facsímil</v>
      </c>
      <c r="K1042" s="3" t="s">
        <v>23</v>
      </c>
    </row>
    <row r="1043" spans="1:11" ht="42" customHeight="1">
      <c r="A1043" s="2" t="s">
        <v>2471</v>
      </c>
      <c r="B1043" s="2" t="s">
        <v>2471</v>
      </c>
      <c r="C1043" s="2" t="s">
        <v>26</v>
      </c>
      <c r="D1043" s="2" t="s">
        <v>27</v>
      </c>
      <c r="E1043" s="5">
        <v>-28999</v>
      </c>
      <c r="F1043" s="3" t="s">
        <v>342</v>
      </c>
      <c r="G1043" s="3" t="s">
        <v>62</v>
      </c>
      <c r="H1043" s="2" t="s">
        <v>21</v>
      </c>
      <c r="I1043" s="2" t="s">
        <v>2476</v>
      </c>
      <c r="J1043" s="3" t="str">
        <f>HYPERLINK("https://www.boe.es/gazeta/dias/1820/08/07/pdfs/GGB-1820-40.pdf#page=3","Abrir facsímil")</f>
        <v>Abrir facsímil</v>
      </c>
      <c r="K1043" s="3" t="s">
        <v>23</v>
      </c>
    </row>
    <row r="1044" spans="1:11" ht="42" customHeight="1">
      <c r="A1044" s="2" t="s">
        <v>2471</v>
      </c>
      <c r="B1044" s="2" t="s">
        <v>2471</v>
      </c>
      <c r="C1044" s="2" t="s">
        <v>74</v>
      </c>
      <c r="D1044" s="2" t="s">
        <v>18</v>
      </c>
      <c r="E1044" s="5">
        <v>-28997</v>
      </c>
      <c r="F1044" s="3" t="s">
        <v>1471</v>
      </c>
      <c r="G1044" s="3" t="s">
        <v>43</v>
      </c>
      <c r="H1044" s="2" t="s">
        <v>21</v>
      </c>
      <c r="I1044" s="2" t="s">
        <v>2477</v>
      </c>
      <c r="J1044" s="3" t="str">
        <f>HYPERLINK("https://www.boe.es/gazeta/dias/1820/08/09/pdfs/GGB-1820-42.pdf#page=2","Abrir facsímil")</f>
        <v>Abrir facsímil</v>
      </c>
      <c r="K1044" s="3" t="s">
        <v>23</v>
      </c>
    </row>
    <row r="1045" spans="1:11" ht="42" customHeight="1">
      <c r="A1045" s="2" t="s">
        <v>2471</v>
      </c>
      <c r="B1045" s="2" t="s">
        <v>2471</v>
      </c>
      <c r="C1045" s="2" t="s">
        <v>74</v>
      </c>
      <c r="D1045" s="2" t="s">
        <v>18</v>
      </c>
      <c r="E1045" s="5">
        <v>-28984</v>
      </c>
      <c r="F1045" s="3" t="s">
        <v>520</v>
      </c>
      <c r="G1045" s="3" t="s">
        <v>62</v>
      </c>
      <c r="H1045" s="2" t="s">
        <v>21</v>
      </c>
      <c r="I1045" s="2" t="s">
        <v>2478</v>
      </c>
      <c r="J1045" s="3" t="str">
        <f>HYPERLINK("https://www.boe.es/gazeta/dias/1820/08/22/pdfs/GGB-1820-55.pdf#page=3","Abrir facsímil")</f>
        <v>Abrir facsímil</v>
      </c>
      <c r="K1045" s="3" t="s">
        <v>23</v>
      </c>
    </row>
    <row r="1046" spans="1:11" ht="42" customHeight="1">
      <c r="A1046" s="2" t="s">
        <v>2471</v>
      </c>
      <c r="B1046" s="2" t="s">
        <v>2471</v>
      </c>
      <c r="C1046" s="2" t="s">
        <v>26</v>
      </c>
      <c r="D1046" s="2" t="s">
        <v>27</v>
      </c>
      <c r="E1046" s="5">
        <v>-28975</v>
      </c>
      <c r="F1046" s="3" t="s">
        <v>182</v>
      </c>
      <c r="G1046" s="3" t="s">
        <v>62</v>
      </c>
      <c r="H1046" s="2" t="s">
        <v>21</v>
      </c>
      <c r="I1046" s="2" t="s">
        <v>2479</v>
      </c>
      <c r="J1046" s="3" t="str">
        <f>HYPERLINK("https://www.boe.es/gazeta/dias/1820/08/31/pdfs/GGB-1820-64.pdf#page=3","Abrir facsímil")</f>
        <v>Abrir facsímil</v>
      </c>
      <c r="K1046" s="3" t="s">
        <v>23</v>
      </c>
    </row>
    <row r="1047" spans="1:11" ht="42" customHeight="1">
      <c r="A1047" s="2" t="s">
        <v>2471</v>
      </c>
      <c r="B1047" s="2" t="s">
        <v>2471</v>
      </c>
      <c r="C1047" s="2" t="s">
        <v>17</v>
      </c>
      <c r="D1047" s="2" t="s">
        <v>18</v>
      </c>
      <c r="E1047" s="5">
        <v>-28973</v>
      </c>
      <c r="F1047" s="3" t="s">
        <v>151</v>
      </c>
      <c r="G1047" s="3" t="s">
        <v>43</v>
      </c>
      <c r="H1047" s="2" t="s">
        <v>21</v>
      </c>
      <c r="I1047" s="2" t="s">
        <v>2480</v>
      </c>
      <c r="J1047" s="3" t="str">
        <f>HYPERLINK("https://www.boe.es/gazeta/dias/1820/09/02/pdfs/GGB-1820-66.pdf#page=2","Abrir facsímil")</f>
        <v>Abrir facsímil</v>
      </c>
      <c r="K1047" s="3" t="s">
        <v>23</v>
      </c>
    </row>
    <row r="1048" spans="1:11" ht="42" customHeight="1">
      <c r="A1048" s="2" t="s">
        <v>2471</v>
      </c>
      <c r="B1048" s="2" t="s">
        <v>2471</v>
      </c>
      <c r="C1048" s="2" t="s">
        <v>35</v>
      </c>
      <c r="D1048" s="2" t="s">
        <v>36</v>
      </c>
      <c r="E1048" s="5">
        <v>-28971</v>
      </c>
      <c r="F1048" s="3" t="s">
        <v>691</v>
      </c>
      <c r="G1048" s="3" t="s">
        <v>62</v>
      </c>
      <c r="H1048" s="2" t="s">
        <v>21</v>
      </c>
      <c r="I1048" s="2" t="s">
        <v>2481</v>
      </c>
      <c r="J1048" s="3" t="str">
        <f>HYPERLINK("https://www.boe.es/gazeta/dias/1820/09/04/pdfs/GGB-1820-68.pdf#page=3","Abrir facsímil")</f>
        <v>Abrir facsímil</v>
      </c>
      <c r="K1048" s="3" t="s">
        <v>23</v>
      </c>
    </row>
    <row r="1049" spans="1:11" ht="42" customHeight="1">
      <c r="A1049" s="2" t="s">
        <v>2471</v>
      </c>
      <c r="B1049" s="2" t="s">
        <v>2471</v>
      </c>
      <c r="C1049" s="2" t="s">
        <v>293</v>
      </c>
      <c r="D1049" s="2" t="s">
        <v>18</v>
      </c>
      <c r="E1049" s="5">
        <v>-28968</v>
      </c>
      <c r="F1049" s="3" t="s">
        <v>66</v>
      </c>
      <c r="G1049" s="3" t="s">
        <v>403</v>
      </c>
      <c r="H1049" s="2" t="s">
        <v>21</v>
      </c>
      <c r="I1049" s="2" t="s">
        <v>2482</v>
      </c>
      <c r="J1049" s="3" t="str">
        <f>HYPERLINK("https://www.boe.es/gazeta/dias/1820/09/07/pdfs/GGB-1820-71.pdf#page=4","Abrir facsímil")</f>
        <v>Abrir facsímil</v>
      </c>
      <c r="K1049" s="3" t="s">
        <v>23</v>
      </c>
    </row>
    <row r="1050" spans="1:11" ht="42" customHeight="1">
      <c r="A1050" s="2" t="s">
        <v>2471</v>
      </c>
      <c r="B1050" s="2" t="s">
        <v>2471</v>
      </c>
      <c r="C1050" s="2" t="s">
        <v>1808</v>
      </c>
      <c r="D1050" s="2" t="s">
        <v>36</v>
      </c>
      <c r="E1050" s="5">
        <v>-28930</v>
      </c>
      <c r="F1050" s="3" t="s">
        <v>372</v>
      </c>
      <c r="G1050" s="3" t="s">
        <v>43</v>
      </c>
      <c r="H1050" s="2" t="s">
        <v>21</v>
      </c>
      <c r="I1050" s="2" t="s">
        <v>2483</v>
      </c>
      <c r="J1050" s="3" t="str">
        <f>HYPERLINK("https://www.boe.es/gazeta/dias/1820/10/15/pdfs/GGB-1820-109.pdf#page=2","Abrir facsímil")</f>
        <v>Abrir facsímil</v>
      </c>
      <c r="K1050" s="3" t="s">
        <v>23</v>
      </c>
    </row>
    <row r="1051" spans="1:11" ht="42" customHeight="1">
      <c r="A1051" s="2" t="s">
        <v>2471</v>
      </c>
      <c r="B1051" s="2" t="s">
        <v>2471</v>
      </c>
      <c r="C1051" s="2" t="s">
        <v>35</v>
      </c>
      <c r="D1051" s="2" t="s">
        <v>36</v>
      </c>
      <c r="E1051" s="5">
        <v>-28921</v>
      </c>
      <c r="F1051" s="3" t="s">
        <v>738</v>
      </c>
      <c r="G1051" s="3" t="s">
        <v>20</v>
      </c>
      <c r="H1051" s="2" t="s">
        <v>21</v>
      </c>
      <c r="I1051" s="2" t="s">
        <v>2484</v>
      </c>
      <c r="J1051" s="3" t="str">
        <f>HYPERLINK("https://www.boe.es/gazeta/dias/1820/10/24/pdfs/GGB-1820-118.pdf#page=4","Abrir facsímil")</f>
        <v>Abrir facsímil</v>
      </c>
      <c r="K1051" s="3" t="s">
        <v>23</v>
      </c>
    </row>
    <row r="1052" spans="1:11" ht="42" customHeight="1">
      <c r="A1052" s="2" t="s">
        <v>2471</v>
      </c>
      <c r="B1052" s="2" t="s">
        <v>2471</v>
      </c>
      <c r="C1052" s="2" t="s">
        <v>47</v>
      </c>
      <c r="D1052" s="2" t="s">
        <v>18</v>
      </c>
      <c r="E1052" s="5">
        <v>-28918</v>
      </c>
      <c r="F1052" s="3" t="s">
        <v>160</v>
      </c>
      <c r="G1052" s="3" t="s">
        <v>62</v>
      </c>
      <c r="H1052" s="2" t="s">
        <v>21</v>
      </c>
      <c r="I1052" s="2" t="s">
        <v>2485</v>
      </c>
      <c r="J1052" s="3" t="str">
        <f>HYPERLINK("https://www.boe.es/gazeta/dias/1820/10/27/pdfs/GGB-1820-121.pdf#page=3","Abrir facsímil")</f>
        <v>Abrir facsímil</v>
      </c>
      <c r="K1052" s="3" t="s">
        <v>23</v>
      </c>
    </row>
    <row r="1053" spans="1:11" ht="42" customHeight="1">
      <c r="A1053" s="2" t="s">
        <v>2471</v>
      </c>
      <c r="B1053" s="2" t="s">
        <v>2471</v>
      </c>
      <c r="C1053" s="2" t="s">
        <v>17</v>
      </c>
      <c r="D1053" s="2" t="s">
        <v>18</v>
      </c>
      <c r="E1053" s="5">
        <v>-28912</v>
      </c>
      <c r="F1053" s="3" t="s">
        <v>1329</v>
      </c>
      <c r="G1053" s="3" t="s">
        <v>20</v>
      </c>
      <c r="H1053" s="2" t="s">
        <v>21</v>
      </c>
      <c r="I1053" s="2" t="s">
        <v>2486</v>
      </c>
      <c r="J1053" s="3" t="str">
        <f>HYPERLINK("https://www.boe.es/gazeta/dias/1820/11/02/pdfs/GGB-1820-127.pdf#page=4","Abrir facsímil")</f>
        <v>Abrir facsímil</v>
      </c>
      <c r="K1053" s="3" t="s">
        <v>23</v>
      </c>
    </row>
    <row r="1054" spans="1:11" ht="42" customHeight="1">
      <c r="A1054" s="2" t="s">
        <v>2487</v>
      </c>
      <c r="B1054" s="2" t="s">
        <v>2488</v>
      </c>
      <c r="C1054" s="2" t="s">
        <v>26</v>
      </c>
      <c r="D1054" s="2" t="s">
        <v>27</v>
      </c>
      <c r="E1054" s="5">
        <v>-29040</v>
      </c>
      <c r="F1054" s="3" t="s">
        <v>1125</v>
      </c>
      <c r="G1054" s="3" t="s">
        <v>2489</v>
      </c>
      <c r="H1054" s="2" t="s">
        <v>21</v>
      </c>
      <c r="I1054" s="2" t="s">
        <v>2490</v>
      </c>
      <c r="J1054" s="3" t="str">
        <f>HYPERLINK("https://www.boe.es/gazeta/dias/1820/06/27/pdfs/GMD-1820-99.pdf#page=9","Abrir facsímil")</f>
        <v>Abrir facsímil</v>
      </c>
      <c r="K1054" s="3" t="s">
        <v>23</v>
      </c>
    </row>
    <row r="1055" spans="1:11" ht="42" customHeight="1">
      <c r="A1055" s="2" t="s">
        <v>2491</v>
      </c>
      <c r="B1055" s="2" t="s">
        <v>2492</v>
      </c>
      <c r="C1055" s="2" t="s">
        <v>74</v>
      </c>
      <c r="D1055" s="2" t="s">
        <v>18</v>
      </c>
      <c r="E1055" s="5">
        <v>-28936</v>
      </c>
      <c r="F1055" s="3" t="s">
        <v>167</v>
      </c>
      <c r="G1055" s="3" t="s">
        <v>62</v>
      </c>
      <c r="H1055" s="2" t="s">
        <v>21</v>
      </c>
      <c r="I1055" s="2" t="s">
        <v>2493</v>
      </c>
      <c r="J1055" s="3" t="str">
        <f>HYPERLINK("https://www.boe.es/gazeta/dias/1820/10/09/pdfs/GGB-1820-103.pdf#page=3","Abrir facsímil")</f>
        <v>Abrir facsímil</v>
      </c>
      <c r="K1055" s="3" t="s">
        <v>23</v>
      </c>
    </row>
    <row r="1056" spans="1:11" ht="42" customHeight="1">
      <c r="A1056" s="2" t="s">
        <v>2494</v>
      </c>
      <c r="B1056" s="2" t="s">
        <v>2495</v>
      </c>
      <c r="C1056" s="2" t="s">
        <v>17</v>
      </c>
      <c r="D1056" s="2" t="s">
        <v>18</v>
      </c>
      <c r="E1056" s="5">
        <v>-29110</v>
      </c>
      <c r="F1056" s="3" t="s">
        <v>272</v>
      </c>
      <c r="G1056" s="3" t="s">
        <v>295</v>
      </c>
      <c r="H1056" s="2" t="s">
        <v>21</v>
      </c>
      <c r="I1056" s="2" t="s">
        <v>2496</v>
      </c>
      <c r="J1056" s="3" t="str">
        <f>HYPERLINK("https://www.boe.es/gazeta/dias/1820/04/18/pdfs/GMD-1820-67.pdf#page=8","Abrir facsímil")</f>
        <v>Abrir facsímil</v>
      </c>
      <c r="K1056" s="3" t="s">
        <v>23</v>
      </c>
    </row>
    <row r="1057" spans="1:11" ht="42" customHeight="1">
      <c r="A1057" s="2" t="s">
        <v>2497</v>
      </c>
      <c r="B1057" s="2" t="s">
        <v>2497</v>
      </c>
      <c r="C1057" s="2" t="s">
        <v>26</v>
      </c>
      <c r="D1057" s="2" t="s">
        <v>27</v>
      </c>
      <c r="E1057" s="5">
        <v>-28870</v>
      </c>
      <c r="F1057" s="3" t="s">
        <v>1014</v>
      </c>
      <c r="G1057" s="3" t="s">
        <v>128</v>
      </c>
      <c r="H1057" s="2" t="s">
        <v>21</v>
      </c>
      <c r="I1057" s="2" t="s">
        <v>2498</v>
      </c>
      <c r="J1057" s="3" t="str">
        <f>HYPERLINK("https://www.boe.es/gazeta/dias/1820/12/14/pdfs/GGB-1820-171.pdf#page=1","Abrir facsímil")</f>
        <v>Abrir facsímil</v>
      </c>
      <c r="K1057" s="3" t="s">
        <v>23</v>
      </c>
    </row>
    <row r="1058" spans="1:11" ht="42" customHeight="1">
      <c r="A1058" s="2" t="s">
        <v>2499</v>
      </c>
      <c r="B1058" s="2" t="s">
        <v>2500</v>
      </c>
      <c r="C1058" s="2" t="s">
        <v>111</v>
      </c>
      <c r="D1058" s="2" t="s">
        <v>18</v>
      </c>
      <c r="E1058" s="5">
        <v>-29122</v>
      </c>
      <c r="F1058" s="3" t="s">
        <v>844</v>
      </c>
      <c r="G1058" s="3" t="s">
        <v>845</v>
      </c>
      <c r="H1058" s="2" t="s">
        <v>21</v>
      </c>
      <c r="I1058" s="2" t="s">
        <v>2501</v>
      </c>
      <c r="J1058" s="3" t="str">
        <f>HYPERLINK("https://www.boe.es/gazeta/dias/1820/04/06/pdfs/GMD-1820-62.pdf#page=8","Abrir facsímil")</f>
        <v>Abrir facsímil</v>
      </c>
      <c r="K1058" s="3" t="s">
        <v>23</v>
      </c>
    </row>
    <row r="1059" spans="1:11" ht="42" customHeight="1">
      <c r="A1059" s="2" t="s">
        <v>2502</v>
      </c>
      <c r="B1059" s="2" t="s">
        <v>2503</v>
      </c>
      <c r="C1059" s="2" t="s">
        <v>26</v>
      </c>
      <c r="D1059" s="2" t="s">
        <v>27</v>
      </c>
      <c r="E1059" s="5">
        <v>-29169</v>
      </c>
      <c r="F1059" s="3" t="s">
        <v>962</v>
      </c>
      <c r="G1059" s="3" t="s">
        <v>256</v>
      </c>
      <c r="H1059" s="2" t="s">
        <v>21</v>
      </c>
      <c r="I1059" s="2" t="s">
        <v>2504</v>
      </c>
      <c r="J1059" s="3" t="str">
        <f>HYPERLINK("https://www.boe.es/gazeta/dias/1820/02/19/pdfs/GMD-1820-22.pdf#page=5","Abrir facsímil")</f>
        <v>Abrir facsímil</v>
      </c>
      <c r="K1059" s="3" t="s">
        <v>23</v>
      </c>
    </row>
    <row r="1060" spans="1:11" ht="42" customHeight="1">
      <c r="A1060" s="2" t="s">
        <v>2505</v>
      </c>
      <c r="B1060" s="2" t="s">
        <v>2506</v>
      </c>
      <c r="C1060" s="2" t="s">
        <v>107</v>
      </c>
      <c r="D1060" s="2" t="s">
        <v>18</v>
      </c>
      <c r="E1060" s="5">
        <v>-28930</v>
      </c>
      <c r="F1060" s="3" t="s">
        <v>372</v>
      </c>
      <c r="G1060" s="3" t="s">
        <v>20</v>
      </c>
      <c r="H1060" s="2" t="s">
        <v>21</v>
      </c>
      <c r="I1060" s="2" t="s">
        <v>2507</v>
      </c>
      <c r="J1060" s="3" t="str">
        <f>HYPERLINK("https://www.boe.es/gazeta/dias/1820/10/15/pdfs/GGB-1820-109.pdf#page=4","Abrir facsímil")</f>
        <v>Abrir facsímil</v>
      </c>
      <c r="K1060" s="3" t="s">
        <v>23</v>
      </c>
    </row>
    <row r="1061" spans="1:11" ht="42" customHeight="1">
      <c r="A1061" s="2" t="s">
        <v>2508</v>
      </c>
      <c r="B1061" s="2" t="s">
        <v>2509</v>
      </c>
      <c r="C1061" s="2" t="s">
        <v>293</v>
      </c>
      <c r="D1061" s="2" t="s">
        <v>18</v>
      </c>
      <c r="E1061" s="5">
        <v>-28948</v>
      </c>
      <c r="F1061" s="3" t="s">
        <v>1069</v>
      </c>
      <c r="G1061" s="3" t="s">
        <v>43</v>
      </c>
      <c r="H1061" s="2" t="s">
        <v>21</v>
      </c>
      <c r="I1061" s="2" t="s">
        <v>2510</v>
      </c>
      <c r="J1061" s="3" t="str">
        <f>HYPERLINK("https://www.boe.es/gazeta/dias/1820/09/27/pdfs/GGB-1820-91.pdf#page=2","Abrir facsímil")</f>
        <v>Abrir facsímil</v>
      </c>
      <c r="K1061" s="3" t="s">
        <v>23</v>
      </c>
    </row>
    <row r="1062" spans="1:11" ht="42" customHeight="1">
      <c r="A1062" s="2" t="s">
        <v>2511</v>
      </c>
      <c r="B1062" s="2" t="s">
        <v>2512</v>
      </c>
      <c r="C1062" s="2" t="s">
        <v>17</v>
      </c>
      <c r="D1062" s="2" t="s">
        <v>18</v>
      </c>
      <c r="E1062" s="5">
        <v>-28881</v>
      </c>
      <c r="F1062" s="3" t="s">
        <v>57</v>
      </c>
      <c r="G1062" s="3" t="s">
        <v>20</v>
      </c>
      <c r="H1062" s="2" t="s">
        <v>21</v>
      </c>
      <c r="I1062" s="2" t="s">
        <v>2513</v>
      </c>
      <c r="J1062" s="3" t="str">
        <f>HYPERLINK("https://www.boe.es/gazeta/dias/1820/12/03/pdfs/GGB-1820-160.pdf#page=4","Abrir facsímil")</f>
        <v>Abrir facsímil</v>
      </c>
      <c r="K1062" s="3" t="s">
        <v>23</v>
      </c>
    </row>
    <row r="1063" spans="1:11" ht="42" customHeight="1">
      <c r="A1063" s="2" t="s">
        <v>2514</v>
      </c>
      <c r="B1063" s="2" t="s">
        <v>2515</v>
      </c>
      <c r="C1063" s="2" t="s">
        <v>26</v>
      </c>
      <c r="D1063" s="2" t="s">
        <v>27</v>
      </c>
      <c r="E1063" s="5">
        <v>-29164</v>
      </c>
      <c r="F1063" s="3" t="s">
        <v>2516</v>
      </c>
      <c r="G1063" s="3" t="s">
        <v>295</v>
      </c>
      <c r="H1063" s="2" t="s">
        <v>21</v>
      </c>
      <c r="I1063" s="2" t="s">
        <v>2517</v>
      </c>
      <c r="J1063" s="3" t="str">
        <f>HYPERLINK("https://www.boe.es/gazeta/dias/1820/02/24/pdfs/GMD-1820-24.pdf#page=8","Abrir facsímil")</f>
        <v>Abrir facsímil</v>
      </c>
      <c r="K1063" s="3" t="s">
        <v>23</v>
      </c>
    </row>
    <row r="1064" spans="1:11" ht="42" customHeight="1">
      <c r="A1064" s="2" t="s">
        <v>2514</v>
      </c>
      <c r="B1064" s="2" t="s">
        <v>2515</v>
      </c>
      <c r="C1064" s="2" t="s">
        <v>26</v>
      </c>
      <c r="D1064" s="2" t="s">
        <v>27</v>
      </c>
      <c r="E1064" s="5">
        <v>-28927</v>
      </c>
      <c r="F1064" s="3" t="s">
        <v>345</v>
      </c>
      <c r="G1064" s="3" t="s">
        <v>20</v>
      </c>
      <c r="H1064" s="2" t="s">
        <v>21</v>
      </c>
      <c r="I1064" s="2" t="s">
        <v>2518</v>
      </c>
      <c r="J1064" s="3" t="str">
        <f>HYPERLINK("https://www.boe.es/gazeta/dias/1820/10/18/pdfs/GGB-1820-112.pdf#page=4","Abrir facsímil")</f>
        <v>Abrir facsímil</v>
      </c>
      <c r="K1064" s="3" t="s">
        <v>23</v>
      </c>
    </row>
    <row r="1065" spans="1:11" ht="42" customHeight="1">
      <c r="A1065" s="2" t="s">
        <v>2519</v>
      </c>
      <c r="B1065" s="2" t="s">
        <v>2519</v>
      </c>
      <c r="C1065" s="2" t="s">
        <v>26</v>
      </c>
      <c r="D1065" s="2" t="s">
        <v>27</v>
      </c>
      <c r="E1065" s="5">
        <v>-28879</v>
      </c>
      <c r="F1065" s="3" t="s">
        <v>953</v>
      </c>
      <c r="G1065" s="3" t="s">
        <v>62</v>
      </c>
      <c r="H1065" s="2" t="s">
        <v>21</v>
      </c>
      <c r="I1065" s="2" t="s">
        <v>2520</v>
      </c>
      <c r="J1065" s="3" t="str">
        <f>HYPERLINK("https://www.boe.es/gazeta/dias/1820/12/05/pdfs/GGB-1820-162.pdf#page=3","Abrir facsímil")</f>
        <v>Abrir facsímil</v>
      </c>
      <c r="K1065" s="3" t="s">
        <v>23</v>
      </c>
    </row>
    <row r="1066" spans="1:11" ht="42" customHeight="1">
      <c r="A1066" s="2" t="s">
        <v>2521</v>
      </c>
      <c r="B1066" s="2" t="s">
        <v>2522</v>
      </c>
      <c r="C1066" s="2" t="s">
        <v>26</v>
      </c>
      <c r="D1066" s="2" t="s">
        <v>310</v>
      </c>
      <c r="E1066" s="5">
        <v>-29138</v>
      </c>
      <c r="F1066" s="3" t="s">
        <v>2523</v>
      </c>
      <c r="G1066" s="3" t="s">
        <v>196</v>
      </c>
      <c r="H1066" s="2" t="s">
        <v>21</v>
      </c>
      <c r="I1066" s="2" t="s">
        <v>2524</v>
      </c>
      <c r="J1066" s="3" t="str">
        <f>HYPERLINK("https://www.boe.es/gazeta/dias/1820/03/21/pdfs/GMD-1820-48E.pdf#page=11","Abrir facsímil")</f>
        <v>Abrir facsímil</v>
      </c>
      <c r="K1066" s="3" t="s">
        <v>23</v>
      </c>
    </row>
    <row r="1067" spans="1:11" ht="42" customHeight="1">
      <c r="A1067" s="2" t="s">
        <v>2525</v>
      </c>
      <c r="B1067" s="2" t="s">
        <v>2526</v>
      </c>
      <c r="C1067" s="2" t="s">
        <v>26</v>
      </c>
      <c r="D1067" s="2" t="s">
        <v>27</v>
      </c>
      <c r="E1067" s="5">
        <v>-29166</v>
      </c>
      <c r="F1067" s="3" t="s">
        <v>799</v>
      </c>
      <c r="G1067" s="3" t="s">
        <v>38</v>
      </c>
      <c r="H1067" s="2" t="s">
        <v>21</v>
      </c>
      <c r="I1067" s="2" t="s">
        <v>2527</v>
      </c>
      <c r="J1067" s="3" t="str">
        <f>HYPERLINK("https://www.boe.es/gazeta/dias/1820/02/22/pdfs/GMD-1820-23.pdf#page=6","Abrir facsímil")</f>
        <v>Abrir facsímil</v>
      </c>
      <c r="K1067" s="3" t="s">
        <v>23</v>
      </c>
    </row>
    <row r="1068" spans="1:11" ht="42" customHeight="1">
      <c r="A1068" s="2" t="s">
        <v>2528</v>
      </c>
      <c r="B1068" s="2" t="s">
        <v>2529</v>
      </c>
      <c r="C1068" s="2" t="s">
        <v>74</v>
      </c>
      <c r="D1068" s="2" t="s">
        <v>18</v>
      </c>
      <c r="E1068" s="5">
        <v>-28967</v>
      </c>
      <c r="F1068" s="3" t="s">
        <v>238</v>
      </c>
      <c r="G1068" s="3" t="s">
        <v>38</v>
      </c>
      <c r="H1068" s="2" t="s">
        <v>21</v>
      </c>
      <c r="I1068" s="2" t="s">
        <v>2530</v>
      </c>
      <c r="J1068" s="3" t="str">
        <f>HYPERLINK("https://www.boe.es/gazeta/dias/1820/09/08/pdfs/GGB-1820-72.pdf#page=6","Abrir facsímil")</f>
        <v>Abrir facsímil</v>
      </c>
      <c r="K1068" s="3" t="s">
        <v>23</v>
      </c>
    </row>
    <row r="1069" spans="1:11" ht="42" customHeight="1">
      <c r="A1069" s="2" t="s">
        <v>2531</v>
      </c>
      <c r="B1069" s="2" t="s">
        <v>2532</v>
      </c>
      <c r="C1069" s="2" t="s">
        <v>26</v>
      </c>
      <c r="D1069" s="2" t="s">
        <v>27</v>
      </c>
      <c r="E1069" s="5">
        <v>-28865</v>
      </c>
      <c r="F1069" s="3" t="s">
        <v>136</v>
      </c>
      <c r="G1069" s="3" t="s">
        <v>137</v>
      </c>
      <c r="H1069" s="2" t="s">
        <v>21</v>
      </c>
      <c r="I1069" s="2" t="s">
        <v>2533</v>
      </c>
      <c r="J1069" s="3" t="str">
        <f>HYPERLINK("https://www.boe.es/gazeta/dias/1820/12/19/pdfs/GGB-1820-176.pdf#page=3","Abrir facsímil")</f>
        <v>Abrir facsímil</v>
      </c>
      <c r="K1069" s="3" t="s">
        <v>23</v>
      </c>
    </row>
    <row r="1070" spans="1:11" ht="42" customHeight="1">
      <c r="A1070" s="2" t="s">
        <v>2534</v>
      </c>
      <c r="B1070" s="2" t="s">
        <v>2535</v>
      </c>
      <c r="C1070" s="2" t="s">
        <v>26</v>
      </c>
      <c r="D1070" s="2" t="s">
        <v>27</v>
      </c>
      <c r="E1070" s="5">
        <v>-29211</v>
      </c>
      <c r="F1070" s="3" t="s">
        <v>578</v>
      </c>
      <c r="G1070" s="3" t="s">
        <v>20</v>
      </c>
      <c r="H1070" s="2" t="s">
        <v>21</v>
      </c>
      <c r="I1070" s="2" t="s">
        <v>2536</v>
      </c>
      <c r="J1070" s="3" t="str">
        <f>HYPERLINK("https://www.boe.es/gazeta/dias/1820/01/08/pdfs/GMD-1820-4.pdf#page=4","Abrir facsímil")</f>
        <v>Abrir facsímil</v>
      </c>
      <c r="K1070" s="3" t="s">
        <v>23</v>
      </c>
    </row>
    <row r="1071" spans="1:11" ht="42" customHeight="1">
      <c r="A1071" s="2" t="s">
        <v>2537</v>
      </c>
      <c r="B1071" s="2" t="s">
        <v>2538</v>
      </c>
      <c r="C1071" s="2" t="s">
        <v>47</v>
      </c>
      <c r="D1071" s="2" t="s">
        <v>18</v>
      </c>
      <c r="E1071" s="5">
        <v>-28963</v>
      </c>
      <c r="F1071" s="3" t="s">
        <v>94</v>
      </c>
      <c r="G1071" s="3" t="s">
        <v>95</v>
      </c>
      <c r="H1071" s="2" t="s">
        <v>21</v>
      </c>
      <c r="I1071" s="2" t="s">
        <v>2539</v>
      </c>
      <c r="J1071" s="3" t="str">
        <f>HYPERLINK("https://www.boe.es/gazeta/dias/1820/09/12/pdfs/GGB-1820-76.pdf#page=4","Abrir facsímil")</f>
        <v>Abrir facsímil</v>
      </c>
      <c r="K1071" s="3" t="s">
        <v>23</v>
      </c>
    </row>
    <row r="1072" spans="1:11" ht="42" customHeight="1">
      <c r="A1072" s="2" t="s">
        <v>2540</v>
      </c>
      <c r="B1072" s="2" t="s">
        <v>2540</v>
      </c>
      <c r="C1072" s="2" t="s">
        <v>17</v>
      </c>
      <c r="D1072" s="2" t="s">
        <v>18</v>
      </c>
      <c r="E1072" s="5">
        <v>-28913</v>
      </c>
      <c r="F1072" s="3" t="s">
        <v>230</v>
      </c>
      <c r="G1072" s="3" t="s">
        <v>43</v>
      </c>
      <c r="H1072" s="2" t="s">
        <v>21</v>
      </c>
      <c r="I1072" s="2" t="s">
        <v>2541</v>
      </c>
      <c r="J1072" s="3" t="str">
        <f>HYPERLINK("https://www.boe.es/gazeta/dias/1820/11/01/pdfs/GGB-1820-126.pdf#page=2","Abrir facsímil")</f>
        <v>Abrir facsímil</v>
      </c>
      <c r="K1072" s="3" t="s">
        <v>23</v>
      </c>
    </row>
    <row r="1073" spans="1:11" ht="42" customHeight="1">
      <c r="A1073" s="2" t="s">
        <v>2542</v>
      </c>
      <c r="B1073" s="2" t="s">
        <v>2543</v>
      </c>
      <c r="C1073" s="2" t="s">
        <v>26</v>
      </c>
      <c r="D1073" s="2" t="s">
        <v>27</v>
      </c>
      <c r="E1073" s="5">
        <v>-29208</v>
      </c>
      <c r="F1073" s="3" t="s">
        <v>770</v>
      </c>
      <c r="G1073" s="3" t="s">
        <v>256</v>
      </c>
      <c r="H1073" s="2" t="s">
        <v>21</v>
      </c>
      <c r="I1073" s="2" t="s">
        <v>2544</v>
      </c>
      <c r="J1073" s="3" t="str">
        <f>HYPERLINK("https://www.boe.es/gazeta/dias/1820/01/11/pdfs/GMD-1820-5.pdf#page=5","Abrir facsímil")</f>
        <v>Abrir facsímil</v>
      </c>
      <c r="K1073" s="3" t="s">
        <v>23</v>
      </c>
    </row>
    <row r="1074" spans="1:11" ht="42" customHeight="1">
      <c r="A1074" s="2" t="s">
        <v>2545</v>
      </c>
      <c r="B1074" s="2" t="s">
        <v>2546</v>
      </c>
      <c r="C1074" s="2" t="s">
        <v>26</v>
      </c>
      <c r="D1074" s="2" t="s">
        <v>310</v>
      </c>
      <c r="E1074" s="5">
        <v>-29147</v>
      </c>
      <c r="F1074" s="3" t="s">
        <v>2547</v>
      </c>
      <c r="G1074" s="3" t="s">
        <v>128</v>
      </c>
      <c r="H1074" s="2" t="s">
        <v>21</v>
      </c>
      <c r="I1074" s="2" t="s">
        <v>2548</v>
      </c>
      <c r="J1074" s="3" t="str">
        <f>HYPERLINK("https://www.boe.es/gazeta/dias/1820/03/12/pdfs/GMD-1820-38E.pdf#page=1","Abrir facsímil")</f>
        <v>Abrir facsímil</v>
      </c>
      <c r="K1074" s="3" t="s">
        <v>23</v>
      </c>
    </row>
    <row r="1075" spans="1:11" ht="42" customHeight="1">
      <c r="A1075" s="2" t="s">
        <v>2549</v>
      </c>
      <c r="B1075" s="2" t="s">
        <v>2549</v>
      </c>
      <c r="C1075" s="2" t="s">
        <v>26</v>
      </c>
      <c r="D1075" s="2" t="s">
        <v>310</v>
      </c>
      <c r="E1075" s="5">
        <v>-29138</v>
      </c>
      <c r="F1075" s="3" t="s">
        <v>2523</v>
      </c>
      <c r="G1075" s="3" t="s">
        <v>479</v>
      </c>
      <c r="H1075" s="2" t="s">
        <v>21</v>
      </c>
      <c r="I1075" s="2" t="s">
        <v>2550</v>
      </c>
      <c r="J1075" s="3" t="str">
        <f>HYPERLINK("https://www.boe.es/gazeta/dias/1820/03/21/pdfs/GMD-1820-48E.pdf#page=12","Abrir facsímil")</f>
        <v>Abrir facsímil</v>
      </c>
      <c r="K1075" s="3" t="s">
        <v>23</v>
      </c>
    </row>
    <row r="1076" spans="1:11" ht="42" customHeight="1">
      <c r="A1076" s="2" t="s">
        <v>2549</v>
      </c>
      <c r="B1076" s="2" t="s">
        <v>2549</v>
      </c>
      <c r="C1076" s="2" t="s">
        <v>26</v>
      </c>
      <c r="D1076" s="2" t="s">
        <v>310</v>
      </c>
      <c r="E1076" s="5">
        <v>-29138</v>
      </c>
      <c r="F1076" s="3" t="s">
        <v>2523</v>
      </c>
      <c r="G1076" s="3" t="s">
        <v>2551</v>
      </c>
      <c r="H1076" s="2" t="s">
        <v>21</v>
      </c>
      <c r="I1076" s="2" t="s">
        <v>2552</v>
      </c>
      <c r="J1076" s="3" t="str">
        <f>HYPERLINK("https://www.boe.es/gazeta/dias/1820/03/21/pdfs/GMD-1820-48E.pdf#page=13","Abrir facsímil")</f>
        <v>Abrir facsímil</v>
      </c>
      <c r="K1076" s="3" t="s">
        <v>23</v>
      </c>
    </row>
    <row r="1077" spans="1:11" ht="42" customHeight="1">
      <c r="A1077" s="2" t="s">
        <v>2549</v>
      </c>
      <c r="B1077" s="2" t="s">
        <v>2549</v>
      </c>
      <c r="C1077" s="2" t="s">
        <v>26</v>
      </c>
      <c r="D1077" s="2" t="s">
        <v>310</v>
      </c>
      <c r="E1077" s="5">
        <v>-29138</v>
      </c>
      <c r="F1077" s="3" t="s">
        <v>2523</v>
      </c>
      <c r="G1077" s="3" t="s">
        <v>20</v>
      </c>
      <c r="H1077" s="2" t="s">
        <v>21</v>
      </c>
      <c r="I1077" s="2" t="s">
        <v>2553</v>
      </c>
      <c r="J1077" s="3" t="str">
        <f>HYPERLINK("https://www.boe.es/gazeta/dias/1820/03/21/pdfs/GMD-1820-48E.pdf#page=4","Abrir facsímil")</f>
        <v>Abrir facsímil</v>
      </c>
      <c r="K1077" s="3" t="s">
        <v>23</v>
      </c>
    </row>
    <row r="1078" spans="1:11" ht="42" customHeight="1">
      <c r="A1078" s="2" t="s">
        <v>2549</v>
      </c>
      <c r="B1078" s="2" t="s">
        <v>2549</v>
      </c>
      <c r="C1078" s="2" t="s">
        <v>26</v>
      </c>
      <c r="D1078" s="2" t="s">
        <v>310</v>
      </c>
      <c r="E1078" s="5">
        <v>-29138</v>
      </c>
      <c r="F1078" s="3" t="s">
        <v>2523</v>
      </c>
      <c r="G1078" s="3" t="s">
        <v>261</v>
      </c>
      <c r="H1078" s="2" t="s">
        <v>21</v>
      </c>
      <c r="I1078" s="2" t="s">
        <v>2554</v>
      </c>
      <c r="J1078" s="3" t="str">
        <f>HYPERLINK("https://www.boe.es/gazeta/dias/1820/03/21/pdfs/GMD-1820-48E.pdf#page=9","Abrir facsímil")</f>
        <v>Abrir facsímil</v>
      </c>
      <c r="K1078" s="3" t="s">
        <v>23</v>
      </c>
    </row>
    <row r="1079" spans="1:11" ht="42" customHeight="1">
      <c r="A1079" s="2" t="s">
        <v>2549</v>
      </c>
      <c r="B1079" s="2" t="s">
        <v>2549</v>
      </c>
      <c r="C1079" s="2" t="s">
        <v>26</v>
      </c>
      <c r="D1079" s="2" t="s">
        <v>27</v>
      </c>
      <c r="E1079" s="5">
        <v>-29131</v>
      </c>
      <c r="F1079" s="3" t="s">
        <v>1193</v>
      </c>
      <c r="G1079" s="3" t="s">
        <v>256</v>
      </c>
      <c r="H1079" s="2" t="s">
        <v>21</v>
      </c>
      <c r="I1079" s="2" t="s">
        <v>2555</v>
      </c>
      <c r="J1079" s="3" t="str">
        <f>HYPERLINK("https://www.boe.es/gazeta/dias/1820/03/28/pdfs/GMD-1820-56.pdf#page=5","Abrir facsímil")</f>
        <v>Abrir facsímil</v>
      </c>
      <c r="K1079" s="3" t="s">
        <v>23</v>
      </c>
    </row>
    <row r="1080" spans="1:11" ht="42" customHeight="1">
      <c r="A1080" s="2" t="s">
        <v>2549</v>
      </c>
      <c r="B1080" s="2" t="s">
        <v>2549</v>
      </c>
      <c r="C1080" s="2" t="s">
        <v>26</v>
      </c>
      <c r="D1080" s="2" t="s">
        <v>27</v>
      </c>
      <c r="E1080" s="5">
        <v>-28895</v>
      </c>
      <c r="F1080" s="3" t="s">
        <v>347</v>
      </c>
      <c r="G1080" s="3" t="s">
        <v>128</v>
      </c>
      <c r="H1080" s="2" t="s">
        <v>21</v>
      </c>
      <c r="I1080" s="2" t="s">
        <v>2556</v>
      </c>
      <c r="J1080" s="3" t="str">
        <f>HYPERLINK("https://www.boe.es/gazeta/dias/1820/11/19/pdfs/GGB-1820-146.pdf#page=1","Abrir facsímil")</f>
        <v>Abrir facsímil</v>
      </c>
      <c r="K1080" s="3" t="s">
        <v>23</v>
      </c>
    </row>
    <row r="1081" spans="1:11" ht="42" customHeight="1">
      <c r="A1081" s="2" t="s">
        <v>2557</v>
      </c>
      <c r="B1081" s="2" t="s">
        <v>2558</v>
      </c>
      <c r="C1081" s="2" t="s">
        <v>35</v>
      </c>
      <c r="D1081" s="2" t="s">
        <v>310</v>
      </c>
      <c r="E1081" s="5">
        <v>-29138</v>
      </c>
      <c r="F1081" s="3" t="s">
        <v>2523</v>
      </c>
      <c r="G1081" s="3" t="s">
        <v>2551</v>
      </c>
      <c r="H1081" s="2" t="s">
        <v>21</v>
      </c>
      <c r="I1081" s="2" t="s">
        <v>2559</v>
      </c>
      <c r="J1081" s="3" t="str">
        <f>HYPERLINK("https://www.boe.es/gazeta/dias/1820/03/21/pdfs/GMD-1820-48E.pdf#page=13","Abrir facsímil")</f>
        <v>Abrir facsímil</v>
      </c>
      <c r="K1081" s="3" t="s">
        <v>23</v>
      </c>
    </row>
    <row r="1082" spans="1:11" ht="42" customHeight="1">
      <c r="A1082" s="2" t="s">
        <v>2557</v>
      </c>
      <c r="B1082" s="2" t="s">
        <v>2558</v>
      </c>
      <c r="C1082" s="2" t="s">
        <v>111</v>
      </c>
      <c r="D1082" s="2" t="s">
        <v>310</v>
      </c>
      <c r="E1082" s="5">
        <v>-29134</v>
      </c>
      <c r="F1082" s="3" t="s">
        <v>2560</v>
      </c>
      <c r="G1082" s="3" t="s">
        <v>128</v>
      </c>
      <c r="H1082" s="2" t="s">
        <v>21</v>
      </c>
      <c r="I1082" s="2" t="s">
        <v>2561</v>
      </c>
      <c r="J1082" s="3" t="str">
        <f>HYPERLINK("https://www.boe.es/gazeta/dias/1820/03/25/pdfs/GMD-1820-54E.pdf#page=1","Abrir facsímil")</f>
        <v>Abrir facsímil</v>
      </c>
      <c r="K1082" s="3" t="s">
        <v>23</v>
      </c>
    </row>
    <row r="1083" spans="1:11" ht="42" customHeight="1">
      <c r="A1083" s="2" t="s">
        <v>2557</v>
      </c>
      <c r="B1083" s="2" t="s">
        <v>2558</v>
      </c>
      <c r="C1083" s="2" t="s">
        <v>17</v>
      </c>
      <c r="D1083" s="2" t="s">
        <v>310</v>
      </c>
      <c r="E1083" s="5">
        <v>-29132</v>
      </c>
      <c r="F1083" s="3" t="s">
        <v>311</v>
      </c>
      <c r="G1083" s="3" t="s">
        <v>128</v>
      </c>
      <c r="H1083" s="2" t="s">
        <v>21</v>
      </c>
      <c r="I1083" s="2" t="s">
        <v>2562</v>
      </c>
      <c r="J1083" s="3" t="str">
        <f>HYPERLINK("https://www.boe.es/gazeta/dias/1820/03/27/pdfs/GMD-1820-55E.pdf#page=1","Abrir facsímil")</f>
        <v>Abrir facsímil</v>
      </c>
      <c r="K1083" s="3" t="s">
        <v>23</v>
      </c>
    </row>
    <row r="1084" spans="1:11" ht="42" customHeight="1">
      <c r="A1084" s="2" t="s">
        <v>2563</v>
      </c>
      <c r="B1084" s="2" t="s">
        <v>2564</v>
      </c>
      <c r="C1084" s="2" t="s">
        <v>111</v>
      </c>
      <c r="D1084" s="2" t="s">
        <v>18</v>
      </c>
      <c r="E1084" s="5">
        <v>-29115</v>
      </c>
      <c r="F1084" s="3" t="s">
        <v>289</v>
      </c>
      <c r="G1084" s="3" t="s">
        <v>20</v>
      </c>
      <c r="H1084" s="2" t="s">
        <v>30</v>
      </c>
      <c r="I1084" s="2" t="s">
        <v>2565</v>
      </c>
      <c r="J1084" s="3" t="str">
        <f>HYPERLINK("https://www.boe.es/gazeta/dias/1820/04/13/pdfs/GMD-1820-65.pdf#page=4","Abrir facsímil")</f>
        <v>Abrir facsímil</v>
      </c>
      <c r="K1084" s="3" t="s">
        <v>32</v>
      </c>
    </row>
    <row r="1085" spans="1:11" ht="42" customHeight="1">
      <c r="A1085" s="2" t="s">
        <v>2566</v>
      </c>
      <c r="B1085" s="2" t="s">
        <v>2567</v>
      </c>
      <c r="C1085" s="2" t="s">
        <v>26</v>
      </c>
      <c r="D1085" s="2" t="s">
        <v>27</v>
      </c>
      <c r="E1085" s="5">
        <v>-29185</v>
      </c>
      <c r="F1085" s="3" t="s">
        <v>772</v>
      </c>
      <c r="G1085" s="3" t="s">
        <v>62</v>
      </c>
      <c r="H1085" s="2" t="s">
        <v>21</v>
      </c>
      <c r="I1085" s="2" t="s">
        <v>2568</v>
      </c>
      <c r="J1085" s="3" t="str">
        <f>HYPERLINK("https://www.boe.es/gazeta/dias/1820/02/03/pdfs/GMD-1820-15.pdf#page=3","Abrir facsímil")</f>
        <v>Abrir facsímil</v>
      </c>
      <c r="K1085" s="3" t="s">
        <v>23</v>
      </c>
    </row>
    <row r="1086" spans="1:11" ht="42" customHeight="1">
      <c r="A1086" s="2" t="s">
        <v>2569</v>
      </c>
      <c r="B1086" s="2" t="s">
        <v>2570</v>
      </c>
      <c r="C1086" s="2" t="s">
        <v>26</v>
      </c>
      <c r="D1086" s="2" t="s">
        <v>27</v>
      </c>
      <c r="E1086" s="5">
        <v>-29075</v>
      </c>
      <c r="F1086" s="3" t="s">
        <v>1186</v>
      </c>
      <c r="G1086" s="3" t="s">
        <v>20</v>
      </c>
      <c r="H1086" s="2" t="s">
        <v>30</v>
      </c>
      <c r="I1086" s="2" t="s">
        <v>2571</v>
      </c>
      <c r="J1086" s="3" t="str">
        <f>HYPERLINK("https://www.boe.es/gazeta/dias/1820/05/23/pdfs/GMD-1820-84.pdf#page=4","Abrir facsímil")</f>
        <v>Abrir facsímil</v>
      </c>
      <c r="K1086" s="3" t="s">
        <v>32</v>
      </c>
    </row>
    <row r="1087" spans="1:11" ht="42" customHeight="1">
      <c r="A1087" s="2" t="s">
        <v>2572</v>
      </c>
      <c r="B1087" s="2" t="s">
        <v>2573</v>
      </c>
      <c r="C1087" s="2" t="s">
        <v>107</v>
      </c>
      <c r="D1087" s="2" t="s">
        <v>18</v>
      </c>
      <c r="E1087" s="5">
        <v>-29030</v>
      </c>
      <c r="F1087" s="3" t="s">
        <v>789</v>
      </c>
      <c r="G1087" s="3" t="s">
        <v>1987</v>
      </c>
      <c r="H1087" s="2" t="s">
        <v>21</v>
      </c>
      <c r="I1087" s="2" t="s">
        <v>2574</v>
      </c>
      <c r="J1087" s="3" t="str">
        <f>HYPERLINK("https://www.boe.es/gazeta/dias/1820/07/07/pdfs/GGB-1820-8.pdf#page=4","Abrir facsímil")</f>
        <v>Abrir facsímil</v>
      </c>
      <c r="K1087" s="3" t="s">
        <v>23</v>
      </c>
    </row>
    <row r="1088" spans="1:11" ht="42" customHeight="1">
      <c r="A1088" s="2" t="s">
        <v>2575</v>
      </c>
      <c r="B1088" s="2" t="s">
        <v>2575</v>
      </c>
      <c r="C1088" s="2" t="s">
        <v>26</v>
      </c>
      <c r="D1088" s="2" t="s">
        <v>27</v>
      </c>
      <c r="E1088" s="5">
        <v>-28934</v>
      </c>
      <c r="F1088" s="3" t="s">
        <v>163</v>
      </c>
      <c r="G1088" s="3" t="s">
        <v>128</v>
      </c>
      <c r="H1088" s="2" t="s">
        <v>21</v>
      </c>
      <c r="I1088" s="2" t="s">
        <v>2576</v>
      </c>
      <c r="J1088" s="3" t="str">
        <f>HYPERLINK("https://www.boe.es/gazeta/dias/1820/10/11/pdfs/GGB-1820-105.pdf#page=1","Abrir facsímil")</f>
        <v>Abrir facsímil</v>
      </c>
      <c r="K1088" s="3" t="s">
        <v>23</v>
      </c>
    </row>
    <row r="1089" spans="1:11" ht="42" customHeight="1">
      <c r="A1089" s="2" t="s">
        <v>2577</v>
      </c>
      <c r="B1089" s="2" t="s">
        <v>2578</v>
      </c>
      <c r="C1089" s="2" t="s">
        <v>17</v>
      </c>
      <c r="D1089" s="2" t="s">
        <v>18</v>
      </c>
      <c r="E1089" s="5">
        <v>-29004</v>
      </c>
      <c r="F1089" s="3" t="s">
        <v>75</v>
      </c>
      <c r="G1089" s="3" t="s">
        <v>76</v>
      </c>
      <c r="H1089" s="2" t="s">
        <v>21</v>
      </c>
      <c r="I1089" s="2" t="s">
        <v>2579</v>
      </c>
      <c r="J1089" s="3" t="str">
        <f>HYPERLINK("https://www.boe.es/gazeta/dias/1820/08/02/pdfs/GGB-1820-35.pdf#page=2","Abrir facsímil")</f>
        <v>Abrir facsímil</v>
      </c>
      <c r="K1089" s="3" t="s">
        <v>23</v>
      </c>
    </row>
    <row r="1090" spans="1:11" ht="42" customHeight="1">
      <c r="A1090" s="2" t="s">
        <v>2580</v>
      </c>
      <c r="B1090" s="2" t="s">
        <v>2581</v>
      </c>
      <c r="C1090" s="2" t="s">
        <v>35</v>
      </c>
      <c r="D1090" s="2" t="s">
        <v>36</v>
      </c>
      <c r="E1090" s="5">
        <v>-28921</v>
      </c>
      <c r="F1090" s="3" t="s">
        <v>738</v>
      </c>
      <c r="G1090" s="3" t="s">
        <v>20</v>
      </c>
      <c r="H1090" s="2" t="s">
        <v>21</v>
      </c>
      <c r="I1090" s="2" t="s">
        <v>2582</v>
      </c>
      <c r="J1090" s="3" t="str">
        <f>HYPERLINK("https://www.boe.es/gazeta/dias/1820/10/24/pdfs/GGB-1820-118.pdf#page=4","Abrir facsímil")</f>
        <v>Abrir facsímil</v>
      </c>
      <c r="K1090" s="3" t="s">
        <v>23</v>
      </c>
    </row>
    <row r="1091" spans="1:11" ht="42" customHeight="1">
      <c r="A1091" s="2" t="s">
        <v>2583</v>
      </c>
      <c r="B1091" s="2" t="s">
        <v>2584</v>
      </c>
      <c r="C1091" s="2" t="s">
        <v>47</v>
      </c>
      <c r="D1091" s="2" t="s">
        <v>18</v>
      </c>
      <c r="E1091" s="5">
        <v>-28881</v>
      </c>
      <c r="F1091" s="3" t="s">
        <v>57</v>
      </c>
      <c r="G1091" s="3" t="s">
        <v>20</v>
      </c>
      <c r="H1091" s="2" t="s">
        <v>21</v>
      </c>
      <c r="I1091" s="2" t="s">
        <v>2585</v>
      </c>
      <c r="J1091" s="3" t="str">
        <f>HYPERLINK("https://www.boe.es/gazeta/dias/1820/12/03/pdfs/GGB-1820-160.pdf#page=4","Abrir facsímil")</f>
        <v>Abrir facsímil</v>
      </c>
      <c r="K1091" s="3" t="s">
        <v>23</v>
      </c>
    </row>
    <row r="1092" spans="1:11" ht="42" customHeight="1">
      <c r="A1092" s="2" t="s">
        <v>2586</v>
      </c>
      <c r="B1092" s="2" t="s">
        <v>2587</v>
      </c>
      <c r="C1092" s="2" t="s">
        <v>74</v>
      </c>
      <c r="D1092" s="2" t="s">
        <v>18</v>
      </c>
      <c r="E1092" s="5">
        <v>-28885</v>
      </c>
      <c r="F1092" s="3" t="s">
        <v>2588</v>
      </c>
      <c r="G1092" s="3" t="s">
        <v>20</v>
      </c>
      <c r="H1092" s="2" t="s">
        <v>30</v>
      </c>
      <c r="I1092" s="2" t="s">
        <v>2589</v>
      </c>
      <c r="J1092" s="3" t="str">
        <f>HYPERLINK("https://www.boe.es/gazeta/dias/1820/11/29/pdfs/GGB-1820-156.pdf#page=4","Abrir facsímil")</f>
        <v>Abrir facsímil</v>
      </c>
      <c r="K1092" s="3" t="s">
        <v>32</v>
      </c>
    </row>
    <row r="1093" spans="1:11" ht="42" customHeight="1">
      <c r="A1093" s="2" t="s">
        <v>2590</v>
      </c>
      <c r="B1093" s="2" t="s">
        <v>2591</v>
      </c>
      <c r="C1093" s="2" t="s">
        <v>111</v>
      </c>
      <c r="D1093" s="2" t="s">
        <v>18</v>
      </c>
      <c r="E1093" s="5">
        <v>-28956</v>
      </c>
      <c r="F1093" s="3" t="s">
        <v>190</v>
      </c>
      <c r="G1093" s="3" t="s">
        <v>20</v>
      </c>
      <c r="H1093" s="2" t="s">
        <v>30</v>
      </c>
      <c r="I1093" s="2" t="s">
        <v>2592</v>
      </c>
      <c r="J1093" s="3" t="str">
        <f>HYPERLINK("https://www.boe.es/gazeta/dias/1820/09/19/pdfs/GGB-1820-83.pdf#page=4","Abrir facsímil")</f>
        <v>Abrir facsímil</v>
      </c>
      <c r="K1093" s="3" t="s">
        <v>32</v>
      </c>
    </row>
    <row r="1094" spans="1:11" ht="42" customHeight="1">
      <c r="A1094" s="2" t="s">
        <v>2593</v>
      </c>
      <c r="B1094" s="2" t="s">
        <v>2594</v>
      </c>
      <c r="C1094" s="2" t="s">
        <v>26</v>
      </c>
      <c r="D1094" s="2" t="s">
        <v>27</v>
      </c>
      <c r="E1094" s="5">
        <v>-29138</v>
      </c>
      <c r="F1094" s="3" t="s">
        <v>200</v>
      </c>
      <c r="G1094" s="3" t="s">
        <v>38</v>
      </c>
      <c r="H1094" s="2" t="s">
        <v>21</v>
      </c>
      <c r="I1094" s="2" t="s">
        <v>2595</v>
      </c>
      <c r="J1094" s="3" t="str">
        <f>HYPERLINK("https://www.boe.es/gazeta/dias/1820/03/21/pdfs/GMD-1820-46.pdf#page=6","Abrir facsímil")</f>
        <v>Abrir facsímil</v>
      </c>
      <c r="K1094" s="3" t="s">
        <v>23</v>
      </c>
    </row>
    <row r="1095" spans="1:11" ht="42" customHeight="1">
      <c r="A1095" s="2" t="s">
        <v>2596</v>
      </c>
      <c r="B1095" s="2" t="s">
        <v>2596</v>
      </c>
      <c r="C1095" s="2" t="s">
        <v>26</v>
      </c>
      <c r="D1095" s="2" t="s">
        <v>27</v>
      </c>
      <c r="E1095" s="5">
        <v>-28950</v>
      </c>
      <c r="F1095" s="3" t="s">
        <v>1052</v>
      </c>
      <c r="G1095" s="3" t="s">
        <v>20</v>
      </c>
      <c r="H1095" s="2" t="s">
        <v>21</v>
      </c>
      <c r="I1095" s="2" t="s">
        <v>2597</v>
      </c>
      <c r="J1095" s="3" t="str">
        <f>HYPERLINK("https://www.boe.es/gazeta/dias/1820/09/25/pdfs/GGB-1820-89.pdf#page=4","Abrir facsímil")</f>
        <v>Abrir facsímil</v>
      </c>
      <c r="K1095" s="3" t="s">
        <v>23</v>
      </c>
    </row>
    <row r="1096" spans="1:11" ht="42" customHeight="1">
      <c r="A1096" s="2" t="s">
        <v>2598</v>
      </c>
      <c r="B1096" s="2" t="s">
        <v>2599</v>
      </c>
      <c r="C1096" s="2" t="s">
        <v>26</v>
      </c>
      <c r="D1096" s="2" t="s">
        <v>27</v>
      </c>
      <c r="E1096" s="5">
        <v>-29029</v>
      </c>
      <c r="F1096" s="3" t="s">
        <v>282</v>
      </c>
      <c r="G1096" s="3" t="s">
        <v>20</v>
      </c>
      <c r="H1096" s="2" t="s">
        <v>21</v>
      </c>
      <c r="I1096" s="2" t="s">
        <v>2600</v>
      </c>
      <c r="J1096" s="3" t="str">
        <f>HYPERLINK("https://www.boe.es/gazeta/dias/1820/07/08/pdfs/GGB-1820-9.pdf#page=4","Abrir facsímil")</f>
        <v>Abrir facsímil</v>
      </c>
      <c r="K1096" s="3" t="s">
        <v>23</v>
      </c>
    </row>
    <row r="1097" spans="1:11" ht="42" customHeight="1">
      <c r="A1097" s="2" t="s">
        <v>2601</v>
      </c>
      <c r="B1097" s="2" t="s">
        <v>2601</v>
      </c>
      <c r="C1097" s="2" t="s">
        <v>293</v>
      </c>
      <c r="D1097" s="2" t="s">
        <v>18</v>
      </c>
      <c r="E1097" s="5">
        <v>-28985</v>
      </c>
      <c r="F1097" s="3" t="s">
        <v>905</v>
      </c>
      <c r="G1097" s="3" t="s">
        <v>928</v>
      </c>
      <c r="H1097" s="2" t="s">
        <v>21</v>
      </c>
      <c r="I1097" s="2" t="s">
        <v>2602</v>
      </c>
      <c r="J1097" s="3" t="str">
        <f>HYPERLINK("https://www.boe.es/gazeta/dias/1820/08/21/pdfs/GGB-1820-54.pdf#page=4","Abrir facsímil")</f>
        <v>Abrir facsímil</v>
      </c>
      <c r="K1097" s="3" t="s">
        <v>23</v>
      </c>
    </row>
    <row r="1098" spans="1:11" ht="42" customHeight="1">
      <c r="A1098" s="2" t="s">
        <v>2603</v>
      </c>
      <c r="B1098" s="2" t="s">
        <v>2604</v>
      </c>
      <c r="C1098" s="2" t="s">
        <v>26</v>
      </c>
      <c r="D1098" s="2" t="s">
        <v>27</v>
      </c>
      <c r="E1098" s="5">
        <v>-28941</v>
      </c>
      <c r="F1098" s="3" t="s">
        <v>1727</v>
      </c>
      <c r="G1098" s="3" t="s">
        <v>62</v>
      </c>
      <c r="H1098" s="2" t="s">
        <v>21</v>
      </c>
      <c r="I1098" s="2" t="s">
        <v>2605</v>
      </c>
      <c r="J1098" s="3" t="str">
        <f>HYPERLINK("https://www.boe.es/gazeta/dias/1820/10/04/pdfs/GGB-1820-98.pdf#page=3","Abrir facsímil")</f>
        <v>Abrir facsímil</v>
      </c>
      <c r="K1098" s="3" t="s">
        <v>23</v>
      </c>
    </row>
    <row r="1099" spans="1:11" ht="42" customHeight="1">
      <c r="A1099" s="2" t="s">
        <v>2606</v>
      </c>
      <c r="B1099" s="2" t="s">
        <v>2606</v>
      </c>
      <c r="C1099" s="2" t="s">
        <v>26</v>
      </c>
      <c r="D1099" s="2" t="s">
        <v>27</v>
      </c>
      <c r="E1099" s="5">
        <v>-29015</v>
      </c>
      <c r="F1099" s="3" t="s">
        <v>359</v>
      </c>
      <c r="G1099" s="3" t="s">
        <v>62</v>
      </c>
      <c r="H1099" s="2" t="s">
        <v>21</v>
      </c>
      <c r="I1099" s="2" t="s">
        <v>2607</v>
      </c>
      <c r="J1099" s="3" t="str">
        <f>HYPERLINK("https://www.boe.es/gazeta/dias/1820/07/22/pdfs/GGB-1820-24.pdf#page=3","Abrir facsímil")</f>
        <v>Abrir facsímil</v>
      </c>
      <c r="K1099" s="3" t="s">
        <v>23</v>
      </c>
    </row>
    <row r="1100" spans="1:11" ht="42" customHeight="1">
      <c r="A1100" s="2" t="s">
        <v>2606</v>
      </c>
      <c r="B1100" s="2" t="s">
        <v>2606</v>
      </c>
      <c r="C1100" s="2" t="s">
        <v>35</v>
      </c>
      <c r="D1100" s="2" t="s">
        <v>36</v>
      </c>
      <c r="E1100" s="5">
        <v>-28951</v>
      </c>
      <c r="F1100" s="3" t="s">
        <v>622</v>
      </c>
      <c r="G1100" s="3" t="s">
        <v>1370</v>
      </c>
      <c r="H1100" s="2" t="s">
        <v>21</v>
      </c>
      <c r="I1100" s="2" t="s">
        <v>2608</v>
      </c>
      <c r="J1100" s="3" t="str">
        <f>HYPERLINK("https://www.boe.es/gazeta/dias/1820/09/24/pdfs/GGB-1820-88.pdf#page=2","Abrir facsímil")</f>
        <v>Abrir facsímil</v>
      </c>
      <c r="K1100" s="3" t="s">
        <v>23</v>
      </c>
    </row>
    <row r="1101" spans="1:11" ht="42" customHeight="1">
      <c r="A1101" s="2" t="s">
        <v>2606</v>
      </c>
      <c r="B1101" s="2" t="s">
        <v>2606</v>
      </c>
      <c r="C1101" s="2" t="s">
        <v>111</v>
      </c>
      <c r="D1101" s="2" t="s">
        <v>18</v>
      </c>
      <c r="E1101" s="5">
        <v>-28951</v>
      </c>
      <c r="F1101" s="3" t="s">
        <v>622</v>
      </c>
      <c r="G1101" s="3" t="s">
        <v>62</v>
      </c>
      <c r="H1101" s="2" t="s">
        <v>21</v>
      </c>
      <c r="I1101" s="2" t="s">
        <v>2609</v>
      </c>
      <c r="J1101" s="3" t="str">
        <f>HYPERLINK("https://www.boe.es/gazeta/dias/1820/09/24/pdfs/GGB-1820-88.pdf#page=3","Abrir facsímil")</f>
        <v>Abrir facsímil</v>
      </c>
      <c r="K1101" s="3" t="s">
        <v>23</v>
      </c>
    </row>
    <row r="1102" spans="1:11" ht="42" customHeight="1">
      <c r="A1102" s="2" t="s">
        <v>2610</v>
      </c>
      <c r="B1102" s="2" t="s">
        <v>2610</v>
      </c>
      <c r="C1102" s="2" t="s">
        <v>17</v>
      </c>
      <c r="D1102" s="2" t="s">
        <v>18</v>
      </c>
      <c r="E1102" s="5">
        <v>-29025</v>
      </c>
      <c r="F1102" s="3" t="s">
        <v>902</v>
      </c>
      <c r="G1102" s="3" t="s">
        <v>62</v>
      </c>
      <c r="H1102" s="2" t="s">
        <v>21</v>
      </c>
      <c r="I1102" s="2" t="s">
        <v>2611</v>
      </c>
      <c r="J1102" s="3" t="str">
        <f>HYPERLINK("https://www.boe.es/gazeta/dias/1820/07/12/pdfs/GGB-1820-14.pdf#page=3","Abrir facsímil")</f>
        <v>Abrir facsímil</v>
      </c>
      <c r="K1102" s="3" t="s">
        <v>23</v>
      </c>
    </row>
    <row r="1103" spans="1:11" ht="42" customHeight="1">
      <c r="A1103" s="2" t="s">
        <v>2610</v>
      </c>
      <c r="B1103" s="2" t="s">
        <v>2610</v>
      </c>
      <c r="C1103" s="2" t="s">
        <v>111</v>
      </c>
      <c r="D1103" s="2" t="s">
        <v>18</v>
      </c>
      <c r="E1103" s="5">
        <v>-29007</v>
      </c>
      <c r="F1103" s="3" t="s">
        <v>251</v>
      </c>
      <c r="G1103" s="3" t="s">
        <v>20</v>
      </c>
      <c r="H1103" s="2" t="s">
        <v>21</v>
      </c>
      <c r="I1103" s="2" t="s">
        <v>2612</v>
      </c>
      <c r="J1103" s="3" t="str">
        <f>HYPERLINK("https://www.boe.es/gazeta/dias/1820/07/30/pdfs/GGB-1820-32.pdf#page=4","Abrir facsímil")</f>
        <v>Abrir facsímil</v>
      </c>
      <c r="K1103" s="3" t="s">
        <v>23</v>
      </c>
    </row>
    <row r="1104" spans="1:11" ht="42" customHeight="1">
      <c r="A1104" s="2" t="s">
        <v>2610</v>
      </c>
      <c r="B1104" s="2" t="s">
        <v>2610</v>
      </c>
      <c r="C1104" s="2" t="s">
        <v>74</v>
      </c>
      <c r="D1104" s="2" t="s">
        <v>18</v>
      </c>
      <c r="E1104" s="5">
        <v>-29000</v>
      </c>
      <c r="F1104" s="3" t="s">
        <v>670</v>
      </c>
      <c r="G1104" s="3" t="s">
        <v>62</v>
      </c>
      <c r="H1104" s="2" t="s">
        <v>21</v>
      </c>
      <c r="I1104" s="2" t="s">
        <v>2613</v>
      </c>
      <c r="J1104" s="3" t="str">
        <f>HYPERLINK("https://www.boe.es/gazeta/dias/1820/08/06/pdfs/GGB-1820-39.pdf#page=3","Abrir facsímil")</f>
        <v>Abrir facsímil</v>
      </c>
      <c r="K1104" s="3" t="s">
        <v>23</v>
      </c>
    </row>
    <row r="1105" spans="1:11" ht="42" customHeight="1">
      <c r="A1105" s="2" t="s">
        <v>2610</v>
      </c>
      <c r="B1105" s="2" t="s">
        <v>2610</v>
      </c>
      <c r="C1105" s="2" t="s">
        <v>17</v>
      </c>
      <c r="D1105" s="2" t="s">
        <v>18</v>
      </c>
      <c r="E1105" s="5">
        <v>-28995</v>
      </c>
      <c r="F1105" s="3" t="s">
        <v>672</v>
      </c>
      <c r="G1105" s="3" t="s">
        <v>62</v>
      </c>
      <c r="H1105" s="2" t="s">
        <v>21</v>
      </c>
      <c r="I1105" s="2" t="s">
        <v>2614</v>
      </c>
      <c r="J1105" s="3" t="str">
        <f>HYPERLINK("https://www.boe.es/gazeta/dias/1820/08/11/pdfs/GGB-1820-44.pdf#page=3","Abrir facsímil")</f>
        <v>Abrir facsímil</v>
      </c>
      <c r="K1105" s="3" t="s">
        <v>23</v>
      </c>
    </row>
    <row r="1106" spans="1:11" ht="42" customHeight="1">
      <c r="A1106" s="2" t="s">
        <v>2610</v>
      </c>
      <c r="B1106" s="2" t="s">
        <v>2610</v>
      </c>
      <c r="C1106" s="2" t="s">
        <v>293</v>
      </c>
      <c r="D1106" s="2" t="s">
        <v>18</v>
      </c>
      <c r="E1106" s="5">
        <v>-28989</v>
      </c>
      <c r="F1106" s="3" t="s">
        <v>809</v>
      </c>
      <c r="G1106" s="3" t="s">
        <v>62</v>
      </c>
      <c r="H1106" s="2" t="s">
        <v>21</v>
      </c>
      <c r="I1106" s="2" t="s">
        <v>2615</v>
      </c>
      <c r="J1106" s="3" t="str">
        <f>HYPERLINK("https://www.boe.es/gazeta/dias/1820/08/17/pdfs/GGB-1820-50.pdf#page=3","Abrir facsímil")</f>
        <v>Abrir facsímil</v>
      </c>
      <c r="K1106" s="3" t="s">
        <v>23</v>
      </c>
    </row>
    <row r="1107" spans="1:11" ht="42" customHeight="1">
      <c r="A1107" s="2" t="s">
        <v>2610</v>
      </c>
      <c r="B1107" s="2" t="s">
        <v>2610</v>
      </c>
      <c r="C1107" s="2" t="s">
        <v>17</v>
      </c>
      <c r="D1107" s="2" t="s">
        <v>18</v>
      </c>
      <c r="E1107" s="5">
        <v>-28982</v>
      </c>
      <c r="F1107" s="3" t="s">
        <v>173</v>
      </c>
      <c r="G1107" s="3" t="s">
        <v>529</v>
      </c>
      <c r="H1107" s="2" t="s">
        <v>21</v>
      </c>
      <c r="I1107" s="2" t="s">
        <v>2616</v>
      </c>
      <c r="J1107" s="3" t="str">
        <f>HYPERLINK("https://www.boe.es/gazeta/dias/1820/08/24/pdfs/GGB-1820-57.pdf#page=4","Abrir facsímil")</f>
        <v>Abrir facsímil</v>
      </c>
      <c r="K1107" s="3" t="s">
        <v>23</v>
      </c>
    </row>
    <row r="1108" spans="1:11" ht="42" customHeight="1">
      <c r="A1108" s="2" t="s">
        <v>2610</v>
      </c>
      <c r="B1108" s="2" t="s">
        <v>2610</v>
      </c>
      <c r="C1108" s="2" t="s">
        <v>17</v>
      </c>
      <c r="D1108" s="2" t="s">
        <v>18</v>
      </c>
      <c r="E1108" s="5">
        <v>-28979</v>
      </c>
      <c r="F1108" s="3" t="s">
        <v>218</v>
      </c>
      <c r="G1108" s="3" t="s">
        <v>62</v>
      </c>
      <c r="H1108" s="2" t="s">
        <v>21</v>
      </c>
      <c r="I1108" s="2" t="s">
        <v>2617</v>
      </c>
      <c r="J1108" s="3" t="str">
        <f>HYPERLINK("https://www.boe.es/gazeta/dias/1820/08/27/pdfs/GGB-1820-60.pdf#page=3","Abrir facsímil")</f>
        <v>Abrir facsímil</v>
      </c>
      <c r="K1108" s="3" t="s">
        <v>23</v>
      </c>
    </row>
    <row r="1109" spans="1:11" ht="42" customHeight="1">
      <c r="A1109" s="2" t="s">
        <v>2610</v>
      </c>
      <c r="B1109" s="2" t="s">
        <v>2610</v>
      </c>
      <c r="C1109" s="2" t="s">
        <v>35</v>
      </c>
      <c r="D1109" s="2" t="s">
        <v>36</v>
      </c>
      <c r="E1109" s="5">
        <v>-28973</v>
      </c>
      <c r="F1109" s="3" t="s">
        <v>151</v>
      </c>
      <c r="G1109" s="3" t="s">
        <v>43</v>
      </c>
      <c r="H1109" s="2" t="s">
        <v>21</v>
      </c>
      <c r="I1109" s="2" t="s">
        <v>2618</v>
      </c>
      <c r="J1109" s="3" t="str">
        <f>HYPERLINK("https://www.boe.es/gazeta/dias/1820/09/02/pdfs/GGB-1820-66.pdf#page=2","Abrir facsímil")</f>
        <v>Abrir facsímil</v>
      </c>
      <c r="K1109" s="3" t="s">
        <v>23</v>
      </c>
    </row>
    <row r="1110" spans="1:11" ht="42" customHeight="1">
      <c r="A1110" s="2" t="s">
        <v>2610</v>
      </c>
      <c r="B1110" s="2" t="s">
        <v>2610</v>
      </c>
      <c r="C1110" s="2" t="s">
        <v>35</v>
      </c>
      <c r="D1110" s="2" t="s">
        <v>36</v>
      </c>
      <c r="E1110" s="5">
        <v>-28950</v>
      </c>
      <c r="F1110" s="3" t="s">
        <v>1052</v>
      </c>
      <c r="G1110" s="3" t="s">
        <v>1372</v>
      </c>
      <c r="H1110" s="2" t="s">
        <v>21</v>
      </c>
      <c r="I1110" s="2" t="s">
        <v>2619</v>
      </c>
      <c r="J1110" s="3" t="str">
        <f>HYPERLINK("https://www.boe.es/gazeta/dias/1820/09/25/pdfs/GGB-1820-89.pdf#page=2","Abrir facsímil")</f>
        <v>Abrir facsímil</v>
      </c>
      <c r="K1110" s="3" t="s">
        <v>23</v>
      </c>
    </row>
    <row r="1111" spans="1:11" ht="42" customHeight="1">
      <c r="A1111" s="2" t="s">
        <v>2610</v>
      </c>
      <c r="B1111" s="2" t="s">
        <v>2610</v>
      </c>
      <c r="C1111" s="2" t="s">
        <v>35</v>
      </c>
      <c r="D1111" s="2" t="s">
        <v>36</v>
      </c>
      <c r="E1111" s="5">
        <v>-28950</v>
      </c>
      <c r="F1111" s="3" t="s">
        <v>1052</v>
      </c>
      <c r="G1111" s="3" t="s">
        <v>62</v>
      </c>
      <c r="H1111" s="2" t="s">
        <v>21</v>
      </c>
      <c r="I1111" s="2" t="s">
        <v>2620</v>
      </c>
      <c r="J1111" s="3" t="str">
        <f>HYPERLINK("https://www.boe.es/gazeta/dias/1820/09/25/pdfs/GGB-1820-89.pdf#page=3","Abrir facsímil")</f>
        <v>Abrir facsímil</v>
      </c>
      <c r="K1111" s="3" t="s">
        <v>23</v>
      </c>
    </row>
    <row r="1112" spans="1:11" ht="42" customHeight="1">
      <c r="A1112" s="2" t="s">
        <v>2610</v>
      </c>
      <c r="B1112" s="2" t="s">
        <v>2610</v>
      </c>
      <c r="C1112" s="2" t="s">
        <v>26</v>
      </c>
      <c r="D1112" s="2" t="s">
        <v>27</v>
      </c>
      <c r="E1112" s="5">
        <v>-28942</v>
      </c>
      <c r="F1112" s="3" t="s">
        <v>244</v>
      </c>
      <c r="G1112" s="3" t="s">
        <v>62</v>
      </c>
      <c r="H1112" s="2" t="s">
        <v>21</v>
      </c>
      <c r="I1112" s="2" t="s">
        <v>2621</v>
      </c>
      <c r="J1112" s="3" t="str">
        <f>HYPERLINK("https://www.boe.es/gazeta/dias/1820/10/03/pdfs/GGB-1820-97.pdf#page=3","Abrir facsímil")</f>
        <v>Abrir facsímil</v>
      </c>
      <c r="K1112" s="3" t="s">
        <v>23</v>
      </c>
    </row>
    <row r="1113" spans="1:11" ht="42" customHeight="1">
      <c r="A1113" s="2" t="s">
        <v>2610</v>
      </c>
      <c r="B1113" s="2" t="s">
        <v>2610</v>
      </c>
      <c r="C1113" s="2" t="s">
        <v>47</v>
      </c>
      <c r="D1113" s="2" t="s">
        <v>18</v>
      </c>
      <c r="E1113" s="5">
        <v>-28933</v>
      </c>
      <c r="F1113" s="3" t="s">
        <v>720</v>
      </c>
      <c r="G1113" s="3" t="s">
        <v>43</v>
      </c>
      <c r="H1113" s="2" t="s">
        <v>21</v>
      </c>
      <c r="I1113" s="2" t="s">
        <v>2622</v>
      </c>
      <c r="J1113" s="3" t="str">
        <f>HYPERLINK("https://www.boe.es/gazeta/dias/1820/10/12/pdfs/GGB-1820-106.pdf#page=2","Abrir facsímil")</f>
        <v>Abrir facsímil</v>
      </c>
      <c r="K1113" s="3" t="s">
        <v>23</v>
      </c>
    </row>
    <row r="1114" spans="1:11" ht="42" customHeight="1">
      <c r="A1114" s="2" t="s">
        <v>2610</v>
      </c>
      <c r="B1114" s="2" t="s">
        <v>2610</v>
      </c>
      <c r="C1114" s="2" t="s">
        <v>111</v>
      </c>
      <c r="D1114" s="2" t="s">
        <v>18</v>
      </c>
      <c r="E1114" s="5">
        <v>-28927</v>
      </c>
      <c r="F1114" s="3" t="s">
        <v>345</v>
      </c>
      <c r="G1114" s="3" t="s">
        <v>20</v>
      </c>
      <c r="H1114" s="2" t="s">
        <v>21</v>
      </c>
      <c r="I1114" s="2" t="s">
        <v>2623</v>
      </c>
      <c r="J1114" s="3" t="str">
        <f>HYPERLINK("https://www.boe.es/gazeta/dias/1820/10/18/pdfs/GGB-1820-112.pdf#page=4","Abrir facsímil")</f>
        <v>Abrir facsímil</v>
      </c>
      <c r="K1114" s="3" t="s">
        <v>23</v>
      </c>
    </row>
    <row r="1115" spans="1:11" ht="42" customHeight="1">
      <c r="A1115" s="2" t="s">
        <v>2624</v>
      </c>
      <c r="B1115" s="2" t="s">
        <v>2625</v>
      </c>
      <c r="C1115" s="2" t="s">
        <v>47</v>
      </c>
      <c r="D1115" s="2" t="s">
        <v>18</v>
      </c>
      <c r="E1115" s="5">
        <v>-29183</v>
      </c>
      <c r="F1115" s="3" t="s">
        <v>476</v>
      </c>
      <c r="G1115" s="3" t="s">
        <v>295</v>
      </c>
      <c r="H1115" s="2" t="s">
        <v>21</v>
      </c>
      <c r="I1115" s="2" t="s">
        <v>2626</v>
      </c>
      <c r="J1115" s="3" t="str">
        <f>HYPERLINK("https://www.boe.es/gazeta/dias/1820/02/05/pdfs/GMD-1820-16.pdf#page=8","Abrir facsímil")</f>
        <v>Abrir facsímil</v>
      </c>
      <c r="K1115" s="3" t="s">
        <v>23</v>
      </c>
    </row>
    <row r="1116" spans="1:11" ht="42" customHeight="1">
      <c r="A1116" s="2" t="s">
        <v>2627</v>
      </c>
      <c r="B1116" s="2" t="s">
        <v>2628</v>
      </c>
      <c r="C1116" s="2" t="s">
        <v>293</v>
      </c>
      <c r="D1116" s="2" t="s">
        <v>18</v>
      </c>
      <c r="E1116" s="5">
        <v>-28985</v>
      </c>
      <c r="F1116" s="3" t="s">
        <v>905</v>
      </c>
      <c r="G1116" s="3" t="s">
        <v>928</v>
      </c>
      <c r="H1116" s="2" t="s">
        <v>21</v>
      </c>
      <c r="I1116" s="2" t="s">
        <v>2629</v>
      </c>
      <c r="J1116" s="3" t="str">
        <f>HYPERLINK("https://www.boe.es/gazeta/dias/1820/08/21/pdfs/GGB-1820-54.pdf#page=4","Abrir facsímil")</f>
        <v>Abrir facsímil</v>
      </c>
      <c r="K1116" s="3" t="s">
        <v>23</v>
      </c>
    </row>
    <row r="1117" spans="1:11" ht="42" customHeight="1">
      <c r="A1117" s="2" t="s">
        <v>2630</v>
      </c>
      <c r="B1117" s="2" t="s">
        <v>2630</v>
      </c>
      <c r="C1117" s="2" t="s">
        <v>35</v>
      </c>
      <c r="D1117" s="2" t="s">
        <v>36</v>
      </c>
      <c r="E1117" s="5">
        <v>-29019</v>
      </c>
      <c r="F1117" s="3" t="s">
        <v>655</v>
      </c>
      <c r="G1117" s="3" t="s">
        <v>62</v>
      </c>
      <c r="H1117" s="2" t="s">
        <v>21</v>
      </c>
      <c r="I1117" s="2" t="s">
        <v>2631</v>
      </c>
      <c r="J1117" s="3" t="str">
        <f>HYPERLINK("https://www.boe.es/gazeta/dias/1820/07/18/pdfs/GGB-1820-20.pdf#page=3","Abrir facsímil")</f>
        <v>Abrir facsímil</v>
      </c>
      <c r="K1117" s="3" t="s">
        <v>23</v>
      </c>
    </row>
    <row r="1118" spans="1:11" ht="42" customHeight="1">
      <c r="A1118" s="2" t="s">
        <v>2630</v>
      </c>
      <c r="B1118" s="2" t="s">
        <v>2630</v>
      </c>
      <c r="C1118" s="2" t="s">
        <v>17</v>
      </c>
      <c r="D1118" s="2" t="s">
        <v>18</v>
      </c>
      <c r="E1118" s="5">
        <v>-29010</v>
      </c>
      <c r="F1118" s="3" t="s">
        <v>664</v>
      </c>
      <c r="G1118" s="3" t="s">
        <v>62</v>
      </c>
      <c r="H1118" s="2" t="s">
        <v>21</v>
      </c>
      <c r="I1118" s="2" t="s">
        <v>2632</v>
      </c>
      <c r="J1118" s="3" t="str">
        <f>HYPERLINK("https://www.boe.es/gazeta/dias/1820/07/27/pdfs/GGB-1820-29.pdf#page=3","Abrir facsímil")</f>
        <v>Abrir facsímil</v>
      </c>
      <c r="K1118" s="3" t="s">
        <v>23</v>
      </c>
    </row>
    <row r="1119" spans="1:11" ht="42" customHeight="1">
      <c r="A1119" s="2" t="s">
        <v>2630</v>
      </c>
      <c r="B1119" s="2" t="s">
        <v>2630</v>
      </c>
      <c r="C1119" s="2" t="s">
        <v>26</v>
      </c>
      <c r="D1119" s="2" t="s">
        <v>27</v>
      </c>
      <c r="E1119" s="5">
        <v>-28999</v>
      </c>
      <c r="F1119" s="3" t="s">
        <v>342</v>
      </c>
      <c r="G1119" s="3" t="s">
        <v>343</v>
      </c>
      <c r="H1119" s="2" t="s">
        <v>21</v>
      </c>
      <c r="I1119" s="2" t="s">
        <v>2633</v>
      </c>
      <c r="J1119" s="3" t="str">
        <f>HYPERLINK("https://www.boe.es/gazeta/dias/1820/08/07/pdfs/GGB-1820-40.pdf#page=2","Abrir facsímil")</f>
        <v>Abrir facsímil</v>
      </c>
      <c r="K1119" s="3" t="s">
        <v>23</v>
      </c>
    </row>
    <row r="1120" spans="1:11" ht="42" customHeight="1">
      <c r="A1120" s="2" t="s">
        <v>2630</v>
      </c>
      <c r="B1120" s="2" t="s">
        <v>2630</v>
      </c>
      <c r="C1120" s="2" t="s">
        <v>35</v>
      </c>
      <c r="D1120" s="2" t="s">
        <v>36</v>
      </c>
      <c r="E1120" s="5">
        <v>-28998</v>
      </c>
      <c r="F1120" s="3" t="s">
        <v>629</v>
      </c>
      <c r="G1120" s="3" t="s">
        <v>43</v>
      </c>
      <c r="H1120" s="2" t="s">
        <v>21</v>
      </c>
      <c r="I1120" s="2" t="s">
        <v>2634</v>
      </c>
      <c r="J1120" s="3" t="str">
        <f>HYPERLINK("https://www.boe.es/gazeta/dias/1820/08/08/pdfs/GGB-1820-41.pdf#page=2","Abrir facsímil")</f>
        <v>Abrir facsímil</v>
      </c>
      <c r="K1120" s="3" t="s">
        <v>23</v>
      </c>
    </row>
    <row r="1121" spans="1:11" ht="42" customHeight="1">
      <c r="A1121" s="2" t="s">
        <v>2630</v>
      </c>
      <c r="B1121" s="2" t="s">
        <v>2630</v>
      </c>
      <c r="C1121" s="2" t="s">
        <v>74</v>
      </c>
      <c r="D1121" s="2" t="s">
        <v>18</v>
      </c>
      <c r="E1121" s="5">
        <v>-28990</v>
      </c>
      <c r="F1121" s="3" t="s">
        <v>61</v>
      </c>
      <c r="G1121" s="3" t="s">
        <v>1438</v>
      </c>
      <c r="H1121" s="2" t="s">
        <v>21</v>
      </c>
      <c r="I1121" s="2" t="s">
        <v>2635</v>
      </c>
      <c r="J1121" s="3" t="str">
        <f>HYPERLINK("https://www.boe.es/gazeta/dias/1820/08/16/pdfs/GGB-1820-49.pdf#page=4","Abrir facsímil")</f>
        <v>Abrir facsímil</v>
      </c>
      <c r="K1121" s="3" t="s">
        <v>23</v>
      </c>
    </row>
    <row r="1122" spans="1:11" ht="42" customHeight="1">
      <c r="A1122" s="2" t="s">
        <v>2630</v>
      </c>
      <c r="B1122" s="2" t="s">
        <v>2630</v>
      </c>
      <c r="C1122" s="2" t="s">
        <v>111</v>
      </c>
      <c r="D1122" s="2" t="s">
        <v>18</v>
      </c>
      <c r="E1122" s="5">
        <v>-28990</v>
      </c>
      <c r="F1122" s="3" t="s">
        <v>61</v>
      </c>
      <c r="G1122" s="3" t="s">
        <v>62</v>
      </c>
      <c r="H1122" s="2" t="s">
        <v>21</v>
      </c>
      <c r="I1122" s="2" t="s">
        <v>2636</v>
      </c>
      <c r="J1122" s="3" t="str">
        <f>HYPERLINK("https://www.boe.es/gazeta/dias/1820/08/16/pdfs/GGB-1820-49.pdf#page=3","Abrir facsímil")</f>
        <v>Abrir facsímil</v>
      </c>
      <c r="K1122" s="3" t="s">
        <v>23</v>
      </c>
    </row>
    <row r="1123" spans="1:11" ht="42" customHeight="1">
      <c r="A1123" s="2" t="s">
        <v>2630</v>
      </c>
      <c r="B1123" s="2" t="s">
        <v>2630</v>
      </c>
      <c r="C1123" s="2" t="s">
        <v>111</v>
      </c>
      <c r="D1123" s="2" t="s">
        <v>18</v>
      </c>
      <c r="E1123" s="5">
        <v>-28981</v>
      </c>
      <c r="F1123" s="3" t="s">
        <v>42</v>
      </c>
      <c r="G1123" s="3" t="s">
        <v>20</v>
      </c>
      <c r="H1123" s="2" t="s">
        <v>21</v>
      </c>
      <c r="I1123" s="2" t="s">
        <v>2637</v>
      </c>
      <c r="J1123" s="3" t="str">
        <f>HYPERLINK("https://www.boe.es/gazeta/dias/1820/08/25/pdfs/GGB-1820-58.pdf#page=4","Abrir facsímil")</f>
        <v>Abrir facsímil</v>
      </c>
      <c r="K1123" s="3" t="s">
        <v>23</v>
      </c>
    </row>
    <row r="1124" spans="1:11" ht="42" customHeight="1">
      <c r="A1124" s="2" t="s">
        <v>2638</v>
      </c>
      <c r="B1124" s="2" t="s">
        <v>2639</v>
      </c>
      <c r="C1124" s="2" t="s">
        <v>111</v>
      </c>
      <c r="D1124" s="2" t="s">
        <v>18</v>
      </c>
      <c r="E1124" s="5">
        <v>-28906</v>
      </c>
      <c r="F1124" s="3" t="s">
        <v>232</v>
      </c>
      <c r="G1124" s="3" t="s">
        <v>20</v>
      </c>
      <c r="H1124" s="2" t="s">
        <v>21</v>
      </c>
      <c r="I1124" s="2" t="s">
        <v>2640</v>
      </c>
      <c r="J1124" s="3" t="str">
        <f>HYPERLINK("https://www.boe.es/gazeta/dias/1820/11/08/pdfs/GGB-1820-133.pdf#page=4","Abrir facsímil")</f>
        <v>Abrir facsímil</v>
      </c>
      <c r="K1124" s="3" t="s">
        <v>23</v>
      </c>
    </row>
    <row r="1125" spans="1:11" ht="42" customHeight="1">
      <c r="A1125" s="2" t="s">
        <v>2641</v>
      </c>
      <c r="B1125" s="2" t="s">
        <v>2642</v>
      </c>
      <c r="C1125" s="2" t="s">
        <v>17</v>
      </c>
      <c r="D1125" s="2" t="s">
        <v>18</v>
      </c>
      <c r="E1125" s="5">
        <v>-28965</v>
      </c>
      <c r="F1125" s="3" t="s">
        <v>1520</v>
      </c>
      <c r="G1125" s="3" t="s">
        <v>20</v>
      </c>
      <c r="H1125" s="2" t="s">
        <v>21</v>
      </c>
      <c r="I1125" s="2" t="s">
        <v>2643</v>
      </c>
      <c r="J1125" s="3" t="str">
        <f>HYPERLINK("https://www.boe.es/gazeta/dias/1820/09/10/pdfs/GGB-1820-74.pdf#page=4","Abrir facsímil")</f>
        <v>Abrir facsímil</v>
      </c>
      <c r="K1125" s="3" t="s">
        <v>23</v>
      </c>
    </row>
    <row r="1126" spans="1:11" ht="42" customHeight="1">
      <c r="A1126" s="2" t="s">
        <v>2641</v>
      </c>
      <c r="B1126" s="2" t="s">
        <v>2642</v>
      </c>
      <c r="C1126" s="2" t="s">
        <v>74</v>
      </c>
      <c r="D1126" s="2" t="s">
        <v>18</v>
      </c>
      <c r="E1126" s="5">
        <v>-28963</v>
      </c>
      <c r="F1126" s="3" t="s">
        <v>94</v>
      </c>
      <c r="G1126" s="3" t="s">
        <v>95</v>
      </c>
      <c r="H1126" s="2" t="s">
        <v>21</v>
      </c>
      <c r="I1126" s="2" t="s">
        <v>2644</v>
      </c>
      <c r="J1126" s="3" t="str">
        <f>HYPERLINK("https://www.boe.es/gazeta/dias/1820/09/12/pdfs/GGB-1820-76.pdf#page=4","Abrir facsímil")</f>
        <v>Abrir facsímil</v>
      </c>
      <c r="K1126" s="3" t="s">
        <v>23</v>
      </c>
    </row>
    <row r="1127" spans="1:11" ht="42" customHeight="1">
      <c r="A1127" s="2" t="s">
        <v>2645</v>
      </c>
      <c r="B1127" s="2" t="s">
        <v>2646</v>
      </c>
      <c r="C1127" s="2" t="s">
        <v>17</v>
      </c>
      <c r="D1127" s="2" t="s">
        <v>18</v>
      </c>
      <c r="E1127" s="5">
        <v>-28931</v>
      </c>
      <c r="F1127" s="3" t="s">
        <v>724</v>
      </c>
      <c r="G1127" s="3" t="s">
        <v>20</v>
      </c>
      <c r="H1127" s="2" t="s">
        <v>30</v>
      </c>
      <c r="I1127" s="2" t="s">
        <v>2647</v>
      </c>
      <c r="J1127" s="3" t="str">
        <f>HYPERLINK("https://www.boe.es/gazeta/dias/1820/10/14/pdfs/GGB-1820-108.pdf#page=4","Abrir facsímil")</f>
        <v>Abrir facsímil</v>
      </c>
      <c r="K1127" s="3" t="s">
        <v>32</v>
      </c>
    </row>
    <row r="1128" spans="1:11" ht="42" customHeight="1">
      <c r="A1128" s="2" t="s">
        <v>2648</v>
      </c>
      <c r="B1128" s="2" t="s">
        <v>2649</v>
      </c>
      <c r="C1128" s="2" t="s">
        <v>74</v>
      </c>
      <c r="D1128" s="2" t="s">
        <v>18</v>
      </c>
      <c r="E1128" s="5">
        <v>-29015</v>
      </c>
      <c r="F1128" s="3" t="s">
        <v>359</v>
      </c>
      <c r="G1128" s="3" t="s">
        <v>20</v>
      </c>
      <c r="H1128" s="2" t="s">
        <v>21</v>
      </c>
      <c r="I1128" s="2" t="s">
        <v>2650</v>
      </c>
      <c r="J1128" s="3" t="str">
        <f>HYPERLINK("https://www.boe.es/gazeta/dias/1820/07/22/pdfs/GGB-1820-24.pdf#page=4","Abrir facsímil")</f>
        <v>Abrir facsímil</v>
      </c>
      <c r="K1128" s="3" t="s">
        <v>23</v>
      </c>
    </row>
    <row r="1129" spans="1:11" ht="42" customHeight="1">
      <c r="A1129" s="2" t="s">
        <v>2651</v>
      </c>
      <c r="B1129" s="2" t="s">
        <v>2651</v>
      </c>
      <c r="C1129" s="2" t="s">
        <v>35</v>
      </c>
      <c r="D1129" s="2" t="s">
        <v>36</v>
      </c>
      <c r="E1129" s="5">
        <v>-29000</v>
      </c>
      <c r="F1129" s="3" t="s">
        <v>670</v>
      </c>
      <c r="G1129" s="3" t="s">
        <v>43</v>
      </c>
      <c r="H1129" s="2" t="s">
        <v>21</v>
      </c>
      <c r="I1129" s="2" t="s">
        <v>2652</v>
      </c>
      <c r="J1129" s="3" t="str">
        <f>HYPERLINK("https://www.boe.es/gazeta/dias/1820/08/06/pdfs/GGB-1820-39.pdf#page=2","Abrir facsímil")</f>
        <v>Abrir facsímil</v>
      </c>
      <c r="K1129" s="3" t="s">
        <v>23</v>
      </c>
    </row>
    <row r="1130" spans="1:11" ht="42" customHeight="1">
      <c r="A1130" s="2" t="s">
        <v>2653</v>
      </c>
      <c r="B1130" s="2" t="s">
        <v>2654</v>
      </c>
      <c r="C1130" s="2" t="s">
        <v>17</v>
      </c>
      <c r="D1130" s="2" t="s">
        <v>18</v>
      </c>
      <c r="E1130" s="5">
        <v>-28996</v>
      </c>
      <c r="F1130" s="3" t="s">
        <v>636</v>
      </c>
      <c r="G1130" s="3" t="s">
        <v>1039</v>
      </c>
      <c r="H1130" s="2" t="s">
        <v>30</v>
      </c>
      <c r="I1130" s="2" t="s">
        <v>2655</v>
      </c>
      <c r="J1130" s="3" t="str">
        <f>HYPERLINK("https://www.boe.es/gazeta/dias/1820/08/10/pdfs/GGB-1820-43.pdf#page=2","Abrir facsímil")</f>
        <v>Abrir facsímil</v>
      </c>
      <c r="K1130" s="3" t="s">
        <v>32</v>
      </c>
    </row>
    <row r="1131" spans="1:11" ht="42" customHeight="1">
      <c r="A1131" s="2" t="s">
        <v>2656</v>
      </c>
      <c r="B1131" s="2" t="s">
        <v>2657</v>
      </c>
      <c r="C1131" s="2" t="s">
        <v>47</v>
      </c>
      <c r="D1131" s="2" t="s">
        <v>18</v>
      </c>
      <c r="E1131" s="5">
        <v>-29157</v>
      </c>
      <c r="F1131" s="3" t="s">
        <v>2658</v>
      </c>
      <c r="G1131" s="3" t="s">
        <v>2659</v>
      </c>
      <c r="H1131" s="2" t="s">
        <v>21</v>
      </c>
      <c r="I1131" s="2" t="s">
        <v>2660</v>
      </c>
      <c r="J1131" s="3" t="str">
        <f>HYPERLINK("https://www.boe.es/gazeta/dias/1820/03/02/pdfs/GMD-1820-27.pdf#page=8","Abrir facsímil")</f>
        <v>Abrir facsímil</v>
      </c>
      <c r="K1131" s="3" t="s">
        <v>23</v>
      </c>
    </row>
    <row r="1132" spans="1:11" ht="42" customHeight="1">
      <c r="A1132" s="2" t="s">
        <v>2661</v>
      </c>
      <c r="B1132" s="2" t="s">
        <v>2662</v>
      </c>
      <c r="C1132" s="2" t="s">
        <v>26</v>
      </c>
      <c r="D1132" s="2" t="s">
        <v>27</v>
      </c>
      <c r="E1132" s="5">
        <v>-29211</v>
      </c>
      <c r="F1132" s="3" t="s">
        <v>578</v>
      </c>
      <c r="G1132" s="3" t="s">
        <v>256</v>
      </c>
      <c r="H1132" s="2" t="s">
        <v>21</v>
      </c>
      <c r="I1132" s="2" t="s">
        <v>2663</v>
      </c>
      <c r="J1132" s="3" t="str">
        <f>HYPERLINK("https://www.boe.es/gazeta/dias/1820/01/08/pdfs/GMD-1820-4.pdf#page=5","Abrir facsímil")</f>
        <v>Abrir facsímil</v>
      </c>
      <c r="K1132" s="3" t="s">
        <v>23</v>
      </c>
    </row>
    <row r="1133" spans="1:11" ht="42" customHeight="1">
      <c r="A1133" s="2" t="s">
        <v>2664</v>
      </c>
      <c r="B1133" s="2" t="s">
        <v>2664</v>
      </c>
      <c r="C1133" s="2" t="s">
        <v>74</v>
      </c>
      <c r="D1133" s="2" t="s">
        <v>18</v>
      </c>
      <c r="E1133" s="5">
        <v>-29013</v>
      </c>
      <c r="F1133" s="3" t="s">
        <v>52</v>
      </c>
      <c r="G1133" s="3" t="s">
        <v>53</v>
      </c>
      <c r="H1133" s="2" t="s">
        <v>21</v>
      </c>
      <c r="I1133" s="2" t="s">
        <v>2665</v>
      </c>
      <c r="J1133" s="3" t="str">
        <f>HYPERLINK("https://www.boe.es/gazeta/dias/1820/07/24/pdfs/GGB-1820-26.pdf#page=3","Abrir facsímil")</f>
        <v>Abrir facsímil</v>
      </c>
      <c r="K1133" s="3" t="s">
        <v>23</v>
      </c>
    </row>
    <row r="1134" spans="1:11" ht="42" customHeight="1">
      <c r="A1134" s="2" t="s">
        <v>2664</v>
      </c>
      <c r="B1134" s="2" t="s">
        <v>2664</v>
      </c>
      <c r="C1134" s="2" t="s">
        <v>111</v>
      </c>
      <c r="D1134" s="2" t="s">
        <v>18</v>
      </c>
      <c r="E1134" s="5">
        <v>-29012</v>
      </c>
      <c r="F1134" s="3" t="s">
        <v>72</v>
      </c>
      <c r="G1134" s="3" t="s">
        <v>661</v>
      </c>
      <c r="H1134" s="2" t="s">
        <v>21</v>
      </c>
      <c r="I1134" s="2" t="s">
        <v>2666</v>
      </c>
      <c r="J1134" s="3" t="str">
        <f>HYPERLINK("https://www.boe.es/gazeta/dias/1820/07/25/pdfs/GGB-1820-27.pdf#page=2","Abrir facsímil")</f>
        <v>Abrir facsímil</v>
      </c>
      <c r="K1134" s="3" t="s">
        <v>23</v>
      </c>
    </row>
    <row r="1135" spans="1:11" ht="42" customHeight="1">
      <c r="A1135" s="2" t="s">
        <v>2664</v>
      </c>
      <c r="B1135" s="2" t="s">
        <v>2664</v>
      </c>
      <c r="C1135" s="2" t="s">
        <v>35</v>
      </c>
      <c r="D1135" s="2" t="s">
        <v>36</v>
      </c>
      <c r="E1135" s="5">
        <v>-29011</v>
      </c>
      <c r="F1135" s="3" t="s">
        <v>338</v>
      </c>
      <c r="G1135" s="3" t="s">
        <v>62</v>
      </c>
      <c r="H1135" s="2" t="s">
        <v>21</v>
      </c>
      <c r="I1135" s="2" t="s">
        <v>2667</v>
      </c>
      <c r="J1135" s="3" t="str">
        <f>HYPERLINK("https://www.boe.es/gazeta/dias/1820/07/26/pdfs/GGB-1820-28.pdf#page=3","Abrir facsímil")</f>
        <v>Abrir facsímil</v>
      </c>
      <c r="K1135" s="3" t="s">
        <v>23</v>
      </c>
    </row>
    <row r="1136" spans="1:11" ht="42" customHeight="1">
      <c r="A1136" s="2" t="s">
        <v>2664</v>
      </c>
      <c r="B1136" s="2" t="s">
        <v>2664</v>
      </c>
      <c r="C1136" s="2" t="s">
        <v>47</v>
      </c>
      <c r="D1136" s="2" t="s">
        <v>18</v>
      </c>
      <c r="E1136" s="5">
        <v>-28959</v>
      </c>
      <c r="F1136" s="3" t="s">
        <v>37</v>
      </c>
      <c r="G1136" s="3" t="s">
        <v>20</v>
      </c>
      <c r="H1136" s="2" t="s">
        <v>21</v>
      </c>
      <c r="I1136" s="2" t="s">
        <v>2668</v>
      </c>
      <c r="J1136" s="3" t="str">
        <f>HYPERLINK("https://www.boe.es/gazeta/dias/1820/09/16/pdfs/GGB-1820-80.pdf#page=4","Abrir facsímil")</f>
        <v>Abrir facsímil</v>
      </c>
      <c r="K1136" s="3" t="s">
        <v>23</v>
      </c>
    </row>
    <row r="1137" spans="1:11" ht="42" customHeight="1">
      <c r="A1137" s="2" t="s">
        <v>2664</v>
      </c>
      <c r="B1137" s="2" t="s">
        <v>2664</v>
      </c>
      <c r="C1137" s="2" t="s">
        <v>17</v>
      </c>
      <c r="D1137" s="2" t="s">
        <v>18</v>
      </c>
      <c r="E1137" s="5">
        <v>-28951</v>
      </c>
      <c r="F1137" s="3" t="s">
        <v>622</v>
      </c>
      <c r="G1137" s="3" t="s">
        <v>62</v>
      </c>
      <c r="H1137" s="2" t="s">
        <v>21</v>
      </c>
      <c r="I1137" s="2" t="s">
        <v>2669</v>
      </c>
      <c r="J1137" s="3" t="str">
        <f>HYPERLINK("https://www.boe.es/gazeta/dias/1820/09/24/pdfs/GGB-1820-88.pdf#page=3","Abrir facsímil")</f>
        <v>Abrir facsímil</v>
      </c>
      <c r="K1137" s="3" t="s">
        <v>23</v>
      </c>
    </row>
    <row r="1138" spans="1:11" ht="42" customHeight="1">
      <c r="A1138" s="2" t="s">
        <v>2664</v>
      </c>
      <c r="B1138" s="2" t="s">
        <v>2664</v>
      </c>
      <c r="C1138" s="2" t="s">
        <v>47</v>
      </c>
      <c r="D1138" s="2" t="s">
        <v>18</v>
      </c>
      <c r="E1138" s="5">
        <v>-28939</v>
      </c>
      <c r="F1138" s="3" t="s">
        <v>992</v>
      </c>
      <c r="G1138" s="3" t="s">
        <v>62</v>
      </c>
      <c r="H1138" s="2" t="s">
        <v>21</v>
      </c>
      <c r="I1138" s="2" t="s">
        <v>2670</v>
      </c>
      <c r="J1138" s="3" t="str">
        <f>HYPERLINK("https://www.boe.es/gazeta/dias/1820/10/06/pdfs/GGB-1820-100.pdf#page=3","Abrir facsímil")</f>
        <v>Abrir facsímil</v>
      </c>
      <c r="K1138" s="3" t="s">
        <v>23</v>
      </c>
    </row>
    <row r="1139" spans="1:11" ht="42" customHeight="1">
      <c r="A1139" s="2" t="s">
        <v>2664</v>
      </c>
      <c r="B1139" s="2" t="s">
        <v>2664</v>
      </c>
      <c r="C1139" s="2" t="s">
        <v>26</v>
      </c>
      <c r="D1139" s="2" t="s">
        <v>27</v>
      </c>
      <c r="E1139" s="5">
        <v>-28935</v>
      </c>
      <c r="F1139" s="3" t="s">
        <v>2464</v>
      </c>
      <c r="G1139" s="3" t="s">
        <v>43</v>
      </c>
      <c r="H1139" s="2" t="s">
        <v>21</v>
      </c>
      <c r="I1139" s="2" t="s">
        <v>2671</v>
      </c>
      <c r="J1139" s="3" t="str">
        <f>HYPERLINK("https://www.boe.es/gazeta/dias/1820/10/10/pdfs/GGB-1820-104.pdf#page=2","Abrir facsímil")</f>
        <v>Abrir facsímil</v>
      </c>
      <c r="K1139" s="3" t="s">
        <v>23</v>
      </c>
    </row>
    <row r="1140" spans="1:11" ht="42" customHeight="1">
      <c r="A1140" s="2" t="s">
        <v>2664</v>
      </c>
      <c r="B1140" s="2" t="s">
        <v>2664</v>
      </c>
      <c r="C1140" s="2" t="s">
        <v>74</v>
      </c>
      <c r="D1140" s="2" t="s">
        <v>18</v>
      </c>
      <c r="E1140" s="5">
        <v>-28927</v>
      </c>
      <c r="F1140" s="3" t="s">
        <v>345</v>
      </c>
      <c r="G1140" s="3" t="s">
        <v>20</v>
      </c>
      <c r="H1140" s="2" t="s">
        <v>21</v>
      </c>
      <c r="I1140" s="2" t="s">
        <v>2672</v>
      </c>
      <c r="J1140" s="3" t="str">
        <f>HYPERLINK("https://www.boe.es/gazeta/dias/1820/10/18/pdfs/GGB-1820-112.pdf#page=4","Abrir facsímil")</f>
        <v>Abrir facsímil</v>
      </c>
      <c r="K1140" s="3" t="s">
        <v>23</v>
      </c>
    </row>
    <row r="1141" spans="1:11" ht="42" customHeight="1">
      <c r="A1141" s="2" t="s">
        <v>2664</v>
      </c>
      <c r="B1141" s="2" t="s">
        <v>2664</v>
      </c>
      <c r="C1141" s="2" t="s">
        <v>26</v>
      </c>
      <c r="D1141" s="2" t="s">
        <v>27</v>
      </c>
      <c r="E1141" s="5">
        <v>-28904</v>
      </c>
      <c r="F1141" s="3" t="s">
        <v>541</v>
      </c>
      <c r="G1141" s="3" t="s">
        <v>20</v>
      </c>
      <c r="H1141" s="2" t="s">
        <v>21</v>
      </c>
      <c r="I1141" s="2" t="s">
        <v>2673</v>
      </c>
      <c r="J1141" s="3" t="str">
        <f>HYPERLINK("https://www.boe.es/gazeta/dias/1820/11/10/pdfs/GGB-1820-136.pdf#page=4","Abrir facsímil")</f>
        <v>Abrir facsímil</v>
      </c>
      <c r="K1141" s="3" t="s">
        <v>23</v>
      </c>
    </row>
    <row r="1142" spans="1:11" ht="42" customHeight="1">
      <c r="A1142" s="2" t="s">
        <v>2674</v>
      </c>
      <c r="B1142" s="2" t="s">
        <v>2675</v>
      </c>
      <c r="C1142" s="2" t="s">
        <v>17</v>
      </c>
      <c r="D1142" s="2" t="s">
        <v>18</v>
      </c>
      <c r="E1142" s="5">
        <v>-29138</v>
      </c>
      <c r="F1142" s="3" t="s">
        <v>200</v>
      </c>
      <c r="G1142" s="3" t="s">
        <v>201</v>
      </c>
      <c r="H1142" s="2" t="s">
        <v>21</v>
      </c>
      <c r="I1142" s="2" t="s">
        <v>2676</v>
      </c>
      <c r="J1142" s="3" t="str">
        <f>HYPERLINK("https://www.boe.es/gazeta/dias/1820/03/21/pdfs/GMD-1820-46.pdf#page=7","Abrir facsímil")</f>
        <v>Abrir facsímil</v>
      </c>
      <c r="K1142" s="3" t="s">
        <v>23</v>
      </c>
    </row>
    <row r="1143" spans="1:11" ht="42" customHeight="1">
      <c r="A1143" s="2" t="s">
        <v>2677</v>
      </c>
      <c r="B1143" s="2" t="s">
        <v>2678</v>
      </c>
      <c r="C1143" s="2" t="s">
        <v>293</v>
      </c>
      <c r="D1143" s="2" t="s">
        <v>18</v>
      </c>
      <c r="E1143" s="5">
        <v>-28997</v>
      </c>
      <c r="F1143" s="3" t="s">
        <v>1471</v>
      </c>
      <c r="G1143" s="3" t="s">
        <v>62</v>
      </c>
      <c r="H1143" s="2" t="s">
        <v>21</v>
      </c>
      <c r="I1143" s="2" t="s">
        <v>2679</v>
      </c>
      <c r="J1143" s="3" t="str">
        <f>HYPERLINK("https://www.boe.es/gazeta/dias/1820/08/09/pdfs/GGB-1820-42.pdf#page=3","Abrir facsímil")</f>
        <v>Abrir facsímil</v>
      </c>
      <c r="K1143" s="3" t="s">
        <v>23</v>
      </c>
    </row>
    <row r="1144" spans="1:11" ht="42" customHeight="1">
      <c r="A1144" s="2" t="s">
        <v>2677</v>
      </c>
      <c r="B1144" s="2" t="s">
        <v>2678</v>
      </c>
      <c r="C1144" s="2" t="s">
        <v>17</v>
      </c>
      <c r="D1144" s="2" t="s">
        <v>18</v>
      </c>
      <c r="E1144" s="5">
        <v>-28976</v>
      </c>
      <c r="F1144" s="3" t="s">
        <v>689</v>
      </c>
      <c r="G1144" s="3" t="s">
        <v>43</v>
      </c>
      <c r="H1144" s="2" t="s">
        <v>21</v>
      </c>
      <c r="I1144" s="2" t="s">
        <v>2680</v>
      </c>
      <c r="J1144" s="3" t="str">
        <f>HYPERLINK("https://www.boe.es/gazeta/dias/1820/08/30/pdfs/GGB-1820-63.pdf#page=2","Abrir facsímil")</f>
        <v>Abrir facsímil</v>
      </c>
      <c r="K1144" s="3" t="s">
        <v>23</v>
      </c>
    </row>
    <row r="1145" spans="1:11" ht="42" customHeight="1">
      <c r="A1145" s="2" t="s">
        <v>2677</v>
      </c>
      <c r="B1145" s="2" t="s">
        <v>2678</v>
      </c>
      <c r="C1145" s="2" t="s">
        <v>293</v>
      </c>
      <c r="D1145" s="2" t="s">
        <v>18</v>
      </c>
      <c r="E1145" s="5">
        <v>-28953</v>
      </c>
      <c r="F1145" s="3" t="s">
        <v>367</v>
      </c>
      <c r="G1145" s="3" t="s">
        <v>62</v>
      </c>
      <c r="H1145" s="2" t="s">
        <v>21</v>
      </c>
      <c r="I1145" s="2" t="s">
        <v>2681</v>
      </c>
      <c r="J1145" s="3" t="str">
        <f>HYPERLINK("https://www.boe.es/gazeta/dias/1820/09/22/pdfs/GGB-1820-86.pdf#page=3","Abrir facsímil")</f>
        <v>Abrir facsímil</v>
      </c>
      <c r="K1145" s="3" t="s">
        <v>23</v>
      </c>
    </row>
    <row r="1146" spans="1:11" ht="42" customHeight="1">
      <c r="A1146" s="2" t="s">
        <v>2677</v>
      </c>
      <c r="B1146" s="2" t="s">
        <v>2678</v>
      </c>
      <c r="C1146" s="2" t="s">
        <v>26</v>
      </c>
      <c r="D1146" s="2" t="s">
        <v>27</v>
      </c>
      <c r="E1146" s="5">
        <v>-28925</v>
      </c>
      <c r="F1146" s="3" t="s">
        <v>228</v>
      </c>
      <c r="G1146" s="3" t="s">
        <v>128</v>
      </c>
      <c r="H1146" s="2" t="s">
        <v>21</v>
      </c>
      <c r="I1146" s="2" t="s">
        <v>2682</v>
      </c>
      <c r="J1146" s="3" t="str">
        <f>HYPERLINK("https://www.boe.es/gazeta/dias/1820/10/20/pdfs/GGB-1820-114.pdf#page=1","Abrir facsímil")</f>
        <v>Abrir facsímil</v>
      </c>
      <c r="K1146" s="3" t="s">
        <v>23</v>
      </c>
    </row>
    <row r="1147" spans="1:11" ht="42" customHeight="1">
      <c r="A1147" s="2" t="s">
        <v>2683</v>
      </c>
      <c r="B1147" s="2" t="s">
        <v>2684</v>
      </c>
      <c r="C1147" s="2" t="s">
        <v>26</v>
      </c>
      <c r="D1147" s="2" t="s">
        <v>310</v>
      </c>
      <c r="E1147" s="5">
        <v>-29138</v>
      </c>
      <c r="F1147" s="3" t="s">
        <v>2523</v>
      </c>
      <c r="G1147" s="3" t="s">
        <v>20</v>
      </c>
      <c r="H1147" s="2" t="s">
        <v>21</v>
      </c>
      <c r="I1147" s="2" t="s">
        <v>2685</v>
      </c>
      <c r="J1147" s="3" t="str">
        <f>HYPERLINK("https://www.boe.es/gazeta/dias/1820/03/21/pdfs/GMD-1820-48E.pdf#page=4","Abrir facsímil")</f>
        <v>Abrir facsímil</v>
      </c>
      <c r="K1147" s="3" t="s">
        <v>23</v>
      </c>
    </row>
    <row r="1148" spans="1:11" ht="42" customHeight="1">
      <c r="A1148" s="2" t="s">
        <v>2686</v>
      </c>
      <c r="B1148" s="2" t="s">
        <v>2687</v>
      </c>
      <c r="C1148" s="2" t="s">
        <v>17</v>
      </c>
      <c r="D1148" s="2" t="s">
        <v>18</v>
      </c>
      <c r="E1148" s="5">
        <v>-28916</v>
      </c>
      <c r="F1148" s="3" t="s">
        <v>2688</v>
      </c>
      <c r="G1148" s="3" t="s">
        <v>43</v>
      </c>
      <c r="H1148" s="2" t="s">
        <v>21</v>
      </c>
      <c r="I1148" s="2" t="s">
        <v>2689</v>
      </c>
      <c r="J1148" s="3" t="str">
        <f>HYPERLINK("https://www.boe.es/gazeta/dias/1820/10/29/pdfs/GGB-1820-123.pdf#page=2","Abrir facsímil")</f>
        <v>Abrir facsímil</v>
      </c>
      <c r="K1148" s="3" t="s">
        <v>23</v>
      </c>
    </row>
    <row r="1149" spans="1:11" ht="42" customHeight="1">
      <c r="A1149" s="2" t="s">
        <v>2690</v>
      </c>
      <c r="B1149" s="2" t="s">
        <v>2690</v>
      </c>
      <c r="C1149" s="2" t="s">
        <v>74</v>
      </c>
      <c r="D1149" s="2" t="s">
        <v>18</v>
      </c>
      <c r="E1149" s="5">
        <v>-28854</v>
      </c>
      <c r="F1149" s="3" t="s">
        <v>147</v>
      </c>
      <c r="G1149" s="3" t="s">
        <v>20</v>
      </c>
      <c r="H1149" s="2" t="s">
        <v>21</v>
      </c>
      <c r="I1149" s="2" t="s">
        <v>2691</v>
      </c>
      <c r="J1149" s="3" t="str">
        <f>HYPERLINK("https://www.boe.es/gazeta/dias/1820/12/30/pdfs/GGB-1820-187.pdf#page=4","Abrir facsímil")</f>
        <v>Abrir facsímil</v>
      </c>
      <c r="K1149" s="3" t="s">
        <v>23</v>
      </c>
    </row>
    <row r="1150" spans="1:11" ht="42" customHeight="1">
      <c r="A1150" s="2" t="s">
        <v>2692</v>
      </c>
      <c r="B1150" s="2" t="s">
        <v>2693</v>
      </c>
      <c r="C1150" s="2" t="s">
        <v>26</v>
      </c>
      <c r="D1150" s="2" t="s">
        <v>27</v>
      </c>
      <c r="E1150" s="5">
        <v>-29013</v>
      </c>
      <c r="F1150" s="3" t="s">
        <v>52</v>
      </c>
      <c r="G1150" s="3" t="s">
        <v>20</v>
      </c>
      <c r="H1150" s="2" t="s">
        <v>21</v>
      </c>
      <c r="I1150" s="2" t="s">
        <v>2694</v>
      </c>
      <c r="J1150" s="3" t="str">
        <f>HYPERLINK("https://www.boe.es/gazeta/dias/1820/07/24/pdfs/GGB-1820-26.pdf#page=4","Abrir facsímil")</f>
        <v>Abrir facsímil</v>
      </c>
      <c r="K1150" s="3" t="s">
        <v>23</v>
      </c>
    </row>
    <row r="1151" spans="1:11" ht="42" customHeight="1">
      <c r="A1151" s="2" t="s">
        <v>2695</v>
      </c>
      <c r="B1151" s="2" t="s">
        <v>2695</v>
      </c>
      <c r="C1151" s="2" t="s">
        <v>74</v>
      </c>
      <c r="D1151" s="2" t="s">
        <v>18</v>
      </c>
      <c r="E1151" s="5">
        <v>-28927</v>
      </c>
      <c r="F1151" s="3" t="s">
        <v>345</v>
      </c>
      <c r="G1151" s="3" t="s">
        <v>128</v>
      </c>
      <c r="H1151" s="2" t="s">
        <v>21</v>
      </c>
      <c r="I1151" s="2" t="s">
        <v>2696</v>
      </c>
      <c r="J1151" s="3" t="str">
        <f>HYPERLINK("https://www.boe.es/gazeta/dias/1820/10/18/pdfs/GGB-1820-112.pdf#page=1","Abrir facsímil")</f>
        <v>Abrir facsímil</v>
      </c>
      <c r="K1151" s="3" t="s">
        <v>23</v>
      </c>
    </row>
    <row r="1152" spans="1:11" ht="42" customHeight="1">
      <c r="A1152" s="2" t="s">
        <v>2697</v>
      </c>
      <c r="B1152" s="2" t="s">
        <v>2698</v>
      </c>
      <c r="C1152" s="2" t="s">
        <v>111</v>
      </c>
      <c r="D1152" s="2" t="s">
        <v>18</v>
      </c>
      <c r="E1152" s="5">
        <v>-29185</v>
      </c>
      <c r="F1152" s="3" t="s">
        <v>772</v>
      </c>
      <c r="G1152" s="3" t="s">
        <v>2699</v>
      </c>
      <c r="H1152" s="2" t="s">
        <v>30</v>
      </c>
      <c r="I1152" s="2" t="s">
        <v>2700</v>
      </c>
      <c r="J1152" s="3" t="str">
        <f>HYPERLINK("https://www.boe.es/gazeta/dias/1820/02/03/pdfs/GMD-1820-15.pdf#page=6","Abrir facsímil")</f>
        <v>Abrir facsímil</v>
      </c>
      <c r="K1152" s="3" t="s">
        <v>32</v>
      </c>
    </row>
    <row r="1153" spans="1:11" ht="42" customHeight="1">
      <c r="A1153" s="2" t="s">
        <v>2701</v>
      </c>
      <c r="B1153" s="2" t="s">
        <v>2702</v>
      </c>
      <c r="C1153" s="2" t="s">
        <v>35</v>
      </c>
      <c r="D1153" s="2" t="s">
        <v>36</v>
      </c>
      <c r="E1153" s="5">
        <v>-28991</v>
      </c>
      <c r="F1153" s="3" t="s">
        <v>213</v>
      </c>
      <c r="G1153" s="3" t="s">
        <v>214</v>
      </c>
      <c r="H1153" s="2" t="s">
        <v>30</v>
      </c>
      <c r="I1153" s="2" t="s">
        <v>2703</v>
      </c>
      <c r="J1153" s="3" t="str">
        <f>HYPERLINK("https://www.boe.es/gazeta/dias/1820/08/15/pdfs/GGB-1820-48.pdf#page=2","Abrir facsímil")</f>
        <v>Abrir facsímil</v>
      </c>
      <c r="K1153" s="3" t="s">
        <v>32</v>
      </c>
    </row>
    <row r="1154" spans="1:11" ht="42" customHeight="1">
      <c r="A1154" s="2" t="s">
        <v>2704</v>
      </c>
      <c r="B1154" s="2" t="s">
        <v>2705</v>
      </c>
      <c r="C1154" s="2" t="s">
        <v>17</v>
      </c>
      <c r="D1154" s="2" t="s">
        <v>18</v>
      </c>
      <c r="E1154" s="5">
        <v>-29087</v>
      </c>
      <c r="F1154" s="3" t="s">
        <v>1018</v>
      </c>
      <c r="G1154" s="3" t="s">
        <v>38</v>
      </c>
      <c r="H1154" s="2" t="s">
        <v>21</v>
      </c>
      <c r="I1154" s="2" t="s">
        <v>2706</v>
      </c>
      <c r="J1154" s="3" t="str">
        <f>HYPERLINK("https://www.boe.es/gazeta/dias/1820/05/11/pdfs/GMD-1820-78.pdf#page=6","Abrir facsímil")</f>
        <v>Abrir facsímil</v>
      </c>
      <c r="K1154" s="3" t="s">
        <v>23</v>
      </c>
    </row>
    <row r="1155" spans="1:11" ht="42" customHeight="1">
      <c r="A1155" s="2" t="s">
        <v>2707</v>
      </c>
      <c r="B1155" s="2" t="s">
        <v>2708</v>
      </c>
      <c r="C1155" s="2" t="s">
        <v>111</v>
      </c>
      <c r="D1155" s="2" t="s">
        <v>18</v>
      </c>
      <c r="E1155" s="5">
        <v>-28961</v>
      </c>
      <c r="F1155" s="3" t="s">
        <v>242</v>
      </c>
      <c r="G1155" s="3" t="s">
        <v>43</v>
      </c>
      <c r="H1155" s="2" t="s">
        <v>21</v>
      </c>
      <c r="I1155" s="2" t="s">
        <v>2709</v>
      </c>
      <c r="J1155" s="3" t="str">
        <f>HYPERLINK("https://www.boe.es/gazeta/dias/1820/09/14/pdfs/GGB-1820-78.pdf#page=2","Abrir facsímil")</f>
        <v>Abrir facsímil</v>
      </c>
      <c r="K1155" s="3" t="s">
        <v>23</v>
      </c>
    </row>
    <row r="1156" spans="1:11" ht="42" customHeight="1">
      <c r="A1156" s="2" t="s">
        <v>2710</v>
      </c>
      <c r="B1156" s="2" t="s">
        <v>2711</v>
      </c>
      <c r="C1156" s="2" t="s">
        <v>35</v>
      </c>
      <c r="D1156" s="2" t="s">
        <v>310</v>
      </c>
      <c r="E1156" s="5">
        <v>-29142</v>
      </c>
      <c r="F1156" s="3" t="s">
        <v>2712</v>
      </c>
      <c r="G1156" s="3" t="s">
        <v>43</v>
      </c>
      <c r="H1156" s="2" t="s">
        <v>21</v>
      </c>
      <c r="I1156" s="2" t="s">
        <v>2713</v>
      </c>
      <c r="J1156" s="3" t="str">
        <f>HYPERLINK("https://www.boe.es/gazeta/dias/1820/03/17/pdfs/GMD-1820-43E.pdf#page=2","Abrir facsímil")</f>
        <v>Abrir facsímil</v>
      </c>
      <c r="K1156" s="3" t="s">
        <v>23</v>
      </c>
    </row>
    <row r="1157" spans="1:11" ht="42" customHeight="1">
      <c r="A1157" s="2" t="s">
        <v>2714</v>
      </c>
      <c r="B1157" s="2" t="s">
        <v>2715</v>
      </c>
      <c r="C1157" s="2" t="s">
        <v>35</v>
      </c>
      <c r="D1157" s="2" t="s">
        <v>36</v>
      </c>
      <c r="E1157" s="5">
        <v>-29017</v>
      </c>
      <c r="F1157" s="3" t="s">
        <v>274</v>
      </c>
      <c r="G1157" s="3" t="s">
        <v>62</v>
      </c>
      <c r="H1157" s="2" t="s">
        <v>21</v>
      </c>
      <c r="I1157" s="2" t="s">
        <v>2716</v>
      </c>
      <c r="J1157" s="3" t="str">
        <f>HYPERLINK("https://www.boe.es/gazeta/dias/1820/07/20/pdfs/GGB-1820-22.pdf#page=3","Abrir facsímil")</f>
        <v>Abrir facsímil</v>
      </c>
      <c r="K1157" s="3" t="s">
        <v>23</v>
      </c>
    </row>
    <row r="1158" spans="1:11" ht="42" customHeight="1">
      <c r="A1158" s="2" t="s">
        <v>2717</v>
      </c>
      <c r="B1158" s="2" t="s">
        <v>2717</v>
      </c>
      <c r="C1158" s="2" t="s">
        <v>35</v>
      </c>
      <c r="D1158" s="2" t="s">
        <v>36</v>
      </c>
      <c r="E1158" s="5">
        <v>-28981</v>
      </c>
      <c r="F1158" s="3" t="s">
        <v>42</v>
      </c>
      <c r="G1158" s="3" t="s">
        <v>20</v>
      </c>
      <c r="H1158" s="2" t="s">
        <v>21</v>
      </c>
      <c r="I1158" s="2" t="s">
        <v>2718</v>
      </c>
      <c r="J1158" s="3" t="str">
        <f>HYPERLINK("https://www.boe.es/gazeta/dias/1820/08/25/pdfs/GGB-1820-58.pdf#page=4","Abrir facsímil")</f>
        <v>Abrir facsímil</v>
      </c>
      <c r="K1158" s="3" t="s">
        <v>23</v>
      </c>
    </row>
    <row r="1159" spans="1:11" ht="42" customHeight="1">
      <c r="A1159" s="2" t="s">
        <v>2717</v>
      </c>
      <c r="B1159" s="2" t="s">
        <v>2717</v>
      </c>
      <c r="C1159" s="2" t="s">
        <v>74</v>
      </c>
      <c r="D1159" s="2" t="s">
        <v>18</v>
      </c>
      <c r="E1159" s="5">
        <v>-28956</v>
      </c>
      <c r="F1159" s="3" t="s">
        <v>190</v>
      </c>
      <c r="G1159" s="3" t="s">
        <v>43</v>
      </c>
      <c r="H1159" s="2" t="s">
        <v>21</v>
      </c>
      <c r="I1159" s="2" t="s">
        <v>2719</v>
      </c>
      <c r="J1159" s="3" t="str">
        <f>HYPERLINK("https://www.boe.es/gazeta/dias/1820/09/19/pdfs/GGB-1820-83.pdf#page=2","Abrir facsímil")</f>
        <v>Abrir facsímil</v>
      </c>
      <c r="K1159" s="3" t="s">
        <v>23</v>
      </c>
    </row>
    <row r="1160" spans="1:11" ht="42" customHeight="1">
      <c r="A1160" s="2" t="s">
        <v>2720</v>
      </c>
      <c r="B1160" s="2" t="s">
        <v>2721</v>
      </c>
      <c r="C1160" s="2" t="s">
        <v>35</v>
      </c>
      <c r="D1160" s="2" t="s">
        <v>36</v>
      </c>
      <c r="E1160" s="5">
        <v>-29018</v>
      </c>
      <c r="F1160" s="3" t="s">
        <v>601</v>
      </c>
      <c r="G1160" s="3" t="s">
        <v>62</v>
      </c>
      <c r="H1160" s="2" t="s">
        <v>21</v>
      </c>
      <c r="I1160" s="2" t="s">
        <v>2722</v>
      </c>
      <c r="J1160" s="3" t="str">
        <f>HYPERLINK("https://www.boe.es/gazeta/dias/1820/07/19/pdfs/GGB-1820-21.pdf#page=3","Abrir facsímil")</f>
        <v>Abrir facsímil</v>
      </c>
      <c r="K1160" s="3" t="s">
        <v>23</v>
      </c>
    </row>
    <row r="1161" spans="1:11" ht="42" customHeight="1">
      <c r="A1161" s="2" t="s">
        <v>2720</v>
      </c>
      <c r="B1161" s="2" t="s">
        <v>2721</v>
      </c>
      <c r="C1161" s="2" t="s">
        <v>35</v>
      </c>
      <c r="D1161" s="2" t="s">
        <v>36</v>
      </c>
      <c r="E1161" s="5">
        <v>-28926</v>
      </c>
      <c r="F1161" s="3" t="s">
        <v>597</v>
      </c>
      <c r="G1161" s="3" t="s">
        <v>43</v>
      </c>
      <c r="H1161" s="2" t="s">
        <v>21</v>
      </c>
      <c r="I1161" s="2" t="s">
        <v>2723</v>
      </c>
      <c r="J1161" s="3" t="str">
        <f>HYPERLINK("https://www.boe.es/gazeta/dias/1820/10/19/pdfs/GGB-1820-113.pdf#page=2","Abrir facsímil")</f>
        <v>Abrir facsímil</v>
      </c>
      <c r="K1161" s="3" t="s">
        <v>23</v>
      </c>
    </row>
    <row r="1162" spans="1:11" ht="42" customHeight="1">
      <c r="A1162" s="2" t="s">
        <v>2724</v>
      </c>
      <c r="B1162" s="2" t="s">
        <v>2724</v>
      </c>
      <c r="C1162" s="2" t="s">
        <v>26</v>
      </c>
      <c r="D1162" s="2" t="s">
        <v>27</v>
      </c>
      <c r="E1162" s="5">
        <v>-28887</v>
      </c>
      <c r="F1162" s="3" t="s">
        <v>2098</v>
      </c>
      <c r="G1162" s="3" t="s">
        <v>128</v>
      </c>
      <c r="H1162" s="2" t="s">
        <v>21</v>
      </c>
      <c r="I1162" s="2" t="s">
        <v>2725</v>
      </c>
      <c r="J1162" s="3" t="str">
        <f>HYPERLINK("https://www.boe.es/gazeta/dias/1820/11/27/pdfs/GGB-1820-154.pdf#page=1","Abrir facsímil")</f>
        <v>Abrir facsímil</v>
      </c>
      <c r="K1162" s="3" t="s">
        <v>23</v>
      </c>
    </row>
    <row r="1163" spans="1:11" ht="42" customHeight="1">
      <c r="A1163" s="2" t="s">
        <v>2726</v>
      </c>
      <c r="B1163" s="2" t="s">
        <v>2727</v>
      </c>
      <c r="C1163" s="2" t="s">
        <v>26</v>
      </c>
      <c r="D1163" s="2" t="s">
        <v>27</v>
      </c>
      <c r="E1163" s="5">
        <v>-29199</v>
      </c>
      <c r="F1163" s="3" t="s">
        <v>1178</v>
      </c>
      <c r="G1163" s="3" t="s">
        <v>201</v>
      </c>
      <c r="H1163" s="2" t="s">
        <v>21</v>
      </c>
      <c r="I1163" s="2" t="s">
        <v>2728</v>
      </c>
      <c r="J1163" s="3" t="str">
        <f>HYPERLINK("https://www.boe.es/gazeta/dias/1820/01/20/pdfs/GMD-1820-9.pdf#page=7","Abrir facsímil")</f>
        <v>Abrir facsímil</v>
      </c>
      <c r="K1163" s="3" t="s">
        <v>23</v>
      </c>
    </row>
    <row r="1164" spans="1:11" ht="42" customHeight="1">
      <c r="A1164" s="2" t="s">
        <v>2729</v>
      </c>
      <c r="B1164" s="2" t="s">
        <v>2730</v>
      </c>
      <c r="C1164" s="2" t="s">
        <v>26</v>
      </c>
      <c r="D1164" s="2" t="s">
        <v>27</v>
      </c>
      <c r="E1164" s="5">
        <v>-28923</v>
      </c>
      <c r="F1164" s="3" t="s">
        <v>648</v>
      </c>
      <c r="G1164" s="3" t="s">
        <v>62</v>
      </c>
      <c r="H1164" s="2" t="s">
        <v>21</v>
      </c>
      <c r="I1164" s="2" t="s">
        <v>2731</v>
      </c>
      <c r="J1164" s="3" t="str">
        <f>HYPERLINK("https://www.boe.es/gazeta/dias/1820/10/22/pdfs/GGB-1820-116.pdf#page=3","Abrir facsímil")</f>
        <v>Abrir facsímil</v>
      </c>
      <c r="K1164" s="3" t="s">
        <v>23</v>
      </c>
    </row>
    <row r="1165" spans="1:11" ht="42" customHeight="1">
      <c r="A1165" s="2" t="s">
        <v>2732</v>
      </c>
      <c r="B1165" s="2" t="s">
        <v>2733</v>
      </c>
      <c r="C1165" s="2" t="s">
        <v>47</v>
      </c>
      <c r="D1165" s="2" t="s">
        <v>18</v>
      </c>
      <c r="E1165" s="5">
        <v>-29115</v>
      </c>
      <c r="F1165" s="3" t="s">
        <v>289</v>
      </c>
      <c r="G1165" s="3" t="s">
        <v>20</v>
      </c>
      <c r="H1165" s="2" t="s">
        <v>30</v>
      </c>
      <c r="I1165" s="2" t="s">
        <v>2734</v>
      </c>
      <c r="J1165" s="3" t="str">
        <f>HYPERLINK("https://www.boe.es/gazeta/dias/1820/04/13/pdfs/GMD-1820-65.pdf#page=4","Abrir facsímil")</f>
        <v>Abrir facsímil</v>
      </c>
      <c r="K1165" s="3" t="s">
        <v>32</v>
      </c>
    </row>
    <row r="1166" spans="1:11" ht="42" customHeight="1">
      <c r="A1166" s="2" t="s">
        <v>2735</v>
      </c>
      <c r="B1166" s="2" t="s">
        <v>2736</v>
      </c>
      <c r="C1166" s="2" t="s">
        <v>111</v>
      </c>
      <c r="D1166" s="2" t="s">
        <v>18</v>
      </c>
      <c r="E1166" s="5">
        <v>-28875</v>
      </c>
      <c r="F1166" s="3" t="s">
        <v>2737</v>
      </c>
      <c r="G1166" s="3" t="s">
        <v>20</v>
      </c>
      <c r="H1166" s="2" t="s">
        <v>21</v>
      </c>
      <c r="I1166" s="2" t="s">
        <v>2738</v>
      </c>
      <c r="J1166" s="3" t="str">
        <f>HYPERLINK("https://www.boe.es/gazeta/dias/1820/12/09/pdfs/GGB-1820-166.pdf#page=4","Abrir facsímil")</f>
        <v>Abrir facsímil</v>
      </c>
      <c r="K1166" s="3" t="s">
        <v>23</v>
      </c>
    </row>
    <row r="1167" spans="1:11" ht="42" customHeight="1">
      <c r="A1167" s="2" t="s">
        <v>2739</v>
      </c>
      <c r="B1167" s="2" t="s">
        <v>2740</v>
      </c>
      <c r="C1167" s="2" t="s">
        <v>17</v>
      </c>
      <c r="D1167" s="2" t="s">
        <v>18</v>
      </c>
      <c r="E1167" s="5">
        <v>-28878</v>
      </c>
      <c r="F1167" s="3" t="s">
        <v>866</v>
      </c>
      <c r="G1167" s="3" t="s">
        <v>20</v>
      </c>
      <c r="H1167" s="2" t="s">
        <v>21</v>
      </c>
      <c r="I1167" s="2" t="s">
        <v>2741</v>
      </c>
      <c r="J1167" s="3" t="str">
        <f>HYPERLINK("https://www.boe.es/gazeta/dias/1820/12/06/pdfs/GGB-1820-163.pdf#page=4","Abrir facsímil")</f>
        <v>Abrir facsímil</v>
      </c>
      <c r="K1167" s="3" t="s">
        <v>23</v>
      </c>
    </row>
    <row r="1168" spans="1:11" ht="42" customHeight="1">
      <c r="A1168" s="2" t="s">
        <v>2742</v>
      </c>
      <c r="B1168" s="2" t="s">
        <v>2743</v>
      </c>
      <c r="C1168" s="2" t="s">
        <v>35</v>
      </c>
      <c r="D1168" s="2" t="s">
        <v>36</v>
      </c>
      <c r="E1168" s="5">
        <v>-28960</v>
      </c>
      <c r="F1168" s="3" t="s">
        <v>704</v>
      </c>
      <c r="G1168" s="3" t="s">
        <v>20</v>
      </c>
      <c r="H1168" s="2" t="s">
        <v>21</v>
      </c>
      <c r="I1168" s="2" t="s">
        <v>2744</v>
      </c>
      <c r="J1168" s="3" t="str">
        <f>HYPERLINK("https://www.boe.es/gazeta/dias/1820/09/15/pdfs/GGB-1820-79.pdf#page=4","Abrir facsímil")</f>
        <v>Abrir facsímil</v>
      </c>
      <c r="K1168" s="3" t="s">
        <v>23</v>
      </c>
    </row>
    <row r="1169" spans="1:11" ht="42" customHeight="1">
      <c r="A1169" s="2" t="s">
        <v>2745</v>
      </c>
      <c r="B1169" s="2" t="s">
        <v>2745</v>
      </c>
      <c r="C1169" s="2" t="s">
        <v>17</v>
      </c>
      <c r="D1169" s="2" t="s">
        <v>18</v>
      </c>
      <c r="E1169" s="5">
        <v>-29152</v>
      </c>
      <c r="F1169" s="3" t="s">
        <v>1293</v>
      </c>
      <c r="G1169" s="3" t="s">
        <v>295</v>
      </c>
      <c r="H1169" s="2" t="s">
        <v>21</v>
      </c>
      <c r="I1169" s="2" t="s">
        <v>2746</v>
      </c>
      <c r="J1169" s="3" t="str">
        <f>HYPERLINK("https://www.boe.es/gazeta/dias/1820/03/07/pdfs/GMD-1820-29.pdf#page=8","Abrir facsímil")</f>
        <v>Abrir facsímil</v>
      </c>
      <c r="K1169" s="3" t="s">
        <v>23</v>
      </c>
    </row>
    <row r="1170" spans="1:11" ht="42" customHeight="1">
      <c r="A1170" s="2" t="s">
        <v>2747</v>
      </c>
      <c r="B1170" s="2" t="s">
        <v>2747</v>
      </c>
      <c r="C1170" s="2" t="s">
        <v>17</v>
      </c>
      <c r="D1170" s="2" t="s">
        <v>18</v>
      </c>
      <c r="E1170" s="5">
        <v>-29173</v>
      </c>
      <c r="F1170" s="3" t="s">
        <v>829</v>
      </c>
      <c r="G1170" s="3" t="s">
        <v>62</v>
      </c>
      <c r="H1170" s="2" t="s">
        <v>21</v>
      </c>
      <c r="I1170" s="2" t="s">
        <v>2748</v>
      </c>
      <c r="J1170" s="3" t="str">
        <f>HYPERLINK("https://www.boe.es/gazeta/dias/1820/02/15/pdfs/GMD-1820-20.pdf#page=3","Abrir facsímil")</f>
        <v>Abrir facsímil</v>
      </c>
      <c r="K1170" s="3" t="s">
        <v>23</v>
      </c>
    </row>
    <row r="1171" spans="1:11" ht="42" customHeight="1">
      <c r="A1171" s="2" t="s">
        <v>2749</v>
      </c>
      <c r="B1171" s="2" t="s">
        <v>2750</v>
      </c>
      <c r="C1171" s="2" t="s">
        <v>111</v>
      </c>
      <c r="D1171" s="2" t="s">
        <v>18</v>
      </c>
      <c r="E1171" s="5">
        <v>-29176</v>
      </c>
      <c r="F1171" s="3" t="s">
        <v>797</v>
      </c>
      <c r="G1171" s="3" t="s">
        <v>295</v>
      </c>
      <c r="H1171" s="2" t="s">
        <v>21</v>
      </c>
      <c r="I1171" s="2" t="s">
        <v>2751</v>
      </c>
      <c r="J1171" s="3" t="str">
        <f>HYPERLINK("https://www.boe.es/gazeta/dias/1820/02/12/pdfs/GMD-1820-19.pdf#page=8","Abrir facsímil")</f>
        <v>Abrir facsímil</v>
      </c>
      <c r="K1171" s="3" t="s">
        <v>23</v>
      </c>
    </row>
    <row r="1172" spans="1:11" ht="42" customHeight="1">
      <c r="A1172" s="2" t="s">
        <v>2752</v>
      </c>
      <c r="B1172" s="2" t="s">
        <v>2753</v>
      </c>
      <c r="C1172" s="2" t="s">
        <v>26</v>
      </c>
      <c r="D1172" s="2" t="s">
        <v>27</v>
      </c>
      <c r="E1172" s="5">
        <v>-28865</v>
      </c>
      <c r="F1172" s="3" t="s">
        <v>136</v>
      </c>
      <c r="G1172" s="3" t="s">
        <v>137</v>
      </c>
      <c r="H1172" s="2" t="s">
        <v>21</v>
      </c>
      <c r="I1172" s="2" t="s">
        <v>2754</v>
      </c>
      <c r="J1172" s="3" t="str">
        <f>HYPERLINK("https://www.boe.es/gazeta/dias/1820/12/19/pdfs/GGB-1820-176.pdf#page=3","Abrir facsímil")</f>
        <v>Abrir facsímil</v>
      </c>
      <c r="K1172" s="3" t="s">
        <v>23</v>
      </c>
    </row>
    <row r="1173" spans="1:11" ht="42" customHeight="1">
      <c r="A1173" s="2" t="s">
        <v>2755</v>
      </c>
      <c r="B1173" s="2" t="s">
        <v>2756</v>
      </c>
      <c r="C1173" s="2" t="s">
        <v>107</v>
      </c>
      <c r="D1173" s="2" t="s">
        <v>18</v>
      </c>
      <c r="E1173" s="5">
        <v>-28888</v>
      </c>
      <c r="F1173" s="3" t="s">
        <v>112</v>
      </c>
      <c r="G1173" s="3" t="s">
        <v>20</v>
      </c>
      <c r="H1173" s="2" t="s">
        <v>21</v>
      </c>
      <c r="I1173" s="2" t="s">
        <v>2757</v>
      </c>
      <c r="J1173" s="3" t="str">
        <f>HYPERLINK("https://www.boe.es/gazeta/dias/1820/11/26/pdfs/GGB-1820-153.pdf#page=4","Abrir facsímil")</f>
        <v>Abrir facsímil</v>
      </c>
      <c r="K1173" s="3" t="s">
        <v>23</v>
      </c>
    </row>
    <row r="1174" spans="1:11" ht="42" customHeight="1">
      <c r="A1174" s="2" t="s">
        <v>2758</v>
      </c>
      <c r="B1174" s="2" t="s">
        <v>2759</v>
      </c>
      <c r="C1174" s="2" t="s">
        <v>17</v>
      </c>
      <c r="D1174" s="2" t="s">
        <v>18</v>
      </c>
      <c r="E1174" s="5">
        <v>-29011</v>
      </c>
      <c r="F1174" s="3" t="s">
        <v>338</v>
      </c>
      <c r="G1174" s="3" t="s">
        <v>43</v>
      </c>
      <c r="H1174" s="2" t="s">
        <v>21</v>
      </c>
      <c r="I1174" s="2" t="s">
        <v>2760</v>
      </c>
      <c r="J1174" s="3" t="str">
        <f>HYPERLINK("https://www.boe.es/gazeta/dias/1820/07/26/pdfs/GGB-1820-28.pdf#page=2","Abrir facsímil")</f>
        <v>Abrir facsímil</v>
      </c>
      <c r="K1174" s="3" t="s">
        <v>23</v>
      </c>
    </row>
    <row r="1175" spans="1:11" ht="42" customHeight="1">
      <c r="A1175" s="2" t="s">
        <v>2761</v>
      </c>
      <c r="B1175" s="2" t="s">
        <v>2761</v>
      </c>
      <c r="C1175" s="2" t="s">
        <v>26</v>
      </c>
      <c r="D1175" s="2" t="s">
        <v>27</v>
      </c>
      <c r="E1175" s="5">
        <v>-28865</v>
      </c>
      <c r="F1175" s="3" t="s">
        <v>136</v>
      </c>
      <c r="G1175" s="3" t="s">
        <v>128</v>
      </c>
      <c r="H1175" s="2" t="s">
        <v>21</v>
      </c>
      <c r="I1175" s="2" t="s">
        <v>2762</v>
      </c>
      <c r="J1175" s="3" t="str">
        <f>HYPERLINK("https://www.boe.es/gazeta/dias/1820/12/19/pdfs/GGB-1820-176.pdf#page=1","Abrir facsímil")</f>
        <v>Abrir facsímil</v>
      </c>
      <c r="K1175" s="3" t="s">
        <v>23</v>
      </c>
    </row>
    <row r="1176" spans="1:11" ht="42" customHeight="1">
      <c r="A1176" s="2" t="s">
        <v>2763</v>
      </c>
      <c r="B1176" s="2" t="s">
        <v>2763</v>
      </c>
      <c r="C1176" s="2" t="s">
        <v>26</v>
      </c>
      <c r="D1176" s="2" t="s">
        <v>27</v>
      </c>
      <c r="E1176" s="5">
        <v>-28984</v>
      </c>
      <c r="F1176" s="3" t="s">
        <v>520</v>
      </c>
      <c r="G1176" s="3" t="s">
        <v>20</v>
      </c>
      <c r="H1176" s="2" t="s">
        <v>21</v>
      </c>
      <c r="I1176" s="2" t="s">
        <v>2764</v>
      </c>
      <c r="J1176" s="3" t="str">
        <f>HYPERLINK("https://www.boe.es/gazeta/dias/1820/08/22/pdfs/GGB-1820-55.pdf#page=4","Abrir facsímil")</f>
        <v>Abrir facsímil</v>
      </c>
      <c r="K1176" s="3" t="s">
        <v>23</v>
      </c>
    </row>
    <row r="1177" spans="1:11" ht="42" customHeight="1">
      <c r="A1177" s="2" t="s">
        <v>2763</v>
      </c>
      <c r="B1177" s="2" t="s">
        <v>2763</v>
      </c>
      <c r="C1177" s="2" t="s">
        <v>35</v>
      </c>
      <c r="D1177" s="2" t="s">
        <v>36</v>
      </c>
      <c r="E1177" s="5">
        <v>-28975</v>
      </c>
      <c r="F1177" s="3" t="s">
        <v>182</v>
      </c>
      <c r="G1177" s="3" t="s">
        <v>183</v>
      </c>
      <c r="H1177" s="2" t="s">
        <v>21</v>
      </c>
      <c r="I1177" s="2" t="s">
        <v>2765</v>
      </c>
      <c r="J1177" s="3" t="str">
        <f>HYPERLINK("https://www.boe.es/gazeta/dias/1820/08/31/pdfs/GGB-1820-64.pdf#page=4","Abrir facsímil")</f>
        <v>Abrir facsímil</v>
      </c>
      <c r="K1177" s="3" t="s">
        <v>23</v>
      </c>
    </row>
    <row r="1178" spans="1:11" ht="42" customHeight="1">
      <c r="A1178" s="2" t="s">
        <v>2766</v>
      </c>
      <c r="B1178" s="2" t="s">
        <v>2767</v>
      </c>
      <c r="C1178" s="2" t="s">
        <v>26</v>
      </c>
      <c r="D1178" s="2" t="s">
        <v>27</v>
      </c>
      <c r="E1178" s="5">
        <v>-28995</v>
      </c>
      <c r="F1178" s="3" t="s">
        <v>672</v>
      </c>
      <c r="G1178" s="3" t="s">
        <v>128</v>
      </c>
      <c r="H1178" s="2" t="s">
        <v>21</v>
      </c>
      <c r="I1178" s="2" t="s">
        <v>2768</v>
      </c>
      <c r="J1178" s="3" t="str">
        <f>HYPERLINK("https://www.boe.es/gazeta/dias/1820/08/11/pdfs/GGB-1820-44.pdf#page=1","Abrir facsímil")</f>
        <v>Abrir facsímil</v>
      </c>
      <c r="K1178" s="3" t="s">
        <v>23</v>
      </c>
    </row>
    <row r="1179" spans="1:11" ht="42" customHeight="1">
      <c r="A1179" s="2" t="s">
        <v>2769</v>
      </c>
      <c r="B1179" s="2" t="s">
        <v>2769</v>
      </c>
      <c r="C1179" s="2" t="s">
        <v>35</v>
      </c>
      <c r="D1179" s="2" t="s">
        <v>36</v>
      </c>
      <c r="E1179" s="5">
        <v>-28986</v>
      </c>
      <c r="F1179" s="3" t="s">
        <v>488</v>
      </c>
      <c r="G1179" s="3" t="s">
        <v>128</v>
      </c>
      <c r="H1179" s="2" t="s">
        <v>21</v>
      </c>
      <c r="I1179" s="2" t="s">
        <v>2770</v>
      </c>
      <c r="J1179" s="3" t="str">
        <f>HYPERLINK("https://www.boe.es/gazeta/dias/1820/08/20/pdfs/GGB-1820-53.pdf#page=1","Abrir facsímil")</f>
        <v>Abrir facsímil</v>
      </c>
      <c r="K1179" s="3" t="s">
        <v>23</v>
      </c>
    </row>
    <row r="1180" spans="1:11" ht="42" customHeight="1">
      <c r="A1180" s="2" t="s">
        <v>2769</v>
      </c>
      <c r="B1180" s="2" t="s">
        <v>2769</v>
      </c>
      <c r="C1180" s="2" t="s">
        <v>26</v>
      </c>
      <c r="D1180" s="2" t="s">
        <v>27</v>
      </c>
      <c r="E1180" s="5">
        <v>-28983</v>
      </c>
      <c r="F1180" s="3" t="s">
        <v>682</v>
      </c>
      <c r="G1180" s="3" t="s">
        <v>128</v>
      </c>
      <c r="H1180" s="2" t="s">
        <v>21</v>
      </c>
      <c r="I1180" s="2" t="s">
        <v>2771</v>
      </c>
      <c r="J1180" s="3" t="str">
        <f>HYPERLINK("https://www.boe.es/gazeta/dias/1820/08/23/pdfs/GGB-1820-56.pdf#page=1","Abrir facsímil")</f>
        <v>Abrir facsímil</v>
      </c>
      <c r="K1180" s="3" t="s">
        <v>23</v>
      </c>
    </row>
    <row r="1181" spans="1:11" ht="42" customHeight="1">
      <c r="A1181" s="2" t="s">
        <v>2769</v>
      </c>
      <c r="B1181" s="2" t="s">
        <v>2769</v>
      </c>
      <c r="C1181" s="2" t="s">
        <v>35</v>
      </c>
      <c r="D1181" s="2" t="s">
        <v>36</v>
      </c>
      <c r="E1181" s="5">
        <v>-28970</v>
      </c>
      <c r="F1181" s="3" t="s">
        <v>693</v>
      </c>
      <c r="G1181" s="3" t="s">
        <v>128</v>
      </c>
      <c r="H1181" s="2" t="s">
        <v>21</v>
      </c>
      <c r="I1181" s="2" t="s">
        <v>2772</v>
      </c>
      <c r="J1181" s="3" t="str">
        <f>HYPERLINK("https://www.boe.es/gazeta/dias/1820/09/05/pdfs/GGB-1820-69.pdf#page=1","Abrir facsímil")</f>
        <v>Abrir facsímil</v>
      </c>
      <c r="K1181" s="3" t="s">
        <v>23</v>
      </c>
    </row>
    <row r="1182" spans="1:11" ht="42" customHeight="1">
      <c r="A1182" s="2" t="s">
        <v>2773</v>
      </c>
      <c r="B1182" s="2" t="s">
        <v>2774</v>
      </c>
      <c r="C1182" s="2" t="s">
        <v>26</v>
      </c>
      <c r="D1182" s="2" t="s">
        <v>27</v>
      </c>
      <c r="E1182" s="5">
        <v>-28974</v>
      </c>
      <c r="F1182" s="3" t="s">
        <v>1144</v>
      </c>
      <c r="G1182" s="3" t="s">
        <v>1145</v>
      </c>
      <c r="H1182" s="2" t="s">
        <v>30</v>
      </c>
      <c r="I1182" s="2" t="s">
        <v>2775</v>
      </c>
      <c r="J1182" s="3" t="str">
        <f>HYPERLINK("https://www.boe.es/gazeta/dias/1820/09/01/pdfs/GGB-1820-65.pdf#page=4","Abrir facsímil")</f>
        <v>Abrir facsímil</v>
      </c>
      <c r="K1182" s="3" t="s">
        <v>32</v>
      </c>
    </row>
    <row r="1183" spans="1:11" ht="42" customHeight="1">
      <c r="A1183" s="2" t="s">
        <v>2776</v>
      </c>
      <c r="B1183" s="2" t="s">
        <v>2776</v>
      </c>
      <c r="C1183" s="2" t="s">
        <v>26</v>
      </c>
      <c r="D1183" s="2" t="s">
        <v>27</v>
      </c>
      <c r="E1183" s="5">
        <v>-29096</v>
      </c>
      <c r="F1183" s="3" t="s">
        <v>315</v>
      </c>
      <c r="G1183" s="3" t="s">
        <v>201</v>
      </c>
      <c r="H1183" s="2" t="s">
        <v>21</v>
      </c>
      <c r="I1183" s="2" t="s">
        <v>2777</v>
      </c>
      <c r="J1183" s="3" t="str">
        <f>HYPERLINK("https://www.boe.es/gazeta/dias/1820/05/02/pdfs/GMD-1820-74.pdf#page=7","Abrir facsímil")</f>
        <v>Abrir facsímil</v>
      </c>
      <c r="K1183" s="3" t="s">
        <v>23</v>
      </c>
    </row>
    <row r="1184" spans="1:11" ht="42" customHeight="1">
      <c r="A1184" s="2" t="s">
        <v>2778</v>
      </c>
      <c r="B1184" s="2" t="s">
        <v>2778</v>
      </c>
      <c r="C1184" s="2" t="s">
        <v>26</v>
      </c>
      <c r="D1184" s="2" t="s">
        <v>27</v>
      </c>
      <c r="E1184" s="5">
        <v>-29206</v>
      </c>
      <c r="F1184" s="3" t="s">
        <v>897</v>
      </c>
      <c r="G1184" s="3" t="s">
        <v>295</v>
      </c>
      <c r="H1184" s="2" t="s">
        <v>21</v>
      </c>
      <c r="I1184" s="2" t="s">
        <v>2779</v>
      </c>
      <c r="J1184" s="3" t="str">
        <f>HYPERLINK("https://www.boe.es/gazeta/dias/1820/01/13/pdfs/GMD-1820-6.pdf#page=8","Abrir facsímil")</f>
        <v>Abrir facsímil</v>
      </c>
      <c r="K1184" s="3" t="s">
        <v>23</v>
      </c>
    </row>
    <row r="1185" spans="1:11" ht="42" customHeight="1">
      <c r="A1185" s="2" t="s">
        <v>2780</v>
      </c>
      <c r="B1185" s="2" t="s">
        <v>2780</v>
      </c>
      <c r="C1185" s="2" t="s">
        <v>17</v>
      </c>
      <c r="D1185" s="2" t="s">
        <v>18</v>
      </c>
      <c r="E1185" s="5">
        <v>-29201</v>
      </c>
      <c r="F1185" s="3" t="s">
        <v>411</v>
      </c>
      <c r="G1185" s="3" t="s">
        <v>201</v>
      </c>
      <c r="H1185" s="2" t="s">
        <v>21</v>
      </c>
      <c r="I1185" s="2" t="s">
        <v>2781</v>
      </c>
      <c r="J1185" s="3" t="str">
        <f>HYPERLINK("https://www.boe.es/gazeta/dias/1820/01/18/pdfs/GMD-1820-8.pdf#page=7","Abrir facsímil")</f>
        <v>Abrir facsímil</v>
      </c>
      <c r="K1185" s="3" t="s">
        <v>23</v>
      </c>
    </row>
    <row r="1186" spans="1:11" ht="42" customHeight="1">
      <c r="A1186" s="2" t="s">
        <v>2780</v>
      </c>
      <c r="B1186" s="2" t="s">
        <v>2780</v>
      </c>
      <c r="C1186" s="2" t="s">
        <v>26</v>
      </c>
      <c r="D1186" s="2" t="s">
        <v>27</v>
      </c>
      <c r="E1186" s="5">
        <v>-29199</v>
      </c>
      <c r="F1186" s="3" t="s">
        <v>1178</v>
      </c>
      <c r="G1186" s="3" t="s">
        <v>201</v>
      </c>
      <c r="H1186" s="2" t="s">
        <v>21</v>
      </c>
      <c r="I1186" s="2" t="s">
        <v>2782</v>
      </c>
      <c r="J1186" s="3" t="str">
        <f>HYPERLINK("https://www.boe.es/gazeta/dias/1820/01/20/pdfs/GMD-1820-9.pdf#page=7","Abrir facsímil")</f>
        <v>Abrir facsímil</v>
      </c>
      <c r="K1186" s="3" t="s">
        <v>23</v>
      </c>
    </row>
    <row r="1187" spans="1:11" ht="42" customHeight="1">
      <c r="A1187" s="2" t="s">
        <v>2778</v>
      </c>
      <c r="B1187" s="2" t="s">
        <v>2778</v>
      </c>
      <c r="C1187" s="2" t="s">
        <v>26</v>
      </c>
      <c r="D1187" s="2" t="s">
        <v>27</v>
      </c>
      <c r="E1187" s="5">
        <v>-29192</v>
      </c>
      <c r="F1187" s="3" t="s">
        <v>497</v>
      </c>
      <c r="G1187" s="3" t="s">
        <v>295</v>
      </c>
      <c r="H1187" s="2" t="s">
        <v>21</v>
      </c>
      <c r="I1187" s="2" t="s">
        <v>2783</v>
      </c>
      <c r="J1187" s="3" t="str">
        <f>HYPERLINK("https://www.boe.es/gazeta/dias/1820/01/27/pdfs/GMD-1820-12.pdf#page=8","Abrir facsímil")</f>
        <v>Abrir facsímil</v>
      </c>
      <c r="K1187" s="3" t="s">
        <v>23</v>
      </c>
    </row>
    <row r="1188" spans="1:11" ht="42" customHeight="1">
      <c r="A1188" s="2" t="s">
        <v>2778</v>
      </c>
      <c r="B1188" s="2" t="s">
        <v>2778</v>
      </c>
      <c r="C1188" s="2" t="s">
        <v>35</v>
      </c>
      <c r="D1188" s="2" t="s">
        <v>36</v>
      </c>
      <c r="E1188" s="5">
        <v>-29155</v>
      </c>
      <c r="F1188" s="3" t="s">
        <v>2095</v>
      </c>
      <c r="G1188" s="3" t="s">
        <v>38</v>
      </c>
      <c r="H1188" s="2" t="s">
        <v>21</v>
      </c>
      <c r="I1188" s="2" t="s">
        <v>2784</v>
      </c>
      <c r="J1188" s="3" t="str">
        <f>HYPERLINK("https://www.boe.es/gazeta/dias/1820/03/04/pdfs/GMD-1820-28.pdf#page=6","Abrir facsímil")</f>
        <v>Abrir facsímil</v>
      </c>
      <c r="K1188" s="3" t="s">
        <v>23</v>
      </c>
    </row>
    <row r="1189" spans="1:11" ht="42" customHeight="1">
      <c r="A1189" s="2" t="s">
        <v>2778</v>
      </c>
      <c r="B1189" s="2" t="s">
        <v>2778</v>
      </c>
      <c r="C1189" s="2" t="s">
        <v>26</v>
      </c>
      <c r="D1189" s="2" t="s">
        <v>27</v>
      </c>
      <c r="E1189" s="5">
        <v>-29138</v>
      </c>
      <c r="F1189" s="3" t="s">
        <v>200</v>
      </c>
      <c r="G1189" s="3" t="s">
        <v>295</v>
      </c>
      <c r="H1189" s="2" t="s">
        <v>21</v>
      </c>
      <c r="I1189" s="2" t="s">
        <v>2785</v>
      </c>
      <c r="J1189" s="3" t="str">
        <f>HYPERLINK("https://www.boe.es/gazeta/dias/1820/03/21/pdfs/GMD-1820-46.pdf#page=8","Abrir facsímil")</f>
        <v>Abrir facsímil</v>
      </c>
      <c r="K1189" s="3" t="s">
        <v>23</v>
      </c>
    </row>
    <row r="1190" spans="1:11" ht="42" customHeight="1">
      <c r="A1190" s="2" t="s">
        <v>2780</v>
      </c>
      <c r="B1190" s="2" t="s">
        <v>2780</v>
      </c>
      <c r="C1190" s="2" t="s">
        <v>35</v>
      </c>
      <c r="D1190" s="2" t="s">
        <v>36</v>
      </c>
      <c r="E1190" s="5">
        <v>-29094</v>
      </c>
      <c r="F1190" s="3" t="s">
        <v>560</v>
      </c>
      <c r="G1190" s="3" t="s">
        <v>295</v>
      </c>
      <c r="H1190" s="2" t="s">
        <v>21</v>
      </c>
      <c r="I1190" s="2" t="s">
        <v>2786</v>
      </c>
      <c r="J1190" s="3" t="str">
        <f>HYPERLINK("https://www.boe.es/gazeta/dias/1820/05/04/pdfs/GMD-1820-75.pdf#page=8","Abrir facsímil")</f>
        <v>Abrir facsímil</v>
      </c>
      <c r="K1190" s="3" t="s">
        <v>23</v>
      </c>
    </row>
    <row r="1191" spans="1:11" ht="42" customHeight="1">
      <c r="A1191" s="2" t="s">
        <v>2780</v>
      </c>
      <c r="B1191" s="2" t="s">
        <v>2780</v>
      </c>
      <c r="C1191" s="2" t="s">
        <v>26</v>
      </c>
      <c r="D1191" s="2" t="s">
        <v>27</v>
      </c>
      <c r="E1191" s="5">
        <v>-29071</v>
      </c>
      <c r="F1191" s="3" t="s">
        <v>329</v>
      </c>
      <c r="G1191" s="3" t="s">
        <v>256</v>
      </c>
      <c r="H1191" s="2" t="s">
        <v>21</v>
      </c>
      <c r="I1191" s="2" t="s">
        <v>2787</v>
      </c>
      <c r="J1191" s="3" t="str">
        <f>HYPERLINK("https://www.boe.es/gazeta/dias/1820/05/27/pdfs/GMD-1820-86.pdf#page=5","Abrir facsímil")</f>
        <v>Abrir facsímil</v>
      </c>
      <c r="K1191" s="3" t="s">
        <v>23</v>
      </c>
    </row>
    <row r="1192" spans="1:11" ht="42" customHeight="1">
      <c r="A1192" s="2" t="s">
        <v>2778</v>
      </c>
      <c r="B1192" s="2" t="s">
        <v>2778</v>
      </c>
      <c r="C1192" s="2" t="s">
        <v>26</v>
      </c>
      <c r="D1192" s="2" t="s">
        <v>27</v>
      </c>
      <c r="E1192" s="5">
        <v>-29040</v>
      </c>
      <c r="F1192" s="3" t="s">
        <v>1125</v>
      </c>
      <c r="G1192" s="3" t="s">
        <v>2489</v>
      </c>
      <c r="H1192" s="2" t="s">
        <v>21</v>
      </c>
      <c r="I1192" s="2" t="s">
        <v>2788</v>
      </c>
      <c r="J1192" s="3" t="str">
        <f>HYPERLINK("https://www.boe.es/gazeta/dias/1820/06/27/pdfs/GMD-1820-99.pdf#page=9","Abrir facsímil")</f>
        <v>Abrir facsímil</v>
      </c>
      <c r="K1192" s="3" t="s">
        <v>23</v>
      </c>
    </row>
    <row r="1193" spans="1:11" ht="42" customHeight="1">
      <c r="A1193" s="2" t="s">
        <v>2780</v>
      </c>
      <c r="B1193" s="2" t="s">
        <v>2780</v>
      </c>
      <c r="C1193" s="2" t="s">
        <v>26</v>
      </c>
      <c r="D1193" s="2" t="s">
        <v>27</v>
      </c>
      <c r="E1193" s="5">
        <v>-29040</v>
      </c>
      <c r="F1193" s="3" t="s">
        <v>1125</v>
      </c>
      <c r="G1193" s="3" t="s">
        <v>2789</v>
      </c>
      <c r="H1193" s="2" t="s">
        <v>21</v>
      </c>
      <c r="I1193" s="2" t="s">
        <v>2790</v>
      </c>
      <c r="J1193" s="3" t="str">
        <f>HYPERLINK("https://www.boe.es/gazeta/dias/1820/06/27/pdfs/GMD-1820-99.pdf#page=12","Abrir facsímil")</f>
        <v>Abrir facsímil</v>
      </c>
      <c r="K1193" s="3" t="s">
        <v>23</v>
      </c>
    </row>
    <row r="1194" spans="1:11" ht="42" customHeight="1">
      <c r="A1194" s="2" t="s">
        <v>2778</v>
      </c>
      <c r="B1194" s="2" t="s">
        <v>2778</v>
      </c>
      <c r="C1194" s="2" t="s">
        <v>26</v>
      </c>
      <c r="D1194" s="2" t="s">
        <v>27</v>
      </c>
      <c r="E1194" s="5">
        <v>-29038</v>
      </c>
      <c r="F1194" s="3" t="s">
        <v>957</v>
      </c>
      <c r="G1194" s="3" t="s">
        <v>295</v>
      </c>
      <c r="H1194" s="2" t="s">
        <v>21</v>
      </c>
      <c r="I1194" s="2" t="s">
        <v>2791</v>
      </c>
      <c r="J1194" s="3" t="str">
        <f>HYPERLINK("https://www.boe.es/gazeta/dias/1820/06/29/pdfs/GMD-1820-100.pdf#page=8","Abrir facsímil")</f>
        <v>Abrir facsímil</v>
      </c>
      <c r="K1194" s="3" t="s">
        <v>23</v>
      </c>
    </row>
    <row r="1195" spans="1:11" ht="42" customHeight="1">
      <c r="A1195" s="2" t="s">
        <v>2780</v>
      </c>
      <c r="B1195" s="2" t="s">
        <v>2780</v>
      </c>
      <c r="C1195" s="2" t="s">
        <v>107</v>
      </c>
      <c r="D1195" s="2" t="s">
        <v>18</v>
      </c>
      <c r="E1195" s="5">
        <v>-29030</v>
      </c>
      <c r="F1195" s="3" t="s">
        <v>789</v>
      </c>
      <c r="G1195" s="3" t="s">
        <v>1987</v>
      </c>
      <c r="H1195" s="2" t="s">
        <v>21</v>
      </c>
      <c r="I1195" s="2" t="s">
        <v>2792</v>
      </c>
      <c r="J1195" s="3" t="str">
        <f>HYPERLINK("https://www.boe.es/gazeta/dias/1820/07/07/pdfs/GGB-1820-8.pdf#page=4","Abrir facsímil")</f>
        <v>Abrir facsímil</v>
      </c>
      <c r="K1195" s="3" t="s">
        <v>23</v>
      </c>
    </row>
    <row r="1196" spans="1:11" ht="42" customHeight="1">
      <c r="A1196" s="2" t="s">
        <v>2780</v>
      </c>
      <c r="B1196" s="2" t="s">
        <v>2780</v>
      </c>
      <c r="C1196" s="2" t="s">
        <v>26</v>
      </c>
      <c r="D1196" s="2" t="s">
        <v>27</v>
      </c>
      <c r="E1196" s="5">
        <v>-29015</v>
      </c>
      <c r="F1196" s="3" t="s">
        <v>359</v>
      </c>
      <c r="G1196" s="3" t="s">
        <v>20</v>
      </c>
      <c r="H1196" s="2" t="s">
        <v>21</v>
      </c>
      <c r="I1196" s="2" t="s">
        <v>2793</v>
      </c>
      <c r="J1196" s="3" t="str">
        <f>HYPERLINK("https://www.boe.es/gazeta/dias/1820/07/22/pdfs/GGB-1820-24.pdf#page=4","Abrir facsímil")</f>
        <v>Abrir facsímil</v>
      </c>
      <c r="K1196" s="3" t="s">
        <v>23</v>
      </c>
    </row>
    <row r="1197" spans="1:11" ht="42" customHeight="1">
      <c r="A1197" s="2" t="s">
        <v>2780</v>
      </c>
      <c r="B1197" s="2" t="s">
        <v>2780</v>
      </c>
      <c r="C1197" s="2" t="s">
        <v>35</v>
      </c>
      <c r="D1197" s="2" t="s">
        <v>36</v>
      </c>
      <c r="E1197" s="5">
        <v>-29010</v>
      </c>
      <c r="F1197" s="3" t="s">
        <v>664</v>
      </c>
      <c r="G1197" s="3" t="s">
        <v>773</v>
      </c>
      <c r="H1197" s="2" t="s">
        <v>21</v>
      </c>
      <c r="I1197" s="2" t="s">
        <v>2794</v>
      </c>
      <c r="J1197" s="3" t="str">
        <f>HYPERLINK("https://www.boe.es/gazeta/dias/1820/07/27/pdfs/GGB-1820-29.pdf#page=4","Abrir facsímil")</f>
        <v>Abrir facsímil</v>
      </c>
      <c r="K1197" s="3" t="s">
        <v>23</v>
      </c>
    </row>
    <row r="1198" spans="1:11" ht="42" customHeight="1">
      <c r="A1198" s="2" t="s">
        <v>2778</v>
      </c>
      <c r="B1198" s="2" t="s">
        <v>2778</v>
      </c>
      <c r="C1198" s="2" t="s">
        <v>26</v>
      </c>
      <c r="D1198" s="2" t="s">
        <v>27</v>
      </c>
      <c r="E1198" s="5">
        <v>-28961</v>
      </c>
      <c r="F1198" s="3" t="s">
        <v>242</v>
      </c>
      <c r="G1198" s="3" t="s">
        <v>2442</v>
      </c>
      <c r="H1198" s="2" t="s">
        <v>21</v>
      </c>
      <c r="I1198" s="2" t="s">
        <v>2795</v>
      </c>
      <c r="J1198" s="3" t="str">
        <f>HYPERLINK("https://www.boe.es/gazeta/dias/1820/09/14/pdfs/GGB-1820-78.pdf#page=4","Abrir facsímil")</f>
        <v>Abrir facsímil</v>
      </c>
      <c r="K1198" s="3" t="s">
        <v>23</v>
      </c>
    </row>
    <row r="1199" spans="1:11" ht="42" customHeight="1">
      <c r="A1199" s="2" t="s">
        <v>2780</v>
      </c>
      <c r="B1199" s="2" t="s">
        <v>2780</v>
      </c>
      <c r="C1199" s="2" t="s">
        <v>17</v>
      </c>
      <c r="D1199" s="2" t="s">
        <v>18</v>
      </c>
      <c r="E1199" s="5">
        <v>-28952</v>
      </c>
      <c r="F1199" s="3" t="s">
        <v>370</v>
      </c>
      <c r="G1199" s="3" t="s">
        <v>43</v>
      </c>
      <c r="H1199" s="2" t="s">
        <v>21</v>
      </c>
      <c r="I1199" s="2" t="s">
        <v>2796</v>
      </c>
      <c r="J1199" s="3" t="str">
        <f>HYPERLINK("https://www.boe.es/gazeta/dias/1820/09/23/pdfs/GGB-1820-87.pdf#page=2","Abrir facsímil")</f>
        <v>Abrir facsímil</v>
      </c>
      <c r="K1199" s="3" t="s">
        <v>23</v>
      </c>
    </row>
    <row r="1200" spans="1:11" ht="42" customHeight="1">
      <c r="A1200" s="2" t="s">
        <v>2780</v>
      </c>
      <c r="B1200" s="2" t="s">
        <v>2780</v>
      </c>
      <c r="C1200" s="2" t="s">
        <v>74</v>
      </c>
      <c r="D1200" s="2" t="s">
        <v>18</v>
      </c>
      <c r="E1200" s="5">
        <v>-28910</v>
      </c>
      <c r="F1200" s="3" t="s">
        <v>746</v>
      </c>
      <c r="G1200" s="3" t="s">
        <v>20</v>
      </c>
      <c r="H1200" s="2" t="s">
        <v>21</v>
      </c>
      <c r="I1200" s="2" t="s">
        <v>2797</v>
      </c>
      <c r="J1200" s="3" t="str">
        <f>HYPERLINK("https://www.boe.es/gazeta/dias/1820/11/04/pdfs/GGB-1820-129.pdf#page=4","Abrir facsímil")</f>
        <v>Abrir facsímil</v>
      </c>
      <c r="K1200" s="3" t="s">
        <v>23</v>
      </c>
    </row>
    <row r="1201" spans="1:11" ht="42" customHeight="1">
      <c r="A1201" s="2" t="s">
        <v>2780</v>
      </c>
      <c r="B1201" s="2" t="s">
        <v>2780</v>
      </c>
      <c r="C1201" s="2" t="s">
        <v>26</v>
      </c>
      <c r="D1201" s="2" t="s">
        <v>27</v>
      </c>
      <c r="E1201" s="5">
        <v>-28907</v>
      </c>
      <c r="F1201" s="3" t="s">
        <v>374</v>
      </c>
      <c r="G1201" s="3" t="s">
        <v>20</v>
      </c>
      <c r="H1201" s="2" t="s">
        <v>21</v>
      </c>
      <c r="I1201" s="2" t="s">
        <v>2798</v>
      </c>
      <c r="J1201" s="3" t="str">
        <f>HYPERLINK("https://www.boe.es/gazeta/dias/1820/11/07/pdfs/GGB-1820-132.pdf#page=4","Abrir facsímil")</f>
        <v>Abrir facsímil</v>
      </c>
      <c r="K1201" s="3" t="s">
        <v>23</v>
      </c>
    </row>
    <row r="1202" spans="1:11" ht="42" customHeight="1">
      <c r="A1202" s="2" t="s">
        <v>2780</v>
      </c>
      <c r="B1202" s="2" t="s">
        <v>2780</v>
      </c>
      <c r="C1202" s="2" t="s">
        <v>35</v>
      </c>
      <c r="D1202" s="2" t="s">
        <v>36</v>
      </c>
      <c r="E1202" s="5">
        <v>-28894</v>
      </c>
      <c r="F1202" s="3" t="s">
        <v>469</v>
      </c>
      <c r="G1202" s="3" t="s">
        <v>62</v>
      </c>
      <c r="H1202" s="2" t="s">
        <v>21</v>
      </c>
      <c r="I1202" s="2" t="s">
        <v>2799</v>
      </c>
      <c r="J1202" s="3" t="str">
        <f>HYPERLINK("https://www.boe.es/gazeta/dias/1820/11/20/pdfs/GGB-1820-147.pdf#page=3","Abrir facsímil")</f>
        <v>Abrir facsímil</v>
      </c>
      <c r="K1202" s="3" t="s">
        <v>23</v>
      </c>
    </row>
    <row r="1203" spans="1:11" ht="42" customHeight="1">
      <c r="A1203" s="2" t="s">
        <v>2780</v>
      </c>
      <c r="B1203" s="2" t="s">
        <v>2780</v>
      </c>
      <c r="C1203" s="2" t="s">
        <v>74</v>
      </c>
      <c r="D1203" s="2" t="s">
        <v>18</v>
      </c>
      <c r="E1203" s="5">
        <v>-28890</v>
      </c>
      <c r="F1203" s="3" t="s">
        <v>248</v>
      </c>
      <c r="G1203" s="3" t="s">
        <v>43</v>
      </c>
      <c r="H1203" s="2" t="s">
        <v>21</v>
      </c>
      <c r="I1203" s="2" t="s">
        <v>2800</v>
      </c>
      <c r="J1203" s="3" t="str">
        <f>HYPERLINK("https://www.boe.es/gazeta/dias/1820/11/24/pdfs/GGB-1820-151.pdf#page=2","Abrir facsímil")</f>
        <v>Abrir facsímil</v>
      </c>
      <c r="K1203" s="3" t="s">
        <v>23</v>
      </c>
    </row>
    <row r="1204" spans="1:11" ht="42" customHeight="1">
      <c r="A1204" s="2" t="s">
        <v>2780</v>
      </c>
      <c r="B1204" s="2" t="s">
        <v>2780</v>
      </c>
      <c r="C1204" s="2" t="s">
        <v>26</v>
      </c>
      <c r="D1204" s="2" t="s">
        <v>27</v>
      </c>
      <c r="E1204" s="5">
        <v>-28865</v>
      </c>
      <c r="F1204" s="3" t="s">
        <v>136</v>
      </c>
      <c r="G1204" s="3" t="s">
        <v>20</v>
      </c>
      <c r="H1204" s="2" t="s">
        <v>21</v>
      </c>
      <c r="I1204" s="2" t="s">
        <v>2801</v>
      </c>
      <c r="J1204" s="3" t="str">
        <f>HYPERLINK("https://www.boe.es/gazeta/dias/1820/12/19/pdfs/GGB-1820-176.pdf#page=4","Abrir facsímil")</f>
        <v>Abrir facsímil</v>
      </c>
      <c r="K1204" s="3" t="s">
        <v>23</v>
      </c>
    </row>
    <row r="1205" spans="1:11" ht="42" customHeight="1">
      <c r="A1205" s="2" t="s">
        <v>2802</v>
      </c>
      <c r="B1205" s="2" t="s">
        <v>2802</v>
      </c>
      <c r="C1205" s="2" t="s">
        <v>35</v>
      </c>
      <c r="D1205" s="2" t="s">
        <v>36</v>
      </c>
      <c r="E1205" s="5">
        <v>-29213</v>
      </c>
      <c r="F1205" s="3" t="s">
        <v>195</v>
      </c>
      <c r="G1205" s="3" t="s">
        <v>2803</v>
      </c>
      <c r="H1205" s="2" t="s">
        <v>21</v>
      </c>
      <c r="I1205" s="2" t="s">
        <v>2804</v>
      </c>
      <c r="J1205" s="3" t="str">
        <f>HYPERLINK("https://www.boe.es/gazeta/dias/1820/01/06/pdfs/GMD-1820-3.pdf#page=7","Abrir facsímil")</f>
        <v>Abrir facsímil</v>
      </c>
      <c r="K1205" s="3" t="s">
        <v>23</v>
      </c>
    </row>
    <row r="1206" spans="1:11" ht="42" customHeight="1">
      <c r="A1206" s="2" t="s">
        <v>2805</v>
      </c>
      <c r="B1206" s="2" t="s">
        <v>2806</v>
      </c>
      <c r="C1206" s="2" t="s">
        <v>26</v>
      </c>
      <c r="D1206" s="2" t="s">
        <v>27</v>
      </c>
      <c r="E1206" s="5">
        <v>-29094</v>
      </c>
      <c r="F1206" s="3" t="s">
        <v>560</v>
      </c>
      <c r="G1206" s="3" t="s">
        <v>62</v>
      </c>
      <c r="H1206" s="2" t="s">
        <v>21</v>
      </c>
      <c r="I1206" s="2" t="s">
        <v>2807</v>
      </c>
      <c r="J1206" s="3" t="str">
        <f>HYPERLINK("https://www.boe.es/gazeta/dias/1820/05/04/pdfs/GMD-1820-75.pdf#page=3","Abrir facsímil")</f>
        <v>Abrir facsímil</v>
      </c>
      <c r="K1206" s="3" t="s">
        <v>23</v>
      </c>
    </row>
    <row r="1207" spans="1:11" ht="42" customHeight="1">
      <c r="A1207" s="2" t="s">
        <v>2808</v>
      </c>
      <c r="B1207" s="2" t="s">
        <v>2809</v>
      </c>
      <c r="C1207" s="2" t="s">
        <v>17</v>
      </c>
      <c r="D1207" s="2" t="s">
        <v>18</v>
      </c>
      <c r="E1207" s="5">
        <v>-29019</v>
      </c>
      <c r="F1207" s="3" t="s">
        <v>655</v>
      </c>
      <c r="G1207" s="3" t="s">
        <v>945</v>
      </c>
      <c r="H1207" s="2" t="s">
        <v>21</v>
      </c>
      <c r="I1207" s="2" t="s">
        <v>2810</v>
      </c>
      <c r="J1207" s="3" t="str">
        <f>HYPERLINK("https://www.boe.es/gazeta/dias/1820/07/18/pdfs/GGB-1820-20.pdf#page=2","Abrir facsímil")</f>
        <v>Abrir facsímil</v>
      </c>
      <c r="K1207" s="3" t="s">
        <v>23</v>
      </c>
    </row>
    <row r="1208" spans="1:11" ht="42" customHeight="1">
      <c r="A1208" s="2" t="s">
        <v>2811</v>
      </c>
      <c r="B1208" s="2" t="s">
        <v>2812</v>
      </c>
      <c r="C1208" s="2" t="s">
        <v>74</v>
      </c>
      <c r="D1208" s="2" t="s">
        <v>18</v>
      </c>
      <c r="E1208" s="5">
        <v>-29019</v>
      </c>
      <c r="F1208" s="3" t="s">
        <v>655</v>
      </c>
      <c r="G1208" s="3" t="s">
        <v>62</v>
      </c>
      <c r="H1208" s="2" t="s">
        <v>30</v>
      </c>
      <c r="I1208" s="2" t="s">
        <v>2813</v>
      </c>
      <c r="J1208" s="3" t="str">
        <f>HYPERLINK("https://www.boe.es/gazeta/dias/1820/07/18/pdfs/GGB-1820-20.pdf#page=3","Abrir facsímil")</f>
        <v>Abrir facsímil</v>
      </c>
      <c r="K1208" s="3" t="s">
        <v>32</v>
      </c>
    </row>
    <row r="1209" spans="1:11" ht="42" customHeight="1">
      <c r="A1209" s="2" t="s">
        <v>2814</v>
      </c>
      <c r="B1209" s="2" t="s">
        <v>2815</v>
      </c>
      <c r="C1209" s="2" t="s">
        <v>26</v>
      </c>
      <c r="D1209" s="2" t="s">
        <v>27</v>
      </c>
      <c r="E1209" s="5">
        <v>-29015</v>
      </c>
      <c r="F1209" s="3" t="s">
        <v>359</v>
      </c>
      <c r="G1209" s="3" t="s">
        <v>20</v>
      </c>
      <c r="H1209" s="2" t="s">
        <v>21</v>
      </c>
      <c r="I1209" s="2" t="s">
        <v>2816</v>
      </c>
      <c r="J1209" s="3" t="str">
        <f>HYPERLINK("https://www.boe.es/gazeta/dias/1820/07/22/pdfs/GGB-1820-24.pdf#page=4","Abrir facsímil")</f>
        <v>Abrir facsímil</v>
      </c>
      <c r="K1209" s="3" t="s">
        <v>23</v>
      </c>
    </row>
    <row r="1210" spans="1:11" ht="42" customHeight="1">
      <c r="A1210" s="2" t="s">
        <v>2814</v>
      </c>
      <c r="B1210" s="2" t="s">
        <v>2815</v>
      </c>
      <c r="C1210" s="2" t="s">
        <v>74</v>
      </c>
      <c r="D1210" s="2" t="s">
        <v>18</v>
      </c>
      <c r="E1210" s="5">
        <v>-29000</v>
      </c>
      <c r="F1210" s="3" t="s">
        <v>670</v>
      </c>
      <c r="G1210" s="3" t="s">
        <v>62</v>
      </c>
      <c r="H1210" s="2" t="s">
        <v>21</v>
      </c>
      <c r="I1210" s="2" t="s">
        <v>2817</v>
      </c>
      <c r="J1210" s="3" t="str">
        <f>HYPERLINK("https://www.boe.es/gazeta/dias/1820/08/06/pdfs/GGB-1820-39.pdf#page=3","Abrir facsímil")</f>
        <v>Abrir facsímil</v>
      </c>
      <c r="K1210" s="3" t="s">
        <v>23</v>
      </c>
    </row>
    <row r="1211" spans="1:11" ht="42" customHeight="1">
      <c r="A1211" s="2" t="s">
        <v>2818</v>
      </c>
      <c r="B1211" s="2" t="s">
        <v>2819</v>
      </c>
      <c r="C1211" s="2" t="s">
        <v>35</v>
      </c>
      <c r="D1211" s="2" t="s">
        <v>36</v>
      </c>
      <c r="E1211" s="5">
        <v>-29023</v>
      </c>
      <c r="F1211" s="3" t="s">
        <v>1662</v>
      </c>
      <c r="G1211" s="3" t="s">
        <v>1663</v>
      </c>
      <c r="H1211" s="2" t="s">
        <v>21</v>
      </c>
      <c r="I1211" s="2" t="s">
        <v>2820</v>
      </c>
      <c r="J1211" s="3" t="str">
        <f>HYPERLINK("https://www.boe.es/gazeta/dias/1820/07/14/pdfs/GGB-1820-16.pdf#page=3","Abrir facsímil")</f>
        <v>Abrir facsímil</v>
      </c>
      <c r="K1211" s="3" t="s">
        <v>23</v>
      </c>
    </row>
    <row r="1212" spans="1:11" ht="42" customHeight="1">
      <c r="A1212" s="2" t="s">
        <v>2821</v>
      </c>
      <c r="B1212" s="2" t="s">
        <v>2822</v>
      </c>
      <c r="C1212" s="2" t="s">
        <v>74</v>
      </c>
      <c r="D1212" s="2" t="s">
        <v>18</v>
      </c>
      <c r="E1212" s="5">
        <v>-29018</v>
      </c>
      <c r="F1212" s="3" t="s">
        <v>601</v>
      </c>
      <c r="G1212" s="3" t="s">
        <v>43</v>
      </c>
      <c r="H1212" s="2" t="s">
        <v>21</v>
      </c>
      <c r="I1212" s="2" t="s">
        <v>2823</v>
      </c>
      <c r="J1212" s="3" t="str">
        <f>HYPERLINK("https://www.boe.es/gazeta/dias/1820/07/19/pdfs/GGB-1820-21.pdf#page=2","Abrir facsímil")</f>
        <v>Abrir facsímil</v>
      </c>
      <c r="K1212" s="3" t="s">
        <v>23</v>
      </c>
    </row>
    <row r="1213" spans="1:11" ht="42" customHeight="1">
      <c r="A1213" s="2" t="s">
        <v>2824</v>
      </c>
      <c r="B1213" s="2" t="s">
        <v>2824</v>
      </c>
      <c r="C1213" s="2" t="s">
        <v>17</v>
      </c>
      <c r="D1213" s="2" t="s">
        <v>18</v>
      </c>
      <c r="E1213" s="5">
        <v>-28906</v>
      </c>
      <c r="F1213" s="3" t="s">
        <v>232</v>
      </c>
      <c r="G1213" s="3" t="s">
        <v>128</v>
      </c>
      <c r="H1213" s="2" t="s">
        <v>21</v>
      </c>
      <c r="I1213" s="2" t="s">
        <v>2825</v>
      </c>
      <c r="J1213" s="3" t="str">
        <f>HYPERLINK("https://www.boe.es/gazeta/dias/1820/11/08/pdfs/GGB-1820-133.pdf#page=1","Abrir facsímil")</f>
        <v>Abrir facsímil</v>
      </c>
      <c r="K1213" s="3" t="s">
        <v>23</v>
      </c>
    </row>
    <row r="1214" spans="1:11" ht="42" customHeight="1">
      <c r="A1214" s="2" t="s">
        <v>2826</v>
      </c>
      <c r="B1214" s="2" t="s">
        <v>2826</v>
      </c>
      <c r="C1214" s="2" t="s">
        <v>74</v>
      </c>
      <c r="D1214" s="2" t="s">
        <v>18</v>
      </c>
      <c r="E1214" s="5">
        <v>-28886</v>
      </c>
      <c r="F1214" s="3" t="s">
        <v>874</v>
      </c>
      <c r="G1214" s="3" t="s">
        <v>128</v>
      </c>
      <c r="H1214" s="2" t="s">
        <v>21</v>
      </c>
      <c r="I1214" s="2" t="s">
        <v>2827</v>
      </c>
      <c r="J1214" s="3" t="str">
        <f>HYPERLINK("https://www.boe.es/gazeta/dias/1820/11/28/pdfs/GGB-1820-155.pdf#page=1","Abrir facsímil")</f>
        <v>Abrir facsímil</v>
      </c>
      <c r="K1214" s="3" t="s">
        <v>23</v>
      </c>
    </row>
    <row r="1215" spans="1:11" ht="42" customHeight="1">
      <c r="A1215" s="2" t="s">
        <v>2828</v>
      </c>
      <c r="B1215" s="2" t="s">
        <v>2829</v>
      </c>
      <c r="C1215" s="2" t="s">
        <v>26</v>
      </c>
      <c r="D1215" s="2" t="s">
        <v>27</v>
      </c>
      <c r="E1215" s="5">
        <v>-28882</v>
      </c>
      <c r="F1215" s="3" t="s">
        <v>1245</v>
      </c>
      <c r="G1215" s="3" t="s">
        <v>1246</v>
      </c>
      <c r="H1215" s="2" t="s">
        <v>21</v>
      </c>
      <c r="I1215" s="2" t="s">
        <v>2830</v>
      </c>
      <c r="J1215" s="3" t="str">
        <f>HYPERLINK("https://www.boe.es/gazeta/dias/1820/12/02/pdfs/GGB-1820-159.pdf#page=3","Abrir facsímil")</f>
        <v>Abrir facsímil</v>
      </c>
      <c r="K1215" s="3" t="s">
        <v>23</v>
      </c>
    </row>
    <row r="1216" spans="1:11" ht="42" customHeight="1">
      <c r="A1216" s="2" t="s">
        <v>2831</v>
      </c>
      <c r="B1216" s="2" t="s">
        <v>2831</v>
      </c>
      <c r="C1216" s="2" t="s">
        <v>26</v>
      </c>
      <c r="D1216" s="2" t="s">
        <v>27</v>
      </c>
      <c r="E1216" s="5">
        <v>-28948</v>
      </c>
      <c r="F1216" s="3" t="s">
        <v>1069</v>
      </c>
      <c r="G1216" s="3" t="s">
        <v>43</v>
      </c>
      <c r="H1216" s="2" t="s">
        <v>21</v>
      </c>
      <c r="I1216" s="2" t="s">
        <v>2832</v>
      </c>
      <c r="J1216" s="3" t="str">
        <f>HYPERLINK("https://www.boe.es/gazeta/dias/1820/09/27/pdfs/GGB-1820-91.pdf#page=2","Abrir facsímil")</f>
        <v>Abrir facsímil</v>
      </c>
      <c r="K1216" s="3" t="s">
        <v>23</v>
      </c>
    </row>
    <row r="1217" spans="1:11" ht="42" customHeight="1">
      <c r="A1217" s="2" t="s">
        <v>2833</v>
      </c>
      <c r="B1217" s="2" t="s">
        <v>2833</v>
      </c>
      <c r="C1217" s="2" t="s">
        <v>26</v>
      </c>
      <c r="D1217" s="2" t="s">
        <v>27</v>
      </c>
      <c r="E1217" s="5">
        <v>-29057</v>
      </c>
      <c r="F1217" s="3" t="s">
        <v>2141</v>
      </c>
      <c r="G1217" s="3" t="s">
        <v>295</v>
      </c>
      <c r="H1217" s="2" t="s">
        <v>21</v>
      </c>
      <c r="I1217" s="2" t="s">
        <v>2834</v>
      </c>
      <c r="J1217" s="3" t="str">
        <f>HYPERLINK("https://www.boe.es/gazeta/dias/1820/06/10/pdfs/GMD-1820-92.pdf#page=8","Abrir facsímil")</f>
        <v>Abrir facsímil</v>
      </c>
      <c r="K1217" s="3" t="s">
        <v>23</v>
      </c>
    </row>
    <row r="1218" spans="1:11" ht="42" customHeight="1">
      <c r="A1218" s="2" t="s">
        <v>2835</v>
      </c>
      <c r="B1218" s="2" t="s">
        <v>2836</v>
      </c>
      <c r="C1218" s="2" t="s">
        <v>26</v>
      </c>
      <c r="D1218" s="2" t="s">
        <v>27</v>
      </c>
      <c r="E1218" s="5">
        <v>-29129</v>
      </c>
      <c r="F1218" s="3" t="s">
        <v>269</v>
      </c>
      <c r="G1218" s="3" t="s">
        <v>196</v>
      </c>
      <c r="H1218" s="2" t="s">
        <v>21</v>
      </c>
      <c r="I1218" s="2" t="s">
        <v>2837</v>
      </c>
      <c r="J1218" s="3" t="str">
        <f>HYPERLINK("https://www.boe.es/gazeta/dias/1820/03/30/pdfs/GMD-1820-58.pdf#page=11","Abrir facsímil")</f>
        <v>Abrir facsímil</v>
      </c>
      <c r="K1218" s="3" t="s">
        <v>23</v>
      </c>
    </row>
    <row r="1219" spans="1:11" ht="42" customHeight="1">
      <c r="A1219" s="2" t="s">
        <v>2838</v>
      </c>
      <c r="B1219" s="2" t="s">
        <v>2839</v>
      </c>
      <c r="C1219" s="2" t="s">
        <v>35</v>
      </c>
      <c r="D1219" s="2" t="s">
        <v>36</v>
      </c>
      <c r="E1219" s="5">
        <v>-29045</v>
      </c>
      <c r="F1219" s="3" t="s">
        <v>155</v>
      </c>
      <c r="G1219" s="3" t="s">
        <v>38</v>
      </c>
      <c r="H1219" s="2" t="s">
        <v>21</v>
      </c>
      <c r="I1219" s="2" t="s">
        <v>2840</v>
      </c>
      <c r="J1219" s="3" t="str">
        <f>HYPERLINK("https://www.boe.es/gazeta/dias/1820/06/22/pdfs/GMD-1820-97.pdf#page=6","Abrir facsímil")</f>
        <v>Abrir facsímil</v>
      </c>
      <c r="K1219" s="3" t="s">
        <v>23</v>
      </c>
    </row>
    <row r="1220" spans="1:11" ht="42" customHeight="1">
      <c r="A1220" s="2" t="s">
        <v>2841</v>
      </c>
      <c r="B1220" s="2" t="s">
        <v>2842</v>
      </c>
      <c r="C1220" s="2" t="s">
        <v>26</v>
      </c>
      <c r="D1220" s="2" t="s">
        <v>27</v>
      </c>
      <c r="E1220" s="5">
        <v>-28973</v>
      </c>
      <c r="F1220" s="3" t="s">
        <v>151</v>
      </c>
      <c r="G1220" s="3" t="s">
        <v>20</v>
      </c>
      <c r="H1220" s="2" t="s">
        <v>21</v>
      </c>
      <c r="I1220" s="2" t="s">
        <v>2843</v>
      </c>
      <c r="J1220" s="3" t="str">
        <f>HYPERLINK("https://www.boe.es/gazeta/dias/1820/09/02/pdfs/GGB-1820-66.pdf#page=4","Abrir facsímil")</f>
        <v>Abrir facsímil</v>
      </c>
      <c r="K1220" s="3" t="s">
        <v>23</v>
      </c>
    </row>
    <row r="1221" spans="1:11" ht="42" customHeight="1">
      <c r="A1221" s="2" t="s">
        <v>2844</v>
      </c>
      <c r="B1221" s="2" t="s">
        <v>2845</v>
      </c>
      <c r="C1221" s="2" t="s">
        <v>107</v>
      </c>
      <c r="D1221" s="2" t="s">
        <v>18</v>
      </c>
      <c r="E1221" s="5">
        <v>-29122</v>
      </c>
      <c r="F1221" s="3" t="s">
        <v>844</v>
      </c>
      <c r="G1221" s="3" t="s">
        <v>845</v>
      </c>
      <c r="H1221" s="2" t="s">
        <v>21</v>
      </c>
      <c r="I1221" s="2" t="s">
        <v>2846</v>
      </c>
      <c r="J1221" s="3" t="str">
        <f>HYPERLINK("https://www.boe.es/gazeta/dias/1820/04/06/pdfs/GMD-1820-62.pdf#page=8","Abrir facsímil")</f>
        <v>Abrir facsímil</v>
      </c>
      <c r="K1221" s="3" t="s">
        <v>23</v>
      </c>
    </row>
    <row r="1222" spans="1:11" ht="42" customHeight="1">
      <c r="A1222" s="2" t="s">
        <v>2847</v>
      </c>
      <c r="B1222" s="2" t="s">
        <v>2847</v>
      </c>
      <c r="C1222" s="2" t="s">
        <v>17</v>
      </c>
      <c r="D1222" s="2" t="s">
        <v>18</v>
      </c>
      <c r="E1222" s="5">
        <v>-28922</v>
      </c>
      <c r="F1222" s="3" t="s">
        <v>735</v>
      </c>
      <c r="G1222" s="3" t="s">
        <v>43</v>
      </c>
      <c r="H1222" s="2" t="s">
        <v>21</v>
      </c>
      <c r="I1222" s="2" t="s">
        <v>2848</v>
      </c>
      <c r="J1222" s="3" t="str">
        <f>HYPERLINK("https://www.boe.es/gazeta/dias/1820/10/23/pdfs/GGB-1820-117.pdf#page=2","Abrir facsímil")</f>
        <v>Abrir facsímil</v>
      </c>
      <c r="K1222" s="3" t="s">
        <v>23</v>
      </c>
    </row>
    <row r="1223" spans="1:11" ht="42" customHeight="1">
      <c r="A1223" s="2" t="s">
        <v>2849</v>
      </c>
      <c r="B1223" s="2" t="s">
        <v>2850</v>
      </c>
      <c r="C1223" s="2" t="s">
        <v>26</v>
      </c>
      <c r="D1223" s="2" t="s">
        <v>27</v>
      </c>
      <c r="E1223" s="5">
        <v>-29187</v>
      </c>
      <c r="F1223" s="3" t="s">
        <v>859</v>
      </c>
      <c r="G1223" s="3" t="s">
        <v>201</v>
      </c>
      <c r="H1223" s="2" t="s">
        <v>21</v>
      </c>
      <c r="I1223" s="2" t="s">
        <v>2851</v>
      </c>
      <c r="J1223" s="3" t="str">
        <f>HYPERLINK("https://www.boe.es/gazeta/dias/1820/02/01/pdfs/GMD-1820-14.pdf#page=7","Abrir facsímil")</f>
        <v>Abrir facsímil</v>
      </c>
      <c r="K1223" s="3" t="s">
        <v>23</v>
      </c>
    </row>
    <row r="1224" spans="1:11" ht="42" customHeight="1">
      <c r="A1224" s="2" t="s">
        <v>2852</v>
      </c>
      <c r="B1224" s="2" t="s">
        <v>2852</v>
      </c>
      <c r="C1224" s="2" t="s">
        <v>26</v>
      </c>
      <c r="D1224" s="2" t="s">
        <v>27</v>
      </c>
      <c r="E1224" s="5">
        <v>-28995</v>
      </c>
      <c r="F1224" s="3" t="s">
        <v>672</v>
      </c>
      <c r="G1224" s="3" t="s">
        <v>20</v>
      </c>
      <c r="H1224" s="2" t="s">
        <v>21</v>
      </c>
      <c r="I1224" s="2" t="s">
        <v>2853</v>
      </c>
      <c r="J1224" s="3" t="str">
        <f>HYPERLINK("https://www.boe.es/gazeta/dias/1820/08/11/pdfs/GGB-1820-44.pdf#page=4","Abrir facsímil")</f>
        <v>Abrir facsímil</v>
      </c>
      <c r="K1224" s="3" t="s">
        <v>23</v>
      </c>
    </row>
    <row r="1225" spans="1:11" ht="42" customHeight="1">
      <c r="A1225" s="2" t="s">
        <v>2852</v>
      </c>
      <c r="B1225" s="2" t="s">
        <v>2852</v>
      </c>
      <c r="C1225" s="2" t="s">
        <v>17</v>
      </c>
      <c r="D1225" s="2" t="s">
        <v>18</v>
      </c>
      <c r="E1225" s="5">
        <v>-28952</v>
      </c>
      <c r="F1225" s="3" t="s">
        <v>370</v>
      </c>
      <c r="G1225" s="3" t="s">
        <v>62</v>
      </c>
      <c r="H1225" s="2" t="s">
        <v>21</v>
      </c>
      <c r="I1225" s="2" t="s">
        <v>2854</v>
      </c>
      <c r="J1225" s="3" t="str">
        <f>HYPERLINK("https://www.boe.es/gazeta/dias/1820/09/23/pdfs/GGB-1820-87.pdf#page=3","Abrir facsímil")</f>
        <v>Abrir facsímil</v>
      </c>
      <c r="K1225" s="3" t="s">
        <v>23</v>
      </c>
    </row>
    <row r="1226" spans="1:11" ht="42" customHeight="1">
      <c r="A1226" s="2" t="s">
        <v>2852</v>
      </c>
      <c r="B1226" s="2" t="s">
        <v>2852</v>
      </c>
      <c r="C1226" s="2" t="s">
        <v>35</v>
      </c>
      <c r="D1226" s="2" t="s">
        <v>36</v>
      </c>
      <c r="E1226" s="5">
        <v>-28949</v>
      </c>
      <c r="F1226" s="3" t="s">
        <v>178</v>
      </c>
      <c r="G1226" s="3" t="s">
        <v>43</v>
      </c>
      <c r="H1226" s="2" t="s">
        <v>21</v>
      </c>
      <c r="I1226" s="2" t="s">
        <v>2855</v>
      </c>
      <c r="J1226" s="3" t="str">
        <f>HYPERLINK("https://www.boe.es/gazeta/dias/1820/09/26/pdfs/GGB-1820-90.pdf#page=2","Abrir facsímil")</f>
        <v>Abrir facsímil</v>
      </c>
      <c r="K1226" s="3" t="s">
        <v>23</v>
      </c>
    </row>
    <row r="1227" spans="1:11" ht="42" customHeight="1">
      <c r="A1227" s="2" t="s">
        <v>2852</v>
      </c>
      <c r="B1227" s="2" t="s">
        <v>2852</v>
      </c>
      <c r="C1227" s="2" t="s">
        <v>47</v>
      </c>
      <c r="D1227" s="2" t="s">
        <v>18</v>
      </c>
      <c r="E1227" s="5">
        <v>-28936</v>
      </c>
      <c r="F1227" s="3" t="s">
        <v>167</v>
      </c>
      <c r="G1227" s="3" t="s">
        <v>43</v>
      </c>
      <c r="H1227" s="2" t="s">
        <v>21</v>
      </c>
      <c r="I1227" s="2" t="s">
        <v>2856</v>
      </c>
      <c r="J1227" s="3" t="str">
        <f>HYPERLINK("https://www.boe.es/gazeta/dias/1820/10/09/pdfs/GGB-1820-103.pdf#page=2","Abrir facsímil")</f>
        <v>Abrir facsímil</v>
      </c>
      <c r="K1227" s="3" t="s">
        <v>23</v>
      </c>
    </row>
    <row r="1228" spans="1:11" ht="42" customHeight="1">
      <c r="A1228" s="2" t="s">
        <v>2852</v>
      </c>
      <c r="B1228" s="2" t="s">
        <v>2852</v>
      </c>
      <c r="C1228" s="2" t="s">
        <v>35</v>
      </c>
      <c r="D1228" s="2" t="s">
        <v>36</v>
      </c>
      <c r="E1228" s="5">
        <v>-28928</v>
      </c>
      <c r="F1228" s="3" t="s">
        <v>86</v>
      </c>
      <c r="G1228" s="3" t="s">
        <v>43</v>
      </c>
      <c r="H1228" s="2" t="s">
        <v>21</v>
      </c>
      <c r="I1228" s="2" t="s">
        <v>2857</v>
      </c>
      <c r="J1228" s="3" t="str">
        <f>HYPERLINK("https://www.boe.es/gazeta/dias/1820/10/17/pdfs/GGB-1820-111.pdf#page=2","Abrir facsímil")</f>
        <v>Abrir facsímil</v>
      </c>
      <c r="K1228" s="3" t="s">
        <v>23</v>
      </c>
    </row>
    <row r="1229" spans="1:11" ht="42" customHeight="1">
      <c r="A1229" s="2" t="s">
        <v>2852</v>
      </c>
      <c r="B1229" s="2" t="s">
        <v>2852</v>
      </c>
      <c r="C1229" s="2" t="s">
        <v>35</v>
      </c>
      <c r="D1229" s="2" t="s">
        <v>36</v>
      </c>
      <c r="E1229" s="5">
        <v>-28915</v>
      </c>
      <c r="F1229" s="3" t="s">
        <v>525</v>
      </c>
      <c r="G1229" s="3" t="s">
        <v>62</v>
      </c>
      <c r="H1229" s="2" t="s">
        <v>21</v>
      </c>
      <c r="I1229" s="2" t="s">
        <v>2858</v>
      </c>
      <c r="J1229" s="3" t="str">
        <f>HYPERLINK("https://www.boe.es/gazeta/dias/1820/10/30/pdfs/GGB-1820-124.pdf#page=3","Abrir facsímil")</f>
        <v>Abrir facsímil</v>
      </c>
      <c r="K1229" s="3" t="s">
        <v>23</v>
      </c>
    </row>
    <row r="1230" spans="1:11" ht="42" customHeight="1">
      <c r="A1230" s="2" t="s">
        <v>2852</v>
      </c>
      <c r="B1230" s="2" t="s">
        <v>2852</v>
      </c>
      <c r="C1230" s="2" t="s">
        <v>35</v>
      </c>
      <c r="D1230" s="2" t="s">
        <v>36</v>
      </c>
      <c r="E1230" s="5">
        <v>-28912</v>
      </c>
      <c r="F1230" s="3" t="s">
        <v>1329</v>
      </c>
      <c r="G1230" s="3" t="s">
        <v>62</v>
      </c>
      <c r="H1230" s="2" t="s">
        <v>21</v>
      </c>
      <c r="I1230" s="2" t="s">
        <v>2859</v>
      </c>
      <c r="J1230" s="3" t="str">
        <f>HYPERLINK("https://www.boe.es/gazeta/dias/1820/11/02/pdfs/GGB-1820-127.pdf#page=3","Abrir facsímil")</f>
        <v>Abrir facsímil</v>
      </c>
      <c r="K1230" s="3" t="s">
        <v>23</v>
      </c>
    </row>
    <row r="1231" spans="1:11" ht="42" customHeight="1">
      <c r="A1231" s="2" t="s">
        <v>2860</v>
      </c>
      <c r="B1231" s="2" t="s">
        <v>2861</v>
      </c>
      <c r="C1231" s="2" t="s">
        <v>35</v>
      </c>
      <c r="D1231" s="2" t="s">
        <v>36</v>
      </c>
      <c r="E1231" s="5">
        <v>-29020</v>
      </c>
      <c r="F1231" s="3" t="s">
        <v>756</v>
      </c>
      <c r="G1231" s="3" t="s">
        <v>20</v>
      </c>
      <c r="H1231" s="2" t="s">
        <v>21</v>
      </c>
      <c r="I1231" s="2" t="s">
        <v>2862</v>
      </c>
      <c r="J1231" s="3" t="str">
        <f>HYPERLINK("https://www.boe.es/gazeta/dias/1820/07/17/pdfs/GGB-1820-19.pdf#page=4","Abrir facsímil")</f>
        <v>Abrir facsímil</v>
      </c>
      <c r="K1231" s="3" t="s">
        <v>23</v>
      </c>
    </row>
    <row r="1232" spans="1:11" ht="42" customHeight="1">
      <c r="A1232" s="2" t="s">
        <v>2863</v>
      </c>
      <c r="B1232" s="2" t="s">
        <v>2864</v>
      </c>
      <c r="C1232" s="2" t="s">
        <v>74</v>
      </c>
      <c r="D1232" s="2" t="s">
        <v>18</v>
      </c>
      <c r="E1232" s="5">
        <v>-28983</v>
      </c>
      <c r="F1232" s="3" t="s">
        <v>682</v>
      </c>
      <c r="G1232" s="3" t="s">
        <v>62</v>
      </c>
      <c r="H1232" s="2" t="s">
        <v>21</v>
      </c>
      <c r="I1232" s="2" t="s">
        <v>2865</v>
      </c>
      <c r="J1232" s="3" t="str">
        <f>HYPERLINK("https://www.boe.es/gazeta/dias/1820/08/23/pdfs/GGB-1820-56.pdf#page=3","Abrir facsímil")</f>
        <v>Abrir facsímil</v>
      </c>
      <c r="K1232" s="3" t="s">
        <v>23</v>
      </c>
    </row>
    <row r="1233" spans="1:11" ht="42" customHeight="1">
      <c r="A1233" s="2" t="s">
        <v>2866</v>
      </c>
      <c r="B1233" s="2" t="s">
        <v>2867</v>
      </c>
      <c r="C1233" s="2" t="s">
        <v>35</v>
      </c>
      <c r="D1233" s="2" t="s">
        <v>36</v>
      </c>
      <c r="E1233" s="5">
        <v>-29194</v>
      </c>
      <c r="F1233" s="3" t="s">
        <v>416</v>
      </c>
      <c r="G1233" s="3" t="s">
        <v>38</v>
      </c>
      <c r="H1233" s="2" t="s">
        <v>21</v>
      </c>
      <c r="I1233" s="2" t="s">
        <v>2868</v>
      </c>
      <c r="J1233" s="3" t="str">
        <f>HYPERLINK("https://www.boe.es/gazeta/dias/1820/01/25/pdfs/GMD-1820-11.pdf#page=6","Abrir facsímil")</f>
        <v>Abrir facsímil</v>
      </c>
      <c r="K1233" s="3" t="s">
        <v>23</v>
      </c>
    </row>
    <row r="1234" spans="1:11" ht="42" customHeight="1">
      <c r="A1234" s="2" t="s">
        <v>2869</v>
      </c>
      <c r="B1234" s="2" t="s">
        <v>2870</v>
      </c>
      <c r="C1234" s="2" t="s">
        <v>111</v>
      </c>
      <c r="D1234" s="2" t="s">
        <v>18</v>
      </c>
      <c r="E1234" s="5">
        <v>-28933</v>
      </c>
      <c r="F1234" s="3" t="s">
        <v>720</v>
      </c>
      <c r="G1234" s="3" t="s">
        <v>20</v>
      </c>
      <c r="H1234" s="2" t="s">
        <v>21</v>
      </c>
      <c r="I1234" s="2" t="s">
        <v>2871</v>
      </c>
      <c r="J1234" s="3" t="str">
        <f>HYPERLINK("https://www.boe.es/gazeta/dias/1820/10/12/pdfs/GGB-1820-106.pdf#page=4","Abrir facsímil")</f>
        <v>Abrir facsímil</v>
      </c>
      <c r="K1234" s="3" t="s">
        <v>23</v>
      </c>
    </row>
    <row r="1235" spans="1:11" ht="42" customHeight="1">
      <c r="A1235" s="2" t="s">
        <v>2872</v>
      </c>
      <c r="B1235" s="2" t="s">
        <v>2873</v>
      </c>
      <c r="C1235" s="2" t="s">
        <v>293</v>
      </c>
      <c r="D1235" s="2" t="s">
        <v>18</v>
      </c>
      <c r="E1235" s="5">
        <v>-29192</v>
      </c>
      <c r="F1235" s="3" t="s">
        <v>497</v>
      </c>
      <c r="G1235" s="3" t="s">
        <v>498</v>
      </c>
      <c r="H1235" s="2" t="s">
        <v>30</v>
      </c>
      <c r="I1235" s="2" t="s">
        <v>2874</v>
      </c>
      <c r="J1235" s="3" t="str">
        <f>HYPERLINK("https://www.boe.es/gazeta/dias/1820/01/27/pdfs/GMD-1820-12.pdf#page=7","Abrir facsímil")</f>
        <v>Abrir facsímil</v>
      </c>
      <c r="K1235" s="3" t="s">
        <v>32</v>
      </c>
    </row>
    <row r="1236" spans="1:11" ht="42" customHeight="1">
      <c r="A1236" s="2" t="s">
        <v>2875</v>
      </c>
      <c r="B1236" s="2" t="s">
        <v>2875</v>
      </c>
      <c r="C1236" s="2" t="s">
        <v>26</v>
      </c>
      <c r="D1236" s="2" t="s">
        <v>27</v>
      </c>
      <c r="E1236" s="5">
        <v>-29006</v>
      </c>
      <c r="F1236" s="3" t="s">
        <v>609</v>
      </c>
      <c r="G1236" s="3" t="s">
        <v>62</v>
      </c>
      <c r="H1236" s="2" t="s">
        <v>21</v>
      </c>
      <c r="I1236" s="2" t="s">
        <v>2876</v>
      </c>
      <c r="J1236" s="3" t="str">
        <f>HYPERLINK("https://www.boe.es/gazeta/dias/1820/07/31/pdfs/GGB-1820-33.pdf#page=3","Abrir facsímil")</f>
        <v>Abrir facsímil</v>
      </c>
      <c r="K1236" s="3" t="s">
        <v>23</v>
      </c>
    </row>
    <row r="1237" spans="1:11" ht="42" customHeight="1">
      <c r="A1237" s="2" t="s">
        <v>2875</v>
      </c>
      <c r="B1237" s="2" t="s">
        <v>2875</v>
      </c>
      <c r="C1237" s="2" t="s">
        <v>26</v>
      </c>
      <c r="D1237" s="2" t="s">
        <v>27</v>
      </c>
      <c r="E1237" s="5">
        <v>-29002</v>
      </c>
      <c r="F1237" s="3" t="s">
        <v>124</v>
      </c>
      <c r="G1237" s="3" t="s">
        <v>43</v>
      </c>
      <c r="H1237" s="2" t="s">
        <v>21</v>
      </c>
      <c r="I1237" s="2" t="s">
        <v>2877</v>
      </c>
      <c r="J1237" s="3" t="str">
        <f>HYPERLINK("https://www.boe.es/gazeta/dias/1820/08/04/pdfs/GGB-1820-37.pdf#page=2","Abrir facsímil")</f>
        <v>Abrir facsímil</v>
      </c>
      <c r="K1237" s="3" t="s">
        <v>23</v>
      </c>
    </row>
    <row r="1238" spans="1:11" ht="42" customHeight="1">
      <c r="A1238" s="2" t="s">
        <v>2875</v>
      </c>
      <c r="B1238" s="2" t="s">
        <v>2875</v>
      </c>
      <c r="C1238" s="2" t="s">
        <v>26</v>
      </c>
      <c r="D1238" s="2" t="s">
        <v>27</v>
      </c>
      <c r="E1238" s="5">
        <v>-28974</v>
      </c>
      <c r="F1238" s="3" t="s">
        <v>1144</v>
      </c>
      <c r="G1238" s="3" t="s">
        <v>128</v>
      </c>
      <c r="H1238" s="2" t="s">
        <v>21</v>
      </c>
      <c r="I1238" s="2" t="s">
        <v>2878</v>
      </c>
      <c r="J1238" s="3" t="str">
        <f>HYPERLINK("https://www.boe.es/gazeta/dias/1820/09/01/pdfs/GGB-1820-65.pdf#page=1","Abrir facsímil")</f>
        <v>Abrir facsímil</v>
      </c>
      <c r="K1238" s="3" t="s">
        <v>23</v>
      </c>
    </row>
    <row r="1239" spans="1:11" ht="42" customHeight="1">
      <c r="A1239" s="2" t="s">
        <v>2879</v>
      </c>
      <c r="B1239" s="2" t="s">
        <v>2880</v>
      </c>
      <c r="C1239" s="2" t="s">
        <v>17</v>
      </c>
      <c r="D1239" s="2" t="s">
        <v>18</v>
      </c>
      <c r="E1239" s="5">
        <v>-28869</v>
      </c>
      <c r="F1239" s="3" t="s">
        <v>449</v>
      </c>
      <c r="G1239" s="3" t="s">
        <v>450</v>
      </c>
      <c r="H1239" s="2" t="s">
        <v>21</v>
      </c>
      <c r="I1239" s="2" t="s">
        <v>2881</v>
      </c>
      <c r="J1239" s="3" t="str">
        <f>HYPERLINK("https://www.boe.es/gazeta/dias/1820/12/15/pdfs/GGB-1820-172.pdf#page=4","Abrir facsímil")</f>
        <v>Abrir facsímil</v>
      </c>
      <c r="K1239" s="3" t="s">
        <v>23</v>
      </c>
    </row>
    <row r="1240" spans="1:11" ht="42" customHeight="1">
      <c r="A1240" s="2" t="s">
        <v>2882</v>
      </c>
      <c r="B1240" s="2" t="s">
        <v>2883</v>
      </c>
      <c r="C1240" s="2" t="s">
        <v>35</v>
      </c>
      <c r="D1240" s="2" t="s">
        <v>36</v>
      </c>
      <c r="E1240" s="5">
        <v>-28903</v>
      </c>
      <c r="F1240" s="3" t="s">
        <v>2163</v>
      </c>
      <c r="G1240" s="3" t="s">
        <v>62</v>
      </c>
      <c r="H1240" s="2" t="s">
        <v>21</v>
      </c>
      <c r="I1240" s="2" t="s">
        <v>2884</v>
      </c>
      <c r="J1240" s="3" t="str">
        <f>HYPERLINK("https://www.boe.es/gazeta/dias/1820/11/11/pdfs/GGB-1820-137.pdf#page=3","Abrir facsímil")</f>
        <v>Abrir facsímil</v>
      </c>
      <c r="K1240" s="3" t="s">
        <v>23</v>
      </c>
    </row>
    <row r="1241" spans="1:11" ht="42" customHeight="1">
      <c r="A1241" s="2" t="s">
        <v>2882</v>
      </c>
      <c r="B1241" s="2" t="s">
        <v>2883</v>
      </c>
      <c r="C1241" s="2" t="s">
        <v>35</v>
      </c>
      <c r="D1241" s="2" t="s">
        <v>36</v>
      </c>
      <c r="E1241" s="5">
        <v>-28901</v>
      </c>
      <c r="F1241" s="3" t="s">
        <v>1492</v>
      </c>
      <c r="G1241" s="3" t="s">
        <v>20</v>
      </c>
      <c r="H1241" s="2" t="s">
        <v>21</v>
      </c>
      <c r="I1241" s="2" t="s">
        <v>2885</v>
      </c>
      <c r="J1241" s="3" t="str">
        <f>HYPERLINK("https://www.boe.es/gazeta/dias/1820/11/13/pdfs/GGB-1820-139.pdf#page=4","Abrir facsímil")</f>
        <v>Abrir facsímil</v>
      </c>
      <c r="K1241" s="3" t="s">
        <v>23</v>
      </c>
    </row>
    <row r="1242" spans="1:11" ht="42" customHeight="1">
      <c r="A1242" s="2" t="s">
        <v>2886</v>
      </c>
      <c r="B1242" s="2" t="s">
        <v>2887</v>
      </c>
      <c r="C1242" s="2" t="s">
        <v>35</v>
      </c>
      <c r="D1242" s="2" t="s">
        <v>36</v>
      </c>
      <c r="E1242" s="5">
        <v>-28930</v>
      </c>
      <c r="F1242" s="3" t="s">
        <v>372</v>
      </c>
      <c r="G1242" s="3" t="s">
        <v>43</v>
      </c>
      <c r="H1242" s="2" t="s">
        <v>21</v>
      </c>
      <c r="I1242" s="2" t="s">
        <v>2888</v>
      </c>
      <c r="J1242" s="3" t="str">
        <f>HYPERLINK("https://www.boe.es/gazeta/dias/1820/10/15/pdfs/GGB-1820-109.pdf#page=2","Abrir facsímil")</f>
        <v>Abrir facsímil</v>
      </c>
      <c r="K1242" s="3" t="s">
        <v>23</v>
      </c>
    </row>
    <row r="1243" spans="1:11" ht="42" customHeight="1">
      <c r="A1243" s="2" t="s">
        <v>2889</v>
      </c>
      <c r="B1243" s="2" t="s">
        <v>2889</v>
      </c>
      <c r="C1243" s="2" t="s">
        <v>111</v>
      </c>
      <c r="D1243" s="2" t="s">
        <v>18</v>
      </c>
      <c r="E1243" s="5">
        <v>-28957</v>
      </c>
      <c r="F1243" s="3" t="s">
        <v>361</v>
      </c>
      <c r="G1243" s="3" t="s">
        <v>708</v>
      </c>
      <c r="H1243" s="2" t="s">
        <v>21</v>
      </c>
      <c r="I1243" s="2" t="s">
        <v>2890</v>
      </c>
      <c r="J1243" s="3" t="str">
        <f>HYPERLINK("https://www.boe.es/gazeta/dias/1820/09/18/pdfs/GGB-1820-82.pdf#page=4","Abrir facsímil")</f>
        <v>Abrir facsímil</v>
      </c>
      <c r="K1243" s="3" t="s">
        <v>23</v>
      </c>
    </row>
    <row r="1244" spans="1:11" ht="42" customHeight="1">
      <c r="A1244" s="2" t="s">
        <v>2891</v>
      </c>
      <c r="B1244" s="2" t="s">
        <v>2892</v>
      </c>
      <c r="C1244" s="2" t="s">
        <v>26</v>
      </c>
      <c r="D1244" s="2" t="s">
        <v>27</v>
      </c>
      <c r="E1244" s="5">
        <v>-28985</v>
      </c>
      <c r="F1244" s="3" t="s">
        <v>905</v>
      </c>
      <c r="G1244" s="3" t="s">
        <v>928</v>
      </c>
      <c r="H1244" s="2" t="s">
        <v>21</v>
      </c>
      <c r="I1244" s="2" t="s">
        <v>2893</v>
      </c>
      <c r="J1244" s="3" t="str">
        <f>HYPERLINK("https://www.boe.es/gazeta/dias/1820/08/21/pdfs/GGB-1820-54.pdf#page=4","Abrir facsímil")</f>
        <v>Abrir facsímil</v>
      </c>
      <c r="K1244" s="3" t="s">
        <v>23</v>
      </c>
    </row>
    <row r="1245" spans="1:11" ht="42" customHeight="1">
      <c r="A1245" s="2" t="s">
        <v>2894</v>
      </c>
      <c r="B1245" s="2" t="s">
        <v>2894</v>
      </c>
      <c r="C1245" s="2" t="s">
        <v>26</v>
      </c>
      <c r="D1245" s="2" t="s">
        <v>27</v>
      </c>
      <c r="E1245" s="5">
        <v>-28948</v>
      </c>
      <c r="F1245" s="3" t="s">
        <v>1069</v>
      </c>
      <c r="G1245" s="3" t="s">
        <v>43</v>
      </c>
      <c r="H1245" s="2" t="s">
        <v>21</v>
      </c>
      <c r="I1245" s="2" t="s">
        <v>2895</v>
      </c>
      <c r="J1245" s="3" t="str">
        <f>HYPERLINK("https://www.boe.es/gazeta/dias/1820/09/27/pdfs/GGB-1820-91.pdf#page=2","Abrir facsímil")</f>
        <v>Abrir facsímil</v>
      </c>
      <c r="K1245" s="3" t="s">
        <v>23</v>
      </c>
    </row>
    <row r="1246" spans="1:11" ht="42" customHeight="1">
      <c r="A1246" s="2" t="s">
        <v>2896</v>
      </c>
      <c r="B1246" s="2" t="s">
        <v>2897</v>
      </c>
      <c r="C1246" s="2" t="s">
        <v>26</v>
      </c>
      <c r="D1246" s="2" t="s">
        <v>27</v>
      </c>
      <c r="E1246" s="5">
        <v>-28879</v>
      </c>
      <c r="F1246" s="3" t="s">
        <v>953</v>
      </c>
      <c r="G1246" s="3" t="s">
        <v>62</v>
      </c>
      <c r="H1246" s="2" t="s">
        <v>21</v>
      </c>
      <c r="I1246" s="2" t="s">
        <v>2898</v>
      </c>
      <c r="J1246" s="3" t="str">
        <f>HYPERLINK("https://www.boe.es/gazeta/dias/1820/12/05/pdfs/GGB-1820-162.pdf#page=3","Abrir facsímil")</f>
        <v>Abrir facsímil</v>
      </c>
      <c r="K1246" s="3" t="s">
        <v>23</v>
      </c>
    </row>
    <row r="1247" spans="1:11" ht="42" customHeight="1">
      <c r="A1247" s="2" t="s">
        <v>2899</v>
      </c>
      <c r="B1247" s="2" t="s">
        <v>2900</v>
      </c>
      <c r="C1247" s="2" t="s">
        <v>74</v>
      </c>
      <c r="D1247" s="2" t="s">
        <v>18</v>
      </c>
      <c r="E1247" s="5">
        <v>-28961</v>
      </c>
      <c r="F1247" s="3" t="s">
        <v>242</v>
      </c>
      <c r="G1247" s="3" t="s">
        <v>43</v>
      </c>
      <c r="H1247" s="2" t="s">
        <v>21</v>
      </c>
      <c r="I1247" s="2" t="s">
        <v>2901</v>
      </c>
      <c r="J1247" s="3" t="str">
        <f>HYPERLINK("https://www.boe.es/gazeta/dias/1820/09/14/pdfs/GGB-1820-78.pdf#page=2","Abrir facsímil")</f>
        <v>Abrir facsímil</v>
      </c>
      <c r="K1247" s="3" t="s">
        <v>23</v>
      </c>
    </row>
    <row r="1248" spans="1:11" ht="42" customHeight="1">
      <c r="A1248" s="2" t="s">
        <v>2899</v>
      </c>
      <c r="B1248" s="2" t="s">
        <v>2900</v>
      </c>
      <c r="C1248" s="2" t="s">
        <v>26</v>
      </c>
      <c r="D1248" s="2" t="s">
        <v>27</v>
      </c>
      <c r="E1248" s="5">
        <v>-28957</v>
      </c>
      <c r="F1248" s="3" t="s">
        <v>361</v>
      </c>
      <c r="G1248" s="3" t="s">
        <v>43</v>
      </c>
      <c r="H1248" s="2" t="s">
        <v>21</v>
      </c>
      <c r="I1248" s="2" t="s">
        <v>2902</v>
      </c>
      <c r="J1248" s="3" t="str">
        <f>HYPERLINK("https://www.boe.es/gazeta/dias/1820/09/18/pdfs/GGB-1820-82.pdf#page=2","Abrir facsímil")</f>
        <v>Abrir facsímil</v>
      </c>
      <c r="K1248" s="3" t="s">
        <v>23</v>
      </c>
    </row>
    <row r="1249" spans="1:11" ht="42" customHeight="1">
      <c r="A1249" s="2" t="s">
        <v>2903</v>
      </c>
      <c r="B1249" s="2" t="s">
        <v>2904</v>
      </c>
      <c r="C1249" s="2" t="s">
        <v>26</v>
      </c>
      <c r="D1249" s="2" t="s">
        <v>27</v>
      </c>
      <c r="E1249" s="5">
        <v>-29148</v>
      </c>
      <c r="F1249" s="3" t="s">
        <v>493</v>
      </c>
      <c r="G1249" s="3" t="s">
        <v>295</v>
      </c>
      <c r="H1249" s="2" t="s">
        <v>21</v>
      </c>
      <c r="I1249" s="2" t="s">
        <v>2905</v>
      </c>
      <c r="J1249" s="3" t="str">
        <f>HYPERLINK("https://www.boe.es/gazeta/dias/1820/03/11/pdfs/GMD-1820-36.pdf#page=8","Abrir facsímil")</f>
        <v>Abrir facsímil</v>
      </c>
      <c r="K1249" s="3" t="s">
        <v>23</v>
      </c>
    </row>
    <row r="1250" spans="1:11" ht="42" customHeight="1">
      <c r="A1250" s="2" t="s">
        <v>2906</v>
      </c>
      <c r="B1250" s="2" t="s">
        <v>2906</v>
      </c>
      <c r="C1250" s="2" t="s">
        <v>35</v>
      </c>
      <c r="D1250" s="2" t="s">
        <v>36</v>
      </c>
      <c r="E1250" s="5">
        <v>-29015</v>
      </c>
      <c r="F1250" s="3" t="s">
        <v>359</v>
      </c>
      <c r="G1250" s="3" t="s">
        <v>62</v>
      </c>
      <c r="H1250" s="2" t="s">
        <v>21</v>
      </c>
      <c r="I1250" s="2" t="s">
        <v>2907</v>
      </c>
      <c r="J1250" s="3" t="str">
        <f>HYPERLINK("https://www.boe.es/gazeta/dias/1820/07/22/pdfs/GGB-1820-24.pdf#page=3","Abrir facsímil")</f>
        <v>Abrir facsímil</v>
      </c>
      <c r="K1250" s="3" t="s">
        <v>23</v>
      </c>
    </row>
    <row r="1251" spans="1:11" ht="42" customHeight="1">
      <c r="A1251" s="2" t="s">
        <v>2908</v>
      </c>
      <c r="B1251" s="2" t="s">
        <v>2909</v>
      </c>
      <c r="C1251" s="2" t="s">
        <v>35</v>
      </c>
      <c r="D1251" s="2" t="s">
        <v>36</v>
      </c>
      <c r="E1251" s="5">
        <v>-29071</v>
      </c>
      <c r="F1251" s="3" t="s">
        <v>329</v>
      </c>
      <c r="G1251" s="3" t="s">
        <v>330</v>
      </c>
      <c r="H1251" s="2" t="s">
        <v>21</v>
      </c>
      <c r="I1251" s="2" t="s">
        <v>2910</v>
      </c>
      <c r="J1251" s="3" t="str">
        <f>HYPERLINK("https://www.boe.es/gazeta/dias/1820/05/27/pdfs/GMD-1820-86.pdf#page=8","Abrir facsímil")</f>
        <v>Abrir facsímil</v>
      </c>
      <c r="K1251" s="3" t="s">
        <v>23</v>
      </c>
    </row>
    <row r="1252" spans="1:11" ht="42" customHeight="1">
      <c r="A1252" s="2" t="s">
        <v>2911</v>
      </c>
      <c r="B1252" s="2" t="s">
        <v>2911</v>
      </c>
      <c r="C1252" s="2" t="s">
        <v>293</v>
      </c>
      <c r="D1252" s="2" t="s">
        <v>18</v>
      </c>
      <c r="E1252" s="5">
        <v>-28952</v>
      </c>
      <c r="F1252" s="3" t="s">
        <v>370</v>
      </c>
      <c r="G1252" s="3" t="s">
        <v>20</v>
      </c>
      <c r="H1252" s="2" t="s">
        <v>21</v>
      </c>
      <c r="I1252" s="2" t="s">
        <v>2912</v>
      </c>
      <c r="J1252" s="3" t="str">
        <f>HYPERLINK("https://www.boe.es/gazeta/dias/1820/09/23/pdfs/GGB-1820-87.pdf#page=4","Abrir facsímil")</f>
        <v>Abrir facsímil</v>
      </c>
      <c r="K1252" s="3" t="s">
        <v>23</v>
      </c>
    </row>
    <row r="1253" spans="1:11" ht="42" customHeight="1">
      <c r="A1253" s="2" t="s">
        <v>2913</v>
      </c>
      <c r="B1253" s="2" t="s">
        <v>2914</v>
      </c>
      <c r="C1253" s="2" t="s">
        <v>26</v>
      </c>
      <c r="D1253" s="2" t="s">
        <v>27</v>
      </c>
      <c r="E1253" s="5">
        <v>-29020</v>
      </c>
      <c r="F1253" s="3" t="s">
        <v>756</v>
      </c>
      <c r="G1253" s="3" t="s">
        <v>20</v>
      </c>
      <c r="H1253" s="2" t="s">
        <v>21</v>
      </c>
      <c r="I1253" s="2" t="s">
        <v>2915</v>
      </c>
      <c r="J1253" s="3" t="str">
        <f>HYPERLINK("https://www.boe.es/gazeta/dias/1820/07/17/pdfs/GGB-1820-19.pdf#page=4","Abrir facsímil")</f>
        <v>Abrir facsímil</v>
      </c>
      <c r="K1253" s="3" t="s">
        <v>23</v>
      </c>
    </row>
    <row r="1254" spans="1:11" ht="42" customHeight="1">
      <c r="A1254" s="2" t="s">
        <v>2916</v>
      </c>
      <c r="B1254" s="2" t="s">
        <v>2917</v>
      </c>
      <c r="C1254" s="2" t="s">
        <v>26</v>
      </c>
      <c r="D1254" s="2" t="s">
        <v>27</v>
      </c>
      <c r="E1254" s="5">
        <v>-28973</v>
      </c>
      <c r="F1254" s="3" t="s">
        <v>151</v>
      </c>
      <c r="G1254" s="3" t="s">
        <v>20</v>
      </c>
      <c r="H1254" s="2" t="s">
        <v>21</v>
      </c>
      <c r="I1254" s="2" t="s">
        <v>2918</v>
      </c>
      <c r="J1254" s="3" t="str">
        <f>HYPERLINK("https://www.boe.es/gazeta/dias/1820/09/02/pdfs/GGB-1820-66.pdf#page=4","Abrir facsímil")</f>
        <v>Abrir facsímil</v>
      </c>
      <c r="K1254" s="3" t="s">
        <v>23</v>
      </c>
    </row>
    <row r="1255" spans="1:11" ht="42" customHeight="1">
      <c r="A1255" s="2" t="s">
        <v>2919</v>
      </c>
      <c r="B1255" s="2" t="s">
        <v>2920</v>
      </c>
      <c r="C1255" s="2" t="s">
        <v>26</v>
      </c>
      <c r="D1255" s="2" t="s">
        <v>27</v>
      </c>
      <c r="E1255" s="5">
        <v>-29017</v>
      </c>
      <c r="F1255" s="3" t="s">
        <v>274</v>
      </c>
      <c r="G1255" s="3" t="s">
        <v>20</v>
      </c>
      <c r="H1255" s="2" t="s">
        <v>21</v>
      </c>
      <c r="I1255" s="2" t="s">
        <v>2921</v>
      </c>
      <c r="J1255" s="3" t="str">
        <f>HYPERLINK("https://www.boe.es/gazeta/dias/1820/07/20/pdfs/GGB-1820-22.pdf#page=4","Abrir facsímil")</f>
        <v>Abrir facsímil</v>
      </c>
      <c r="K1255" s="3" t="s">
        <v>23</v>
      </c>
    </row>
    <row r="1256" spans="1:11" ht="42" customHeight="1">
      <c r="A1256" s="2" t="s">
        <v>2922</v>
      </c>
      <c r="B1256" s="2" t="s">
        <v>2922</v>
      </c>
      <c r="C1256" s="2" t="s">
        <v>17</v>
      </c>
      <c r="D1256" s="2" t="s">
        <v>18</v>
      </c>
      <c r="E1256" s="5">
        <v>-28987</v>
      </c>
      <c r="F1256" s="3" t="s">
        <v>680</v>
      </c>
      <c r="G1256" s="3" t="s">
        <v>128</v>
      </c>
      <c r="H1256" s="2" t="s">
        <v>21</v>
      </c>
      <c r="I1256" s="2" t="s">
        <v>2923</v>
      </c>
      <c r="J1256" s="3" t="str">
        <f>HYPERLINK("https://www.boe.es/gazeta/dias/1820/08/19/pdfs/GGB-1820-52.pdf#page=1","Abrir facsímil")</f>
        <v>Abrir facsímil</v>
      </c>
      <c r="K1256" s="3" t="s">
        <v>23</v>
      </c>
    </row>
    <row r="1257" spans="1:11" ht="42" customHeight="1">
      <c r="A1257" s="2" t="s">
        <v>2922</v>
      </c>
      <c r="B1257" s="2" t="s">
        <v>2922</v>
      </c>
      <c r="C1257" s="2" t="s">
        <v>17</v>
      </c>
      <c r="D1257" s="2" t="s">
        <v>18</v>
      </c>
      <c r="E1257" s="5">
        <v>-28959</v>
      </c>
      <c r="F1257" s="3" t="s">
        <v>37</v>
      </c>
      <c r="G1257" s="3" t="s">
        <v>38</v>
      </c>
      <c r="H1257" s="2" t="s">
        <v>21</v>
      </c>
      <c r="I1257" s="2" t="s">
        <v>2924</v>
      </c>
      <c r="J1257" s="3" t="str">
        <f>HYPERLINK("https://www.boe.es/gazeta/dias/1820/09/16/pdfs/GGB-1820-80.pdf#page=6","Abrir facsímil")</f>
        <v>Abrir facsímil</v>
      </c>
      <c r="K1257" s="3" t="s">
        <v>23</v>
      </c>
    </row>
    <row r="1258" spans="1:11" ht="42" customHeight="1">
      <c r="A1258" s="2" t="s">
        <v>2922</v>
      </c>
      <c r="B1258" s="2" t="s">
        <v>2922</v>
      </c>
      <c r="C1258" s="2" t="s">
        <v>26</v>
      </c>
      <c r="D1258" s="2" t="s">
        <v>27</v>
      </c>
      <c r="E1258" s="5">
        <v>-28953</v>
      </c>
      <c r="F1258" s="3" t="s">
        <v>367</v>
      </c>
      <c r="G1258" s="3" t="s">
        <v>2925</v>
      </c>
      <c r="H1258" s="2" t="s">
        <v>21</v>
      </c>
      <c r="I1258" s="2" t="s">
        <v>2926</v>
      </c>
      <c r="J1258" s="3" t="str">
        <f>HYPERLINK("https://www.boe.es/gazeta/dias/1820/09/22/pdfs/GGB-1820-86.pdf#page=2","Abrir facsímil")</f>
        <v>Abrir facsímil</v>
      </c>
      <c r="K1258" s="3" t="s">
        <v>23</v>
      </c>
    </row>
    <row r="1259" spans="1:11" ht="42" customHeight="1">
      <c r="A1259" s="2" t="s">
        <v>2922</v>
      </c>
      <c r="B1259" s="2" t="s">
        <v>2922</v>
      </c>
      <c r="C1259" s="2" t="s">
        <v>74</v>
      </c>
      <c r="D1259" s="2" t="s">
        <v>18</v>
      </c>
      <c r="E1259" s="5">
        <v>-28952</v>
      </c>
      <c r="F1259" s="3" t="s">
        <v>370</v>
      </c>
      <c r="G1259" s="3" t="s">
        <v>43</v>
      </c>
      <c r="H1259" s="2" t="s">
        <v>21</v>
      </c>
      <c r="I1259" s="2" t="s">
        <v>2927</v>
      </c>
      <c r="J1259" s="3" t="str">
        <f>HYPERLINK("https://www.boe.es/gazeta/dias/1820/09/23/pdfs/GGB-1820-87.pdf#page=2","Abrir facsímil")</f>
        <v>Abrir facsímil</v>
      </c>
      <c r="K1259" s="3" t="s">
        <v>23</v>
      </c>
    </row>
    <row r="1260" spans="1:11" ht="42" customHeight="1">
      <c r="A1260" s="2" t="s">
        <v>2922</v>
      </c>
      <c r="B1260" s="2" t="s">
        <v>2922</v>
      </c>
      <c r="C1260" s="2" t="s">
        <v>26</v>
      </c>
      <c r="D1260" s="2" t="s">
        <v>27</v>
      </c>
      <c r="E1260" s="5">
        <v>-28952</v>
      </c>
      <c r="F1260" s="3" t="s">
        <v>370</v>
      </c>
      <c r="G1260" s="3" t="s">
        <v>62</v>
      </c>
      <c r="H1260" s="2" t="s">
        <v>21</v>
      </c>
      <c r="I1260" s="2" t="s">
        <v>2928</v>
      </c>
      <c r="J1260" s="3" t="str">
        <f>HYPERLINK("https://www.boe.es/gazeta/dias/1820/09/23/pdfs/GGB-1820-87.pdf#page=3","Abrir facsímil")</f>
        <v>Abrir facsímil</v>
      </c>
      <c r="K1260" s="3" t="s">
        <v>23</v>
      </c>
    </row>
    <row r="1261" spans="1:11" ht="42" customHeight="1">
      <c r="A1261" s="2" t="s">
        <v>2922</v>
      </c>
      <c r="B1261" s="2" t="s">
        <v>2922</v>
      </c>
      <c r="C1261" s="2" t="s">
        <v>47</v>
      </c>
      <c r="D1261" s="2" t="s">
        <v>18</v>
      </c>
      <c r="E1261" s="5">
        <v>-28950</v>
      </c>
      <c r="F1261" s="3" t="s">
        <v>1052</v>
      </c>
      <c r="G1261" s="3" t="s">
        <v>20</v>
      </c>
      <c r="H1261" s="2" t="s">
        <v>21</v>
      </c>
      <c r="I1261" s="2" t="s">
        <v>2929</v>
      </c>
      <c r="J1261" s="3" t="str">
        <f>HYPERLINK("https://www.boe.es/gazeta/dias/1820/09/25/pdfs/GGB-1820-89.pdf#page=4","Abrir facsímil")</f>
        <v>Abrir facsímil</v>
      </c>
      <c r="K1261" s="3" t="s">
        <v>23</v>
      </c>
    </row>
    <row r="1262" spans="1:11" ht="42" customHeight="1">
      <c r="A1262" s="2" t="s">
        <v>2922</v>
      </c>
      <c r="B1262" s="2" t="s">
        <v>2922</v>
      </c>
      <c r="C1262" s="2" t="s">
        <v>74</v>
      </c>
      <c r="D1262" s="2" t="s">
        <v>18</v>
      </c>
      <c r="E1262" s="5">
        <v>-28935</v>
      </c>
      <c r="F1262" s="3" t="s">
        <v>2464</v>
      </c>
      <c r="G1262" s="3" t="s">
        <v>43</v>
      </c>
      <c r="H1262" s="2" t="s">
        <v>21</v>
      </c>
      <c r="I1262" s="2" t="s">
        <v>2930</v>
      </c>
      <c r="J1262" s="3" t="str">
        <f>HYPERLINK("https://www.boe.es/gazeta/dias/1820/10/10/pdfs/GGB-1820-104.pdf#page=2","Abrir facsímil")</f>
        <v>Abrir facsímil</v>
      </c>
      <c r="K1262" s="3" t="s">
        <v>23</v>
      </c>
    </row>
    <row r="1263" spans="1:11" ht="42" customHeight="1">
      <c r="A1263" s="2" t="s">
        <v>2931</v>
      </c>
      <c r="B1263" s="2" t="s">
        <v>2932</v>
      </c>
      <c r="C1263" s="2" t="s">
        <v>35</v>
      </c>
      <c r="D1263" s="2" t="s">
        <v>36</v>
      </c>
      <c r="E1263" s="5">
        <v>-29026</v>
      </c>
      <c r="F1263" s="3" t="s">
        <v>1197</v>
      </c>
      <c r="G1263" s="3" t="s">
        <v>43</v>
      </c>
      <c r="H1263" s="2" t="s">
        <v>21</v>
      </c>
      <c r="I1263" s="2" t="s">
        <v>2933</v>
      </c>
      <c r="J1263" s="3" t="str">
        <f>HYPERLINK("https://www.boe.es/gazeta/dias/1820/07/11/pdfs/GGB-1820-13.pdf#page=2","Abrir facsímil")</f>
        <v>Abrir facsímil</v>
      </c>
      <c r="K1263" s="3" t="s">
        <v>23</v>
      </c>
    </row>
    <row r="1264" spans="1:11" ht="42" customHeight="1">
      <c r="A1264" s="2" t="s">
        <v>2934</v>
      </c>
      <c r="B1264" s="2" t="s">
        <v>2935</v>
      </c>
      <c r="C1264" s="2" t="s">
        <v>111</v>
      </c>
      <c r="D1264" s="2" t="s">
        <v>18</v>
      </c>
      <c r="E1264" s="5">
        <v>-29028</v>
      </c>
      <c r="F1264" s="3" t="s">
        <v>132</v>
      </c>
      <c r="G1264" s="3" t="s">
        <v>20</v>
      </c>
      <c r="H1264" s="2" t="s">
        <v>21</v>
      </c>
      <c r="I1264" s="2" t="s">
        <v>2936</v>
      </c>
      <c r="J1264" s="3" t="str">
        <f>HYPERLINK("https://www.boe.es/gazeta/dias/1820/07/09/pdfs/GGB-1820-10.pdf#page=4","Abrir facsímil")</f>
        <v>Abrir facsímil</v>
      </c>
      <c r="K1264" s="3" t="s">
        <v>23</v>
      </c>
    </row>
    <row r="1265" spans="1:11" ht="42" customHeight="1">
      <c r="A1265" s="2" t="s">
        <v>2937</v>
      </c>
      <c r="B1265" s="2" t="s">
        <v>2938</v>
      </c>
      <c r="C1265" s="2" t="s">
        <v>26</v>
      </c>
      <c r="D1265" s="2" t="s">
        <v>27</v>
      </c>
      <c r="E1265" s="5">
        <v>-28973</v>
      </c>
      <c r="F1265" s="3" t="s">
        <v>151</v>
      </c>
      <c r="G1265" s="3" t="s">
        <v>20</v>
      </c>
      <c r="H1265" s="2" t="s">
        <v>21</v>
      </c>
      <c r="I1265" s="2" t="s">
        <v>2939</v>
      </c>
      <c r="J1265" s="3" t="str">
        <f>HYPERLINK("https://www.boe.es/gazeta/dias/1820/09/02/pdfs/GGB-1820-66.pdf#page=4","Abrir facsímil")</f>
        <v>Abrir facsímil</v>
      </c>
      <c r="K1265" s="3" t="s">
        <v>23</v>
      </c>
    </row>
    <row r="1266" spans="1:11" ht="42" customHeight="1">
      <c r="A1266" s="2" t="s">
        <v>2940</v>
      </c>
      <c r="B1266" s="2" t="s">
        <v>2940</v>
      </c>
      <c r="C1266" s="2" t="s">
        <v>26</v>
      </c>
      <c r="D1266" s="2" t="s">
        <v>27</v>
      </c>
      <c r="E1266" s="5">
        <v>-28924</v>
      </c>
      <c r="F1266" s="3" t="s">
        <v>78</v>
      </c>
      <c r="G1266" s="3" t="s">
        <v>43</v>
      </c>
      <c r="H1266" s="2" t="s">
        <v>21</v>
      </c>
      <c r="I1266" s="2" t="s">
        <v>2941</v>
      </c>
      <c r="J1266" s="3" t="str">
        <f>HYPERLINK("https://www.boe.es/gazeta/dias/1820/10/21/pdfs/GGB-1820-115.pdf#page=2","Abrir facsímil")</f>
        <v>Abrir facsímil</v>
      </c>
      <c r="K1266" s="3" t="s">
        <v>23</v>
      </c>
    </row>
    <row r="1267" spans="1:11" ht="42" customHeight="1">
      <c r="A1267" s="2" t="s">
        <v>2942</v>
      </c>
      <c r="B1267" s="2" t="s">
        <v>2942</v>
      </c>
      <c r="C1267" s="2" t="s">
        <v>17</v>
      </c>
      <c r="D1267" s="2" t="s">
        <v>18</v>
      </c>
      <c r="E1267" s="5">
        <v>-29003</v>
      </c>
      <c r="F1267" s="3" t="s">
        <v>340</v>
      </c>
      <c r="G1267" s="3" t="s">
        <v>20</v>
      </c>
      <c r="H1267" s="2" t="s">
        <v>21</v>
      </c>
      <c r="I1267" s="2" t="s">
        <v>2943</v>
      </c>
      <c r="J1267" s="3" t="str">
        <f>HYPERLINK("https://www.boe.es/gazeta/dias/1820/08/03/pdfs/GGB-1820-36.pdf#page=4","Abrir facsímil")</f>
        <v>Abrir facsímil</v>
      </c>
      <c r="K1267" s="3" t="s">
        <v>23</v>
      </c>
    </row>
    <row r="1268" spans="1:11" ht="42" customHeight="1">
      <c r="A1268" s="2" t="s">
        <v>2944</v>
      </c>
      <c r="B1268" s="2" t="s">
        <v>2944</v>
      </c>
      <c r="C1268" s="2" t="s">
        <v>293</v>
      </c>
      <c r="D1268" s="2" t="s">
        <v>18</v>
      </c>
      <c r="E1268" s="5">
        <v>-29038</v>
      </c>
      <c r="F1268" s="3" t="s">
        <v>957</v>
      </c>
      <c r="G1268" s="3" t="s">
        <v>62</v>
      </c>
      <c r="H1268" s="2" t="s">
        <v>21</v>
      </c>
      <c r="I1268" s="2" t="s">
        <v>2945</v>
      </c>
      <c r="J1268" s="3" t="str">
        <f>HYPERLINK("https://www.boe.es/gazeta/dias/1820/06/29/pdfs/GMD-1820-100.pdf#page=3","Abrir facsímil")</f>
        <v>Abrir facsímil</v>
      </c>
      <c r="K1268" s="3" t="s">
        <v>23</v>
      </c>
    </row>
    <row r="1269" spans="1:11" ht="42" customHeight="1">
      <c r="A1269" s="2" t="s">
        <v>2944</v>
      </c>
      <c r="B1269" s="2" t="s">
        <v>2944</v>
      </c>
      <c r="C1269" s="2" t="s">
        <v>74</v>
      </c>
      <c r="D1269" s="2" t="s">
        <v>18</v>
      </c>
      <c r="E1269" s="5">
        <v>-29028</v>
      </c>
      <c r="F1269" s="3" t="s">
        <v>132</v>
      </c>
      <c r="G1269" s="3" t="s">
        <v>43</v>
      </c>
      <c r="H1269" s="2" t="s">
        <v>21</v>
      </c>
      <c r="I1269" s="2" t="s">
        <v>2946</v>
      </c>
      <c r="J1269" s="3" t="str">
        <f>HYPERLINK("https://www.boe.es/gazeta/dias/1820/07/09/pdfs/GGB-1820-10.pdf#page=2","Abrir facsímil")</f>
        <v>Abrir facsímil</v>
      </c>
      <c r="K1269" s="3" t="s">
        <v>23</v>
      </c>
    </row>
    <row r="1270" spans="1:11" ht="42" customHeight="1">
      <c r="A1270" s="2" t="s">
        <v>2947</v>
      </c>
      <c r="B1270" s="2" t="s">
        <v>2947</v>
      </c>
      <c r="C1270" s="2" t="s">
        <v>17</v>
      </c>
      <c r="D1270" s="2" t="s">
        <v>18</v>
      </c>
      <c r="E1270" s="5">
        <v>-28979</v>
      </c>
      <c r="F1270" s="3" t="s">
        <v>218</v>
      </c>
      <c r="G1270" s="3" t="s">
        <v>62</v>
      </c>
      <c r="H1270" s="2" t="s">
        <v>21</v>
      </c>
      <c r="I1270" s="2" t="s">
        <v>2948</v>
      </c>
      <c r="J1270" s="3" t="str">
        <f>HYPERLINK("https://www.boe.es/gazeta/dias/1820/08/27/pdfs/GGB-1820-60.pdf#page=3","Abrir facsímil")</f>
        <v>Abrir facsímil</v>
      </c>
      <c r="K1270" s="3" t="s">
        <v>23</v>
      </c>
    </row>
    <row r="1271" spans="1:11" ht="42" customHeight="1">
      <c r="A1271" s="2" t="s">
        <v>2949</v>
      </c>
      <c r="B1271" s="2" t="s">
        <v>2949</v>
      </c>
      <c r="C1271" s="2" t="s">
        <v>35</v>
      </c>
      <c r="D1271" s="2" t="s">
        <v>36</v>
      </c>
      <c r="E1271" s="5">
        <v>-28891</v>
      </c>
      <c r="F1271" s="3" t="s">
        <v>965</v>
      </c>
      <c r="G1271" s="3" t="s">
        <v>128</v>
      </c>
      <c r="H1271" s="2" t="s">
        <v>21</v>
      </c>
      <c r="I1271" s="2" t="s">
        <v>2950</v>
      </c>
      <c r="J1271" s="3" t="str">
        <f>HYPERLINK("https://www.boe.es/gazeta/dias/1820/11/23/pdfs/GGB-1820-150.pdf#page=1","Abrir facsímil")</f>
        <v>Abrir facsímil</v>
      </c>
      <c r="K1271" s="3" t="s">
        <v>23</v>
      </c>
    </row>
    <row r="1272" spans="1:11" ht="42" customHeight="1">
      <c r="A1272" s="2" t="s">
        <v>2951</v>
      </c>
      <c r="B1272" s="2" t="s">
        <v>2951</v>
      </c>
      <c r="C1272" s="2" t="s">
        <v>35</v>
      </c>
      <c r="D1272" s="2" t="s">
        <v>36</v>
      </c>
      <c r="E1272" s="5">
        <v>-29038</v>
      </c>
      <c r="F1272" s="3" t="s">
        <v>957</v>
      </c>
      <c r="G1272" s="3" t="s">
        <v>256</v>
      </c>
      <c r="H1272" s="2" t="s">
        <v>21</v>
      </c>
      <c r="I1272" s="2" t="s">
        <v>2952</v>
      </c>
      <c r="J1272" s="3" t="str">
        <f>HYPERLINK("https://www.boe.es/gazeta/dias/1820/06/29/pdfs/GMD-1820-100.pdf#page=5","Abrir facsímil")</f>
        <v>Abrir facsímil</v>
      </c>
      <c r="K1272" s="3" t="s">
        <v>23</v>
      </c>
    </row>
    <row r="1273" spans="1:11" ht="42" customHeight="1">
      <c r="A1273" s="2" t="s">
        <v>2953</v>
      </c>
      <c r="B1273" s="2" t="s">
        <v>2953</v>
      </c>
      <c r="C1273" s="2" t="s">
        <v>26</v>
      </c>
      <c r="D1273" s="2" t="s">
        <v>27</v>
      </c>
      <c r="E1273" s="5">
        <v>-28889</v>
      </c>
      <c r="F1273" s="3" t="s">
        <v>777</v>
      </c>
      <c r="G1273" s="3" t="s">
        <v>128</v>
      </c>
      <c r="H1273" s="2" t="s">
        <v>21</v>
      </c>
      <c r="I1273" s="2" t="s">
        <v>2954</v>
      </c>
      <c r="J1273" s="3" t="str">
        <f>HYPERLINK("https://www.boe.es/gazeta/dias/1820/11/25/pdfs/GGB-1820-152.pdf#page=1","Abrir facsímil")</f>
        <v>Abrir facsímil</v>
      </c>
      <c r="K1273" s="3" t="s">
        <v>23</v>
      </c>
    </row>
    <row r="1274" spans="1:11" ht="42" customHeight="1">
      <c r="A1274" s="2" t="s">
        <v>2955</v>
      </c>
      <c r="B1274" s="2" t="s">
        <v>2955</v>
      </c>
      <c r="C1274" s="2" t="s">
        <v>26</v>
      </c>
      <c r="D1274" s="2" t="s">
        <v>27</v>
      </c>
      <c r="E1274" s="5">
        <v>-28887</v>
      </c>
      <c r="F1274" s="3" t="s">
        <v>2098</v>
      </c>
      <c r="G1274" s="3" t="s">
        <v>128</v>
      </c>
      <c r="H1274" s="2" t="s">
        <v>21</v>
      </c>
      <c r="I1274" s="2" t="s">
        <v>2956</v>
      </c>
      <c r="J1274" s="3" t="str">
        <f>HYPERLINK("https://www.boe.es/gazeta/dias/1820/11/27/pdfs/GGB-1820-154.pdf#page=1","Abrir facsímil")</f>
        <v>Abrir facsímil</v>
      </c>
      <c r="K1274" s="3" t="s">
        <v>23</v>
      </c>
    </row>
    <row r="1275" spans="1:11" ht="42" customHeight="1">
      <c r="A1275" s="2" t="s">
        <v>2957</v>
      </c>
      <c r="B1275" s="2" t="s">
        <v>2957</v>
      </c>
      <c r="C1275" s="2" t="s">
        <v>17</v>
      </c>
      <c r="D1275" s="2" t="s">
        <v>18</v>
      </c>
      <c r="E1275" s="5">
        <v>-28983</v>
      </c>
      <c r="F1275" s="3" t="s">
        <v>682</v>
      </c>
      <c r="G1275" s="3" t="s">
        <v>20</v>
      </c>
      <c r="H1275" s="2" t="s">
        <v>21</v>
      </c>
      <c r="I1275" s="2" t="s">
        <v>2958</v>
      </c>
      <c r="J1275" s="3" t="str">
        <f>HYPERLINK("https://www.boe.es/gazeta/dias/1820/08/23/pdfs/GGB-1820-56.pdf#page=4","Abrir facsímil")</f>
        <v>Abrir facsímil</v>
      </c>
      <c r="K1275" s="3" t="s">
        <v>23</v>
      </c>
    </row>
    <row r="1276" spans="1:11" ht="42" customHeight="1">
      <c r="A1276" s="2" t="s">
        <v>2959</v>
      </c>
      <c r="B1276" s="2" t="s">
        <v>2959</v>
      </c>
      <c r="C1276" s="2" t="s">
        <v>293</v>
      </c>
      <c r="D1276" s="2" t="s">
        <v>18</v>
      </c>
      <c r="E1276" s="5">
        <v>-28982</v>
      </c>
      <c r="F1276" s="3" t="s">
        <v>173</v>
      </c>
      <c r="G1276" s="3" t="s">
        <v>62</v>
      </c>
      <c r="H1276" s="2" t="s">
        <v>21</v>
      </c>
      <c r="I1276" s="2" t="s">
        <v>2960</v>
      </c>
      <c r="J1276" s="3" t="str">
        <f>HYPERLINK("https://www.boe.es/gazeta/dias/1820/08/24/pdfs/GGB-1820-57.pdf#page=3","Abrir facsímil")</f>
        <v>Abrir facsímil</v>
      </c>
      <c r="K1276" s="3" t="s">
        <v>23</v>
      </c>
    </row>
    <row r="1277" spans="1:11" ht="42" customHeight="1">
      <c r="A1277" s="2" t="s">
        <v>2961</v>
      </c>
      <c r="B1277" s="2" t="s">
        <v>2961</v>
      </c>
      <c r="C1277" s="2" t="s">
        <v>74</v>
      </c>
      <c r="D1277" s="2" t="s">
        <v>18</v>
      </c>
      <c r="E1277" s="5">
        <v>-29026</v>
      </c>
      <c r="F1277" s="3" t="s">
        <v>1197</v>
      </c>
      <c r="G1277" s="3" t="s">
        <v>62</v>
      </c>
      <c r="H1277" s="2" t="s">
        <v>21</v>
      </c>
      <c r="I1277" s="2" t="s">
        <v>2962</v>
      </c>
      <c r="J1277" s="3" t="str">
        <f>HYPERLINK("https://www.boe.es/gazeta/dias/1820/07/11/pdfs/GGB-1820-13.pdf#page=3","Abrir facsímil")</f>
        <v>Abrir facsímil</v>
      </c>
      <c r="K1277" s="3" t="s">
        <v>23</v>
      </c>
    </row>
    <row r="1278" spans="1:11" ht="42" customHeight="1">
      <c r="A1278" s="2" t="s">
        <v>2961</v>
      </c>
      <c r="B1278" s="2" t="s">
        <v>2961</v>
      </c>
      <c r="C1278" s="2" t="s">
        <v>74</v>
      </c>
      <c r="D1278" s="2" t="s">
        <v>18</v>
      </c>
      <c r="E1278" s="5">
        <v>-29025</v>
      </c>
      <c r="F1278" s="3" t="s">
        <v>902</v>
      </c>
      <c r="G1278" s="3" t="s">
        <v>62</v>
      </c>
      <c r="H1278" s="2" t="s">
        <v>21</v>
      </c>
      <c r="I1278" s="2" t="s">
        <v>2963</v>
      </c>
      <c r="J1278" s="3" t="str">
        <f>HYPERLINK("https://www.boe.es/gazeta/dias/1820/07/12/pdfs/GGB-1820-14.pdf#page=3","Abrir facsímil")</f>
        <v>Abrir facsímil</v>
      </c>
      <c r="K1278" s="3" t="s">
        <v>23</v>
      </c>
    </row>
    <row r="1279" spans="1:11" ht="42" customHeight="1">
      <c r="A1279" s="2" t="s">
        <v>2961</v>
      </c>
      <c r="B1279" s="2" t="s">
        <v>2961</v>
      </c>
      <c r="C1279" s="2" t="s">
        <v>35</v>
      </c>
      <c r="D1279" s="2" t="s">
        <v>36</v>
      </c>
      <c r="E1279" s="5">
        <v>-28986</v>
      </c>
      <c r="F1279" s="3" t="s">
        <v>488</v>
      </c>
      <c r="G1279" s="3" t="s">
        <v>62</v>
      </c>
      <c r="H1279" s="2" t="s">
        <v>21</v>
      </c>
      <c r="I1279" s="2" t="s">
        <v>2964</v>
      </c>
      <c r="J1279" s="3" t="str">
        <f>HYPERLINK("https://www.boe.es/gazeta/dias/1820/08/20/pdfs/GGB-1820-53.pdf#page=3","Abrir facsímil")</f>
        <v>Abrir facsímil</v>
      </c>
      <c r="K1279" s="3" t="s">
        <v>23</v>
      </c>
    </row>
    <row r="1280" spans="1:11" ht="42" customHeight="1">
      <c r="A1280" s="2" t="s">
        <v>2961</v>
      </c>
      <c r="B1280" s="2" t="s">
        <v>2961</v>
      </c>
      <c r="C1280" s="2" t="s">
        <v>35</v>
      </c>
      <c r="D1280" s="2" t="s">
        <v>36</v>
      </c>
      <c r="E1280" s="5">
        <v>-28977</v>
      </c>
      <c r="F1280" s="3" t="s">
        <v>687</v>
      </c>
      <c r="G1280" s="3" t="s">
        <v>20</v>
      </c>
      <c r="H1280" s="2" t="s">
        <v>21</v>
      </c>
      <c r="I1280" s="2" t="s">
        <v>2965</v>
      </c>
      <c r="J1280" s="3" t="str">
        <f>HYPERLINK("https://www.boe.es/gazeta/dias/1820/08/29/pdfs/GGB-1820-62.pdf#page=4","Abrir facsímil")</f>
        <v>Abrir facsímil</v>
      </c>
      <c r="K1280" s="3" t="s">
        <v>23</v>
      </c>
    </row>
    <row r="1281" spans="1:11" ht="42" customHeight="1">
      <c r="A1281" s="2" t="s">
        <v>2961</v>
      </c>
      <c r="B1281" s="2" t="s">
        <v>2961</v>
      </c>
      <c r="C1281" s="2" t="s">
        <v>35</v>
      </c>
      <c r="D1281" s="2" t="s">
        <v>36</v>
      </c>
      <c r="E1281" s="5">
        <v>-28964</v>
      </c>
      <c r="F1281" s="3" t="s">
        <v>240</v>
      </c>
      <c r="G1281" s="3" t="s">
        <v>43</v>
      </c>
      <c r="H1281" s="2" t="s">
        <v>21</v>
      </c>
      <c r="I1281" s="2" t="s">
        <v>2966</v>
      </c>
      <c r="J1281" s="3" t="str">
        <f>HYPERLINK("https://www.boe.es/gazeta/dias/1820/09/11/pdfs/GGB-1820-75.pdf#page=2","Abrir facsímil")</f>
        <v>Abrir facsímil</v>
      </c>
      <c r="K1281" s="3" t="s">
        <v>23</v>
      </c>
    </row>
    <row r="1282" spans="1:11" ht="42" customHeight="1">
      <c r="A1282" s="2" t="s">
        <v>2961</v>
      </c>
      <c r="B1282" s="2" t="s">
        <v>2961</v>
      </c>
      <c r="C1282" s="2" t="s">
        <v>35</v>
      </c>
      <c r="D1282" s="2" t="s">
        <v>36</v>
      </c>
      <c r="E1282" s="5">
        <v>-28963</v>
      </c>
      <c r="F1282" s="3" t="s">
        <v>94</v>
      </c>
      <c r="G1282" s="3" t="s">
        <v>43</v>
      </c>
      <c r="H1282" s="2" t="s">
        <v>21</v>
      </c>
      <c r="I1282" s="2" t="s">
        <v>2967</v>
      </c>
      <c r="J1282" s="3" t="str">
        <f>HYPERLINK("https://www.boe.es/gazeta/dias/1820/09/12/pdfs/GGB-1820-76.pdf#page=2","Abrir facsímil")</f>
        <v>Abrir facsímil</v>
      </c>
      <c r="K1282" s="3" t="s">
        <v>23</v>
      </c>
    </row>
    <row r="1283" spans="1:11" ht="42" customHeight="1">
      <c r="A1283" s="2" t="s">
        <v>2961</v>
      </c>
      <c r="B1283" s="2" t="s">
        <v>2961</v>
      </c>
      <c r="C1283" s="2" t="s">
        <v>35</v>
      </c>
      <c r="D1283" s="2" t="s">
        <v>36</v>
      </c>
      <c r="E1283" s="5">
        <v>-28927</v>
      </c>
      <c r="F1283" s="3" t="s">
        <v>345</v>
      </c>
      <c r="G1283" s="3" t="s">
        <v>20</v>
      </c>
      <c r="H1283" s="2" t="s">
        <v>21</v>
      </c>
      <c r="I1283" s="2" t="s">
        <v>2968</v>
      </c>
      <c r="J1283" s="3" t="str">
        <f>HYPERLINK("https://www.boe.es/gazeta/dias/1820/10/18/pdfs/GGB-1820-112.pdf#page=4","Abrir facsímil")</f>
        <v>Abrir facsímil</v>
      </c>
      <c r="K1283" s="3" t="s">
        <v>23</v>
      </c>
    </row>
    <row r="1284" spans="1:11" ht="42" customHeight="1">
      <c r="A1284" s="2" t="s">
        <v>2969</v>
      </c>
      <c r="B1284" s="2" t="s">
        <v>2970</v>
      </c>
      <c r="C1284" s="2" t="s">
        <v>35</v>
      </c>
      <c r="D1284" s="2" t="s">
        <v>310</v>
      </c>
      <c r="E1284" s="5">
        <v>-29140</v>
      </c>
      <c r="F1284" s="3" t="s">
        <v>533</v>
      </c>
      <c r="G1284" s="3" t="s">
        <v>128</v>
      </c>
      <c r="H1284" s="2" t="s">
        <v>21</v>
      </c>
      <c r="I1284" s="2" t="s">
        <v>2971</v>
      </c>
      <c r="J1284" s="3" t="str">
        <f>HYPERLINK("https://www.boe.es/gazeta/dias/1820/03/19/pdfs/GMD-1820-45E.pdf#page=1","Abrir facsímil")</f>
        <v>Abrir facsímil</v>
      </c>
      <c r="K1284" s="3" t="s">
        <v>23</v>
      </c>
    </row>
    <row r="1285" spans="1:11" ht="42" customHeight="1">
      <c r="A1285" s="2" t="s">
        <v>2969</v>
      </c>
      <c r="B1285" s="2" t="s">
        <v>2970</v>
      </c>
      <c r="C1285" s="2" t="s">
        <v>26</v>
      </c>
      <c r="D1285" s="2" t="s">
        <v>27</v>
      </c>
      <c r="E1285" s="5">
        <v>-29136</v>
      </c>
      <c r="F1285" s="3" t="s">
        <v>2972</v>
      </c>
      <c r="G1285" s="3" t="s">
        <v>2973</v>
      </c>
      <c r="H1285" s="2" t="s">
        <v>21</v>
      </c>
      <c r="I1285" s="2" t="s">
        <v>2974</v>
      </c>
      <c r="J1285" s="3" t="str">
        <f>HYPERLINK("https://www.boe.es/gazeta/dias/1820/03/23/pdfs/GMD-1820-51.pdf#page=4","Abrir facsímil")</f>
        <v>Abrir facsímil</v>
      </c>
      <c r="K1285" s="3" t="s">
        <v>23</v>
      </c>
    </row>
    <row r="1286" spans="1:11" ht="42" customHeight="1">
      <c r="A1286" s="2" t="s">
        <v>2969</v>
      </c>
      <c r="B1286" s="2" t="s">
        <v>2970</v>
      </c>
      <c r="C1286" s="2" t="s">
        <v>26</v>
      </c>
      <c r="D1286" s="2" t="s">
        <v>27</v>
      </c>
      <c r="E1286" s="5">
        <v>-29136</v>
      </c>
      <c r="F1286" s="3" t="s">
        <v>2972</v>
      </c>
      <c r="G1286" s="3" t="s">
        <v>256</v>
      </c>
      <c r="H1286" s="2" t="s">
        <v>21</v>
      </c>
      <c r="I1286" s="2" t="s">
        <v>2975</v>
      </c>
      <c r="J1286" s="3" t="str">
        <f>HYPERLINK("https://www.boe.es/gazeta/dias/1820/03/23/pdfs/GMD-1820-51.pdf#page=5","Abrir facsímil")</f>
        <v>Abrir facsímil</v>
      </c>
      <c r="K1286" s="3" t="s">
        <v>23</v>
      </c>
    </row>
    <row r="1287" spans="1:11" ht="42" customHeight="1">
      <c r="A1287" s="2" t="s">
        <v>2969</v>
      </c>
      <c r="B1287" s="2" t="s">
        <v>2970</v>
      </c>
      <c r="C1287" s="2" t="s">
        <v>26</v>
      </c>
      <c r="D1287" s="2" t="s">
        <v>27</v>
      </c>
      <c r="E1287" s="5">
        <v>-29122</v>
      </c>
      <c r="F1287" s="3" t="s">
        <v>844</v>
      </c>
      <c r="G1287" s="3" t="s">
        <v>1895</v>
      </c>
      <c r="H1287" s="2" t="s">
        <v>21</v>
      </c>
      <c r="I1287" s="2" t="s">
        <v>2976</v>
      </c>
      <c r="J1287" s="3" t="str">
        <f>HYPERLINK("https://www.boe.es/gazeta/dias/1820/04/06/pdfs/GMD-1820-62.pdf#page=4","Abrir facsímil")</f>
        <v>Abrir facsímil</v>
      </c>
      <c r="K1287" s="3" t="s">
        <v>23</v>
      </c>
    </row>
    <row r="1288" spans="1:11" ht="42" customHeight="1">
      <c r="A1288" s="2" t="s">
        <v>2977</v>
      </c>
      <c r="B1288" s="2" t="s">
        <v>2978</v>
      </c>
      <c r="C1288" s="2" t="s">
        <v>26</v>
      </c>
      <c r="D1288" s="2" t="s">
        <v>27</v>
      </c>
      <c r="E1288" s="5">
        <v>-29136</v>
      </c>
      <c r="F1288" s="3" t="s">
        <v>2972</v>
      </c>
      <c r="G1288" s="3" t="s">
        <v>38</v>
      </c>
      <c r="H1288" s="2" t="s">
        <v>21</v>
      </c>
      <c r="I1288" s="2" t="s">
        <v>2979</v>
      </c>
      <c r="J1288" s="3" t="str">
        <f>HYPERLINK("https://www.boe.es/gazeta/dias/1820/03/23/pdfs/GMD-1820-51.pdf#page=6","Abrir facsímil")</f>
        <v>Abrir facsímil</v>
      </c>
      <c r="K1288" s="3" t="s">
        <v>23</v>
      </c>
    </row>
    <row r="1289" spans="1:11" ht="42" customHeight="1">
      <c r="A1289" s="2" t="s">
        <v>2980</v>
      </c>
      <c r="B1289" s="2" t="s">
        <v>2981</v>
      </c>
      <c r="C1289" s="2" t="s">
        <v>26</v>
      </c>
      <c r="D1289" s="2" t="s">
        <v>27</v>
      </c>
      <c r="E1289" s="5">
        <v>-29136</v>
      </c>
      <c r="F1289" s="3" t="s">
        <v>2972</v>
      </c>
      <c r="G1289" s="3" t="s">
        <v>201</v>
      </c>
      <c r="H1289" s="2" t="s">
        <v>21</v>
      </c>
      <c r="I1289" s="2" t="s">
        <v>2982</v>
      </c>
      <c r="J1289" s="3" t="str">
        <f>HYPERLINK("https://www.boe.es/gazeta/dias/1820/03/23/pdfs/GMD-1820-51.pdf#page=7","Abrir facsímil")</f>
        <v>Abrir facsímil</v>
      </c>
      <c r="K1289" s="3" t="s">
        <v>23</v>
      </c>
    </row>
    <row r="1290" spans="1:11" ht="42" customHeight="1">
      <c r="A1290" s="2" t="s">
        <v>2983</v>
      </c>
      <c r="B1290" s="2" t="s">
        <v>2984</v>
      </c>
      <c r="C1290" s="2" t="s">
        <v>26</v>
      </c>
      <c r="D1290" s="2" t="s">
        <v>27</v>
      </c>
      <c r="E1290" s="5">
        <v>-29117</v>
      </c>
      <c r="F1290" s="3" t="s">
        <v>1451</v>
      </c>
      <c r="G1290" s="3" t="s">
        <v>1452</v>
      </c>
      <c r="H1290" s="2" t="s">
        <v>21</v>
      </c>
      <c r="I1290" s="2" t="s">
        <v>2985</v>
      </c>
      <c r="J1290" s="3" t="str">
        <f>HYPERLINK("https://www.boe.es/gazeta/dias/1820/04/11/pdfs/GMD-1820-64.pdf#page=8","Abrir facsímil")</f>
        <v>Abrir facsímil</v>
      </c>
      <c r="K1290" s="3" t="s">
        <v>23</v>
      </c>
    </row>
    <row r="1291" spans="1:11" ht="42" customHeight="1">
      <c r="A1291" s="2" t="s">
        <v>2986</v>
      </c>
      <c r="B1291" s="2" t="s">
        <v>2987</v>
      </c>
      <c r="C1291" s="2" t="s">
        <v>74</v>
      </c>
      <c r="D1291" s="2" t="s">
        <v>18</v>
      </c>
      <c r="E1291" s="5">
        <v>-28911</v>
      </c>
      <c r="F1291" s="3" t="s">
        <v>82</v>
      </c>
      <c r="G1291" s="3" t="s">
        <v>43</v>
      </c>
      <c r="H1291" s="2" t="s">
        <v>21</v>
      </c>
      <c r="I1291" s="2" t="s">
        <v>2988</v>
      </c>
      <c r="J1291" s="3" t="str">
        <f>HYPERLINK("https://www.boe.es/gazeta/dias/1820/11/03/pdfs/GGB-1820-128.pdf#page=2","Abrir facsímil")</f>
        <v>Abrir facsímil</v>
      </c>
      <c r="K1291" s="3" t="s">
        <v>23</v>
      </c>
    </row>
    <row r="1292" spans="1:11" ht="42" customHeight="1">
      <c r="A1292" s="2" t="s">
        <v>2989</v>
      </c>
      <c r="B1292" s="2" t="s">
        <v>2990</v>
      </c>
      <c r="C1292" s="2" t="s">
        <v>74</v>
      </c>
      <c r="D1292" s="2" t="s">
        <v>18</v>
      </c>
      <c r="E1292" s="5">
        <v>-28926</v>
      </c>
      <c r="F1292" s="3" t="s">
        <v>597</v>
      </c>
      <c r="G1292" s="3" t="s">
        <v>43</v>
      </c>
      <c r="H1292" s="2" t="s">
        <v>21</v>
      </c>
      <c r="I1292" s="2" t="s">
        <v>2991</v>
      </c>
      <c r="J1292" s="3" t="str">
        <f>HYPERLINK("https://www.boe.es/gazeta/dias/1820/10/19/pdfs/GGB-1820-113.pdf#page=2","Abrir facsímil")</f>
        <v>Abrir facsímil</v>
      </c>
      <c r="K1292" s="3" t="s">
        <v>23</v>
      </c>
    </row>
    <row r="1293" spans="1:11" ht="42" customHeight="1">
      <c r="A1293" s="2" t="s">
        <v>2992</v>
      </c>
      <c r="B1293" s="2" t="s">
        <v>2993</v>
      </c>
      <c r="C1293" s="2" t="s">
        <v>26</v>
      </c>
      <c r="D1293" s="2" t="s">
        <v>27</v>
      </c>
      <c r="E1293" s="5">
        <v>-29136</v>
      </c>
      <c r="F1293" s="3" t="s">
        <v>2972</v>
      </c>
      <c r="G1293" s="3" t="s">
        <v>2973</v>
      </c>
      <c r="H1293" s="2" t="s">
        <v>21</v>
      </c>
      <c r="I1293" s="2" t="s">
        <v>2994</v>
      </c>
      <c r="J1293" s="3" t="str">
        <f>HYPERLINK("https://www.boe.es/gazeta/dias/1820/03/23/pdfs/GMD-1820-51.pdf#page=4","Abrir facsímil")</f>
        <v>Abrir facsímil</v>
      </c>
      <c r="K1293" s="3" t="s">
        <v>23</v>
      </c>
    </row>
    <row r="1294" spans="1:11" ht="42" customHeight="1">
      <c r="A1294" s="2" t="s">
        <v>2995</v>
      </c>
      <c r="B1294" s="2" t="s">
        <v>2996</v>
      </c>
      <c r="C1294" s="2" t="s">
        <v>35</v>
      </c>
      <c r="D1294" s="2" t="s">
        <v>36</v>
      </c>
      <c r="E1294" s="5">
        <v>-29138</v>
      </c>
      <c r="F1294" s="3" t="s">
        <v>200</v>
      </c>
      <c r="G1294" s="3" t="s">
        <v>201</v>
      </c>
      <c r="H1294" s="2" t="s">
        <v>21</v>
      </c>
      <c r="I1294" s="2" t="s">
        <v>2997</v>
      </c>
      <c r="J1294" s="3" t="str">
        <f>HYPERLINK("https://www.boe.es/gazeta/dias/1820/03/21/pdfs/GMD-1820-46.pdf#page=7","Abrir facsímil")</f>
        <v>Abrir facsímil</v>
      </c>
      <c r="K1294" s="3" t="s">
        <v>23</v>
      </c>
    </row>
    <row r="1295" spans="1:11" ht="42" customHeight="1">
      <c r="A1295" s="2" t="s">
        <v>2998</v>
      </c>
      <c r="B1295" s="2" t="s">
        <v>2999</v>
      </c>
      <c r="C1295" s="2" t="s">
        <v>47</v>
      </c>
      <c r="D1295" s="2" t="s">
        <v>18</v>
      </c>
      <c r="E1295" s="5">
        <v>-29011</v>
      </c>
      <c r="F1295" s="3" t="s">
        <v>338</v>
      </c>
      <c r="G1295" s="3" t="s">
        <v>20</v>
      </c>
      <c r="H1295" s="2" t="s">
        <v>21</v>
      </c>
      <c r="I1295" s="2" t="s">
        <v>3000</v>
      </c>
      <c r="J1295" s="3" t="str">
        <f>HYPERLINK("https://www.boe.es/gazeta/dias/1820/07/26/pdfs/GGB-1820-28.pdf#page=4","Abrir facsímil")</f>
        <v>Abrir facsímil</v>
      </c>
      <c r="K1295" s="3" t="s">
        <v>23</v>
      </c>
    </row>
    <row r="1296" spans="1:11" ht="42" customHeight="1">
      <c r="A1296" s="2" t="s">
        <v>3001</v>
      </c>
      <c r="B1296" s="2" t="s">
        <v>3002</v>
      </c>
      <c r="C1296" s="2" t="s">
        <v>111</v>
      </c>
      <c r="D1296" s="2" t="s">
        <v>18</v>
      </c>
      <c r="E1296" s="5">
        <v>-28944</v>
      </c>
      <c r="F1296" s="3" t="s">
        <v>990</v>
      </c>
      <c r="G1296" s="3" t="s">
        <v>1174</v>
      </c>
      <c r="H1296" s="2" t="s">
        <v>21</v>
      </c>
      <c r="I1296" s="2" t="s">
        <v>3003</v>
      </c>
      <c r="J1296" s="3" t="str">
        <f>HYPERLINK("https://www.boe.es/gazeta/dias/1820/10/01/pdfs/GGB-1820-95.pdf#page=4","Abrir facsímil")</f>
        <v>Abrir facsímil</v>
      </c>
      <c r="K1296" s="3" t="s">
        <v>23</v>
      </c>
    </row>
    <row r="1297" spans="1:11" ht="42" customHeight="1">
      <c r="A1297" s="2" t="s">
        <v>3004</v>
      </c>
      <c r="B1297" s="2" t="s">
        <v>3004</v>
      </c>
      <c r="C1297" s="2" t="s">
        <v>35</v>
      </c>
      <c r="D1297" s="2" t="s">
        <v>36</v>
      </c>
      <c r="E1297" s="5">
        <v>-29208</v>
      </c>
      <c r="F1297" s="3" t="s">
        <v>770</v>
      </c>
      <c r="G1297" s="3" t="s">
        <v>43</v>
      </c>
      <c r="H1297" s="2" t="s">
        <v>21</v>
      </c>
      <c r="I1297" s="2" t="s">
        <v>3005</v>
      </c>
      <c r="J1297" s="3" t="str">
        <f>HYPERLINK("https://www.boe.es/gazeta/dias/1820/01/11/pdfs/GMD-1820-5.pdf#page=2","Abrir facsímil")</f>
        <v>Abrir facsímil</v>
      </c>
      <c r="K1297" s="3" t="s">
        <v>23</v>
      </c>
    </row>
    <row r="1298" spans="1:11" ht="42" customHeight="1">
      <c r="A1298" s="2" t="s">
        <v>3006</v>
      </c>
      <c r="B1298" s="2" t="s">
        <v>3006</v>
      </c>
      <c r="C1298" s="2" t="s">
        <v>17</v>
      </c>
      <c r="D1298" s="2" t="s">
        <v>18</v>
      </c>
      <c r="E1298" s="5">
        <v>-28870</v>
      </c>
      <c r="F1298" s="3" t="s">
        <v>1014</v>
      </c>
      <c r="G1298" s="3" t="s">
        <v>3007</v>
      </c>
      <c r="H1298" s="2" t="s">
        <v>21</v>
      </c>
      <c r="I1298" s="2" t="s">
        <v>3008</v>
      </c>
      <c r="J1298" s="3" t="str">
        <f>HYPERLINK("https://www.boe.es/gazeta/dias/1820/12/14/pdfs/GGB-1820-171.pdf#page=2","Abrir facsímil")</f>
        <v>Abrir facsímil</v>
      </c>
      <c r="K1298" s="3" t="s">
        <v>23</v>
      </c>
    </row>
    <row r="1299" spans="1:11" ht="42" customHeight="1">
      <c r="A1299" s="2" t="s">
        <v>3009</v>
      </c>
      <c r="B1299" s="2" t="s">
        <v>3010</v>
      </c>
      <c r="C1299" s="2" t="s">
        <v>26</v>
      </c>
      <c r="D1299" s="2" t="s">
        <v>27</v>
      </c>
      <c r="E1299" s="5">
        <v>-29150</v>
      </c>
      <c r="F1299" s="3" t="s">
        <v>299</v>
      </c>
      <c r="G1299" s="3" t="s">
        <v>256</v>
      </c>
      <c r="H1299" s="2" t="s">
        <v>21</v>
      </c>
      <c r="I1299" s="2" t="s">
        <v>3011</v>
      </c>
      <c r="J1299" s="3" t="str">
        <f>HYPERLINK("https://www.boe.es/gazeta/dias/1820/03/09/pdfs/GMD-1820-32.pdf#page=5","Abrir facsímil")</f>
        <v>Abrir facsímil</v>
      </c>
      <c r="K1299" s="3" t="s">
        <v>23</v>
      </c>
    </row>
    <row r="1300" spans="1:11" ht="42" customHeight="1">
      <c r="A1300" s="2" t="s">
        <v>3012</v>
      </c>
      <c r="B1300" s="2" t="s">
        <v>3012</v>
      </c>
      <c r="C1300" s="2" t="s">
        <v>26</v>
      </c>
      <c r="D1300" s="2" t="s">
        <v>27</v>
      </c>
      <c r="E1300" s="5">
        <v>-28909</v>
      </c>
      <c r="F1300" s="3" t="s">
        <v>278</v>
      </c>
      <c r="G1300" s="3" t="s">
        <v>62</v>
      </c>
      <c r="H1300" s="2" t="s">
        <v>21</v>
      </c>
      <c r="I1300" s="2" t="s">
        <v>3013</v>
      </c>
      <c r="J1300" s="3" t="str">
        <f>HYPERLINK("https://www.boe.es/gazeta/dias/1820/11/05/pdfs/GGB-1820-130.pdf#page=3","Abrir facsímil")</f>
        <v>Abrir facsímil</v>
      </c>
      <c r="K1300" s="3" t="s">
        <v>23</v>
      </c>
    </row>
    <row r="1301" spans="1:11" ht="42" customHeight="1">
      <c r="A1301" s="2" t="s">
        <v>3014</v>
      </c>
      <c r="B1301" s="2" t="s">
        <v>3015</v>
      </c>
      <c r="C1301" s="2" t="s">
        <v>26</v>
      </c>
      <c r="D1301" s="2" t="s">
        <v>27</v>
      </c>
      <c r="E1301" s="5">
        <v>-29169</v>
      </c>
      <c r="F1301" s="3" t="s">
        <v>962</v>
      </c>
      <c r="G1301" s="3" t="s">
        <v>20</v>
      </c>
      <c r="H1301" s="2" t="s">
        <v>21</v>
      </c>
      <c r="I1301" s="2" t="s">
        <v>3016</v>
      </c>
      <c r="J1301" s="3" t="str">
        <f>HYPERLINK("https://www.boe.es/gazeta/dias/1820/02/19/pdfs/GMD-1820-22.pdf#page=4","Abrir facsímil")</f>
        <v>Abrir facsímil</v>
      </c>
      <c r="K1301" s="3" t="s">
        <v>23</v>
      </c>
    </row>
    <row r="1302" spans="1:11" ht="42" customHeight="1">
      <c r="A1302" s="2" t="s">
        <v>3017</v>
      </c>
      <c r="B1302" s="2" t="s">
        <v>3018</v>
      </c>
      <c r="C1302" s="2" t="s">
        <v>35</v>
      </c>
      <c r="D1302" s="2" t="s">
        <v>36</v>
      </c>
      <c r="E1302" s="5">
        <v>-29013</v>
      </c>
      <c r="F1302" s="3" t="s">
        <v>52</v>
      </c>
      <c r="G1302" s="3" t="s">
        <v>20</v>
      </c>
      <c r="H1302" s="2" t="s">
        <v>21</v>
      </c>
      <c r="I1302" s="2" t="s">
        <v>3019</v>
      </c>
      <c r="J1302" s="3" t="str">
        <f>HYPERLINK("https://www.boe.es/gazeta/dias/1820/07/24/pdfs/GGB-1820-26.pdf#page=4","Abrir facsímil")</f>
        <v>Abrir facsímil</v>
      </c>
      <c r="K1302" s="3" t="s">
        <v>23</v>
      </c>
    </row>
    <row r="1303" spans="1:11" ht="42" customHeight="1">
      <c r="A1303" s="2" t="s">
        <v>3020</v>
      </c>
      <c r="B1303" s="2" t="s">
        <v>3021</v>
      </c>
      <c r="C1303" s="2" t="s">
        <v>74</v>
      </c>
      <c r="D1303" s="2" t="s">
        <v>18</v>
      </c>
      <c r="E1303" s="5">
        <v>-28918</v>
      </c>
      <c r="F1303" s="3" t="s">
        <v>160</v>
      </c>
      <c r="G1303" s="3" t="s">
        <v>43</v>
      </c>
      <c r="H1303" s="2" t="s">
        <v>21</v>
      </c>
      <c r="I1303" s="2" t="s">
        <v>3022</v>
      </c>
      <c r="J1303" s="3" t="str">
        <f>HYPERLINK("https://www.boe.es/gazeta/dias/1820/10/27/pdfs/GGB-1820-121.pdf#page=2","Abrir facsímil")</f>
        <v>Abrir facsímil</v>
      </c>
      <c r="K1303" s="3" t="s">
        <v>23</v>
      </c>
    </row>
    <row r="1304" spans="1:11" ht="42" customHeight="1">
      <c r="A1304" s="2" t="s">
        <v>3020</v>
      </c>
      <c r="B1304" s="2" t="s">
        <v>3021</v>
      </c>
      <c r="C1304" s="2" t="s">
        <v>35</v>
      </c>
      <c r="D1304" s="2" t="s">
        <v>36</v>
      </c>
      <c r="E1304" s="5">
        <v>-28911</v>
      </c>
      <c r="F1304" s="3" t="s">
        <v>82</v>
      </c>
      <c r="G1304" s="3" t="s">
        <v>43</v>
      </c>
      <c r="H1304" s="2" t="s">
        <v>21</v>
      </c>
      <c r="I1304" s="2" t="s">
        <v>3023</v>
      </c>
      <c r="J1304" s="3" t="str">
        <f>HYPERLINK("https://www.boe.es/gazeta/dias/1820/11/03/pdfs/GGB-1820-128.pdf#page=2","Abrir facsímil")</f>
        <v>Abrir facsímil</v>
      </c>
      <c r="K1304" s="3" t="s">
        <v>23</v>
      </c>
    </row>
    <row r="1305" spans="1:11" ht="42" customHeight="1">
      <c r="A1305" s="2" t="s">
        <v>3024</v>
      </c>
      <c r="B1305" s="2" t="s">
        <v>3025</v>
      </c>
      <c r="C1305" s="2" t="s">
        <v>26</v>
      </c>
      <c r="D1305" s="2" t="s">
        <v>27</v>
      </c>
      <c r="E1305" s="5">
        <v>-29176</v>
      </c>
      <c r="F1305" s="3" t="s">
        <v>797</v>
      </c>
      <c r="G1305" s="3" t="s">
        <v>256</v>
      </c>
      <c r="H1305" s="2" t="s">
        <v>21</v>
      </c>
      <c r="I1305" s="2" t="s">
        <v>3026</v>
      </c>
      <c r="J1305" s="3" t="str">
        <f>HYPERLINK("https://www.boe.es/gazeta/dias/1820/02/12/pdfs/GMD-1820-19.pdf#page=5","Abrir facsímil")</f>
        <v>Abrir facsímil</v>
      </c>
      <c r="K1305" s="3" t="s">
        <v>23</v>
      </c>
    </row>
    <row r="1306" spans="1:11" ht="42" customHeight="1">
      <c r="A1306" s="2" t="s">
        <v>3024</v>
      </c>
      <c r="B1306" s="2" t="s">
        <v>3025</v>
      </c>
      <c r="C1306" s="2" t="s">
        <v>26</v>
      </c>
      <c r="D1306" s="2" t="s">
        <v>27</v>
      </c>
      <c r="E1306" s="5">
        <v>-29176</v>
      </c>
      <c r="F1306" s="3" t="s">
        <v>797</v>
      </c>
      <c r="G1306" s="3" t="s">
        <v>38</v>
      </c>
      <c r="H1306" s="2" t="s">
        <v>21</v>
      </c>
      <c r="I1306" s="2" t="s">
        <v>3027</v>
      </c>
      <c r="J1306" s="3" t="str">
        <f>HYPERLINK("https://www.boe.es/gazeta/dias/1820/02/12/pdfs/GMD-1820-19.pdf#page=6","Abrir facsímil")</f>
        <v>Abrir facsímil</v>
      </c>
      <c r="K1306" s="3" t="s">
        <v>23</v>
      </c>
    </row>
    <row r="1307" spans="1:11" ht="42" customHeight="1">
      <c r="A1307" s="2" t="s">
        <v>3028</v>
      </c>
      <c r="B1307" s="2" t="s">
        <v>3029</v>
      </c>
      <c r="C1307" s="2" t="s">
        <v>26</v>
      </c>
      <c r="D1307" s="2" t="s">
        <v>27</v>
      </c>
      <c r="E1307" s="5">
        <v>-29204</v>
      </c>
      <c r="F1307" s="3" t="s">
        <v>753</v>
      </c>
      <c r="G1307" s="3" t="s">
        <v>295</v>
      </c>
      <c r="H1307" s="2" t="s">
        <v>21</v>
      </c>
      <c r="I1307" s="2" t="s">
        <v>3030</v>
      </c>
      <c r="J1307" s="3" t="str">
        <f>HYPERLINK("https://www.boe.es/gazeta/dias/1820/01/15/pdfs/GMD-1820-7.pdf#page=8","Abrir facsímil")</f>
        <v>Abrir facsímil</v>
      </c>
      <c r="K1307" s="3" t="s">
        <v>23</v>
      </c>
    </row>
    <row r="1308" spans="1:11" ht="42" customHeight="1">
      <c r="A1308" s="2" t="s">
        <v>3031</v>
      </c>
      <c r="B1308" s="2" t="s">
        <v>3032</v>
      </c>
      <c r="C1308" s="2" t="s">
        <v>35</v>
      </c>
      <c r="D1308" s="2" t="s">
        <v>36</v>
      </c>
      <c r="E1308" s="5">
        <v>-28935</v>
      </c>
      <c r="F1308" s="3" t="s">
        <v>2464</v>
      </c>
      <c r="G1308" s="3" t="s">
        <v>43</v>
      </c>
      <c r="H1308" s="2" t="s">
        <v>21</v>
      </c>
      <c r="I1308" s="2" t="s">
        <v>3033</v>
      </c>
      <c r="J1308" s="3" t="str">
        <f>HYPERLINK("https://www.boe.es/gazeta/dias/1820/10/10/pdfs/GGB-1820-104.pdf#page=2","Abrir facsímil")</f>
        <v>Abrir facsímil</v>
      </c>
      <c r="K1308" s="3" t="s">
        <v>23</v>
      </c>
    </row>
    <row r="1309" spans="1:11" ht="42" customHeight="1">
      <c r="A1309" s="2" t="s">
        <v>3034</v>
      </c>
      <c r="B1309" s="2" t="s">
        <v>3035</v>
      </c>
      <c r="C1309" s="2" t="s">
        <v>111</v>
      </c>
      <c r="D1309" s="2" t="s">
        <v>18</v>
      </c>
      <c r="E1309" s="5">
        <v>-28892</v>
      </c>
      <c r="F1309" s="3" t="s">
        <v>3036</v>
      </c>
      <c r="G1309" s="3" t="s">
        <v>20</v>
      </c>
      <c r="H1309" s="2" t="s">
        <v>30</v>
      </c>
      <c r="I1309" s="2" t="s">
        <v>3037</v>
      </c>
      <c r="J1309" s="3" t="str">
        <f>HYPERLINK("https://www.boe.es/gazeta/dias/1820/11/22/pdfs/GGB-1820-149.pdf#page=4","Abrir facsímil")</f>
        <v>Abrir facsímil</v>
      </c>
      <c r="K1309" s="3" t="s">
        <v>32</v>
      </c>
    </row>
    <row r="1310" spans="1:11" ht="42" customHeight="1">
      <c r="A1310" s="2" t="s">
        <v>3038</v>
      </c>
      <c r="B1310" s="2" t="s">
        <v>3038</v>
      </c>
      <c r="C1310" s="2" t="s">
        <v>47</v>
      </c>
      <c r="D1310" s="2" t="s">
        <v>18</v>
      </c>
      <c r="E1310" s="5">
        <v>-28998</v>
      </c>
      <c r="F1310" s="3" t="s">
        <v>629</v>
      </c>
      <c r="G1310" s="3" t="s">
        <v>128</v>
      </c>
      <c r="H1310" s="2" t="s">
        <v>21</v>
      </c>
      <c r="I1310" s="2" t="s">
        <v>3039</v>
      </c>
      <c r="J1310" s="3" t="str">
        <f>HYPERLINK("https://www.boe.es/gazeta/dias/1820/08/08/pdfs/GGB-1820-41.pdf#page=1","Abrir facsímil")</f>
        <v>Abrir facsímil</v>
      </c>
      <c r="K1310" s="3" t="s">
        <v>23</v>
      </c>
    </row>
    <row r="1311" spans="1:11" ht="42" customHeight="1">
      <c r="A1311" s="2" t="s">
        <v>3040</v>
      </c>
      <c r="B1311" s="2" t="s">
        <v>3040</v>
      </c>
      <c r="C1311" s="2" t="s">
        <v>17</v>
      </c>
      <c r="D1311" s="2" t="s">
        <v>18</v>
      </c>
      <c r="E1311" s="5">
        <v>-29218</v>
      </c>
      <c r="F1311" s="3" t="s">
        <v>834</v>
      </c>
      <c r="G1311" s="3" t="s">
        <v>62</v>
      </c>
      <c r="H1311" s="2" t="s">
        <v>21</v>
      </c>
      <c r="I1311" s="2" t="s">
        <v>3041</v>
      </c>
      <c r="J1311" s="3" t="str">
        <f>HYPERLINK("https://www.boe.es/gazeta/dias/1820/01/01/pdfs/GMD-1820-1.pdf#page=3","Abrir facsímil")</f>
        <v>Abrir facsímil</v>
      </c>
      <c r="K1311" s="3" t="s">
        <v>23</v>
      </c>
    </row>
    <row r="1312" spans="1:11" ht="42" customHeight="1">
      <c r="A1312" s="2" t="s">
        <v>3042</v>
      </c>
      <c r="B1312" s="2" t="s">
        <v>3042</v>
      </c>
      <c r="C1312" s="2" t="s">
        <v>17</v>
      </c>
      <c r="D1312" s="2" t="s">
        <v>18</v>
      </c>
      <c r="E1312" s="5">
        <v>-29213</v>
      </c>
      <c r="F1312" s="3" t="s">
        <v>195</v>
      </c>
      <c r="G1312" s="3" t="s">
        <v>43</v>
      </c>
      <c r="H1312" s="2" t="s">
        <v>21</v>
      </c>
      <c r="I1312" s="2" t="s">
        <v>3043</v>
      </c>
      <c r="J1312" s="3" t="str">
        <f>HYPERLINK("https://www.boe.es/gazeta/dias/1820/01/06/pdfs/GMD-1820-3.pdf#page=2","Abrir facsímil")</f>
        <v>Abrir facsímil</v>
      </c>
      <c r="K1312" s="3" t="s">
        <v>23</v>
      </c>
    </row>
    <row r="1313" spans="1:11" ht="42" customHeight="1">
      <c r="A1313" s="2" t="s">
        <v>3042</v>
      </c>
      <c r="B1313" s="2" t="s">
        <v>3042</v>
      </c>
      <c r="C1313" s="2" t="s">
        <v>17</v>
      </c>
      <c r="D1313" s="2" t="s">
        <v>18</v>
      </c>
      <c r="E1313" s="5">
        <v>-29204</v>
      </c>
      <c r="F1313" s="3" t="s">
        <v>753</v>
      </c>
      <c r="G1313" s="3" t="s">
        <v>62</v>
      </c>
      <c r="H1313" s="2" t="s">
        <v>21</v>
      </c>
      <c r="I1313" s="2" t="s">
        <v>3044</v>
      </c>
      <c r="J1313" s="3" t="str">
        <f>HYPERLINK("https://www.boe.es/gazeta/dias/1820/01/15/pdfs/GMD-1820-7.pdf#page=3","Abrir facsímil")</f>
        <v>Abrir facsímil</v>
      </c>
      <c r="K1313" s="3" t="s">
        <v>23</v>
      </c>
    </row>
    <row r="1314" spans="1:11" ht="42" customHeight="1">
      <c r="A1314" s="2" t="s">
        <v>3045</v>
      </c>
      <c r="B1314" s="2" t="s">
        <v>3045</v>
      </c>
      <c r="C1314" s="2" t="s">
        <v>17</v>
      </c>
      <c r="D1314" s="2" t="s">
        <v>18</v>
      </c>
      <c r="E1314" s="5">
        <v>-29199</v>
      </c>
      <c r="F1314" s="3" t="s">
        <v>1178</v>
      </c>
      <c r="G1314" s="3" t="s">
        <v>43</v>
      </c>
      <c r="H1314" s="2" t="s">
        <v>21</v>
      </c>
      <c r="I1314" s="2" t="s">
        <v>3046</v>
      </c>
      <c r="J1314" s="3" t="str">
        <f>HYPERLINK("https://www.boe.es/gazeta/dias/1820/01/20/pdfs/GMD-1820-9.pdf#page=2","Abrir facsímil")</f>
        <v>Abrir facsímil</v>
      </c>
      <c r="K1314" s="3" t="s">
        <v>23</v>
      </c>
    </row>
    <row r="1315" spans="1:11" ht="42" customHeight="1">
      <c r="A1315" s="2" t="s">
        <v>3042</v>
      </c>
      <c r="B1315" s="2" t="s">
        <v>3042</v>
      </c>
      <c r="C1315" s="2" t="s">
        <v>293</v>
      </c>
      <c r="D1315" s="2" t="s">
        <v>18</v>
      </c>
      <c r="E1315" s="5">
        <v>-29152</v>
      </c>
      <c r="F1315" s="3" t="s">
        <v>1293</v>
      </c>
      <c r="G1315" s="3" t="s">
        <v>62</v>
      </c>
      <c r="H1315" s="2" t="s">
        <v>21</v>
      </c>
      <c r="I1315" s="2" t="s">
        <v>3047</v>
      </c>
      <c r="J1315" s="3" t="str">
        <f>HYPERLINK("https://www.boe.es/gazeta/dias/1820/03/07/pdfs/GMD-1820-29.pdf#page=3","Abrir facsímil")</f>
        <v>Abrir facsímil</v>
      </c>
      <c r="K1315" s="3" t="s">
        <v>23</v>
      </c>
    </row>
    <row r="1316" spans="1:11" ht="42" customHeight="1">
      <c r="A1316" s="2" t="s">
        <v>3042</v>
      </c>
      <c r="B1316" s="2" t="s">
        <v>3042</v>
      </c>
      <c r="C1316" s="2" t="s">
        <v>74</v>
      </c>
      <c r="D1316" s="2" t="s">
        <v>18</v>
      </c>
      <c r="E1316" s="5">
        <v>-29143</v>
      </c>
      <c r="F1316" s="3" t="s">
        <v>334</v>
      </c>
      <c r="G1316" s="3" t="s">
        <v>62</v>
      </c>
      <c r="H1316" s="2" t="s">
        <v>21</v>
      </c>
      <c r="I1316" s="2" t="s">
        <v>3048</v>
      </c>
      <c r="J1316" s="3" t="str">
        <f>HYPERLINK("https://www.boe.es/gazeta/dias/1820/03/16/pdfs/GMD-1820-42.pdf#page=3","Abrir facsímil")</f>
        <v>Abrir facsímil</v>
      </c>
      <c r="K1316" s="3" t="s">
        <v>23</v>
      </c>
    </row>
    <row r="1317" spans="1:11" ht="42" customHeight="1">
      <c r="A1317" s="2" t="s">
        <v>3042</v>
      </c>
      <c r="B1317" s="2" t="s">
        <v>3042</v>
      </c>
      <c r="C1317" s="2" t="s">
        <v>35</v>
      </c>
      <c r="D1317" s="2" t="s">
        <v>36</v>
      </c>
      <c r="E1317" s="5">
        <v>-29106</v>
      </c>
      <c r="F1317" s="3" t="s">
        <v>430</v>
      </c>
      <c r="G1317" s="3" t="s">
        <v>62</v>
      </c>
      <c r="H1317" s="2" t="s">
        <v>21</v>
      </c>
      <c r="I1317" s="2" t="s">
        <v>3049</v>
      </c>
      <c r="J1317" s="3" t="str">
        <f>HYPERLINK("https://www.boe.es/gazeta/dias/1820/04/22/pdfs/GMD-1820-69.pdf#page=3","Abrir facsímil")</f>
        <v>Abrir facsímil</v>
      </c>
      <c r="K1317" s="3" t="s">
        <v>23</v>
      </c>
    </row>
    <row r="1318" spans="1:11" ht="42" customHeight="1">
      <c r="A1318" s="2" t="s">
        <v>3042</v>
      </c>
      <c r="B1318" s="2" t="s">
        <v>3042</v>
      </c>
      <c r="C1318" s="2" t="s">
        <v>17</v>
      </c>
      <c r="D1318" s="2" t="s">
        <v>18</v>
      </c>
      <c r="E1318" s="5">
        <v>-29054</v>
      </c>
      <c r="F1318" s="3" t="s">
        <v>481</v>
      </c>
      <c r="G1318" s="3" t="s">
        <v>778</v>
      </c>
      <c r="H1318" s="2" t="s">
        <v>21</v>
      </c>
      <c r="I1318" s="2" t="s">
        <v>3050</v>
      </c>
      <c r="J1318" s="3" t="str">
        <f>HYPERLINK("https://www.boe.es/gazeta/dias/1820/06/13/pdfs/GMD-1820-93.pdf#page=4","Abrir facsímil")</f>
        <v>Abrir facsímil</v>
      </c>
      <c r="K1318" s="3" t="s">
        <v>23</v>
      </c>
    </row>
    <row r="1319" spans="1:11" ht="42" customHeight="1">
      <c r="A1319" s="2" t="s">
        <v>3042</v>
      </c>
      <c r="B1319" s="2" t="s">
        <v>3042</v>
      </c>
      <c r="C1319" s="2" t="s">
        <v>74</v>
      </c>
      <c r="D1319" s="2" t="s">
        <v>18</v>
      </c>
      <c r="E1319" s="5">
        <v>-29040</v>
      </c>
      <c r="F1319" s="3" t="s">
        <v>1125</v>
      </c>
      <c r="G1319" s="3" t="s">
        <v>62</v>
      </c>
      <c r="H1319" s="2" t="s">
        <v>21</v>
      </c>
      <c r="I1319" s="2" t="s">
        <v>3051</v>
      </c>
      <c r="J1319" s="3" t="str">
        <f>HYPERLINK("https://www.boe.es/gazeta/dias/1820/06/27/pdfs/GMD-1820-99.pdf#page=3","Abrir facsímil")</f>
        <v>Abrir facsímil</v>
      </c>
      <c r="K1319" s="3" t="s">
        <v>23</v>
      </c>
    </row>
    <row r="1320" spans="1:11" ht="42" customHeight="1">
      <c r="A1320" s="2" t="s">
        <v>3042</v>
      </c>
      <c r="B1320" s="2" t="s">
        <v>3042</v>
      </c>
      <c r="C1320" s="2" t="s">
        <v>26</v>
      </c>
      <c r="D1320" s="2" t="s">
        <v>27</v>
      </c>
      <c r="E1320" s="5">
        <v>-29032</v>
      </c>
      <c r="F1320" s="3" t="s">
        <v>3052</v>
      </c>
      <c r="G1320" s="3" t="s">
        <v>821</v>
      </c>
      <c r="H1320" s="2" t="s">
        <v>21</v>
      </c>
      <c r="I1320" s="2" t="s">
        <v>3053</v>
      </c>
      <c r="J1320" s="3" t="str">
        <f>HYPERLINK("https://www.boe.es/gazeta/dias/1820/07/05/pdfs/GGB-1820-5.pdf#page=2","Abrir facsímil")</f>
        <v>Abrir facsímil</v>
      </c>
      <c r="K1320" s="3" t="s">
        <v>23</v>
      </c>
    </row>
    <row r="1321" spans="1:11" ht="42" customHeight="1">
      <c r="A1321" s="2" t="s">
        <v>3042</v>
      </c>
      <c r="B1321" s="2" t="s">
        <v>3042</v>
      </c>
      <c r="C1321" s="2" t="s">
        <v>47</v>
      </c>
      <c r="D1321" s="2" t="s">
        <v>18</v>
      </c>
      <c r="E1321" s="5">
        <v>-29031</v>
      </c>
      <c r="F1321" s="3" t="s">
        <v>1036</v>
      </c>
      <c r="G1321" s="3" t="s">
        <v>43</v>
      </c>
      <c r="H1321" s="2" t="s">
        <v>21</v>
      </c>
      <c r="I1321" s="2" t="s">
        <v>3054</v>
      </c>
      <c r="J1321" s="3" t="str">
        <f>HYPERLINK("https://www.boe.es/gazeta/dias/1820/07/06/pdfs/GGB-1820-6.pdf#page=2","Abrir facsímil")</f>
        <v>Abrir facsímil</v>
      </c>
      <c r="K1321" s="3" t="s">
        <v>23</v>
      </c>
    </row>
    <row r="1322" spans="1:11" ht="42" customHeight="1">
      <c r="A1322" s="2" t="s">
        <v>3042</v>
      </c>
      <c r="B1322" s="2" t="s">
        <v>3042</v>
      </c>
      <c r="C1322" s="2" t="s">
        <v>17</v>
      </c>
      <c r="D1322" s="2" t="s">
        <v>18</v>
      </c>
      <c r="E1322" s="5">
        <v>-29029</v>
      </c>
      <c r="F1322" s="3" t="s">
        <v>282</v>
      </c>
      <c r="G1322" s="3" t="s">
        <v>128</v>
      </c>
      <c r="H1322" s="2" t="s">
        <v>21</v>
      </c>
      <c r="I1322" s="2" t="s">
        <v>3055</v>
      </c>
      <c r="J1322" s="3" t="str">
        <f>HYPERLINK("https://www.boe.es/gazeta/dias/1820/07/08/pdfs/GGB-1820-9.pdf#page=1","Abrir facsímil")</f>
        <v>Abrir facsímil</v>
      </c>
      <c r="K1322" s="3" t="s">
        <v>23</v>
      </c>
    </row>
    <row r="1323" spans="1:11" ht="42" customHeight="1">
      <c r="A1323" s="2" t="s">
        <v>3042</v>
      </c>
      <c r="B1323" s="2" t="s">
        <v>3042</v>
      </c>
      <c r="C1323" s="2" t="s">
        <v>35</v>
      </c>
      <c r="D1323" s="2" t="s">
        <v>36</v>
      </c>
      <c r="E1323" s="5">
        <v>-29029</v>
      </c>
      <c r="F1323" s="3" t="s">
        <v>282</v>
      </c>
      <c r="G1323" s="3" t="s">
        <v>43</v>
      </c>
      <c r="H1323" s="2" t="s">
        <v>21</v>
      </c>
      <c r="I1323" s="2" t="s">
        <v>3056</v>
      </c>
      <c r="J1323" s="3" t="str">
        <f>HYPERLINK("https://www.boe.es/gazeta/dias/1820/07/08/pdfs/GGB-1820-9.pdf#page=2","Abrir facsímil")</f>
        <v>Abrir facsímil</v>
      </c>
      <c r="K1323" s="3" t="s">
        <v>23</v>
      </c>
    </row>
    <row r="1324" spans="1:11" ht="42" customHeight="1">
      <c r="A1324" s="2" t="s">
        <v>3042</v>
      </c>
      <c r="B1324" s="2" t="s">
        <v>3042</v>
      </c>
      <c r="C1324" s="2" t="s">
        <v>35</v>
      </c>
      <c r="D1324" s="2" t="s">
        <v>36</v>
      </c>
      <c r="E1324" s="5">
        <v>-29022</v>
      </c>
      <c r="F1324" s="3" t="s">
        <v>1310</v>
      </c>
      <c r="G1324" s="3" t="s">
        <v>43</v>
      </c>
      <c r="H1324" s="2" t="s">
        <v>21</v>
      </c>
      <c r="I1324" s="2" t="s">
        <v>3057</v>
      </c>
      <c r="J1324" s="3" t="str">
        <f>HYPERLINK("https://www.boe.es/gazeta/dias/1820/07/15/pdfs/GGB-1820-17.pdf#page=2","Abrir facsímil")</f>
        <v>Abrir facsímil</v>
      </c>
      <c r="K1324" s="3" t="s">
        <v>23</v>
      </c>
    </row>
    <row r="1325" spans="1:11" ht="42" customHeight="1">
      <c r="A1325" s="2" t="s">
        <v>3042</v>
      </c>
      <c r="B1325" s="2" t="s">
        <v>3042</v>
      </c>
      <c r="C1325" s="2" t="s">
        <v>74</v>
      </c>
      <c r="D1325" s="2" t="s">
        <v>18</v>
      </c>
      <c r="E1325" s="5">
        <v>-29018</v>
      </c>
      <c r="F1325" s="3" t="s">
        <v>601</v>
      </c>
      <c r="G1325" s="3" t="s">
        <v>43</v>
      </c>
      <c r="H1325" s="2" t="s">
        <v>21</v>
      </c>
      <c r="I1325" s="2" t="s">
        <v>3058</v>
      </c>
      <c r="J1325" s="3" t="str">
        <f>HYPERLINK("https://www.boe.es/gazeta/dias/1820/07/19/pdfs/GGB-1820-21.pdf#page=2","Abrir facsímil")</f>
        <v>Abrir facsímil</v>
      </c>
      <c r="K1325" s="3" t="s">
        <v>23</v>
      </c>
    </row>
    <row r="1326" spans="1:11" ht="42" customHeight="1">
      <c r="A1326" s="2" t="s">
        <v>3042</v>
      </c>
      <c r="B1326" s="2" t="s">
        <v>3042</v>
      </c>
      <c r="C1326" s="2" t="s">
        <v>26</v>
      </c>
      <c r="D1326" s="2" t="s">
        <v>27</v>
      </c>
      <c r="E1326" s="5">
        <v>-29008</v>
      </c>
      <c r="F1326" s="3" t="s">
        <v>2250</v>
      </c>
      <c r="G1326" s="3" t="s">
        <v>128</v>
      </c>
      <c r="H1326" s="2" t="s">
        <v>21</v>
      </c>
      <c r="I1326" s="2" t="s">
        <v>3059</v>
      </c>
      <c r="J1326" s="3" t="str">
        <f>HYPERLINK("https://www.boe.es/gazeta/dias/1820/07/29/pdfs/GGB-1820-31.pdf#page=1","Abrir facsímil")</f>
        <v>Abrir facsímil</v>
      </c>
      <c r="K1326" s="3" t="s">
        <v>23</v>
      </c>
    </row>
    <row r="1327" spans="1:11" ht="42" customHeight="1">
      <c r="A1327" s="2" t="s">
        <v>3040</v>
      </c>
      <c r="B1327" s="2" t="s">
        <v>3040</v>
      </c>
      <c r="C1327" s="2" t="s">
        <v>35</v>
      </c>
      <c r="D1327" s="2" t="s">
        <v>36</v>
      </c>
      <c r="E1327" s="5">
        <v>-29004</v>
      </c>
      <c r="F1327" s="3" t="s">
        <v>75</v>
      </c>
      <c r="G1327" s="3" t="s">
        <v>128</v>
      </c>
      <c r="H1327" s="2" t="s">
        <v>21</v>
      </c>
      <c r="I1327" s="2" t="s">
        <v>3060</v>
      </c>
      <c r="J1327" s="3" t="str">
        <f>HYPERLINK("https://www.boe.es/gazeta/dias/1820/08/02/pdfs/GGB-1820-35.pdf#page=1","Abrir facsímil")</f>
        <v>Abrir facsímil</v>
      </c>
      <c r="K1327" s="3" t="s">
        <v>23</v>
      </c>
    </row>
    <row r="1328" spans="1:11" ht="42" customHeight="1">
      <c r="A1328" s="2" t="s">
        <v>3042</v>
      </c>
      <c r="B1328" s="2" t="s">
        <v>3042</v>
      </c>
      <c r="C1328" s="2" t="s">
        <v>35</v>
      </c>
      <c r="D1328" s="2" t="s">
        <v>36</v>
      </c>
      <c r="E1328" s="5">
        <v>-28998</v>
      </c>
      <c r="F1328" s="3" t="s">
        <v>629</v>
      </c>
      <c r="G1328" s="3" t="s">
        <v>128</v>
      </c>
      <c r="H1328" s="2" t="s">
        <v>21</v>
      </c>
      <c r="I1328" s="2" t="s">
        <v>3061</v>
      </c>
      <c r="J1328" s="3" t="str">
        <f>HYPERLINK("https://www.boe.es/gazeta/dias/1820/08/08/pdfs/GGB-1820-41.pdf#page=1","Abrir facsímil")</f>
        <v>Abrir facsímil</v>
      </c>
      <c r="K1328" s="3" t="s">
        <v>23</v>
      </c>
    </row>
    <row r="1329" spans="1:11" ht="42" customHeight="1">
      <c r="A1329" s="2" t="s">
        <v>3042</v>
      </c>
      <c r="B1329" s="2" t="s">
        <v>3042</v>
      </c>
      <c r="C1329" s="2" t="s">
        <v>26</v>
      </c>
      <c r="D1329" s="2" t="s">
        <v>27</v>
      </c>
      <c r="E1329" s="5">
        <v>-28980</v>
      </c>
      <c r="F1329" s="3" t="s">
        <v>614</v>
      </c>
      <c r="G1329" s="3" t="s">
        <v>3062</v>
      </c>
      <c r="H1329" s="2" t="s">
        <v>21</v>
      </c>
      <c r="I1329" s="2" t="s">
        <v>3063</v>
      </c>
      <c r="J1329" s="3" t="str">
        <f>HYPERLINK("https://www.boe.es/gazeta/dias/1820/08/26/pdfs/GGB-1820-59.pdf#page=2","Abrir facsímil")</f>
        <v>Abrir facsímil</v>
      </c>
      <c r="K1329" s="3" t="s">
        <v>23</v>
      </c>
    </row>
    <row r="1330" spans="1:11" ht="42" customHeight="1">
      <c r="A1330" s="2" t="s">
        <v>3042</v>
      </c>
      <c r="B1330" s="2" t="s">
        <v>3042</v>
      </c>
      <c r="C1330" s="2" t="s">
        <v>17</v>
      </c>
      <c r="D1330" s="2" t="s">
        <v>18</v>
      </c>
      <c r="E1330" s="5">
        <v>-28966</v>
      </c>
      <c r="F1330" s="3" t="s">
        <v>701</v>
      </c>
      <c r="G1330" s="3" t="s">
        <v>43</v>
      </c>
      <c r="H1330" s="2" t="s">
        <v>21</v>
      </c>
      <c r="I1330" s="2" t="s">
        <v>3064</v>
      </c>
      <c r="J1330" s="3" t="str">
        <f>HYPERLINK("https://www.boe.es/gazeta/dias/1820/09/09/pdfs/GGB-1820-73.pdf#page=2","Abrir facsímil")</f>
        <v>Abrir facsímil</v>
      </c>
      <c r="K1330" s="3" t="s">
        <v>23</v>
      </c>
    </row>
    <row r="1331" spans="1:11" ht="42" customHeight="1">
      <c r="A1331" s="2" t="s">
        <v>3042</v>
      </c>
      <c r="B1331" s="2" t="s">
        <v>3042</v>
      </c>
      <c r="C1331" s="2" t="s">
        <v>26</v>
      </c>
      <c r="D1331" s="2" t="s">
        <v>27</v>
      </c>
      <c r="E1331" s="5">
        <v>-28942</v>
      </c>
      <c r="F1331" s="3" t="s">
        <v>244</v>
      </c>
      <c r="G1331" s="3" t="s">
        <v>20</v>
      </c>
      <c r="H1331" s="2" t="s">
        <v>21</v>
      </c>
      <c r="I1331" s="2" t="s">
        <v>3065</v>
      </c>
      <c r="J1331" s="3" t="str">
        <f>HYPERLINK("https://www.boe.es/gazeta/dias/1820/10/03/pdfs/GGB-1820-97.pdf#page=4","Abrir facsímil")</f>
        <v>Abrir facsímil</v>
      </c>
      <c r="K1331" s="3" t="s">
        <v>23</v>
      </c>
    </row>
    <row r="1332" spans="1:11" ht="42" customHeight="1">
      <c r="A1332" s="2" t="s">
        <v>3042</v>
      </c>
      <c r="B1332" s="2" t="s">
        <v>3042</v>
      </c>
      <c r="C1332" s="2" t="s">
        <v>35</v>
      </c>
      <c r="D1332" s="2" t="s">
        <v>36</v>
      </c>
      <c r="E1332" s="5">
        <v>-28935</v>
      </c>
      <c r="F1332" s="3" t="s">
        <v>2464</v>
      </c>
      <c r="G1332" s="3" t="s">
        <v>128</v>
      </c>
      <c r="H1332" s="2" t="s">
        <v>21</v>
      </c>
      <c r="I1332" s="2" t="s">
        <v>3066</v>
      </c>
      <c r="J1332" s="3" t="str">
        <f>HYPERLINK("https://www.boe.es/gazeta/dias/1820/10/10/pdfs/GGB-1820-104.pdf#page=1","Abrir facsímil")</f>
        <v>Abrir facsímil</v>
      </c>
      <c r="K1332" s="3" t="s">
        <v>23</v>
      </c>
    </row>
    <row r="1333" spans="1:11" ht="42" customHeight="1">
      <c r="A1333" s="2" t="s">
        <v>3042</v>
      </c>
      <c r="B1333" s="2" t="s">
        <v>3042</v>
      </c>
      <c r="C1333" s="2" t="s">
        <v>35</v>
      </c>
      <c r="D1333" s="2" t="s">
        <v>36</v>
      </c>
      <c r="E1333" s="5">
        <v>-28927</v>
      </c>
      <c r="F1333" s="3" t="s">
        <v>345</v>
      </c>
      <c r="G1333" s="3" t="s">
        <v>128</v>
      </c>
      <c r="H1333" s="2" t="s">
        <v>21</v>
      </c>
      <c r="I1333" s="2" t="s">
        <v>3067</v>
      </c>
      <c r="J1333" s="3" t="str">
        <f>HYPERLINK("https://www.boe.es/gazeta/dias/1820/10/18/pdfs/GGB-1820-112.pdf#page=1","Abrir facsímil")</f>
        <v>Abrir facsímil</v>
      </c>
      <c r="K1333" s="3" t="s">
        <v>23</v>
      </c>
    </row>
    <row r="1334" spans="1:11" ht="42" customHeight="1">
      <c r="A1334" s="2" t="s">
        <v>3042</v>
      </c>
      <c r="B1334" s="2" t="s">
        <v>3042</v>
      </c>
      <c r="C1334" s="2" t="s">
        <v>74</v>
      </c>
      <c r="D1334" s="2" t="s">
        <v>18</v>
      </c>
      <c r="E1334" s="5">
        <v>-28904</v>
      </c>
      <c r="F1334" s="3" t="s">
        <v>541</v>
      </c>
      <c r="G1334" s="3" t="s">
        <v>128</v>
      </c>
      <c r="H1334" s="2" t="s">
        <v>21</v>
      </c>
      <c r="I1334" s="2" t="s">
        <v>3068</v>
      </c>
      <c r="J1334" s="3" t="str">
        <f>HYPERLINK("https://www.boe.es/gazeta/dias/1820/11/10/pdfs/GGB-1820-136.pdf#page=1","Abrir facsímil")</f>
        <v>Abrir facsímil</v>
      </c>
      <c r="K1334" s="3" t="s">
        <v>23</v>
      </c>
    </row>
    <row r="1335" spans="1:11" ht="42" customHeight="1">
      <c r="A1335" s="2" t="s">
        <v>3042</v>
      </c>
      <c r="B1335" s="2" t="s">
        <v>3042</v>
      </c>
      <c r="C1335" s="2" t="s">
        <v>35</v>
      </c>
      <c r="D1335" s="2" t="s">
        <v>36</v>
      </c>
      <c r="E1335" s="5">
        <v>-28876</v>
      </c>
      <c r="F1335" s="3" t="s">
        <v>1919</v>
      </c>
      <c r="G1335" s="3" t="s">
        <v>1920</v>
      </c>
      <c r="H1335" s="2" t="s">
        <v>21</v>
      </c>
      <c r="I1335" s="2" t="s">
        <v>3069</v>
      </c>
      <c r="J1335" s="3" t="str">
        <f>HYPERLINK("https://www.boe.es/gazeta/dias/1820/12/08/pdfs/GGB-1820-165.pdf#page=3","Abrir facsímil")</f>
        <v>Abrir facsímil</v>
      </c>
      <c r="K1335" s="3" t="s">
        <v>23</v>
      </c>
    </row>
    <row r="1336" spans="1:11" ht="42" customHeight="1">
      <c r="A1336" s="2" t="s">
        <v>3042</v>
      </c>
      <c r="B1336" s="2" t="s">
        <v>3042</v>
      </c>
      <c r="C1336" s="2" t="s">
        <v>17</v>
      </c>
      <c r="D1336" s="2" t="s">
        <v>18</v>
      </c>
      <c r="E1336" s="5">
        <v>-28872</v>
      </c>
      <c r="F1336" s="3" t="s">
        <v>1939</v>
      </c>
      <c r="G1336" s="3" t="s">
        <v>20</v>
      </c>
      <c r="H1336" s="2" t="s">
        <v>21</v>
      </c>
      <c r="I1336" s="2" t="s">
        <v>3070</v>
      </c>
      <c r="J1336" s="3" t="str">
        <f>HYPERLINK("https://www.boe.es/gazeta/dias/1820/12/12/pdfs/GGB-1820-169.pdf#page=4","Abrir facsímil")</f>
        <v>Abrir facsímil</v>
      </c>
      <c r="K1336" s="3" t="s">
        <v>23</v>
      </c>
    </row>
    <row r="1337" spans="1:11" ht="42" customHeight="1">
      <c r="A1337" s="2" t="s">
        <v>3042</v>
      </c>
      <c r="B1337" s="2" t="s">
        <v>3042</v>
      </c>
      <c r="C1337" s="2" t="s">
        <v>17</v>
      </c>
      <c r="D1337" s="2" t="s">
        <v>18</v>
      </c>
      <c r="E1337" s="5">
        <v>-28867</v>
      </c>
      <c r="F1337" s="3" t="s">
        <v>590</v>
      </c>
      <c r="G1337" s="3" t="s">
        <v>43</v>
      </c>
      <c r="H1337" s="2" t="s">
        <v>21</v>
      </c>
      <c r="I1337" s="2" t="s">
        <v>3071</v>
      </c>
      <c r="J1337" s="3" t="str">
        <f>HYPERLINK("https://www.boe.es/gazeta/dias/1820/12/17/pdfs/GGB-1820-174.pdf#page=2","Abrir facsímil")</f>
        <v>Abrir facsímil</v>
      </c>
      <c r="K1337" s="3" t="s">
        <v>23</v>
      </c>
    </row>
    <row r="1338" spans="1:11" ht="42" customHeight="1">
      <c r="A1338" s="2" t="s">
        <v>3042</v>
      </c>
      <c r="B1338" s="2" t="s">
        <v>3042</v>
      </c>
      <c r="C1338" s="2" t="s">
        <v>74</v>
      </c>
      <c r="D1338" s="2" t="s">
        <v>18</v>
      </c>
      <c r="E1338" s="5">
        <v>-28859</v>
      </c>
      <c r="F1338" s="3" t="s">
        <v>265</v>
      </c>
      <c r="G1338" s="3" t="s">
        <v>43</v>
      </c>
      <c r="H1338" s="2" t="s">
        <v>21</v>
      </c>
      <c r="I1338" s="2" t="s">
        <v>3072</v>
      </c>
      <c r="J1338" s="3" t="str">
        <f>HYPERLINK("https://www.boe.es/gazeta/dias/1820/12/25/pdfs/GGB-1820-182.pdf#page=2","Abrir facsímil")</f>
        <v>Abrir facsímil</v>
      </c>
      <c r="K1338" s="3" t="s">
        <v>23</v>
      </c>
    </row>
    <row r="1339" spans="1:11" ht="42" customHeight="1">
      <c r="A1339" s="2" t="s">
        <v>3073</v>
      </c>
      <c r="B1339" s="2" t="s">
        <v>3073</v>
      </c>
      <c r="C1339" s="2" t="s">
        <v>35</v>
      </c>
      <c r="D1339" s="2" t="s">
        <v>36</v>
      </c>
      <c r="E1339" s="5">
        <v>-29082</v>
      </c>
      <c r="F1339" s="3" t="s">
        <v>478</v>
      </c>
      <c r="G1339" s="3" t="s">
        <v>62</v>
      </c>
      <c r="H1339" s="2" t="s">
        <v>21</v>
      </c>
      <c r="I1339" s="2" t="s">
        <v>3074</v>
      </c>
      <c r="J1339" s="3" t="str">
        <f>HYPERLINK("https://www.boe.es/gazeta/dias/1820/05/16/pdfs/GMD-1820-80.pdf#page=3","Abrir facsímil")</f>
        <v>Abrir facsímil</v>
      </c>
      <c r="K1339" s="3" t="s">
        <v>23</v>
      </c>
    </row>
    <row r="1340" spans="1:11" ht="42" customHeight="1">
      <c r="A1340" s="2" t="s">
        <v>3075</v>
      </c>
      <c r="B1340" s="2" t="s">
        <v>3075</v>
      </c>
      <c r="C1340" s="2" t="s">
        <v>35</v>
      </c>
      <c r="D1340" s="2" t="s">
        <v>36</v>
      </c>
      <c r="E1340" s="5">
        <v>-29008</v>
      </c>
      <c r="F1340" s="3" t="s">
        <v>2250</v>
      </c>
      <c r="G1340" s="3" t="s">
        <v>128</v>
      </c>
      <c r="H1340" s="2" t="s">
        <v>21</v>
      </c>
      <c r="I1340" s="2" t="s">
        <v>3076</v>
      </c>
      <c r="J1340" s="3" t="str">
        <f>HYPERLINK("https://www.boe.es/gazeta/dias/1820/07/29/pdfs/GGB-1820-31.pdf#page=1","Abrir facsímil")</f>
        <v>Abrir facsímil</v>
      </c>
      <c r="K1340" s="3" t="s">
        <v>23</v>
      </c>
    </row>
    <row r="1341" spans="1:11" ht="42" customHeight="1">
      <c r="A1341" s="2" t="s">
        <v>3077</v>
      </c>
      <c r="B1341" s="2" t="s">
        <v>3077</v>
      </c>
      <c r="C1341" s="2" t="s">
        <v>293</v>
      </c>
      <c r="D1341" s="2" t="s">
        <v>18</v>
      </c>
      <c r="E1341" s="5">
        <v>-29021</v>
      </c>
      <c r="F1341" s="3" t="s">
        <v>377</v>
      </c>
      <c r="G1341" s="3" t="s">
        <v>62</v>
      </c>
      <c r="H1341" s="2" t="s">
        <v>21</v>
      </c>
      <c r="I1341" s="2" t="s">
        <v>3078</v>
      </c>
      <c r="J1341" s="3" t="str">
        <f>HYPERLINK("https://www.boe.es/gazeta/dias/1820/07/16/pdfs/GGB-1820-18.pdf#page=3","Abrir facsímil")</f>
        <v>Abrir facsímil</v>
      </c>
      <c r="K1341" s="3" t="s">
        <v>23</v>
      </c>
    </row>
    <row r="1342" spans="1:11" ht="42" customHeight="1">
      <c r="A1342" s="2" t="s">
        <v>3079</v>
      </c>
      <c r="B1342" s="2" t="s">
        <v>3079</v>
      </c>
      <c r="C1342" s="2" t="s">
        <v>17</v>
      </c>
      <c r="D1342" s="2" t="s">
        <v>18</v>
      </c>
      <c r="E1342" s="5">
        <v>-28949</v>
      </c>
      <c r="F1342" s="3" t="s">
        <v>178</v>
      </c>
      <c r="G1342" s="3" t="s">
        <v>62</v>
      </c>
      <c r="H1342" s="2" t="s">
        <v>21</v>
      </c>
      <c r="I1342" s="2" t="s">
        <v>3080</v>
      </c>
      <c r="J1342" s="3" t="str">
        <f>HYPERLINK("https://www.boe.es/gazeta/dias/1820/09/26/pdfs/GGB-1820-90.pdf#page=3","Abrir facsímil")</f>
        <v>Abrir facsímil</v>
      </c>
      <c r="K1342" s="3" t="s">
        <v>23</v>
      </c>
    </row>
    <row r="1343" spans="1:11" ht="42" customHeight="1">
      <c r="A1343" s="2" t="s">
        <v>3081</v>
      </c>
      <c r="B1343" s="2" t="s">
        <v>3081</v>
      </c>
      <c r="C1343" s="2" t="s">
        <v>111</v>
      </c>
      <c r="D1343" s="2" t="s">
        <v>18</v>
      </c>
      <c r="E1343" s="5">
        <v>-29025</v>
      </c>
      <c r="F1343" s="3" t="s">
        <v>902</v>
      </c>
      <c r="G1343" s="3" t="s">
        <v>20</v>
      </c>
      <c r="H1343" s="2" t="s">
        <v>21</v>
      </c>
      <c r="I1343" s="2" t="s">
        <v>3082</v>
      </c>
      <c r="J1343" s="3" t="str">
        <f>HYPERLINK("https://www.boe.es/gazeta/dias/1820/07/12/pdfs/GGB-1820-14.pdf#page=4","Abrir facsímil")</f>
        <v>Abrir facsímil</v>
      </c>
      <c r="K1343" s="3" t="s">
        <v>23</v>
      </c>
    </row>
    <row r="1344" spans="1:11" ht="42" customHeight="1">
      <c r="A1344" s="2" t="s">
        <v>3081</v>
      </c>
      <c r="B1344" s="2" t="s">
        <v>3081</v>
      </c>
      <c r="C1344" s="2" t="s">
        <v>35</v>
      </c>
      <c r="D1344" s="2" t="s">
        <v>36</v>
      </c>
      <c r="E1344" s="5">
        <v>-29015</v>
      </c>
      <c r="F1344" s="3" t="s">
        <v>359</v>
      </c>
      <c r="G1344" s="3" t="s">
        <v>62</v>
      </c>
      <c r="H1344" s="2" t="s">
        <v>21</v>
      </c>
      <c r="I1344" s="2" t="s">
        <v>3083</v>
      </c>
      <c r="J1344" s="3" t="str">
        <f>HYPERLINK("https://www.boe.es/gazeta/dias/1820/07/22/pdfs/GGB-1820-24.pdf#page=3","Abrir facsímil")</f>
        <v>Abrir facsímil</v>
      </c>
      <c r="K1344" s="3" t="s">
        <v>23</v>
      </c>
    </row>
    <row r="1345" spans="1:11" ht="42" customHeight="1">
      <c r="A1345" s="2" t="s">
        <v>3081</v>
      </c>
      <c r="B1345" s="2" t="s">
        <v>3081</v>
      </c>
      <c r="C1345" s="2" t="s">
        <v>17</v>
      </c>
      <c r="D1345" s="2" t="s">
        <v>18</v>
      </c>
      <c r="E1345" s="5">
        <v>-29003</v>
      </c>
      <c r="F1345" s="3" t="s">
        <v>340</v>
      </c>
      <c r="G1345" s="3" t="s">
        <v>62</v>
      </c>
      <c r="H1345" s="2" t="s">
        <v>21</v>
      </c>
      <c r="I1345" s="2" t="s">
        <v>3084</v>
      </c>
      <c r="J1345" s="3" t="str">
        <f>HYPERLINK("https://www.boe.es/gazeta/dias/1820/08/03/pdfs/GGB-1820-36.pdf#page=3","Abrir facsímil")</f>
        <v>Abrir facsímil</v>
      </c>
      <c r="K1345" s="3" t="s">
        <v>23</v>
      </c>
    </row>
    <row r="1346" spans="1:11" ht="42" customHeight="1">
      <c r="A1346" s="2" t="s">
        <v>3085</v>
      </c>
      <c r="B1346" s="2" t="s">
        <v>3085</v>
      </c>
      <c r="C1346" s="2" t="s">
        <v>17</v>
      </c>
      <c r="D1346" s="2" t="s">
        <v>18</v>
      </c>
      <c r="E1346" s="5">
        <v>-29003</v>
      </c>
      <c r="F1346" s="3" t="s">
        <v>340</v>
      </c>
      <c r="G1346" s="3" t="s">
        <v>20</v>
      </c>
      <c r="H1346" s="2" t="s">
        <v>21</v>
      </c>
      <c r="I1346" s="2" t="s">
        <v>3086</v>
      </c>
      <c r="J1346" s="3" t="str">
        <f>HYPERLINK("https://www.boe.es/gazeta/dias/1820/08/03/pdfs/GGB-1820-36.pdf#page=4","Abrir facsímil")</f>
        <v>Abrir facsímil</v>
      </c>
      <c r="K1346" s="3" t="s">
        <v>23</v>
      </c>
    </row>
    <row r="1347" spans="1:11" ht="42" customHeight="1">
      <c r="A1347" s="2" t="s">
        <v>3081</v>
      </c>
      <c r="B1347" s="2" t="s">
        <v>3081</v>
      </c>
      <c r="C1347" s="2" t="s">
        <v>107</v>
      </c>
      <c r="D1347" s="2" t="s">
        <v>18</v>
      </c>
      <c r="E1347" s="5">
        <v>-28965</v>
      </c>
      <c r="F1347" s="3" t="s">
        <v>1520</v>
      </c>
      <c r="G1347" s="3" t="s">
        <v>62</v>
      </c>
      <c r="H1347" s="2" t="s">
        <v>21</v>
      </c>
      <c r="I1347" s="2" t="s">
        <v>3087</v>
      </c>
      <c r="J1347" s="3" t="str">
        <f>HYPERLINK("https://www.boe.es/gazeta/dias/1820/09/10/pdfs/GGB-1820-74.pdf#page=3","Abrir facsímil")</f>
        <v>Abrir facsímil</v>
      </c>
      <c r="K1347" s="3" t="s">
        <v>23</v>
      </c>
    </row>
    <row r="1348" spans="1:11" ht="42" customHeight="1">
      <c r="A1348" s="2" t="s">
        <v>3081</v>
      </c>
      <c r="B1348" s="2" t="s">
        <v>3081</v>
      </c>
      <c r="C1348" s="2" t="s">
        <v>26</v>
      </c>
      <c r="D1348" s="2" t="s">
        <v>27</v>
      </c>
      <c r="E1348" s="5">
        <v>-28961</v>
      </c>
      <c r="F1348" s="3" t="s">
        <v>242</v>
      </c>
      <c r="G1348" s="3" t="s">
        <v>43</v>
      </c>
      <c r="H1348" s="2" t="s">
        <v>21</v>
      </c>
      <c r="I1348" s="2" t="s">
        <v>3088</v>
      </c>
      <c r="J1348" s="3" t="str">
        <f>HYPERLINK("https://www.boe.es/gazeta/dias/1820/09/14/pdfs/GGB-1820-78.pdf#page=2","Abrir facsímil")</f>
        <v>Abrir facsímil</v>
      </c>
      <c r="K1348" s="3" t="s">
        <v>23</v>
      </c>
    </row>
    <row r="1349" spans="1:11" ht="42" customHeight="1">
      <c r="A1349" s="2" t="s">
        <v>3081</v>
      </c>
      <c r="B1349" s="2" t="s">
        <v>3081</v>
      </c>
      <c r="C1349" s="2" t="s">
        <v>111</v>
      </c>
      <c r="D1349" s="2" t="s">
        <v>18</v>
      </c>
      <c r="E1349" s="5">
        <v>-28952</v>
      </c>
      <c r="F1349" s="3" t="s">
        <v>370</v>
      </c>
      <c r="G1349" s="3" t="s">
        <v>43</v>
      </c>
      <c r="H1349" s="2" t="s">
        <v>21</v>
      </c>
      <c r="I1349" s="2" t="s">
        <v>3089</v>
      </c>
      <c r="J1349" s="3" t="str">
        <f>HYPERLINK("https://www.boe.es/gazeta/dias/1820/09/23/pdfs/GGB-1820-87.pdf#page=2","Abrir facsímil")</f>
        <v>Abrir facsímil</v>
      </c>
      <c r="K1349" s="3" t="s">
        <v>23</v>
      </c>
    </row>
    <row r="1350" spans="1:11" ht="42" customHeight="1">
      <c r="A1350" s="2" t="s">
        <v>3081</v>
      </c>
      <c r="B1350" s="2" t="s">
        <v>3081</v>
      </c>
      <c r="C1350" s="2" t="s">
        <v>26</v>
      </c>
      <c r="D1350" s="2" t="s">
        <v>27</v>
      </c>
      <c r="E1350" s="5">
        <v>-28950</v>
      </c>
      <c r="F1350" s="3" t="s">
        <v>1052</v>
      </c>
      <c r="G1350" s="3" t="s">
        <v>1372</v>
      </c>
      <c r="H1350" s="2" t="s">
        <v>21</v>
      </c>
      <c r="I1350" s="2" t="s">
        <v>3090</v>
      </c>
      <c r="J1350" s="3" t="str">
        <f>HYPERLINK("https://www.boe.es/gazeta/dias/1820/09/25/pdfs/GGB-1820-89.pdf#page=2","Abrir facsímil")</f>
        <v>Abrir facsímil</v>
      </c>
      <c r="K1350" s="3" t="s">
        <v>23</v>
      </c>
    </row>
    <row r="1351" spans="1:11" ht="42" customHeight="1">
      <c r="A1351" s="2" t="s">
        <v>3081</v>
      </c>
      <c r="B1351" s="2" t="s">
        <v>3081</v>
      </c>
      <c r="C1351" s="2" t="s">
        <v>17</v>
      </c>
      <c r="D1351" s="2" t="s">
        <v>18</v>
      </c>
      <c r="E1351" s="5">
        <v>-28950</v>
      </c>
      <c r="F1351" s="3" t="s">
        <v>1052</v>
      </c>
      <c r="G1351" s="3" t="s">
        <v>128</v>
      </c>
      <c r="H1351" s="2" t="s">
        <v>21</v>
      </c>
      <c r="I1351" s="2" t="s">
        <v>3091</v>
      </c>
      <c r="J1351" s="3" t="str">
        <f>HYPERLINK("https://www.boe.es/gazeta/dias/1820/09/25/pdfs/GGB-1820-89.pdf#page=1","Abrir facsímil")</f>
        <v>Abrir facsímil</v>
      </c>
      <c r="K1351" s="3" t="s">
        <v>23</v>
      </c>
    </row>
    <row r="1352" spans="1:11" ht="42" customHeight="1">
      <c r="A1352" s="2" t="s">
        <v>3081</v>
      </c>
      <c r="B1352" s="2" t="s">
        <v>3081</v>
      </c>
      <c r="C1352" s="2" t="s">
        <v>111</v>
      </c>
      <c r="D1352" s="2" t="s">
        <v>18</v>
      </c>
      <c r="E1352" s="5">
        <v>-28949</v>
      </c>
      <c r="F1352" s="3" t="s">
        <v>178</v>
      </c>
      <c r="G1352" s="3" t="s">
        <v>43</v>
      </c>
      <c r="H1352" s="2" t="s">
        <v>21</v>
      </c>
      <c r="I1352" s="2" t="s">
        <v>3092</v>
      </c>
      <c r="J1352" s="3" t="str">
        <f>HYPERLINK("https://www.boe.es/gazeta/dias/1820/09/26/pdfs/GGB-1820-90.pdf#page=2","Abrir facsímil")</f>
        <v>Abrir facsímil</v>
      </c>
      <c r="K1352" s="3" t="s">
        <v>23</v>
      </c>
    </row>
    <row r="1353" spans="1:11" ht="42" customHeight="1">
      <c r="A1353" s="2" t="s">
        <v>3081</v>
      </c>
      <c r="B1353" s="2" t="s">
        <v>3081</v>
      </c>
      <c r="C1353" s="2" t="s">
        <v>111</v>
      </c>
      <c r="D1353" s="2" t="s">
        <v>18</v>
      </c>
      <c r="E1353" s="5">
        <v>-28947</v>
      </c>
      <c r="F1353" s="3" t="s">
        <v>127</v>
      </c>
      <c r="G1353" s="3" t="s">
        <v>43</v>
      </c>
      <c r="H1353" s="2" t="s">
        <v>21</v>
      </c>
      <c r="I1353" s="2" t="s">
        <v>3093</v>
      </c>
      <c r="J1353" s="3" t="str">
        <f>HYPERLINK("https://www.boe.es/gazeta/dias/1820/09/28/pdfs/GGB-1820-92.pdf#page=2","Abrir facsímil")</f>
        <v>Abrir facsímil</v>
      </c>
      <c r="K1353" s="3" t="s">
        <v>23</v>
      </c>
    </row>
    <row r="1354" spans="1:11" ht="42" customHeight="1">
      <c r="A1354" s="2" t="s">
        <v>3081</v>
      </c>
      <c r="B1354" s="2" t="s">
        <v>3081</v>
      </c>
      <c r="C1354" s="2" t="s">
        <v>17</v>
      </c>
      <c r="D1354" s="2" t="s">
        <v>18</v>
      </c>
      <c r="E1354" s="5">
        <v>-28947</v>
      </c>
      <c r="F1354" s="3" t="s">
        <v>127</v>
      </c>
      <c r="G1354" s="3" t="s">
        <v>62</v>
      </c>
      <c r="H1354" s="2" t="s">
        <v>21</v>
      </c>
      <c r="I1354" s="2" t="s">
        <v>3094</v>
      </c>
      <c r="J1354" s="3" t="str">
        <f>HYPERLINK("https://www.boe.es/gazeta/dias/1820/09/28/pdfs/GGB-1820-92.pdf#page=3","Abrir facsímil")</f>
        <v>Abrir facsímil</v>
      </c>
      <c r="K1354" s="3" t="s">
        <v>23</v>
      </c>
    </row>
    <row r="1355" spans="1:11" ht="42" customHeight="1">
      <c r="A1355" s="2" t="s">
        <v>3081</v>
      </c>
      <c r="B1355" s="2" t="s">
        <v>3081</v>
      </c>
      <c r="C1355" s="2" t="s">
        <v>26</v>
      </c>
      <c r="D1355" s="2" t="s">
        <v>27</v>
      </c>
      <c r="E1355" s="5">
        <v>-28938</v>
      </c>
      <c r="F1355" s="3" t="s">
        <v>716</v>
      </c>
      <c r="G1355" s="3" t="s">
        <v>62</v>
      </c>
      <c r="H1355" s="2" t="s">
        <v>21</v>
      </c>
      <c r="I1355" s="2" t="s">
        <v>3095</v>
      </c>
      <c r="J1355" s="3" t="str">
        <f>HYPERLINK("https://www.boe.es/gazeta/dias/1820/10/07/pdfs/GGB-1820-101.pdf#page=3","Abrir facsímil")</f>
        <v>Abrir facsímil</v>
      </c>
      <c r="K1355" s="3" t="s">
        <v>23</v>
      </c>
    </row>
    <row r="1356" spans="1:11" ht="42" customHeight="1">
      <c r="A1356" s="2" t="s">
        <v>3081</v>
      </c>
      <c r="B1356" s="2" t="s">
        <v>3081</v>
      </c>
      <c r="C1356" s="2" t="s">
        <v>74</v>
      </c>
      <c r="D1356" s="2" t="s">
        <v>18</v>
      </c>
      <c r="E1356" s="5">
        <v>-28933</v>
      </c>
      <c r="F1356" s="3" t="s">
        <v>720</v>
      </c>
      <c r="G1356" s="3" t="s">
        <v>20</v>
      </c>
      <c r="H1356" s="2" t="s">
        <v>21</v>
      </c>
      <c r="I1356" s="2" t="s">
        <v>3096</v>
      </c>
      <c r="J1356" s="3" t="str">
        <f>HYPERLINK("https://www.boe.es/gazeta/dias/1820/10/12/pdfs/GGB-1820-106.pdf#page=4","Abrir facsímil")</f>
        <v>Abrir facsímil</v>
      </c>
      <c r="K1356" s="3" t="s">
        <v>23</v>
      </c>
    </row>
    <row r="1357" spans="1:11" ht="42" customHeight="1">
      <c r="A1357" s="2" t="s">
        <v>3081</v>
      </c>
      <c r="B1357" s="2" t="s">
        <v>3081</v>
      </c>
      <c r="C1357" s="2" t="s">
        <v>74</v>
      </c>
      <c r="D1357" s="2" t="s">
        <v>18</v>
      </c>
      <c r="E1357" s="5">
        <v>-28908</v>
      </c>
      <c r="F1357" s="3" t="s">
        <v>1060</v>
      </c>
      <c r="G1357" s="3" t="s">
        <v>62</v>
      </c>
      <c r="H1357" s="2" t="s">
        <v>21</v>
      </c>
      <c r="I1357" s="2" t="s">
        <v>3097</v>
      </c>
      <c r="J1357" s="3" t="str">
        <f>HYPERLINK("https://www.boe.es/gazeta/dias/1820/11/06/pdfs/GGB-1820-131.pdf#page=3","Abrir facsímil")</f>
        <v>Abrir facsímil</v>
      </c>
      <c r="K1357" s="3" t="s">
        <v>23</v>
      </c>
    </row>
    <row r="1358" spans="1:11" ht="42" customHeight="1">
      <c r="A1358" s="2" t="s">
        <v>3098</v>
      </c>
      <c r="B1358" s="2" t="s">
        <v>3098</v>
      </c>
      <c r="C1358" s="2" t="s">
        <v>26</v>
      </c>
      <c r="D1358" s="2" t="s">
        <v>27</v>
      </c>
      <c r="E1358" s="5">
        <v>-29025</v>
      </c>
      <c r="F1358" s="3" t="s">
        <v>902</v>
      </c>
      <c r="G1358" s="3" t="s">
        <v>128</v>
      </c>
      <c r="H1358" s="2" t="s">
        <v>21</v>
      </c>
      <c r="I1358" s="2" t="s">
        <v>3099</v>
      </c>
      <c r="J1358" s="3" t="str">
        <f>HYPERLINK("https://www.boe.es/gazeta/dias/1820/07/12/pdfs/GGB-1820-14.pdf#page=1","Abrir facsímil")</f>
        <v>Abrir facsímil</v>
      </c>
      <c r="K1358" s="3" t="s">
        <v>23</v>
      </c>
    </row>
    <row r="1359" spans="1:11" ht="42" customHeight="1">
      <c r="A1359" s="2" t="s">
        <v>3100</v>
      </c>
      <c r="B1359" s="2" t="s">
        <v>3100</v>
      </c>
      <c r="C1359" s="2" t="s">
        <v>26</v>
      </c>
      <c r="D1359" s="2" t="s">
        <v>27</v>
      </c>
      <c r="E1359" s="5">
        <v>-28872</v>
      </c>
      <c r="F1359" s="3" t="s">
        <v>1939</v>
      </c>
      <c r="G1359" s="3" t="s">
        <v>62</v>
      </c>
      <c r="H1359" s="2" t="s">
        <v>21</v>
      </c>
      <c r="I1359" s="2" t="s">
        <v>3101</v>
      </c>
      <c r="J1359" s="3" t="str">
        <f>HYPERLINK("https://www.boe.es/gazeta/dias/1820/12/12/pdfs/GGB-1820-169.pdf#page=3","Abrir facsímil")</f>
        <v>Abrir facsímil</v>
      </c>
      <c r="K1359" s="3" t="s">
        <v>23</v>
      </c>
    </row>
    <row r="1360" spans="1:11" ht="42" customHeight="1">
      <c r="A1360" s="2" t="s">
        <v>3102</v>
      </c>
      <c r="B1360" s="2" t="s">
        <v>3103</v>
      </c>
      <c r="C1360" s="2" t="s">
        <v>111</v>
      </c>
      <c r="D1360" s="2" t="s">
        <v>18</v>
      </c>
      <c r="E1360" s="5">
        <v>-28900</v>
      </c>
      <c r="F1360" s="3" t="s">
        <v>878</v>
      </c>
      <c r="G1360" s="3" t="s">
        <v>20</v>
      </c>
      <c r="H1360" s="2" t="s">
        <v>21</v>
      </c>
      <c r="I1360" s="2" t="s">
        <v>3104</v>
      </c>
      <c r="J1360" s="3" t="str">
        <f>HYPERLINK("https://www.boe.es/gazeta/dias/1820/11/14/pdfs/GGB-1820-140.pdf#page=4","Abrir facsímil")</f>
        <v>Abrir facsímil</v>
      </c>
      <c r="K1360" s="3" t="s">
        <v>23</v>
      </c>
    </row>
    <row r="1361" spans="1:11" ht="42" customHeight="1">
      <c r="A1361" s="2" t="s">
        <v>3105</v>
      </c>
      <c r="B1361" s="2" t="s">
        <v>3106</v>
      </c>
      <c r="C1361" s="2" t="s">
        <v>26</v>
      </c>
      <c r="D1361" s="2" t="s">
        <v>27</v>
      </c>
      <c r="E1361" s="5">
        <v>-28928</v>
      </c>
      <c r="F1361" s="3" t="s">
        <v>86</v>
      </c>
      <c r="G1361" s="3" t="s">
        <v>43</v>
      </c>
      <c r="H1361" s="2" t="s">
        <v>21</v>
      </c>
      <c r="I1361" s="2" t="s">
        <v>3107</v>
      </c>
      <c r="J1361" s="3" t="str">
        <f>HYPERLINK("https://www.boe.es/gazeta/dias/1820/10/17/pdfs/GGB-1820-111.pdf#page=2","Abrir facsímil")</f>
        <v>Abrir facsímil</v>
      </c>
      <c r="K1361" s="3" t="s">
        <v>23</v>
      </c>
    </row>
    <row r="1362" spans="1:11" ht="42" customHeight="1">
      <c r="A1362" s="2" t="s">
        <v>3108</v>
      </c>
      <c r="B1362" s="2" t="s">
        <v>3109</v>
      </c>
      <c r="C1362" s="2" t="s">
        <v>35</v>
      </c>
      <c r="D1362" s="2" t="s">
        <v>36</v>
      </c>
      <c r="E1362" s="5">
        <v>-29120</v>
      </c>
      <c r="F1362" s="3" t="s">
        <v>852</v>
      </c>
      <c r="G1362" s="3" t="s">
        <v>201</v>
      </c>
      <c r="H1362" s="2" t="s">
        <v>21</v>
      </c>
      <c r="I1362" s="2" t="s">
        <v>3110</v>
      </c>
      <c r="J1362" s="3" t="str">
        <f>HYPERLINK("https://www.boe.es/gazeta/dias/1820/04/08/pdfs/GMD-1820-63.pdf#page=7","Abrir facsímil")</f>
        <v>Abrir facsímil</v>
      </c>
      <c r="K1362" s="3" t="s">
        <v>23</v>
      </c>
    </row>
    <row r="1363" spans="1:11" ht="42" customHeight="1">
      <c r="A1363" s="2" t="s">
        <v>3108</v>
      </c>
      <c r="B1363" s="2" t="s">
        <v>3109</v>
      </c>
      <c r="C1363" s="2" t="s">
        <v>35</v>
      </c>
      <c r="D1363" s="2" t="s">
        <v>36</v>
      </c>
      <c r="E1363" s="5">
        <v>-29092</v>
      </c>
      <c r="F1363" s="3" t="s">
        <v>1261</v>
      </c>
      <c r="G1363" s="3" t="s">
        <v>128</v>
      </c>
      <c r="H1363" s="2" t="s">
        <v>21</v>
      </c>
      <c r="I1363" s="2" t="s">
        <v>3111</v>
      </c>
      <c r="J1363" s="3" t="str">
        <f>HYPERLINK("https://www.boe.es/gazeta/dias/1820/05/06/pdfs/GMD-1820-76.pdf#page=1","Abrir facsímil")</f>
        <v>Abrir facsímil</v>
      </c>
      <c r="K1363" s="3" t="s">
        <v>23</v>
      </c>
    </row>
    <row r="1364" spans="1:11" ht="42" customHeight="1">
      <c r="A1364" s="2" t="s">
        <v>3108</v>
      </c>
      <c r="B1364" s="2" t="s">
        <v>3109</v>
      </c>
      <c r="C1364" s="2" t="s">
        <v>26</v>
      </c>
      <c r="D1364" s="2" t="s">
        <v>27</v>
      </c>
      <c r="E1364" s="5">
        <v>-29078</v>
      </c>
      <c r="F1364" s="3" t="s">
        <v>260</v>
      </c>
      <c r="G1364" s="3" t="s">
        <v>196</v>
      </c>
      <c r="H1364" s="2" t="s">
        <v>21</v>
      </c>
      <c r="I1364" s="2" t="s">
        <v>3112</v>
      </c>
      <c r="J1364" s="3" t="str">
        <f>HYPERLINK("https://www.boe.es/gazeta/dias/1820/05/20/pdfs/GMD-1820-83.pdf#page=11","Abrir facsímil")</f>
        <v>Abrir facsímil</v>
      </c>
      <c r="K1364" s="3" t="s">
        <v>23</v>
      </c>
    </row>
    <row r="1365" spans="1:11" ht="42" customHeight="1">
      <c r="A1365" s="2" t="s">
        <v>3108</v>
      </c>
      <c r="B1365" s="2" t="s">
        <v>3109</v>
      </c>
      <c r="C1365" s="2" t="s">
        <v>35</v>
      </c>
      <c r="D1365" s="2" t="s">
        <v>36</v>
      </c>
      <c r="E1365" s="5">
        <v>-29073</v>
      </c>
      <c r="F1365" s="3" t="s">
        <v>1928</v>
      </c>
      <c r="G1365" s="3" t="s">
        <v>256</v>
      </c>
      <c r="H1365" s="2" t="s">
        <v>21</v>
      </c>
      <c r="I1365" s="2" t="s">
        <v>3113</v>
      </c>
      <c r="J1365" s="3" t="str">
        <f>HYPERLINK("https://www.boe.es/gazeta/dias/1820/05/25/pdfs/GMD-1820-85.pdf#page=5","Abrir facsímil")</f>
        <v>Abrir facsímil</v>
      </c>
      <c r="K1365" s="3" t="s">
        <v>23</v>
      </c>
    </row>
    <row r="1366" spans="1:11" ht="42" customHeight="1">
      <c r="A1366" s="2" t="s">
        <v>3108</v>
      </c>
      <c r="B1366" s="2" t="s">
        <v>3109</v>
      </c>
      <c r="C1366" s="2" t="s">
        <v>74</v>
      </c>
      <c r="D1366" s="2" t="s">
        <v>18</v>
      </c>
      <c r="E1366" s="5">
        <v>-28904</v>
      </c>
      <c r="F1366" s="3" t="s">
        <v>541</v>
      </c>
      <c r="G1366" s="3" t="s">
        <v>20</v>
      </c>
      <c r="H1366" s="2" t="s">
        <v>21</v>
      </c>
      <c r="I1366" s="2" t="s">
        <v>3114</v>
      </c>
      <c r="J1366" s="3" t="str">
        <f>HYPERLINK("https://www.boe.es/gazeta/dias/1820/11/10/pdfs/GGB-1820-136.pdf#page=4","Abrir facsímil")</f>
        <v>Abrir facsímil</v>
      </c>
      <c r="K1366" s="3" t="s">
        <v>23</v>
      </c>
    </row>
    <row r="1367" spans="1:11" ht="42" customHeight="1">
      <c r="A1367" s="2" t="s">
        <v>3115</v>
      </c>
      <c r="B1367" s="2" t="s">
        <v>3116</v>
      </c>
      <c r="C1367" s="2" t="s">
        <v>35</v>
      </c>
      <c r="D1367" s="2" t="s">
        <v>36</v>
      </c>
      <c r="E1367" s="5">
        <v>-28899</v>
      </c>
      <c r="F1367" s="3" t="s">
        <v>285</v>
      </c>
      <c r="G1367" s="3" t="s">
        <v>20</v>
      </c>
      <c r="H1367" s="2" t="s">
        <v>21</v>
      </c>
      <c r="I1367" s="2" t="s">
        <v>3117</v>
      </c>
      <c r="J1367" s="3" t="str">
        <f>HYPERLINK("https://www.boe.es/gazeta/dias/1820/11/15/pdfs/GGB-1820-141.pdf#page=4","Abrir facsímil")</f>
        <v>Abrir facsímil</v>
      </c>
      <c r="K1367" s="3" t="s">
        <v>23</v>
      </c>
    </row>
    <row r="1368" spans="1:11" ht="42" customHeight="1">
      <c r="A1368" s="2" t="s">
        <v>3118</v>
      </c>
      <c r="B1368" s="2" t="s">
        <v>3119</v>
      </c>
      <c r="C1368" s="2" t="s">
        <v>26</v>
      </c>
      <c r="D1368" s="2" t="s">
        <v>27</v>
      </c>
      <c r="E1368" s="5">
        <v>-28966</v>
      </c>
      <c r="F1368" s="3" t="s">
        <v>701</v>
      </c>
      <c r="G1368" s="3" t="s">
        <v>62</v>
      </c>
      <c r="H1368" s="2" t="s">
        <v>21</v>
      </c>
      <c r="I1368" s="2" t="s">
        <v>3120</v>
      </c>
      <c r="J1368" s="3" t="str">
        <f>HYPERLINK("https://www.boe.es/gazeta/dias/1820/09/09/pdfs/GGB-1820-73.pdf#page=3","Abrir facsímil")</f>
        <v>Abrir facsímil</v>
      </c>
      <c r="K1368" s="3" t="s">
        <v>23</v>
      </c>
    </row>
    <row r="1369" spans="1:11" ht="42" customHeight="1">
      <c r="A1369" s="2" t="s">
        <v>3121</v>
      </c>
      <c r="B1369" s="2" t="s">
        <v>3122</v>
      </c>
      <c r="C1369" s="2" t="s">
        <v>26</v>
      </c>
      <c r="D1369" s="2" t="s">
        <v>27</v>
      </c>
      <c r="E1369" s="5">
        <v>-28975</v>
      </c>
      <c r="F1369" s="3" t="s">
        <v>182</v>
      </c>
      <c r="G1369" s="3" t="s">
        <v>183</v>
      </c>
      <c r="H1369" s="2" t="s">
        <v>21</v>
      </c>
      <c r="I1369" s="2" t="s">
        <v>3123</v>
      </c>
      <c r="J1369" s="3" t="str">
        <f>HYPERLINK("https://www.boe.es/gazeta/dias/1820/08/31/pdfs/GGB-1820-64.pdf#page=4","Abrir facsímil")</f>
        <v>Abrir facsímil</v>
      </c>
      <c r="K1369" s="3" t="s">
        <v>23</v>
      </c>
    </row>
    <row r="1370" spans="1:11" ht="42" customHeight="1">
      <c r="A1370" s="2" t="s">
        <v>3124</v>
      </c>
      <c r="B1370" s="2" t="s">
        <v>3125</v>
      </c>
      <c r="C1370" s="2" t="s">
        <v>26</v>
      </c>
      <c r="D1370" s="2" t="s">
        <v>27</v>
      </c>
      <c r="E1370" s="5">
        <v>-28891</v>
      </c>
      <c r="F1370" s="3" t="s">
        <v>965</v>
      </c>
      <c r="G1370" s="3" t="s">
        <v>62</v>
      </c>
      <c r="H1370" s="2" t="s">
        <v>30</v>
      </c>
      <c r="I1370" s="2" t="s">
        <v>3126</v>
      </c>
      <c r="J1370" s="3" t="str">
        <f>HYPERLINK("https://www.boe.es/gazeta/dias/1820/11/23/pdfs/GGB-1820-150.pdf#page=3","Abrir facsímil")</f>
        <v>Abrir facsímil</v>
      </c>
      <c r="K1370" s="3" t="s">
        <v>32</v>
      </c>
    </row>
    <row r="1371" spans="1:11" ht="42" customHeight="1">
      <c r="A1371" s="2" t="s">
        <v>3127</v>
      </c>
      <c r="B1371" s="2" t="s">
        <v>3128</v>
      </c>
      <c r="C1371" s="2" t="s">
        <v>35</v>
      </c>
      <c r="D1371" s="2" t="s">
        <v>36</v>
      </c>
      <c r="E1371" s="5">
        <v>-29190</v>
      </c>
      <c r="F1371" s="3" t="s">
        <v>537</v>
      </c>
      <c r="G1371" s="3" t="s">
        <v>201</v>
      </c>
      <c r="H1371" s="2" t="s">
        <v>21</v>
      </c>
      <c r="I1371" s="2" t="s">
        <v>3129</v>
      </c>
      <c r="J1371" s="3" t="str">
        <f>HYPERLINK("https://www.boe.es/gazeta/dias/1820/01/29/pdfs/GMD-1820-13.pdf#page=7","Abrir facsímil")</f>
        <v>Abrir facsímil</v>
      </c>
      <c r="K1371" s="3" t="s">
        <v>23</v>
      </c>
    </row>
    <row r="1372" spans="1:11" ht="42" customHeight="1">
      <c r="A1372" s="2" t="s">
        <v>3127</v>
      </c>
      <c r="B1372" s="2" t="s">
        <v>3128</v>
      </c>
      <c r="C1372" s="2" t="s">
        <v>35</v>
      </c>
      <c r="D1372" s="2" t="s">
        <v>36</v>
      </c>
      <c r="E1372" s="5">
        <v>-29113</v>
      </c>
      <c r="F1372" s="3" t="s">
        <v>501</v>
      </c>
      <c r="G1372" s="3" t="s">
        <v>295</v>
      </c>
      <c r="H1372" s="2" t="s">
        <v>21</v>
      </c>
      <c r="I1372" s="2" t="s">
        <v>3130</v>
      </c>
      <c r="J1372" s="3" t="str">
        <f>HYPERLINK("https://www.boe.es/gazeta/dias/1820/04/15/pdfs/GMD-1820-66.pdf#page=8","Abrir facsímil")</f>
        <v>Abrir facsímil</v>
      </c>
      <c r="K1372" s="3" t="s">
        <v>23</v>
      </c>
    </row>
    <row r="1373" spans="1:11" ht="42" customHeight="1">
      <c r="A1373" s="2" t="s">
        <v>3131</v>
      </c>
      <c r="B1373" s="2" t="s">
        <v>3132</v>
      </c>
      <c r="C1373" s="2" t="s">
        <v>35</v>
      </c>
      <c r="D1373" s="2" t="s">
        <v>36</v>
      </c>
      <c r="E1373" s="5">
        <v>-29078</v>
      </c>
      <c r="F1373" s="3" t="s">
        <v>260</v>
      </c>
      <c r="G1373" s="3" t="s">
        <v>553</v>
      </c>
      <c r="H1373" s="2" t="s">
        <v>21</v>
      </c>
      <c r="I1373" s="2" t="s">
        <v>3133</v>
      </c>
      <c r="J1373" s="3" t="str">
        <f>HYPERLINK("https://www.boe.es/gazeta/dias/1820/05/20/pdfs/GMD-1820-83.pdf#page=10","Abrir facsímil")</f>
        <v>Abrir facsímil</v>
      </c>
      <c r="K1373" s="3" t="s">
        <v>23</v>
      </c>
    </row>
    <row r="1374" spans="1:11" ht="42" customHeight="1">
      <c r="A1374" s="2" t="s">
        <v>3131</v>
      </c>
      <c r="B1374" s="2" t="s">
        <v>3132</v>
      </c>
      <c r="C1374" s="2" t="s">
        <v>74</v>
      </c>
      <c r="D1374" s="2" t="s">
        <v>18</v>
      </c>
      <c r="E1374" s="5">
        <v>-28970</v>
      </c>
      <c r="F1374" s="3" t="s">
        <v>693</v>
      </c>
      <c r="G1374" s="3" t="s">
        <v>62</v>
      </c>
      <c r="H1374" s="2" t="s">
        <v>21</v>
      </c>
      <c r="I1374" s="2" t="s">
        <v>3134</v>
      </c>
      <c r="J1374" s="3" t="str">
        <f>HYPERLINK("https://www.boe.es/gazeta/dias/1820/09/05/pdfs/GGB-1820-69.pdf#page=3","Abrir facsímil")</f>
        <v>Abrir facsímil</v>
      </c>
      <c r="K1374" s="3" t="s">
        <v>23</v>
      </c>
    </row>
    <row r="1375" spans="1:11" ht="42" customHeight="1">
      <c r="A1375" s="2" t="s">
        <v>3135</v>
      </c>
      <c r="B1375" s="2" t="s">
        <v>3136</v>
      </c>
      <c r="C1375" s="2" t="s">
        <v>1808</v>
      </c>
      <c r="D1375" s="2" t="s">
        <v>36</v>
      </c>
      <c r="E1375" s="5">
        <v>-29180</v>
      </c>
      <c r="F1375" s="3" t="s">
        <v>294</v>
      </c>
      <c r="G1375" s="3" t="s">
        <v>256</v>
      </c>
      <c r="H1375" s="2" t="s">
        <v>21</v>
      </c>
      <c r="I1375" s="2" t="s">
        <v>3137</v>
      </c>
      <c r="J1375" s="3" t="str">
        <f>HYPERLINK("https://www.boe.es/gazeta/dias/1820/02/08/pdfs/GMD-1820-17.pdf#page=5","Abrir facsímil")</f>
        <v>Abrir facsímil</v>
      </c>
      <c r="K1375" s="3" t="s">
        <v>23</v>
      </c>
    </row>
    <row r="1376" spans="1:11" ht="42" customHeight="1">
      <c r="A1376" s="2" t="s">
        <v>3138</v>
      </c>
      <c r="B1376" s="2" t="s">
        <v>3139</v>
      </c>
      <c r="C1376" s="2" t="s">
        <v>17</v>
      </c>
      <c r="D1376" s="2" t="s">
        <v>18</v>
      </c>
      <c r="E1376" s="5">
        <v>-29054</v>
      </c>
      <c r="F1376" s="3" t="s">
        <v>481</v>
      </c>
      <c r="G1376" s="3" t="s">
        <v>196</v>
      </c>
      <c r="H1376" s="2" t="s">
        <v>21</v>
      </c>
      <c r="I1376" s="2" t="s">
        <v>3140</v>
      </c>
      <c r="J1376" s="3" t="str">
        <f>HYPERLINK("https://www.boe.es/gazeta/dias/1820/06/13/pdfs/GMD-1820-93.pdf#page=11","Abrir facsímil")</f>
        <v>Abrir facsímil</v>
      </c>
      <c r="K1376" s="3" t="s">
        <v>23</v>
      </c>
    </row>
    <row r="1377" spans="1:11" ht="42" customHeight="1">
      <c r="A1377" s="2" t="s">
        <v>3141</v>
      </c>
      <c r="B1377" s="2" t="s">
        <v>3141</v>
      </c>
      <c r="C1377" s="2" t="s">
        <v>26</v>
      </c>
      <c r="D1377" s="2" t="s">
        <v>27</v>
      </c>
      <c r="E1377" s="5">
        <v>-28887</v>
      </c>
      <c r="F1377" s="3" t="s">
        <v>2098</v>
      </c>
      <c r="G1377" s="3" t="s">
        <v>128</v>
      </c>
      <c r="H1377" s="2" t="s">
        <v>21</v>
      </c>
      <c r="I1377" s="2" t="s">
        <v>3142</v>
      </c>
      <c r="J1377" s="3" t="str">
        <f>HYPERLINK("https://www.boe.es/gazeta/dias/1820/11/27/pdfs/GGB-1820-154.pdf#page=1","Abrir facsímil")</f>
        <v>Abrir facsímil</v>
      </c>
      <c r="K1377" s="3" t="s">
        <v>23</v>
      </c>
    </row>
    <row r="1378" spans="1:11" ht="42" customHeight="1">
      <c r="A1378" s="2" t="s">
        <v>3143</v>
      </c>
      <c r="B1378" s="2" t="s">
        <v>3144</v>
      </c>
      <c r="C1378" s="2" t="s">
        <v>47</v>
      </c>
      <c r="D1378" s="2" t="s">
        <v>18</v>
      </c>
      <c r="E1378" s="5">
        <v>-28986</v>
      </c>
      <c r="F1378" s="3" t="s">
        <v>488</v>
      </c>
      <c r="G1378" s="3" t="s">
        <v>2659</v>
      </c>
      <c r="H1378" s="2" t="s">
        <v>21</v>
      </c>
      <c r="I1378" s="2" t="s">
        <v>3145</v>
      </c>
      <c r="J1378" s="3" t="str">
        <f>HYPERLINK("https://www.boe.es/gazeta/dias/1820/08/20/pdfs/GGB-1820-53.pdf#page=4","Abrir facsímil")</f>
        <v>Abrir facsímil</v>
      </c>
      <c r="K1378" s="3" t="s">
        <v>23</v>
      </c>
    </row>
    <row r="1379" spans="1:11" ht="42" customHeight="1">
      <c r="A1379" s="2" t="s">
        <v>3146</v>
      </c>
      <c r="B1379" s="2" t="s">
        <v>3147</v>
      </c>
      <c r="C1379" s="2" t="s">
        <v>35</v>
      </c>
      <c r="D1379" s="2" t="s">
        <v>36</v>
      </c>
      <c r="E1379" s="5">
        <v>-28998</v>
      </c>
      <c r="F1379" s="3" t="s">
        <v>629</v>
      </c>
      <c r="G1379" s="3" t="s">
        <v>43</v>
      </c>
      <c r="H1379" s="2" t="s">
        <v>21</v>
      </c>
      <c r="I1379" s="2" t="s">
        <v>3148</v>
      </c>
      <c r="J1379" s="3" t="str">
        <f>HYPERLINK("https://www.boe.es/gazeta/dias/1820/08/08/pdfs/GGB-1820-41.pdf#page=2","Abrir facsímil")</f>
        <v>Abrir facsímil</v>
      </c>
      <c r="K1379" s="3" t="s">
        <v>23</v>
      </c>
    </row>
    <row r="1380" spans="1:11" ht="42" customHeight="1">
      <c r="A1380" s="2" t="s">
        <v>3149</v>
      </c>
      <c r="B1380" s="2" t="s">
        <v>3150</v>
      </c>
      <c r="C1380" s="2" t="s">
        <v>26</v>
      </c>
      <c r="D1380" s="2" t="s">
        <v>27</v>
      </c>
      <c r="E1380" s="5">
        <v>-29164</v>
      </c>
      <c r="F1380" s="3" t="s">
        <v>2516</v>
      </c>
      <c r="G1380" s="3" t="s">
        <v>201</v>
      </c>
      <c r="H1380" s="2" t="s">
        <v>21</v>
      </c>
      <c r="I1380" s="2" t="s">
        <v>3151</v>
      </c>
      <c r="J1380" s="3" t="str">
        <f>HYPERLINK("https://www.boe.es/gazeta/dias/1820/02/24/pdfs/GMD-1820-24.pdf#page=7","Abrir facsímil")</f>
        <v>Abrir facsímil</v>
      </c>
      <c r="K1380" s="3" t="s">
        <v>23</v>
      </c>
    </row>
    <row r="1381" spans="1:11" ht="42" customHeight="1">
      <c r="A1381" s="2" t="s">
        <v>3152</v>
      </c>
      <c r="B1381" s="2" t="s">
        <v>3152</v>
      </c>
      <c r="C1381" s="2" t="s">
        <v>17</v>
      </c>
      <c r="D1381" s="2" t="s">
        <v>18</v>
      </c>
      <c r="E1381" s="5">
        <v>-28950</v>
      </c>
      <c r="F1381" s="3" t="s">
        <v>1052</v>
      </c>
      <c r="G1381" s="3" t="s">
        <v>20</v>
      </c>
      <c r="H1381" s="2" t="s">
        <v>21</v>
      </c>
      <c r="I1381" s="2" t="s">
        <v>3153</v>
      </c>
      <c r="J1381" s="3" t="str">
        <f>HYPERLINK("https://www.boe.es/gazeta/dias/1820/09/25/pdfs/GGB-1820-89.pdf#page=4","Abrir facsímil")</f>
        <v>Abrir facsímil</v>
      </c>
      <c r="K1381" s="3" t="s">
        <v>23</v>
      </c>
    </row>
    <row r="1382" spans="1:11" ht="42" customHeight="1">
      <c r="A1382" s="2" t="s">
        <v>3154</v>
      </c>
      <c r="B1382" s="2" t="s">
        <v>3154</v>
      </c>
      <c r="C1382" s="2" t="s">
        <v>74</v>
      </c>
      <c r="D1382" s="2" t="s">
        <v>18</v>
      </c>
      <c r="E1382" s="5">
        <v>-29213</v>
      </c>
      <c r="F1382" s="3" t="s">
        <v>195</v>
      </c>
      <c r="G1382" s="3" t="s">
        <v>330</v>
      </c>
      <c r="H1382" s="2" t="s">
        <v>21</v>
      </c>
      <c r="I1382" s="2" t="s">
        <v>3155</v>
      </c>
      <c r="J1382" s="3" t="str">
        <f>HYPERLINK("https://www.boe.es/gazeta/dias/1820/01/06/pdfs/GMD-1820-3.pdf#page=4","Abrir facsímil")</f>
        <v>Abrir facsímil</v>
      </c>
      <c r="K1382" s="3" t="s">
        <v>23</v>
      </c>
    </row>
    <row r="1383" spans="1:11" ht="42" customHeight="1">
      <c r="A1383" s="2" t="s">
        <v>3156</v>
      </c>
      <c r="B1383" s="2" t="s">
        <v>3156</v>
      </c>
      <c r="C1383" s="2" t="s">
        <v>74</v>
      </c>
      <c r="D1383" s="2" t="s">
        <v>18</v>
      </c>
      <c r="E1383" s="5">
        <v>-28975</v>
      </c>
      <c r="F1383" s="3" t="s">
        <v>182</v>
      </c>
      <c r="G1383" s="3" t="s">
        <v>62</v>
      </c>
      <c r="H1383" s="2" t="s">
        <v>21</v>
      </c>
      <c r="I1383" s="2" t="s">
        <v>3157</v>
      </c>
      <c r="J1383" s="3" t="str">
        <f>HYPERLINK("https://www.boe.es/gazeta/dias/1820/08/31/pdfs/GGB-1820-64.pdf#page=3","Abrir facsímil")</f>
        <v>Abrir facsímil</v>
      </c>
      <c r="K1383" s="3" t="s">
        <v>23</v>
      </c>
    </row>
    <row r="1384" spans="1:11" ht="42" customHeight="1">
      <c r="A1384" s="2" t="s">
        <v>3158</v>
      </c>
      <c r="B1384" s="2" t="s">
        <v>3158</v>
      </c>
      <c r="C1384" s="2" t="s">
        <v>26</v>
      </c>
      <c r="D1384" s="2" t="s">
        <v>27</v>
      </c>
      <c r="E1384" s="5">
        <v>-28899</v>
      </c>
      <c r="F1384" s="3" t="s">
        <v>285</v>
      </c>
      <c r="G1384" s="3" t="s">
        <v>286</v>
      </c>
      <c r="H1384" s="2" t="s">
        <v>21</v>
      </c>
      <c r="I1384" s="2" t="s">
        <v>3159</v>
      </c>
      <c r="J1384" s="3" t="str">
        <f>HYPERLINK("https://www.boe.es/gazeta/dias/1820/11/15/pdfs/GGB-1820-141.pdf#page=2","Abrir facsímil")</f>
        <v>Abrir facsímil</v>
      </c>
      <c r="K1384" s="3" t="s">
        <v>23</v>
      </c>
    </row>
    <row r="1385" spans="1:11" ht="42" customHeight="1">
      <c r="A1385" s="2" t="s">
        <v>3160</v>
      </c>
      <c r="B1385" s="2" t="s">
        <v>3160</v>
      </c>
      <c r="C1385" s="2" t="s">
        <v>17</v>
      </c>
      <c r="D1385" s="2" t="s">
        <v>18</v>
      </c>
      <c r="E1385" s="5">
        <v>-28857</v>
      </c>
      <c r="F1385" s="3" t="s">
        <v>889</v>
      </c>
      <c r="G1385" s="3" t="s">
        <v>62</v>
      </c>
      <c r="H1385" s="2" t="s">
        <v>21</v>
      </c>
      <c r="I1385" s="2" t="s">
        <v>3161</v>
      </c>
      <c r="J1385" s="3" t="str">
        <f>HYPERLINK("https://www.boe.es/gazeta/dias/1820/12/27/pdfs/GGB-1820-184.pdf#page=3","Abrir facsímil")</f>
        <v>Abrir facsímil</v>
      </c>
      <c r="K1385" s="3" t="s">
        <v>23</v>
      </c>
    </row>
    <row r="1386" spans="1:11" ht="42" customHeight="1">
      <c r="A1386" s="2" t="s">
        <v>3162</v>
      </c>
      <c r="B1386" s="2" t="s">
        <v>3163</v>
      </c>
      <c r="C1386" s="2" t="s">
        <v>26</v>
      </c>
      <c r="D1386" s="2" t="s">
        <v>27</v>
      </c>
      <c r="E1386" s="5">
        <v>-28929</v>
      </c>
      <c r="F1386" s="3" t="s">
        <v>728</v>
      </c>
      <c r="G1386" s="3" t="s">
        <v>62</v>
      </c>
      <c r="H1386" s="2" t="s">
        <v>21</v>
      </c>
      <c r="I1386" s="2" t="s">
        <v>3164</v>
      </c>
      <c r="J1386" s="3" t="str">
        <f>HYPERLINK("https://www.boe.es/gazeta/dias/1820/10/16/pdfs/GGB-1820-110.pdf#page=3","Abrir facsímil")</f>
        <v>Abrir facsímil</v>
      </c>
      <c r="K1386" s="3" t="s">
        <v>23</v>
      </c>
    </row>
    <row r="1387" spans="1:11" ht="42" customHeight="1">
      <c r="A1387" s="2" t="s">
        <v>3165</v>
      </c>
      <c r="B1387" s="2" t="s">
        <v>3165</v>
      </c>
      <c r="C1387" s="2" t="s">
        <v>35</v>
      </c>
      <c r="D1387" s="2" t="s">
        <v>36</v>
      </c>
      <c r="E1387" s="5">
        <v>-29038</v>
      </c>
      <c r="F1387" s="3" t="s">
        <v>957</v>
      </c>
      <c r="G1387" s="3" t="s">
        <v>256</v>
      </c>
      <c r="H1387" s="2" t="s">
        <v>21</v>
      </c>
      <c r="I1387" s="2" t="s">
        <v>3166</v>
      </c>
      <c r="J1387" s="3" t="str">
        <f>HYPERLINK("https://www.boe.es/gazeta/dias/1820/06/29/pdfs/GMD-1820-100.pdf#page=5","Abrir facsímil")</f>
        <v>Abrir facsímil</v>
      </c>
      <c r="K1387" s="3" t="s">
        <v>23</v>
      </c>
    </row>
    <row r="1388" spans="1:11" ht="42" customHeight="1">
      <c r="A1388" s="2" t="s">
        <v>3167</v>
      </c>
      <c r="B1388" s="2" t="s">
        <v>3167</v>
      </c>
      <c r="C1388" s="2" t="s">
        <v>26</v>
      </c>
      <c r="D1388" s="2" t="s">
        <v>27</v>
      </c>
      <c r="E1388" s="5">
        <v>-28993</v>
      </c>
      <c r="F1388" s="3" t="s">
        <v>465</v>
      </c>
      <c r="G1388" s="3" t="s">
        <v>62</v>
      </c>
      <c r="H1388" s="2" t="s">
        <v>21</v>
      </c>
      <c r="I1388" s="2" t="s">
        <v>3168</v>
      </c>
      <c r="J1388" s="3" t="str">
        <f>HYPERLINK("https://www.boe.es/gazeta/dias/1820/08/13/pdfs/GGB-1820-46.pdf#page=3","Abrir facsímil")</f>
        <v>Abrir facsímil</v>
      </c>
      <c r="K1388" s="3" t="s">
        <v>23</v>
      </c>
    </row>
    <row r="1389" spans="1:11" ht="42" customHeight="1">
      <c r="A1389" s="2" t="s">
        <v>3169</v>
      </c>
      <c r="B1389" s="2" t="s">
        <v>3169</v>
      </c>
      <c r="C1389" s="2" t="s">
        <v>74</v>
      </c>
      <c r="D1389" s="2" t="s">
        <v>18</v>
      </c>
      <c r="E1389" s="5">
        <v>-28907</v>
      </c>
      <c r="F1389" s="3" t="s">
        <v>374</v>
      </c>
      <c r="G1389" s="3" t="s">
        <v>62</v>
      </c>
      <c r="H1389" s="2" t="s">
        <v>21</v>
      </c>
      <c r="I1389" s="2" t="s">
        <v>3170</v>
      </c>
      <c r="J1389" s="3" t="str">
        <f>HYPERLINK("https://www.boe.es/gazeta/dias/1820/11/07/pdfs/GGB-1820-132.pdf#page=3","Abrir facsímil")</f>
        <v>Abrir facsímil</v>
      </c>
      <c r="K1389" s="3" t="s">
        <v>23</v>
      </c>
    </row>
    <row r="1390" spans="1:11" ht="42" customHeight="1">
      <c r="A1390" s="2" t="s">
        <v>3171</v>
      </c>
      <c r="B1390" s="2" t="s">
        <v>3171</v>
      </c>
      <c r="C1390" s="2" t="s">
        <v>35</v>
      </c>
      <c r="D1390" s="2" t="s">
        <v>36</v>
      </c>
      <c r="E1390" s="5">
        <v>-29013</v>
      </c>
      <c r="F1390" s="3" t="s">
        <v>52</v>
      </c>
      <c r="G1390" s="3" t="s">
        <v>53</v>
      </c>
      <c r="H1390" s="2" t="s">
        <v>21</v>
      </c>
      <c r="I1390" s="2" t="s">
        <v>3172</v>
      </c>
      <c r="J1390" s="3" t="str">
        <f>HYPERLINK("https://www.boe.es/gazeta/dias/1820/07/24/pdfs/GGB-1820-26.pdf#page=3","Abrir facsímil")</f>
        <v>Abrir facsímil</v>
      </c>
      <c r="K1390" s="3" t="s">
        <v>23</v>
      </c>
    </row>
    <row r="1391" spans="1:11" ht="42" customHeight="1">
      <c r="A1391" s="2" t="s">
        <v>3171</v>
      </c>
      <c r="B1391" s="2" t="s">
        <v>3171</v>
      </c>
      <c r="C1391" s="2" t="s">
        <v>74</v>
      </c>
      <c r="D1391" s="2" t="s">
        <v>18</v>
      </c>
      <c r="E1391" s="5">
        <v>-28953</v>
      </c>
      <c r="F1391" s="3" t="s">
        <v>367</v>
      </c>
      <c r="G1391" s="3" t="s">
        <v>20</v>
      </c>
      <c r="H1391" s="2" t="s">
        <v>21</v>
      </c>
      <c r="I1391" s="2" t="s">
        <v>3173</v>
      </c>
      <c r="J1391" s="3" t="str">
        <f>HYPERLINK("https://www.boe.es/gazeta/dias/1820/09/22/pdfs/GGB-1820-86.pdf#page=4","Abrir facsímil")</f>
        <v>Abrir facsímil</v>
      </c>
      <c r="K1391" s="3" t="s">
        <v>23</v>
      </c>
    </row>
    <row r="1392" spans="1:11" ht="42" customHeight="1">
      <c r="A1392" s="2" t="s">
        <v>3171</v>
      </c>
      <c r="B1392" s="2" t="s">
        <v>3171</v>
      </c>
      <c r="C1392" s="2" t="s">
        <v>26</v>
      </c>
      <c r="D1392" s="2" t="s">
        <v>27</v>
      </c>
      <c r="E1392" s="5">
        <v>-28933</v>
      </c>
      <c r="F1392" s="3" t="s">
        <v>720</v>
      </c>
      <c r="G1392" s="3" t="s">
        <v>43</v>
      </c>
      <c r="H1392" s="2" t="s">
        <v>21</v>
      </c>
      <c r="I1392" s="2" t="s">
        <v>3174</v>
      </c>
      <c r="J1392" s="3" t="str">
        <f>HYPERLINK("https://www.boe.es/gazeta/dias/1820/10/12/pdfs/GGB-1820-106.pdf#page=2","Abrir facsímil")</f>
        <v>Abrir facsímil</v>
      </c>
      <c r="K1392" s="3" t="s">
        <v>23</v>
      </c>
    </row>
    <row r="1393" spans="1:11" ht="42" customHeight="1">
      <c r="A1393" s="2" t="s">
        <v>3171</v>
      </c>
      <c r="B1393" s="2" t="s">
        <v>3171</v>
      </c>
      <c r="C1393" s="2" t="s">
        <v>293</v>
      </c>
      <c r="D1393" s="2" t="s">
        <v>18</v>
      </c>
      <c r="E1393" s="5">
        <v>-28930</v>
      </c>
      <c r="F1393" s="3" t="s">
        <v>372</v>
      </c>
      <c r="G1393" s="3" t="s">
        <v>43</v>
      </c>
      <c r="H1393" s="2" t="s">
        <v>21</v>
      </c>
      <c r="I1393" s="2" t="s">
        <v>3175</v>
      </c>
      <c r="J1393" s="3" t="str">
        <f>HYPERLINK("https://www.boe.es/gazeta/dias/1820/10/15/pdfs/GGB-1820-109.pdf#page=2","Abrir facsímil")</f>
        <v>Abrir facsímil</v>
      </c>
      <c r="K1393" s="3" t="s">
        <v>23</v>
      </c>
    </row>
    <row r="1394" spans="1:11" ht="42" customHeight="1">
      <c r="A1394" s="2" t="s">
        <v>3171</v>
      </c>
      <c r="B1394" s="2" t="s">
        <v>3171</v>
      </c>
      <c r="C1394" s="2" t="s">
        <v>74</v>
      </c>
      <c r="D1394" s="2" t="s">
        <v>18</v>
      </c>
      <c r="E1394" s="5">
        <v>-28916</v>
      </c>
      <c r="F1394" s="3" t="s">
        <v>2688</v>
      </c>
      <c r="G1394" s="3" t="s">
        <v>62</v>
      </c>
      <c r="H1394" s="2" t="s">
        <v>21</v>
      </c>
      <c r="I1394" s="2" t="s">
        <v>3176</v>
      </c>
      <c r="J1394" s="3" t="str">
        <f>HYPERLINK("https://www.boe.es/gazeta/dias/1820/10/29/pdfs/GGB-1820-123.pdf#page=3","Abrir facsímil")</f>
        <v>Abrir facsímil</v>
      </c>
      <c r="K1394" s="3" t="s">
        <v>23</v>
      </c>
    </row>
    <row r="1395" spans="1:11" ht="42" customHeight="1">
      <c r="A1395" s="2" t="s">
        <v>3171</v>
      </c>
      <c r="B1395" s="2" t="s">
        <v>3171</v>
      </c>
      <c r="C1395" s="2" t="s">
        <v>47</v>
      </c>
      <c r="D1395" s="2" t="s">
        <v>18</v>
      </c>
      <c r="E1395" s="5">
        <v>-28914</v>
      </c>
      <c r="F1395" s="3" t="s">
        <v>434</v>
      </c>
      <c r="G1395" s="3" t="s">
        <v>62</v>
      </c>
      <c r="H1395" s="2" t="s">
        <v>21</v>
      </c>
      <c r="I1395" s="2" t="s">
        <v>3177</v>
      </c>
      <c r="J1395" s="3" t="str">
        <f>HYPERLINK("https://www.boe.es/gazeta/dias/1820/10/31/pdfs/GGB-1820-125.pdf#page=3","Abrir facsímil")</f>
        <v>Abrir facsímil</v>
      </c>
      <c r="K1395" s="3" t="s">
        <v>23</v>
      </c>
    </row>
    <row r="1396" spans="1:11" ht="42" customHeight="1">
      <c r="A1396" s="2" t="s">
        <v>3171</v>
      </c>
      <c r="B1396" s="2" t="s">
        <v>3171</v>
      </c>
      <c r="C1396" s="2" t="s">
        <v>293</v>
      </c>
      <c r="D1396" s="2" t="s">
        <v>18</v>
      </c>
      <c r="E1396" s="5">
        <v>-28913</v>
      </c>
      <c r="F1396" s="3" t="s">
        <v>230</v>
      </c>
      <c r="G1396" s="3" t="s">
        <v>20</v>
      </c>
      <c r="H1396" s="2" t="s">
        <v>21</v>
      </c>
      <c r="I1396" s="2" t="s">
        <v>3178</v>
      </c>
      <c r="J1396" s="3" t="str">
        <f>HYPERLINK("https://www.boe.es/gazeta/dias/1820/11/01/pdfs/GGB-1820-126.pdf#page=4","Abrir facsímil")</f>
        <v>Abrir facsímil</v>
      </c>
      <c r="K1396" s="3" t="s">
        <v>23</v>
      </c>
    </row>
    <row r="1397" spans="1:11" ht="42" customHeight="1">
      <c r="A1397" s="2" t="s">
        <v>3171</v>
      </c>
      <c r="B1397" s="2" t="s">
        <v>3171</v>
      </c>
      <c r="C1397" s="2" t="s">
        <v>74</v>
      </c>
      <c r="D1397" s="2" t="s">
        <v>18</v>
      </c>
      <c r="E1397" s="5">
        <v>-28912</v>
      </c>
      <c r="F1397" s="3" t="s">
        <v>1329</v>
      </c>
      <c r="G1397" s="3" t="s">
        <v>1080</v>
      </c>
      <c r="H1397" s="2" t="s">
        <v>21</v>
      </c>
      <c r="I1397" s="2" t="s">
        <v>3179</v>
      </c>
      <c r="J1397" s="3" t="str">
        <f>HYPERLINK("https://www.boe.es/gazeta/dias/1820/11/02/pdfs/GGB-1820-127.pdf#page=2","Abrir facsímil")</f>
        <v>Abrir facsímil</v>
      </c>
      <c r="K1397" s="3" t="s">
        <v>23</v>
      </c>
    </row>
    <row r="1398" spans="1:11" ht="42" customHeight="1">
      <c r="A1398" s="2" t="s">
        <v>3171</v>
      </c>
      <c r="B1398" s="2" t="s">
        <v>3171</v>
      </c>
      <c r="C1398" s="2" t="s">
        <v>17</v>
      </c>
      <c r="D1398" s="2" t="s">
        <v>18</v>
      </c>
      <c r="E1398" s="5">
        <v>-28911</v>
      </c>
      <c r="F1398" s="3" t="s">
        <v>82</v>
      </c>
      <c r="G1398" s="3" t="s">
        <v>20</v>
      </c>
      <c r="H1398" s="2" t="s">
        <v>21</v>
      </c>
      <c r="I1398" s="2" t="s">
        <v>3180</v>
      </c>
      <c r="J1398" s="3" t="str">
        <f>HYPERLINK("https://www.boe.es/gazeta/dias/1820/11/03/pdfs/GGB-1820-128.pdf#page=4","Abrir facsímil")</f>
        <v>Abrir facsímil</v>
      </c>
      <c r="K1398" s="3" t="s">
        <v>23</v>
      </c>
    </row>
    <row r="1399" spans="1:11" ht="42" customHeight="1">
      <c r="A1399" s="2" t="s">
        <v>3171</v>
      </c>
      <c r="B1399" s="2" t="s">
        <v>3171</v>
      </c>
      <c r="C1399" s="2" t="s">
        <v>293</v>
      </c>
      <c r="D1399" s="2" t="s">
        <v>18</v>
      </c>
      <c r="E1399" s="5">
        <v>-28910</v>
      </c>
      <c r="F1399" s="3" t="s">
        <v>746</v>
      </c>
      <c r="G1399" s="3" t="s">
        <v>20</v>
      </c>
      <c r="H1399" s="2" t="s">
        <v>21</v>
      </c>
      <c r="I1399" s="2" t="s">
        <v>3181</v>
      </c>
      <c r="J1399" s="3" t="str">
        <f>HYPERLINK("https://www.boe.es/gazeta/dias/1820/11/04/pdfs/GGB-1820-129.pdf#page=4","Abrir facsímil")</f>
        <v>Abrir facsímil</v>
      </c>
      <c r="K1399" s="3" t="s">
        <v>23</v>
      </c>
    </row>
    <row r="1400" spans="1:11" ht="42" customHeight="1">
      <c r="A1400" s="2" t="s">
        <v>3182</v>
      </c>
      <c r="B1400" s="2" t="s">
        <v>3183</v>
      </c>
      <c r="C1400" s="2" t="s">
        <v>35</v>
      </c>
      <c r="D1400" s="2" t="s">
        <v>36</v>
      </c>
      <c r="E1400" s="5">
        <v>-28885</v>
      </c>
      <c r="F1400" s="3" t="s">
        <v>2588</v>
      </c>
      <c r="G1400" s="3" t="s">
        <v>20</v>
      </c>
      <c r="H1400" s="2" t="s">
        <v>21</v>
      </c>
      <c r="I1400" s="2" t="s">
        <v>3184</v>
      </c>
      <c r="J1400" s="3" t="str">
        <f>HYPERLINK("https://www.boe.es/gazeta/dias/1820/11/29/pdfs/GGB-1820-156.pdf#page=4","Abrir facsímil")</f>
        <v>Abrir facsímil</v>
      </c>
      <c r="K1400" s="3" t="s">
        <v>23</v>
      </c>
    </row>
    <row r="1401" spans="1:11" ht="42" customHeight="1">
      <c r="A1401" s="2" t="s">
        <v>3185</v>
      </c>
      <c r="B1401" s="2" t="s">
        <v>3186</v>
      </c>
      <c r="C1401" s="2" t="s">
        <v>35</v>
      </c>
      <c r="D1401" s="2" t="s">
        <v>36</v>
      </c>
      <c r="E1401" s="5">
        <v>-28938</v>
      </c>
      <c r="F1401" s="3" t="s">
        <v>716</v>
      </c>
      <c r="G1401" s="3" t="s">
        <v>62</v>
      </c>
      <c r="H1401" s="2" t="s">
        <v>21</v>
      </c>
      <c r="I1401" s="2" t="s">
        <v>3187</v>
      </c>
      <c r="J1401" s="3" t="str">
        <f>HYPERLINK("https://www.boe.es/gazeta/dias/1820/10/07/pdfs/GGB-1820-101.pdf#page=3","Abrir facsímil")</f>
        <v>Abrir facsímil</v>
      </c>
      <c r="K1401" s="3" t="s">
        <v>23</v>
      </c>
    </row>
    <row r="1402" spans="1:11" ht="42" customHeight="1">
      <c r="A1402" s="2" t="s">
        <v>3188</v>
      </c>
      <c r="B1402" s="2" t="s">
        <v>3188</v>
      </c>
      <c r="C1402" s="2" t="s">
        <v>26</v>
      </c>
      <c r="D1402" s="2" t="s">
        <v>27</v>
      </c>
      <c r="E1402" s="5">
        <v>-28988</v>
      </c>
      <c r="F1402" s="3" t="s">
        <v>618</v>
      </c>
      <c r="G1402" s="3" t="s">
        <v>677</v>
      </c>
      <c r="H1402" s="2" t="s">
        <v>21</v>
      </c>
      <c r="I1402" s="2" t="s">
        <v>3189</v>
      </c>
      <c r="J1402" s="3" t="str">
        <f>HYPERLINK("https://www.boe.es/gazeta/dias/1820/08/18/pdfs/GGB-1820-51.pdf#page=2","Abrir facsímil")</f>
        <v>Abrir facsímil</v>
      </c>
      <c r="K1402" s="3" t="s">
        <v>23</v>
      </c>
    </row>
    <row r="1403" spans="1:11" ht="42" customHeight="1">
      <c r="A1403" s="2" t="s">
        <v>3190</v>
      </c>
      <c r="B1403" s="2" t="s">
        <v>3190</v>
      </c>
      <c r="C1403" s="2" t="s">
        <v>47</v>
      </c>
      <c r="D1403" s="2" t="s">
        <v>18</v>
      </c>
      <c r="E1403" s="5">
        <v>-28936</v>
      </c>
      <c r="F1403" s="3" t="s">
        <v>167</v>
      </c>
      <c r="G1403" s="3" t="s">
        <v>43</v>
      </c>
      <c r="H1403" s="2" t="s">
        <v>21</v>
      </c>
      <c r="I1403" s="2" t="s">
        <v>3191</v>
      </c>
      <c r="J1403" s="3" t="str">
        <f>HYPERLINK("https://www.boe.es/gazeta/dias/1820/10/09/pdfs/GGB-1820-103.pdf#page=2","Abrir facsímil")</f>
        <v>Abrir facsímil</v>
      </c>
      <c r="K1403" s="3" t="s">
        <v>23</v>
      </c>
    </row>
    <row r="1404" spans="1:11" ht="42" customHeight="1">
      <c r="A1404" s="2" t="s">
        <v>3192</v>
      </c>
      <c r="B1404" s="2" t="s">
        <v>3193</v>
      </c>
      <c r="C1404" s="2" t="s">
        <v>26</v>
      </c>
      <c r="D1404" s="2" t="s">
        <v>27</v>
      </c>
      <c r="E1404" s="5">
        <v>-28883</v>
      </c>
      <c r="F1404" s="3" t="s">
        <v>306</v>
      </c>
      <c r="G1404" s="3" t="s">
        <v>20</v>
      </c>
      <c r="H1404" s="2" t="s">
        <v>21</v>
      </c>
      <c r="I1404" s="2" t="s">
        <v>3194</v>
      </c>
      <c r="J1404" s="3" t="str">
        <f>HYPERLINK("https://www.boe.es/gazeta/dias/1820/12/01/pdfs/GGB-1820-158.pdf#page=4","Abrir facsímil")</f>
        <v>Abrir facsímil</v>
      </c>
      <c r="K1404" s="3" t="s">
        <v>23</v>
      </c>
    </row>
    <row r="1405" spans="1:11" ht="42" customHeight="1">
      <c r="A1405" s="2" t="s">
        <v>3195</v>
      </c>
      <c r="B1405" s="2" t="s">
        <v>3196</v>
      </c>
      <c r="C1405" s="2" t="s">
        <v>17</v>
      </c>
      <c r="D1405" s="2" t="s">
        <v>18</v>
      </c>
      <c r="E1405" s="5">
        <v>-28965</v>
      </c>
      <c r="F1405" s="3" t="s">
        <v>1520</v>
      </c>
      <c r="G1405" s="3" t="s">
        <v>20</v>
      </c>
      <c r="H1405" s="2" t="s">
        <v>21</v>
      </c>
      <c r="I1405" s="2" t="s">
        <v>3197</v>
      </c>
      <c r="J1405" s="3" t="str">
        <f>HYPERLINK("https://www.boe.es/gazeta/dias/1820/09/10/pdfs/GGB-1820-74.pdf#page=4","Abrir facsímil")</f>
        <v>Abrir facsímil</v>
      </c>
      <c r="K1405" s="3" t="s">
        <v>23</v>
      </c>
    </row>
    <row r="1406" spans="1:11" ht="42" customHeight="1">
      <c r="A1406" s="2" t="s">
        <v>3198</v>
      </c>
      <c r="B1406" s="2" t="s">
        <v>3199</v>
      </c>
      <c r="C1406" s="2" t="s">
        <v>17</v>
      </c>
      <c r="D1406" s="2" t="s">
        <v>18</v>
      </c>
      <c r="E1406" s="5">
        <v>-28864</v>
      </c>
      <c r="F1406" s="3" t="s">
        <v>1275</v>
      </c>
      <c r="G1406" s="3" t="s">
        <v>38</v>
      </c>
      <c r="H1406" s="2" t="s">
        <v>21</v>
      </c>
      <c r="I1406" s="2" t="s">
        <v>3200</v>
      </c>
      <c r="J1406" s="3" t="str">
        <f>HYPERLINK("https://www.boe.es/gazeta/dias/1820/12/20/pdfs/GGB-1820-177.pdf#page=6","Abrir facsímil")</f>
        <v>Abrir facsímil</v>
      </c>
      <c r="K1406" s="3" t="s">
        <v>23</v>
      </c>
    </row>
    <row r="1407" spans="1:11" ht="42" customHeight="1">
      <c r="A1407" s="2" t="s">
        <v>3201</v>
      </c>
      <c r="B1407" s="2" t="s">
        <v>3201</v>
      </c>
      <c r="C1407" s="2" t="s">
        <v>35</v>
      </c>
      <c r="D1407" s="2" t="s">
        <v>36</v>
      </c>
      <c r="E1407" s="5">
        <v>-29025</v>
      </c>
      <c r="F1407" s="3" t="s">
        <v>902</v>
      </c>
      <c r="G1407" s="3" t="s">
        <v>62</v>
      </c>
      <c r="H1407" s="2" t="s">
        <v>21</v>
      </c>
      <c r="I1407" s="2" t="s">
        <v>3202</v>
      </c>
      <c r="J1407" s="3" t="str">
        <f>HYPERLINK("https://www.boe.es/gazeta/dias/1820/07/12/pdfs/GGB-1820-14.pdf#page=3","Abrir facsímil")</f>
        <v>Abrir facsímil</v>
      </c>
      <c r="K1407" s="3" t="s">
        <v>23</v>
      </c>
    </row>
    <row r="1408" spans="1:11" ht="42" customHeight="1">
      <c r="A1408" s="2" t="s">
        <v>3201</v>
      </c>
      <c r="B1408" s="2" t="s">
        <v>3201</v>
      </c>
      <c r="C1408" s="2" t="s">
        <v>26</v>
      </c>
      <c r="D1408" s="2" t="s">
        <v>27</v>
      </c>
      <c r="E1408" s="5">
        <v>-29023</v>
      </c>
      <c r="F1408" s="3" t="s">
        <v>1662</v>
      </c>
      <c r="G1408" s="3" t="s">
        <v>1663</v>
      </c>
      <c r="H1408" s="2" t="s">
        <v>21</v>
      </c>
      <c r="I1408" s="2" t="s">
        <v>3203</v>
      </c>
      <c r="J1408" s="3" t="str">
        <f>HYPERLINK("https://www.boe.es/gazeta/dias/1820/07/14/pdfs/GGB-1820-16.pdf#page=3","Abrir facsímil")</f>
        <v>Abrir facsímil</v>
      </c>
      <c r="K1408" s="3" t="s">
        <v>23</v>
      </c>
    </row>
    <row r="1409" spans="1:11" ht="42" customHeight="1">
      <c r="A1409" s="2" t="s">
        <v>3201</v>
      </c>
      <c r="B1409" s="2" t="s">
        <v>3201</v>
      </c>
      <c r="C1409" s="2" t="s">
        <v>17</v>
      </c>
      <c r="D1409" s="2" t="s">
        <v>18</v>
      </c>
      <c r="E1409" s="5">
        <v>-28987</v>
      </c>
      <c r="F1409" s="3" t="s">
        <v>680</v>
      </c>
      <c r="G1409" s="3" t="s">
        <v>62</v>
      </c>
      <c r="H1409" s="2" t="s">
        <v>21</v>
      </c>
      <c r="I1409" s="2" t="s">
        <v>3204</v>
      </c>
      <c r="J1409" s="3" t="str">
        <f>HYPERLINK("https://www.boe.es/gazeta/dias/1820/08/19/pdfs/GGB-1820-52.pdf#page=3","Abrir facsímil")</f>
        <v>Abrir facsímil</v>
      </c>
      <c r="K1409" s="3" t="s">
        <v>23</v>
      </c>
    </row>
    <row r="1410" spans="1:11" ht="42" customHeight="1">
      <c r="A1410" s="2" t="s">
        <v>3201</v>
      </c>
      <c r="B1410" s="2" t="s">
        <v>3201</v>
      </c>
      <c r="C1410" s="2" t="s">
        <v>26</v>
      </c>
      <c r="D1410" s="2" t="s">
        <v>27</v>
      </c>
      <c r="E1410" s="5">
        <v>-28959</v>
      </c>
      <c r="F1410" s="3" t="s">
        <v>37</v>
      </c>
      <c r="G1410" s="3" t="s">
        <v>256</v>
      </c>
      <c r="H1410" s="2" t="s">
        <v>21</v>
      </c>
      <c r="I1410" s="2" t="s">
        <v>3205</v>
      </c>
      <c r="J1410" s="3" t="str">
        <f>HYPERLINK("https://www.boe.es/gazeta/dias/1820/09/16/pdfs/GGB-1820-80.pdf#page=5","Abrir facsímil")</f>
        <v>Abrir facsímil</v>
      </c>
      <c r="K1410" s="3" t="s">
        <v>23</v>
      </c>
    </row>
    <row r="1411" spans="1:11" ht="42" customHeight="1">
      <c r="A1411" s="2" t="s">
        <v>3201</v>
      </c>
      <c r="B1411" s="2" t="s">
        <v>3201</v>
      </c>
      <c r="C1411" s="2" t="s">
        <v>26</v>
      </c>
      <c r="D1411" s="2" t="s">
        <v>27</v>
      </c>
      <c r="E1411" s="5">
        <v>-28932</v>
      </c>
      <c r="F1411" s="3" t="s">
        <v>407</v>
      </c>
      <c r="G1411" s="3" t="s">
        <v>43</v>
      </c>
      <c r="H1411" s="2" t="s">
        <v>21</v>
      </c>
      <c r="I1411" s="2" t="s">
        <v>3206</v>
      </c>
      <c r="J1411" s="3" t="str">
        <f>HYPERLINK("https://www.boe.es/gazeta/dias/1820/10/13/pdfs/GGB-1820-107.pdf#page=2","Abrir facsímil")</f>
        <v>Abrir facsímil</v>
      </c>
      <c r="K1411" s="3" t="s">
        <v>23</v>
      </c>
    </row>
    <row r="1412" spans="1:11" ht="42" customHeight="1">
      <c r="A1412" s="2" t="s">
        <v>3207</v>
      </c>
      <c r="B1412" s="2" t="s">
        <v>3207</v>
      </c>
      <c r="C1412" s="2" t="s">
        <v>17</v>
      </c>
      <c r="D1412" s="2" t="s">
        <v>18</v>
      </c>
      <c r="E1412" s="5">
        <v>-29021</v>
      </c>
      <c r="F1412" s="3" t="s">
        <v>377</v>
      </c>
      <c r="G1412" s="3" t="s">
        <v>62</v>
      </c>
      <c r="H1412" s="2" t="s">
        <v>21</v>
      </c>
      <c r="I1412" s="2" t="s">
        <v>3208</v>
      </c>
      <c r="J1412" s="3" t="str">
        <f>HYPERLINK("https://www.boe.es/gazeta/dias/1820/07/16/pdfs/GGB-1820-18.pdf#page=3","Abrir facsímil")</f>
        <v>Abrir facsímil</v>
      </c>
      <c r="K1412" s="3" t="s">
        <v>23</v>
      </c>
    </row>
    <row r="1413" spans="1:11" ht="42" customHeight="1">
      <c r="A1413" s="2" t="s">
        <v>3209</v>
      </c>
      <c r="B1413" s="2" t="s">
        <v>3209</v>
      </c>
      <c r="C1413" s="2" t="s">
        <v>17</v>
      </c>
      <c r="D1413" s="2" t="s">
        <v>18</v>
      </c>
      <c r="E1413" s="5">
        <v>-29026</v>
      </c>
      <c r="F1413" s="3" t="s">
        <v>1197</v>
      </c>
      <c r="G1413" s="3" t="s">
        <v>43</v>
      </c>
      <c r="H1413" s="2" t="s">
        <v>21</v>
      </c>
      <c r="I1413" s="2" t="s">
        <v>3210</v>
      </c>
      <c r="J1413" s="3" t="str">
        <f>HYPERLINK("https://www.boe.es/gazeta/dias/1820/07/11/pdfs/GGB-1820-13.pdf#page=2","Abrir facsímil")</f>
        <v>Abrir facsímil</v>
      </c>
      <c r="K1413" s="3" t="s">
        <v>23</v>
      </c>
    </row>
    <row r="1414" spans="1:11" ht="42" customHeight="1">
      <c r="A1414" s="2" t="s">
        <v>3209</v>
      </c>
      <c r="B1414" s="2" t="s">
        <v>3209</v>
      </c>
      <c r="C1414" s="2" t="s">
        <v>35</v>
      </c>
      <c r="D1414" s="2" t="s">
        <v>36</v>
      </c>
      <c r="E1414" s="5">
        <v>-29026</v>
      </c>
      <c r="F1414" s="3" t="s">
        <v>1197</v>
      </c>
      <c r="G1414" s="3" t="s">
        <v>62</v>
      </c>
      <c r="H1414" s="2" t="s">
        <v>21</v>
      </c>
      <c r="I1414" s="2" t="s">
        <v>3211</v>
      </c>
      <c r="J1414" s="3" t="str">
        <f>HYPERLINK("https://www.boe.es/gazeta/dias/1820/07/11/pdfs/GGB-1820-13.pdf#page=3","Abrir facsímil")</f>
        <v>Abrir facsímil</v>
      </c>
      <c r="K1414" s="3" t="s">
        <v>23</v>
      </c>
    </row>
    <row r="1415" spans="1:11" ht="42" customHeight="1">
      <c r="A1415" s="2" t="s">
        <v>3209</v>
      </c>
      <c r="B1415" s="2" t="s">
        <v>3209</v>
      </c>
      <c r="C1415" s="2" t="s">
        <v>35</v>
      </c>
      <c r="D1415" s="2" t="s">
        <v>36</v>
      </c>
      <c r="E1415" s="5">
        <v>-29022</v>
      </c>
      <c r="F1415" s="3" t="s">
        <v>1310</v>
      </c>
      <c r="G1415" s="3" t="s">
        <v>62</v>
      </c>
      <c r="H1415" s="2" t="s">
        <v>21</v>
      </c>
      <c r="I1415" s="2" t="s">
        <v>3212</v>
      </c>
      <c r="J1415" s="3" t="str">
        <f>HYPERLINK("https://www.boe.es/gazeta/dias/1820/07/15/pdfs/GGB-1820-17.pdf#page=3","Abrir facsímil")</f>
        <v>Abrir facsímil</v>
      </c>
      <c r="K1415" s="3" t="s">
        <v>23</v>
      </c>
    </row>
    <row r="1416" spans="1:11" ht="42" customHeight="1">
      <c r="A1416" s="2" t="s">
        <v>3209</v>
      </c>
      <c r="B1416" s="2" t="s">
        <v>3209</v>
      </c>
      <c r="C1416" s="2" t="s">
        <v>293</v>
      </c>
      <c r="D1416" s="2" t="s">
        <v>18</v>
      </c>
      <c r="E1416" s="5">
        <v>-29016</v>
      </c>
      <c r="F1416" s="3" t="s">
        <v>657</v>
      </c>
      <c r="G1416" s="3" t="s">
        <v>62</v>
      </c>
      <c r="H1416" s="2" t="s">
        <v>21</v>
      </c>
      <c r="I1416" s="2" t="s">
        <v>3213</v>
      </c>
      <c r="J1416" s="3" t="str">
        <f>HYPERLINK("https://www.boe.es/gazeta/dias/1820/07/21/pdfs/GGB-1820-23.pdf#page=3","Abrir facsímil")</f>
        <v>Abrir facsímil</v>
      </c>
      <c r="K1416" s="3" t="s">
        <v>23</v>
      </c>
    </row>
    <row r="1417" spans="1:11" ht="42" customHeight="1">
      <c r="A1417" s="2" t="s">
        <v>3209</v>
      </c>
      <c r="B1417" s="2" t="s">
        <v>3209</v>
      </c>
      <c r="C1417" s="2" t="s">
        <v>35</v>
      </c>
      <c r="D1417" s="2" t="s">
        <v>36</v>
      </c>
      <c r="E1417" s="5">
        <v>-29014</v>
      </c>
      <c r="F1417" s="3" t="s">
        <v>70</v>
      </c>
      <c r="G1417" s="3" t="s">
        <v>62</v>
      </c>
      <c r="H1417" s="2" t="s">
        <v>21</v>
      </c>
      <c r="I1417" s="2" t="s">
        <v>3214</v>
      </c>
      <c r="J1417" s="3" t="str">
        <f>HYPERLINK("https://www.boe.es/gazeta/dias/1820/07/23/pdfs/GGB-1820-25.pdf#page=3","Abrir facsímil")</f>
        <v>Abrir facsímil</v>
      </c>
      <c r="K1417" s="3" t="s">
        <v>23</v>
      </c>
    </row>
    <row r="1418" spans="1:11" ht="42" customHeight="1">
      <c r="A1418" s="2" t="s">
        <v>3209</v>
      </c>
      <c r="B1418" s="2" t="s">
        <v>3209</v>
      </c>
      <c r="C1418" s="2" t="s">
        <v>35</v>
      </c>
      <c r="D1418" s="2" t="s">
        <v>36</v>
      </c>
      <c r="E1418" s="5">
        <v>-29014</v>
      </c>
      <c r="F1418" s="3" t="s">
        <v>70</v>
      </c>
      <c r="G1418" s="3" t="s">
        <v>20</v>
      </c>
      <c r="H1418" s="2" t="s">
        <v>21</v>
      </c>
      <c r="I1418" s="2" t="s">
        <v>3215</v>
      </c>
      <c r="J1418" s="3" t="str">
        <f>HYPERLINK("https://www.boe.es/gazeta/dias/1820/07/23/pdfs/GGB-1820-25.pdf#page=4","Abrir facsímil")</f>
        <v>Abrir facsímil</v>
      </c>
      <c r="K1418" s="3" t="s">
        <v>23</v>
      </c>
    </row>
    <row r="1419" spans="1:11" ht="42" customHeight="1">
      <c r="A1419" s="2" t="s">
        <v>3209</v>
      </c>
      <c r="B1419" s="2" t="s">
        <v>3209</v>
      </c>
      <c r="C1419" s="2" t="s">
        <v>74</v>
      </c>
      <c r="D1419" s="2" t="s">
        <v>18</v>
      </c>
      <c r="E1419" s="5">
        <v>-29012</v>
      </c>
      <c r="F1419" s="3" t="s">
        <v>72</v>
      </c>
      <c r="G1419" s="3" t="s">
        <v>20</v>
      </c>
      <c r="H1419" s="2" t="s">
        <v>21</v>
      </c>
      <c r="I1419" s="2" t="s">
        <v>3216</v>
      </c>
      <c r="J1419" s="3" t="str">
        <f>HYPERLINK("https://www.boe.es/gazeta/dias/1820/07/25/pdfs/GGB-1820-27.pdf#page=4","Abrir facsímil")</f>
        <v>Abrir facsímil</v>
      </c>
      <c r="K1419" s="3" t="s">
        <v>23</v>
      </c>
    </row>
    <row r="1420" spans="1:11" ht="42" customHeight="1">
      <c r="A1420" s="2" t="s">
        <v>3209</v>
      </c>
      <c r="B1420" s="2" t="s">
        <v>3209</v>
      </c>
      <c r="C1420" s="2" t="s">
        <v>74</v>
      </c>
      <c r="D1420" s="2" t="s">
        <v>18</v>
      </c>
      <c r="E1420" s="5">
        <v>-29010</v>
      </c>
      <c r="F1420" s="3" t="s">
        <v>664</v>
      </c>
      <c r="G1420" s="3" t="s">
        <v>62</v>
      </c>
      <c r="H1420" s="2" t="s">
        <v>21</v>
      </c>
      <c r="I1420" s="2" t="s">
        <v>3217</v>
      </c>
      <c r="J1420" s="3" t="str">
        <f>HYPERLINK("https://www.boe.es/gazeta/dias/1820/07/27/pdfs/GGB-1820-29.pdf#page=3","Abrir facsímil")</f>
        <v>Abrir facsímil</v>
      </c>
      <c r="K1420" s="3" t="s">
        <v>23</v>
      </c>
    </row>
    <row r="1421" spans="1:11" ht="42" customHeight="1">
      <c r="A1421" s="2" t="s">
        <v>3209</v>
      </c>
      <c r="B1421" s="2" t="s">
        <v>3209</v>
      </c>
      <c r="C1421" s="2" t="s">
        <v>74</v>
      </c>
      <c r="D1421" s="2" t="s">
        <v>18</v>
      </c>
      <c r="E1421" s="5">
        <v>-29002</v>
      </c>
      <c r="F1421" s="3" t="s">
        <v>124</v>
      </c>
      <c r="G1421" s="3" t="s">
        <v>20</v>
      </c>
      <c r="H1421" s="2" t="s">
        <v>21</v>
      </c>
      <c r="I1421" s="2" t="s">
        <v>3218</v>
      </c>
      <c r="J1421" s="3" t="str">
        <f>HYPERLINK("https://www.boe.es/gazeta/dias/1820/08/04/pdfs/GGB-1820-37.pdf#page=4","Abrir facsímil")</f>
        <v>Abrir facsímil</v>
      </c>
      <c r="K1421" s="3" t="s">
        <v>23</v>
      </c>
    </row>
    <row r="1422" spans="1:11" ht="42" customHeight="1">
      <c r="A1422" s="2" t="s">
        <v>3209</v>
      </c>
      <c r="B1422" s="2" t="s">
        <v>3209</v>
      </c>
      <c r="C1422" s="2" t="s">
        <v>35</v>
      </c>
      <c r="D1422" s="2" t="s">
        <v>36</v>
      </c>
      <c r="E1422" s="5">
        <v>-29001</v>
      </c>
      <c r="F1422" s="3" t="s">
        <v>633</v>
      </c>
      <c r="G1422" s="3" t="s">
        <v>62</v>
      </c>
      <c r="H1422" s="2" t="s">
        <v>21</v>
      </c>
      <c r="I1422" s="2" t="s">
        <v>3219</v>
      </c>
      <c r="J1422" s="3" t="str">
        <f>HYPERLINK("https://www.boe.es/gazeta/dias/1820/08/05/pdfs/GGB-1820-38.pdf#page=3","Abrir facsímil")</f>
        <v>Abrir facsímil</v>
      </c>
      <c r="K1422" s="3" t="s">
        <v>23</v>
      </c>
    </row>
    <row r="1423" spans="1:11" ht="42" customHeight="1">
      <c r="A1423" s="2" t="s">
        <v>3209</v>
      </c>
      <c r="B1423" s="2" t="s">
        <v>3209</v>
      </c>
      <c r="C1423" s="2" t="s">
        <v>35</v>
      </c>
      <c r="D1423" s="2" t="s">
        <v>36</v>
      </c>
      <c r="E1423" s="5">
        <v>-28998</v>
      </c>
      <c r="F1423" s="3" t="s">
        <v>629</v>
      </c>
      <c r="G1423" s="3" t="s">
        <v>62</v>
      </c>
      <c r="H1423" s="2" t="s">
        <v>21</v>
      </c>
      <c r="I1423" s="2" t="s">
        <v>3220</v>
      </c>
      <c r="J1423" s="3" t="str">
        <f>HYPERLINK("https://www.boe.es/gazeta/dias/1820/08/08/pdfs/GGB-1820-41.pdf#page=3","Abrir facsímil")</f>
        <v>Abrir facsímil</v>
      </c>
      <c r="K1423" s="3" t="s">
        <v>23</v>
      </c>
    </row>
    <row r="1424" spans="1:11" ht="42" customHeight="1">
      <c r="A1424" s="2" t="s">
        <v>3209</v>
      </c>
      <c r="B1424" s="2" t="s">
        <v>3209</v>
      </c>
      <c r="C1424" s="2" t="s">
        <v>74</v>
      </c>
      <c r="D1424" s="2" t="s">
        <v>18</v>
      </c>
      <c r="E1424" s="5">
        <v>-28996</v>
      </c>
      <c r="F1424" s="3" t="s">
        <v>636</v>
      </c>
      <c r="G1424" s="3" t="s">
        <v>637</v>
      </c>
      <c r="H1424" s="2" t="s">
        <v>21</v>
      </c>
      <c r="I1424" s="2" t="s">
        <v>3221</v>
      </c>
      <c r="J1424" s="3" t="str">
        <f>HYPERLINK("https://www.boe.es/gazeta/dias/1820/08/10/pdfs/GGB-1820-43.pdf#page=3","Abrir facsímil")</f>
        <v>Abrir facsímil</v>
      </c>
      <c r="K1424" s="3" t="s">
        <v>23</v>
      </c>
    </row>
    <row r="1425" spans="1:11" ht="42" customHeight="1">
      <c r="A1425" s="2" t="s">
        <v>3209</v>
      </c>
      <c r="B1425" s="2" t="s">
        <v>3209</v>
      </c>
      <c r="C1425" s="2" t="s">
        <v>26</v>
      </c>
      <c r="D1425" s="2" t="s">
        <v>27</v>
      </c>
      <c r="E1425" s="5">
        <v>-28995</v>
      </c>
      <c r="F1425" s="3" t="s">
        <v>672</v>
      </c>
      <c r="G1425" s="3" t="s">
        <v>1557</v>
      </c>
      <c r="H1425" s="2" t="s">
        <v>21</v>
      </c>
      <c r="I1425" s="2" t="s">
        <v>3222</v>
      </c>
      <c r="J1425" s="3" t="str">
        <f>HYPERLINK("https://www.boe.es/gazeta/dias/1820/08/11/pdfs/GGB-1820-44.pdf#page=2","Abrir facsímil")</f>
        <v>Abrir facsímil</v>
      </c>
      <c r="K1425" s="3" t="s">
        <v>23</v>
      </c>
    </row>
    <row r="1426" spans="1:11" ht="42" customHeight="1">
      <c r="A1426" s="2" t="s">
        <v>3209</v>
      </c>
      <c r="B1426" s="2" t="s">
        <v>3209</v>
      </c>
      <c r="C1426" s="2" t="s">
        <v>17</v>
      </c>
      <c r="D1426" s="2" t="s">
        <v>18</v>
      </c>
      <c r="E1426" s="5">
        <v>-28995</v>
      </c>
      <c r="F1426" s="3" t="s">
        <v>672</v>
      </c>
      <c r="G1426" s="3" t="s">
        <v>62</v>
      </c>
      <c r="H1426" s="2" t="s">
        <v>21</v>
      </c>
      <c r="I1426" s="2" t="s">
        <v>3223</v>
      </c>
      <c r="J1426" s="3" t="str">
        <f>HYPERLINK("https://www.boe.es/gazeta/dias/1820/08/11/pdfs/GGB-1820-44.pdf#page=3","Abrir facsímil")</f>
        <v>Abrir facsímil</v>
      </c>
      <c r="K1426" s="3" t="s">
        <v>23</v>
      </c>
    </row>
    <row r="1427" spans="1:11" ht="42" customHeight="1">
      <c r="A1427" s="2" t="s">
        <v>3209</v>
      </c>
      <c r="B1427" s="2" t="s">
        <v>3209</v>
      </c>
      <c r="C1427" s="2" t="s">
        <v>74</v>
      </c>
      <c r="D1427" s="2" t="s">
        <v>18</v>
      </c>
      <c r="E1427" s="5">
        <v>-28995</v>
      </c>
      <c r="F1427" s="3" t="s">
        <v>672</v>
      </c>
      <c r="G1427" s="3" t="s">
        <v>20</v>
      </c>
      <c r="H1427" s="2" t="s">
        <v>21</v>
      </c>
      <c r="I1427" s="2" t="s">
        <v>3224</v>
      </c>
      <c r="J1427" s="3" t="str">
        <f>HYPERLINK("https://www.boe.es/gazeta/dias/1820/08/11/pdfs/GGB-1820-44.pdf#page=4","Abrir facsímil")</f>
        <v>Abrir facsímil</v>
      </c>
      <c r="K1427" s="3" t="s">
        <v>23</v>
      </c>
    </row>
    <row r="1428" spans="1:11" ht="42" customHeight="1">
      <c r="A1428" s="2" t="s">
        <v>3209</v>
      </c>
      <c r="B1428" s="2" t="s">
        <v>3209</v>
      </c>
      <c r="C1428" s="2" t="s">
        <v>26</v>
      </c>
      <c r="D1428" s="2" t="s">
        <v>27</v>
      </c>
      <c r="E1428" s="5">
        <v>-28994</v>
      </c>
      <c r="F1428" s="3" t="s">
        <v>1612</v>
      </c>
      <c r="G1428" s="3" t="s">
        <v>62</v>
      </c>
      <c r="H1428" s="2" t="s">
        <v>21</v>
      </c>
      <c r="I1428" s="2" t="s">
        <v>3225</v>
      </c>
      <c r="J1428" s="3" t="str">
        <f>HYPERLINK("https://www.boe.es/gazeta/dias/1820/08/12/pdfs/GGB-1820-45.pdf#page=3","Abrir facsímil")</f>
        <v>Abrir facsímil</v>
      </c>
      <c r="K1428" s="3" t="s">
        <v>23</v>
      </c>
    </row>
    <row r="1429" spans="1:11" ht="42" customHeight="1">
      <c r="A1429" s="2" t="s">
        <v>3209</v>
      </c>
      <c r="B1429" s="2" t="s">
        <v>3209</v>
      </c>
      <c r="C1429" s="2" t="s">
        <v>17</v>
      </c>
      <c r="D1429" s="2" t="s">
        <v>18</v>
      </c>
      <c r="E1429" s="5">
        <v>-28986</v>
      </c>
      <c r="F1429" s="3" t="s">
        <v>488</v>
      </c>
      <c r="G1429" s="3" t="s">
        <v>62</v>
      </c>
      <c r="H1429" s="2" t="s">
        <v>21</v>
      </c>
      <c r="I1429" s="2" t="s">
        <v>3226</v>
      </c>
      <c r="J1429" s="3" t="str">
        <f>HYPERLINK("https://www.boe.es/gazeta/dias/1820/08/20/pdfs/GGB-1820-53.pdf#page=3","Abrir facsímil")</f>
        <v>Abrir facsímil</v>
      </c>
      <c r="K1429" s="3" t="s">
        <v>23</v>
      </c>
    </row>
    <row r="1430" spans="1:11" ht="42" customHeight="1">
      <c r="A1430" s="2" t="s">
        <v>3209</v>
      </c>
      <c r="B1430" s="2" t="s">
        <v>3209</v>
      </c>
      <c r="C1430" s="2" t="s">
        <v>17</v>
      </c>
      <c r="D1430" s="2" t="s">
        <v>18</v>
      </c>
      <c r="E1430" s="5">
        <v>-28983</v>
      </c>
      <c r="F1430" s="3" t="s">
        <v>682</v>
      </c>
      <c r="G1430" s="3" t="s">
        <v>20</v>
      </c>
      <c r="H1430" s="2" t="s">
        <v>21</v>
      </c>
      <c r="I1430" s="2" t="s">
        <v>3227</v>
      </c>
      <c r="J1430" s="3" t="str">
        <f>HYPERLINK("https://www.boe.es/gazeta/dias/1820/08/23/pdfs/GGB-1820-56.pdf#page=4","Abrir facsímil")</f>
        <v>Abrir facsímil</v>
      </c>
      <c r="K1430" s="3" t="s">
        <v>23</v>
      </c>
    </row>
    <row r="1431" spans="1:11" ht="42" customHeight="1">
      <c r="A1431" s="2" t="s">
        <v>3209</v>
      </c>
      <c r="B1431" s="2" t="s">
        <v>3209</v>
      </c>
      <c r="C1431" s="2" t="s">
        <v>74</v>
      </c>
      <c r="D1431" s="2" t="s">
        <v>18</v>
      </c>
      <c r="E1431" s="5">
        <v>-28982</v>
      </c>
      <c r="F1431" s="3" t="s">
        <v>173</v>
      </c>
      <c r="G1431" s="3" t="s">
        <v>43</v>
      </c>
      <c r="H1431" s="2" t="s">
        <v>21</v>
      </c>
      <c r="I1431" s="2" t="s">
        <v>3228</v>
      </c>
      <c r="J1431" s="3" t="str">
        <f>HYPERLINK("https://www.boe.es/gazeta/dias/1820/08/24/pdfs/GGB-1820-57.pdf#page=2","Abrir facsímil")</f>
        <v>Abrir facsímil</v>
      </c>
      <c r="K1431" s="3" t="s">
        <v>23</v>
      </c>
    </row>
    <row r="1432" spans="1:11" ht="42" customHeight="1">
      <c r="A1432" s="2" t="s">
        <v>3209</v>
      </c>
      <c r="B1432" s="2" t="s">
        <v>3209</v>
      </c>
      <c r="C1432" s="2" t="s">
        <v>35</v>
      </c>
      <c r="D1432" s="2" t="s">
        <v>36</v>
      </c>
      <c r="E1432" s="5">
        <v>-28982</v>
      </c>
      <c r="F1432" s="3" t="s">
        <v>173</v>
      </c>
      <c r="G1432" s="3" t="s">
        <v>62</v>
      </c>
      <c r="H1432" s="2" t="s">
        <v>21</v>
      </c>
      <c r="I1432" s="2" t="s">
        <v>3229</v>
      </c>
      <c r="J1432" s="3" t="str">
        <f>HYPERLINK("https://www.boe.es/gazeta/dias/1820/08/24/pdfs/GGB-1820-57.pdf#page=3","Abrir facsímil")</f>
        <v>Abrir facsímil</v>
      </c>
      <c r="K1432" s="3" t="s">
        <v>23</v>
      </c>
    </row>
    <row r="1433" spans="1:11" ht="42" customHeight="1">
      <c r="A1433" s="2" t="s">
        <v>3209</v>
      </c>
      <c r="B1433" s="2" t="s">
        <v>3209</v>
      </c>
      <c r="C1433" s="2" t="s">
        <v>293</v>
      </c>
      <c r="D1433" s="2" t="s">
        <v>18</v>
      </c>
      <c r="E1433" s="5">
        <v>-28977</v>
      </c>
      <c r="F1433" s="3" t="s">
        <v>687</v>
      </c>
      <c r="G1433" s="3" t="s">
        <v>62</v>
      </c>
      <c r="H1433" s="2" t="s">
        <v>21</v>
      </c>
      <c r="I1433" s="2" t="s">
        <v>3230</v>
      </c>
      <c r="J1433" s="3" t="str">
        <f>HYPERLINK("https://www.boe.es/gazeta/dias/1820/08/29/pdfs/GGB-1820-62.pdf#page=3","Abrir facsímil")</f>
        <v>Abrir facsímil</v>
      </c>
      <c r="K1433" s="3" t="s">
        <v>23</v>
      </c>
    </row>
    <row r="1434" spans="1:11" ht="42" customHeight="1">
      <c r="A1434" s="2" t="s">
        <v>3209</v>
      </c>
      <c r="B1434" s="2" t="s">
        <v>3209</v>
      </c>
      <c r="C1434" s="2" t="s">
        <v>74</v>
      </c>
      <c r="D1434" s="2" t="s">
        <v>18</v>
      </c>
      <c r="E1434" s="5">
        <v>-28972</v>
      </c>
      <c r="F1434" s="3" t="s">
        <v>522</v>
      </c>
      <c r="G1434" s="3" t="s">
        <v>20</v>
      </c>
      <c r="H1434" s="2" t="s">
        <v>21</v>
      </c>
      <c r="I1434" s="2" t="s">
        <v>3231</v>
      </c>
      <c r="J1434" s="3" t="str">
        <f>HYPERLINK("https://www.boe.es/gazeta/dias/1820/09/03/pdfs/GGB-1820-67.pdf#page=4","Abrir facsímil")</f>
        <v>Abrir facsímil</v>
      </c>
      <c r="K1434" s="3" t="s">
        <v>23</v>
      </c>
    </row>
    <row r="1435" spans="1:11" ht="42" customHeight="1">
      <c r="A1435" s="2" t="s">
        <v>3209</v>
      </c>
      <c r="B1435" s="2" t="s">
        <v>3209</v>
      </c>
      <c r="C1435" s="2" t="s">
        <v>17</v>
      </c>
      <c r="D1435" s="2" t="s">
        <v>18</v>
      </c>
      <c r="E1435" s="5">
        <v>-28971</v>
      </c>
      <c r="F1435" s="3" t="s">
        <v>691</v>
      </c>
      <c r="G1435" s="3" t="s">
        <v>62</v>
      </c>
      <c r="H1435" s="2" t="s">
        <v>21</v>
      </c>
      <c r="I1435" s="2" t="s">
        <v>3232</v>
      </c>
      <c r="J1435" s="3" t="str">
        <f>HYPERLINK("https://www.boe.es/gazeta/dias/1820/09/04/pdfs/GGB-1820-68.pdf#page=3","Abrir facsímil")</f>
        <v>Abrir facsímil</v>
      </c>
      <c r="K1435" s="3" t="s">
        <v>23</v>
      </c>
    </row>
    <row r="1436" spans="1:11" ht="42" customHeight="1">
      <c r="A1436" s="2" t="s">
        <v>3209</v>
      </c>
      <c r="B1436" s="2" t="s">
        <v>3209</v>
      </c>
      <c r="C1436" s="2" t="s">
        <v>74</v>
      </c>
      <c r="D1436" s="2" t="s">
        <v>18</v>
      </c>
      <c r="E1436" s="5">
        <v>-28969</v>
      </c>
      <c r="F1436" s="3" t="s">
        <v>225</v>
      </c>
      <c r="G1436" s="3" t="s">
        <v>226</v>
      </c>
      <c r="H1436" s="2" t="s">
        <v>21</v>
      </c>
      <c r="I1436" s="2" t="s">
        <v>3233</v>
      </c>
      <c r="J1436" s="3" t="str">
        <f>HYPERLINK("https://www.boe.es/gazeta/dias/1820/09/06/pdfs/GGB-1820-70.pdf#page=3","Abrir facsímil")</f>
        <v>Abrir facsímil</v>
      </c>
      <c r="K1436" s="3" t="s">
        <v>23</v>
      </c>
    </row>
    <row r="1437" spans="1:11" ht="42" customHeight="1">
      <c r="A1437" s="2" t="s">
        <v>3209</v>
      </c>
      <c r="B1437" s="2" t="s">
        <v>3209</v>
      </c>
      <c r="C1437" s="2" t="s">
        <v>74</v>
      </c>
      <c r="D1437" s="2" t="s">
        <v>18</v>
      </c>
      <c r="E1437" s="5">
        <v>-28966</v>
      </c>
      <c r="F1437" s="3" t="s">
        <v>701</v>
      </c>
      <c r="G1437" s="3" t="s">
        <v>20</v>
      </c>
      <c r="H1437" s="2" t="s">
        <v>21</v>
      </c>
      <c r="I1437" s="2" t="s">
        <v>3234</v>
      </c>
      <c r="J1437" s="3" t="str">
        <f>HYPERLINK("https://www.boe.es/gazeta/dias/1820/09/09/pdfs/GGB-1820-73.pdf#page=4","Abrir facsímil")</f>
        <v>Abrir facsímil</v>
      </c>
      <c r="K1437" s="3" t="s">
        <v>23</v>
      </c>
    </row>
    <row r="1438" spans="1:11" ht="42" customHeight="1">
      <c r="A1438" s="2" t="s">
        <v>3209</v>
      </c>
      <c r="B1438" s="2" t="s">
        <v>3209</v>
      </c>
      <c r="C1438" s="2" t="s">
        <v>35</v>
      </c>
      <c r="D1438" s="2" t="s">
        <v>36</v>
      </c>
      <c r="E1438" s="5">
        <v>-28964</v>
      </c>
      <c r="F1438" s="3" t="s">
        <v>240</v>
      </c>
      <c r="G1438" s="3" t="s">
        <v>43</v>
      </c>
      <c r="H1438" s="2" t="s">
        <v>21</v>
      </c>
      <c r="I1438" s="2" t="s">
        <v>3235</v>
      </c>
      <c r="J1438" s="3" t="str">
        <f>HYPERLINK("https://www.boe.es/gazeta/dias/1820/09/11/pdfs/GGB-1820-75.pdf#page=2","Abrir facsímil")</f>
        <v>Abrir facsímil</v>
      </c>
      <c r="K1438" s="3" t="s">
        <v>23</v>
      </c>
    </row>
    <row r="1439" spans="1:11" ht="42" customHeight="1">
      <c r="A1439" s="2" t="s">
        <v>3209</v>
      </c>
      <c r="B1439" s="2" t="s">
        <v>3209</v>
      </c>
      <c r="C1439" s="2" t="s">
        <v>26</v>
      </c>
      <c r="D1439" s="2" t="s">
        <v>27</v>
      </c>
      <c r="E1439" s="5">
        <v>-28962</v>
      </c>
      <c r="F1439" s="3" t="s">
        <v>90</v>
      </c>
      <c r="G1439" s="3" t="s">
        <v>62</v>
      </c>
      <c r="H1439" s="2" t="s">
        <v>21</v>
      </c>
      <c r="I1439" s="2" t="s">
        <v>3236</v>
      </c>
      <c r="J1439" s="3" t="str">
        <f>HYPERLINK("https://www.boe.es/gazeta/dias/1820/09/13/pdfs/GGB-1820-77.pdf#page=3","Abrir facsímil")</f>
        <v>Abrir facsímil</v>
      </c>
      <c r="K1439" s="3" t="s">
        <v>23</v>
      </c>
    </row>
    <row r="1440" spans="1:11" ht="42" customHeight="1">
      <c r="A1440" s="2" t="s">
        <v>3209</v>
      </c>
      <c r="B1440" s="2" t="s">
        <v>3209</v>
      </c>
      <c r="C1440" s="2" t="s">
        <v>74</v>
      </c>
      <c r="D1440" s="2" t="s">
        <v>18</v>
      </c>
      <c r="E1440" s="5">
        <v>-28961</v>
      </c>
      <c r="F1440" s="3" t="s">
        <v>242</v>
      </c>
      <c r="G1440" s="3" t="s">
        <v>2442</v>
      </c>
      <c r="H1440" s="2" t="s">
        <v>21</v>
      </c>
      <c r="I1440" s="2" t="s">
        <v>3237</v>
      </c>
      <c r="J1440" s="3" t="str">
        <f>HYPERLINK("https://www.boe.es/gazeta/dias/1820/09/14/pdfs/GGB-1820-78.pdf#page=4","Abrir facsímil")</f>
        <v>Abrir facsímil</v>
      </c>
      <c r="K1440" s="3" t="s">
        <v>23</v>
      </c>
    </row>
    <row r="1441" spans="1:11" ht="42" customHeight="1">
      <c r="A1441" s="2" t="s">
        <v>3209</v>
      </c>
      <c r="B1441" s="2" t="s">
        <v>3209</v>
      </c>
      <c r="C1441" s="2" t="s">
        <v>74</v>
      </c>
      <c r="D1441" s="2" t="s">
        <v>18</v>
      </c>
      <c r="E1441" s="5">
        <v>-28961</v>
      </c>
      <c r="F1441" s="3" t="s">
        <v>242</v>
      </c>
      <c r="G1441" s="3" t="s">
        <v>62</v>
      </c>
      <c r="H1441" s="2" t="s">
        <v>21</v>
      </c>
      <c r="I1441" s="2" t="s">
        <v>3238</v>
      </c>
      <c r="J1441" s="3" t="str">
        <f>HYPERLINK("https://www.boe.es/gazeta/dias/1820/09/14/pdfs/GGB-1820-78.pdf#page=3","Abrir facsímil")</f>
        <v>Abrir facsímil</v>
      </c>
      <c r="K1441" s="3" t="s">
        <v>23</v>
      </c>
    </row>
    <row r="1442" spans="1:11" ht="42" customHeight="1">
      <c r="A1442" s="2" t="s">
        <v>3209</v>
      </c>
      <c r="B1442" s="2" t="s">
        <v>3209</v>
      </c>
      <c r="C1442" s="2" t="s">
        <v>74</v>
      </c>
      <c r="D1442" s="2" t="s">
        <v>18</v>
      </c>
      <c r="E1442" s="5">
        <v>-28960</v>
      </c>
      <c r="F1442" s="3" t="s">
        <v>704</v>
      </c>
      <c r="G1442" s="3" t="s">
        <v>62</v>
      </c>
      <c r="H1442" s="2" t="s">
        <v>21</v>
      </c>
      <c r="I1442" s="2" t="s">
        <v>3239</v>
      </c>
      <c r="J1442" s="3" t="str">
        <f>HYPERLINK("https://www.boe.es/gazeta/dias/1820/09/15/pdfs/GGB-1820-79.pdf#page=3","Abrir facsímil")</f>
        <v>Abrir facsímil</v>
      </c>
      <c r="K1442" s="3" t="s">
        <v>23</v>
      </c>
    </row>
    <row r="1443" spans="1:11" ht="42" customHeight="1">
      <c r="A1443" s="2" t="s">
        <v>3209</v>
      </c>
      <c r="B1443" s="2" t="s">
        <v>3209</v>
      </c>
      <c r="C1443" s="2" t="s">
        <v>26</v>
      </c>
      <c r="D1443" s="2" t="s">
        <v>27</v>
      </c>
      <c r="E1443" s="5">
        <v>-28955</v>
      </c>
      <c r="F1443" s="3" t="s">
        <v>175</v>
      </c>
      <c r="G1443" s="3" t="s">
        <v>62</v>
      </c>
      <c r="H1443" s="2" t="s">
        <v>21</v>
      </c>
      <c r="I1443" s="2" t="s">
        <v>3240</v>
      </c>
      <c r="J1443" s="3" t="str">
        <f>HYPERLINK("https://www.boe.es/gazeta/dias/1820/09/20/pdfs/GGB-1820-84.pdf#page=3","Abrir facsímil")</f>
        <v>Abrir facsímil</v>
      </c>
      <c r="K1443" s="3" t="s">
        <v>23</v>
      </c>
    </row>
    <row r="1444" spans="1:11" ht="42" customHeight="1">
      <c r="A1444" s="2" t="s">
        <v>3209</v>
      </c>
      <c r="B1444" s="2" t="s">
        <v>3209</v>
      </c>
      <c r="C1444" s="2" t="s">
        <v>26</v>
      </c>
      <c r="D1444" s="2" t="s">
        <v>27</v>
      </c>
      <c r="E1444" s="5">
        <v>-28954</v>
      </c>
      <c r="F1444" s="3" t="s">
        <v>28</v>
      </c>
      <c r="G1444" s="3" t="s">
        <v>62</v>
      </c>
      <c r="H1444" s="2" t="s">
        <v>21</v>
      </c>
      <c r="I1444" s="2" t="s">
        <v>3241</v>
      </c>
      <c r="J1444" s="3" t="str">
        <f>HYPERLINK("https://www.boe.es/gazeta/dias/1820/09/21/pdfs/GGB-1820-85.pdf#page=3","Abrir facsímil")</f>
        <v>Abrir facsímil</v>
      </c>
      <c r="K1444" s="3" t="s">
        <v>23</v>
      </c>
    </row>
    <row r="1445" spans="1:11" ht="42" customHeight="1">
      <c r="A1445" s="2" t="s">
        <v>3209</v>
      </c>
      <c r="B1445" s="2" t="s">
        <v>3209</v>
      </c>
      <c r="C1445" s="2" t="s">
        <v>26</v>
      </c>
      <c r="D1445" s="2" t="s">
        <v>27</v>
      </c>
      <c r="E1445" s="5">
        <v>-28950</v>
      </c>
      <c r="F1445" s="3" t="s">
        <v>1052</v>
      </c>
      <c r="G1445" s="3" t="s">
        <v>1372</v>
      </c>
      <c r="H1445" s="2" t="s">
        <v>21</v>
      </c>
      <c r="I1445" s="2" t="s">
        <v>3242</v>
      </c>
      <c r="J1445" s="3" t="str">
        <f>HYPERLINK("https://www.boe.es/gazeta/dias/1820/09/25/pdfs/GGB-1820-89.pdf#page=2","Abrir facsímil")</f>
        <v>Abrir facsímil</v>
      </c>
      <c r="K1445" s="3" t="s">
        <v>23</v>
      </c>
    </row>
    <row r="1446" spans="1:11" ht="42" customHeight="1">
      <c r="A1446" s="2" t="s">
        <v>3209</v>
      </c>
      <c r="B1446" s="2" t="s">
        <v>3209</v>
      </c>
      <c r="C1446" s="2" t="s">
        <v>26</v>
      </c>
      <c r="D1446" s="2" t="s">
        <v>27</v>
      </c>
      <c r="E1446" s="5">
        <v>-28950</v>
      </c>
      <c r="F1446" s="3" t="s">
        <v>1052</v>
      </c>
      <c r="G1446" s="3" t="s">
        <v>62</v>
      </c>
      <c r="H1446" s="2" t="s">
        <v>21</v>
      </c>
      <c r="I1446" s="2" t="s">
        <v>3243</v>
      </c>
      <c r="J1446" s="3" t="str">
        <f>HYPERLINK("https://www.boe.es/gazeta/dias/1820/09/25/pdfs/GGB-1820-89.pdf#page=3","Abrir facsímil")</f>
        <v>Abrir facsímil</v>
      </c>
      <c r="K1446" s="3" t="s">
        <v>23</v>
      </c>
    </row>
    <row r="1447" spans="1:11" ht="42" customHeight="1">
      <c r="A1447" s="2" t="s">
        <v>3209</v>
      </c>
      <c r="B1447" s="2" t="s">
        <v>3209</v>
      </c>
      <c r="C1447" s="2" t="s">
        <v>35</v>
      </c>
      <c r="D1447" s="2" t="s">
        <v>36</v>
      </c>
      <c r="E1447" s="5">
        <v>-28949</v>
      </c>
      <c r="F1447" s="3" t="s">
        <v>178</v>
      </c>
      <c r="G1447" s="3" t="s">
        <v>43</v>
      </c>
      <c r="H1447" s="2" t="s">
        <v>21</v>
      </c>
      <c r="I1447" s="2" t="s">
        <v>3244</v>
      </c>
      <c r="J1447" s="3" t="str">
        <f>HYPERLINK("https://www.boe.es/gazeta/dias/1820/09/26/pdfs/GGB-1820-90.pdf#page=2","Abrir facsímil")</f>
        <v>Abrir facsímil</v>
      </c>
      <c r="K1447" s="3" t="s">
        <v>23</v>
      </c>
    </row>
    <row r="1448" spans="1:11" ht="42" customHeight="1">
      <c r="A1448" s="2" t="s">
        <v>3209</v>
      </c>
      <c r="B1448" s="2" t="s">
        <v>3209</v>
      </c>
      <c r="C1448" s="2" t="s">
        <v>26</v>
      </c>
      <c r="D1448" s="2" t="s">
        <v>27</v>
      </c>
      <c r="E1448" s="5">
        <v>-28947</v>
      </c>
      <c r="F1448" s="3" t="s">
        <v>127</v>
      </c>
      <c r="G1448" s="3" t="s">
        <v>20</v>
      </c>
      <c r="H1448" s="2" t="s">
        <v>21</v>
      </c>
      <c r="I1448" s="2" t="s">
        <v>3245</v>
      </c>
      <c r="J1448" s="3" t="str">
        <f>HYPERLINK("https://www.boe.es/gazeta/dias/1820/09/28/pdfs/GGB-1820-92.pdf#page=4","Abrir facsímil")</f>
        <v>Abrir facsímil</v>
      </c>
      <c r="K1448" s="3" t="s">
        <v>23</v>
      </c>
    </row>
    <row r="1449" spans="1:11" ht="42" customHeight="1">
      <c r="A1449" s="2" t="s">
        <v>3209</v>
      </c>
      <c r="B1449" s="2" t="s">
        <v>3209</v>
      </c>
      <c r="C1449" s="2" t="s">
        <v>26</v>
      </c>
      <c r="D1449" s="2" t="s">
        <v>27</v>
      </c>
      <c r="E1449" s="5">
        <v>-28945</v>
      </c>
      <c r="F1449" s="3" t="s">
        <v>99</v>
      </c>
      <c r="G1449" s="3" t="s">
        <v>20</v>
      </c>
      <c r="H1449" s="2" t="s">
        <v>21</v>
      </c>
      <c r="I1449" s="2" t="s">
        <v>3246</v>
      </c>
      <c r="J1449" s="3" t="str">
        <f>HYPERLINK("https://www.boe.es/gazeta/dias/1820/09/30/pdfs/GGB-1820-94.pdf#page=4","Abrir facsímil")</f>
        <v>Abrir facsímil</v>
      </c>
      <c r="K1449" s="3" t="s">
        <v>23</v>
      </c>
    </row>
    <row r="1450" spans="1:11" ht="42" customHeight="1">
      <c r="A1450" s="2" t="s">
        <v>3209</v>
      </c>
      <c r="B1450" s="2" t="s">
        <v>3209</v>
      </c>
      <c r="C1450" s="2" t="s">
        <v>107</v>
      </c>
      <c r="D1450" s="2" t="s">
        <v>18</v>
      </c>
      <c r="E1450" s="5">
        <v>-28944</v>
      </c>
      <c r="F1450" s="3" t="s">
        <v>990</v>
      </c>
      <c r="G1450" s="3" t="s">
        <v>1548</v>
      </c>
      <c r="H1450" s="2" t="s">
        <v>21</v>
      </c>
      <c r="I1450" s="2" t="s">
        <v>3247</v>
      </c>
      <c r="J1450" s="3" t="str">
        <f>HYPERLINK("https://www.boe.es/gazeta/dias/1820/10/01/pdfs/GGB-1820-95.pdf#page=2","Abrir facsímil")</f>
        <v>Abrir facsímil</v>
      </c>
      <c r="K1450" s="3" t="s">
        <v>23</v>
      </c>
    </row>
    <row r="1451" spans="1:11" ht="42" customHeight="1">
      <c r="A1451" s="2" t="s">
        <v>3209</v>
      </c>
      <c r="B1451" s="2" t="s">
        <v>3209</v>
      </c>
      <c r="C1451" s="2" t="s">
        <v>17</v>
      </c>
      <c r="D1451" s="2" t="s">
        <v>18</v>
      </c>
      <c r="E1451" s="5">
        <v>-28943</v>
      </c>
      <c r="F1451" s="3" t="s">
        <v>1403</v>
      </c>
      <c r="G1451" s="3" t="s">
        <v>43</v>
      </c>
      <c r="H1451" s="2" t="s">
        <v>21</v>
      </c>
      <c r="I1451" s="2" t="s">
        <v>3248</v>
      </c>
      <c r="J1451" s="3" t="str">
        <f>HYPERLINK("https://www.boe.es/gazeta/dias/1820/10/02/pdfs/GGB-1820-96.pdf#page=2","Abrir facsímil")</f>
        <v>Abrir facsímil</v>
      </c>
      <c r="K1451" s="3" t="s">
        <v>23</v>
      </c>
    </row>
    <row r="1452" spans="1:11" ht="42" customHeight="1">
      <c r="A1452" s="2" t="s">
        <v>3209</v>
      </c>
      <c r="B1452" s="2" t="s">
        <v>3209</v>
      </c>
      <c r="C1452" s="2" t="s">
        <v>35</v>
      </c>
      <c r="D1452" s="2" t="s">
        <v>36</v>
      </c>
      <c r="E1452" s="5">
        <v>-28942</v>
      </c>
      <c r="F1452" s="3" t="s">
        <v>244</v>
      </c>
      <c r="G1452" s="3" t="s">
        <v>62</v>
      </c>
      <c r="H1452" s="2" t="s">
        <v>21</v>
      </c>
      <c r="I1452" s="2" t="s">
        <v>3249</v>
      </c>
      <c r="J1452" s="3" t="str">
        <f>HYPERLINK("https://www.boe.es/gazeta/dias/1820/10/03/pdfs/GGB-1820-97.pdf#page=3","Abrir facsímil")</f>
        <v>Abrir facsímil</v>
      </c>
      <c r="K1452" s="3" t="s">
        <v>23</v>
      </c>
    </row>
    <row r="1453" spans="1:11" ht="42" customHeight="1">
      <c r="A1453" s="2" t="s">
        <v>3209</v>
      </c>
      <c r="B1453" s="2" t="s">
        <v>3209</v>
      </c>
      <c r="C1453" s="2" t="s">
        <v>26</v>
      </c>
      <c r="D1453" s="2" t="s">
        <v>27</v>
      </c>
      <c r="E1453" s="5">
        <v>-28938</v>
      </c>
      <c r="F1453" s="3" t="s">
        <v>716</v>
      </c>
      <c r="G1453" s="3" t="s">
        <v>717</v>
      </c>
      <c r="H1453" s="2" t="s">
        <v>21</v>
      </c>
      <c r="I1453" s="2" t="s">
        <v>3250</v>
      </c>
      <c r="J1453" s="3" t="str">
        <f>HYPERLINK("https://www.boe.es/gazeta/dias/1820/10/07/pdfs/GGB-1820-101.pdf#page=2","Abrir facsímil")</f>
        <v>Abrir facsímil</v>
      </c>
      <c r="K1453" s="3" t="s">
        <v>23</v>
      </c>
    </row>
    <row r="1454" spans="1:11" ht="42" customHeight="1">
      <c r="A1454" s="2" t="s">
        <v>3209</v>
      </c>
      <c r="B1454" s="2" t="s">
        <v>3209</v>
      </c>
      <c r="C1454" s="2" t="s">
        <v>35</v>
      </c>
      <c r="D1454" s="2" t="s">
        <v>36</v>
      </c>
      <c r="E1454" s="5">
        <v>-28938</v>
      </c>
      <c r="F1454" s="3" t="s">
        <v>716</v>
      </c>
      <c r="G1454" s="3" t="s">
        <v>62</v>
      </c>
      <c r="H1454" s="2" t="s">
        <v>21</v>
      </c>
      <c r="I1454" s="2" t="s">
        <v>3251</v>
      </c>
      <c r="J1454" s="3" t="str">
        <f>HYPERLINK("https://www.boe.es/gazeta/dias/1820/10/07/pdfs/GGB-1820-101.pdf#page=3","Abrir facsímil")</f>
        <v>Abrir facsímil</v>
      </c>
      <c r="K1454" s="3" t="s">
        <v>23</v>
      </c>
    </row>
    <row r="1455" spans="1:11" ht="42" customHeight="1">
      <c r="A1455" s="2" t="s">
        <v>3209</v>
      </c>
      <c r="B1455" s="2" t="s">
        <v>3209</v>
      </c>
      <c r="C1455" s="2" t="s">
        <v>35</v>
      </c>
      <c r="D1455" s="2" t="s">
        <v>36</v>
      </c>
      <c r="E1455" s="5">
        <v>-28935</v>
      </c>
      <c r="F1455" s="3" t="s">
        <v>2464</v>
      </c>
      <c r="G1455" s="3" t="s">
        <v>43</v>
      </c>
      <c r="H1455" s="2" t="s">
        <v>21</v>
      </c>
      <c r="I1455" s="2" t="s">
        <v>3252</v>
      </c>
      <c r="J1455" s="3" t="str">
        <f>HYPERLINK("https://www.boe.es/gazeta/dias/1820/10/10/pdfs/GGB-1820-104.pdf#page=2","Abrir facsímil")</f>
        <v>Abrir facsímil</v>
      </c>
      <c r="K1455" s="3" t="s">
        <v>23</v>
      </c>
    </row>
    <row r="1456" spans="1:11" ht="42" customHeight="1">
      <c r="A1456" s="2" t="s">
        <v>3209</v>
      </c>
      <c r="B1456" s="2" t="s">
        <v>3209</v>
      </c>
      <c r="C1456" s="2" t="s">
        <v>107</v>
      </c>
      <c r="D1456" s="2" t="s">
        <v>18</v>
      </c>
      <c r="E1456" s="5">
        <v>-28929</v>
      </c>
      <c r="F1456" s="3" t="s">
        <v>728</v>
      </c>
      <c r="G1456" s="3" t="s">
        <v>20</v>
      </c>
      <c r="H1456" s="2" t="s">
        <v>21</v>
      </c>
      <c r="I1456" s="2" t="s">
        <v>3253</v>
      </c>
      <c r="J1456" s="3" t="str">
        <f>HYPERLINK("https://www.boe.es/gazeta/dias/1820/10/16/pdfs/GGB-1820-110.pdf#page=4","Abrir facsímil")</f>
        <v>Abrir facsímil</v>
      </c>
      <c r="K1456" s="3" t="s">
        <v>23</v>
      </c>
    </row>
    <row r="1457" spans="1:11" ht="42" customHeight="1">
      <c r="A1457" s="2" t="s">
        <v>3254</v>
      </c>
      <c r="B1457" s="2" t="s">
        <v>3254</v>
      </c>
      <c r="C1457" s="2" t="s">
        <v>35</v>
      </c>
      <c r="D1457" s="2" t="s">
        <v>36</v>
      </c>
      <c r="E1457" s="5">
        <v>-28926</v>
      </c>
      <c r="F1457" s="3" t="s">
        <v>597</v>
      </c>
      <c r="G1457" s="3" t="s">
        <v>43</v>
      </c>
      <c r="H1457" s="2" t="s">
        <v>21</v>
      </c>
      <c r="I1457" s="2" t="s">
        <v>3255</v>
      </c>
      <c r="J1457" s="3" t="str">
        <f>HYPERLINK("https://www.boe.es/gazeta/dias/1820/10/19/pdfs/GGB-1820-113.pdf#page=2","Abrir facsímil")</f>
        <v>Abrir facsímil</v>
      </c>
      <c r="K1457" s="3" t="s">
        <v>23</v>
      </c>
    </row>
    <row r="1458" spans="1:11" ht="42" customHeight="1">
      <c r="A1458" s="2" t="s">
        <v>3209</v>
      </c>
      <c r="B1458" s="2" t="s">
        <v>3209</v>
      </c>
      <c r="C1458" s="2" t="s">
        <v>35</v>
      </c>
      <c r="D1458" s="2" t="s">
        <v>36</v>
      </c>
      <c r="E1458" s="5">
        <v>-28925</v>
      </c>
      <c r="F1458" s="3" t="s">
        <v>228</v>
      </c>
      <c r="G1458" s="3" t="s">
        <v>43</v>
      </c>
      <c r="H1458" s="2" t="s">
        <v>21</v>
      </c>
      <c r="I1458" s="2" t="s">
        <v>3256</v>
      </c>
      <c r="J1458" s="3" t="str">
        <f>HYPERLINK("https://www.boe.es/gazeta/dias/1820/10/20/pdfs/GGB-1820-114.pdf#page=2","Abrir facsímil")</f>
        <v>Abrir facsímil</v>
      </c>
      <c r="K1458" s="3" t="s">
        <v>23</v>
      </c>
    </row>
    <row r="1459" spans="1:11" ht="42" customHeight="1">
      <c r="A1459" s="2" t="s">
        <v>3209</v>
      </c>
      <c r="B1459" s="2" t="s">
        <v>3209</v>
      </c>
      <c r="C1459" s="2" t="s">
        <v>35</v>
      </c>
      <c r="D1459" s="2" t="s">
        <v>36</v>
      </c>
      <c r="E1459" s="5">
        <v>-28923</v>
      </c>
      <c r="F1459" s="3" t="s">
        <v>648</v>
      </c>
      <c r="G1459" s="3" t="s">
        <v>20</v>
      </c>
      <c r="H1459" s="2" t="s">
        <v>21</v>
      </c>
      <c r="I1459" s="2" t="s">
        <v>3257</v>
      </c>
      <c r="J1459" s="3" t="str">
        <f>HYPERLINK("https://www.boe.es/gazeta/dias/1820/10/22/pdfs/GGB-1820-116.pdf#page=4","Abrir facsímil")</f>
        <v>Abrir facsímil</v>
      </c>
      <c r="K1459" s="3" t="s">
        <v>23</v>
      </c>
    </row>
    <row r="1460" spans="1:11" ht="42" customHeight="1">
      <c r="A1460" s="2" t="s">
        <v>3209</v>
      </c>
      <c r="B1460" s="2" t="s">
        <v>3209</v>
      </c>
      <c r="C1460" s="2" t="s">
        <v>74</v>
      </c>
      <c r="D1460" s="2" t="s">
        <v>18</v>
      </c>
      <c r="E1460" s="5">
        <v>-28919</v>
      </c>
      <c r="F1460" s="3" t="s">
        <v>516</v>
      </c>
      <c r="G1460" s="3" t="s">
        <v>20</v>
      </c>
      <c r="H1460" s="2" t="s">
        <v>21</v>
      </c>
      <c r="I1460" s="2" t="s">
        <v>3258</v>
      </c>
      <c r="J1460" s="3" t="str">
        <f>HYPERLINK("https://www.boe.es/gazeta/dias/1820/10/26/pdfs/GGB-1820-120.pdf#page=4","Abrir facsímil")</f>
        <v>Abrir facsímil</v>
      </c>
      <c r="K1460" s="3" t="s">
        <v>23</v>
      </c>
    </row>
    <row r="1461" spans="1:11" ht="42" customHeight="1">
      <c r="A1461" s="2" t="s">
        <v>3209</v>
      </c>
      <c r="B1461" s="2" t="s">
        <v>3209</v>
      </c>
      <c r="C1461" s="2" t="s">
        <v>293</v>
      </c>
      <c r="D1461" s="2" t="s">
        <v>18</v>
      </c>
      <c r="E1461" s="5">
        <v>-28917</v>
      </c>
      <c r="F1461" s="3" t="s">
        <v>19</v>
      </c>
      <c r="G1461" s="3" t="s">
        <v>20</v>
      </c>
      <c r="H1461" s="2" t="s">
        <v>21</v>
      </c>
      <c r="I1461" s="2" t="s">
        <v>3259</v>
      </c>
      <c r="J1461" s="3" t="str">
        <f>HYPERLINK("https://www.boe.es/gazeta/dias/1820/10/28/pdfs/GGB-1820-122.pdf#page=4","Abrir facsímil")</f>
        <v>Abrir facsímil</v>
      </c>
      <c r="K1461" s="3" t="s">
        <v>23</v>
      </c>
    </row>
    <row r="1462" spans="1:11" ht="42" customHeight="1">
      <c r="A1462" s="2" t="s">
        <v>3209</v>
      </c>
      <c r="B1462" s="2" t="s">
        <v>3209</v>
      </c>
      <c r="C1462" s="2" t="s">
        <v>74</v>
      </c>
      <c r="D1462" s="2" t="s">
        <v>18</v>
      </c>
      <c r="E1462" s="5">
        <v>-28915</v>
      </c>
      <c r="F1462" s="3" t="s">
        <v>525</v>
      </c>
      <c r="G1462" s="3" t="s">
        <v>20</v>
      </c>
      <c r="H1462" s="2" t="s">
        <v>21</v>
      </c>
      <c r="I1462" s="2" t="s">
        <v>3260</v>
      </c>
      <c r="J1462" s="3" t="str">
        <f>HYPERLINK("https://www.boe.es/gazeta/dias/1820/10/30/pdfs/GGB-1820-124.pdf#page=4","Abrir facsímil")</f>
        <v>Abrir facsímil</v>
      </c>
      <c r="K1462" s="3" t="s">
        <v>23</v>
      </c>
    </row>
    <row r="1463" spans="1:11" ht="42" customHeight="1">
      <c r="A1463" s="2" t="s">
        <v>3209</v>
      </c>
      <c r="B1463" s="2" t="s">
        <v>3209</v>
      </c>
      <c r="C1463" s="2" t="s">
        <v>47</v>
      </c>
      <c r="D1463" s="2" t="s">
        <v>18</v>
      </c>
      <c r="E1463" s="5">
        <v>-28910</v>
      </c>
      <c r="F1463" s="3" t="s">
        <v>746</v>
      </c>
      <c r="G1463" s="3" t="s">
        <v>62</v>
      </c>
      <c r="H1463" s="2" t="s">
        <v>21</v>
      </c>
      <c r="I1463" s="2" t="s">
        <v>3261</v>
      </c>
      <c r="J1463" s="3" t="str">
        <f>HYPERLINK("https://www.boe.es/gazeta/dias/1820/11/04/pdfs/GGB-1820-129.pdf#page=3","Abrir facsímil")</f>
        <v>Abrir facsímil</v>
      </c>
      <c r="K1463" s="3" t="s">
        <v>23</v>
      </c>
    </row>
    <row r="1464" spans="1:11" ht="42" customHeight="1">
      <c r="A1464" s="2" t="s">
        <v>3209</v>
      </c>
      <c r="B1464" s="2" t="s">
        <v>3209</v>
      </c>
      <c r="C1464" s="2" t="s">
        <v>35</v>
      </c>
      <c r="D1464" s="2" t="s">
        <v>36</v>
      </c>
      <c r="E1464" s="5">
        <v>-28908</v>
      </c>
      <c r="F1464" s="3" t="s">
        <v>1060</v>
      </c>
      <c r="G1464" s="3" t="s">
        <v>43</v>
      </c>
      <c r="H1464" s="2" t="s">
        <v>21</v>
      </c>
      <c r="I1464" s="2" t="s">
        <v>3262</v>
      </c>
      <c r="J1464" s="3" t="str">
        <f>HYPERLINK("https://www.boe.es/gazeta/dias/1820/11/06/pdfs/GGB-1820-131.pdf#page=2","Abrir facsímil")</f>
        <v>Abrir facsímil</v>
      </c>
      <c r="K1464" s="3" t="s">
        <v>23</v>
      </c>
    </row>
    <row r="1465" spans="1:11" ht="42" customHeight="1">
      <c r="A1465" s="2" t="s">
        <v>3209</v>
      </c>
      <c r="B1465" s="2" t="s">
        <v>3209</v>
      </c>
      <c r="C1465" s="2" t="s">
        <v>26</v>
      </c>
      <c r="D1465" s="2" t="s">
        <v>27</v>
      </c>
      <c r="E1465" s="5">
        <v>-28908</v>
      </c>
      <c r="F1465" s="3" t="s">
        <v>1060</v>
      </c>
      <c r="G1465" s="3" t="s">
        <v>62</v>
      </c>
      <c r="H1465" s="2" t="s">
        <v>21</v>
      </c>
      <c r="I1465" s="2" t="s">
        <v>3263</v>
      </c>
      <c r="J1465" s="3" t="str">
        <f>HYPERLINK("https://www.boe.es/gazeta/dias/1820/11/06/pdfs/GGB-1820-131.pdf#page=3","Abrir facsímil")</f>
        <v>Abrir facsímil</v>
      </c>
      <c r="K1465" s="3" t="s">
        <v>23</v>
      </c>
    </row>
    <row r="1466" spans="1:11" ht="42" customHeight="1">
      <c r="A1466" s="2" t="s">
        <v>3209</v>
      </c>
      <c r="B1466" s="2" t="s">
        <v>3209</v>
      </c>
      <c r="C1466" s="2" t="s">
        <v>17</v>
      </c>
      <c r="D1466" s="2" t="s">
        <v>18</v>
      </c>
      <c r="E1466" s="5">
        <v>-28907</v>
      </c>
      <c r="F1466" s="3" t="s">
        <v>374</v>
      </c>
      <c r="G1466" s="3" t="s">
        <v>128</v>
      </c>
      <c r="H1466" s="2" t="s">
        <v>21</v>
      </c>
      <c r="I1466" s="2" t="s">
        <v>3264</v>
      </c>
      <c r="J1466" s="3" t="str">
        <f>HYPERLINK("https://www.boe.es/gazeta/dias/1820/11/07/pdfs/GGB-1820-132.pdf#page=1","Abrir facsímil")</f>
        <v>Abrir facsímil</v>
      </c>
      <c r="K1466" s="3" t="s">
        <v>23</v>
      </c>
    </row>
    <row r="1467" spans="1:11" ht="42" customHeight="1">
      <c r="A1467" s="2" t="s">
        <v>3265</v>
      </c>
      <c r="B1467" s="2" t="s">
        <v>3266</v>
      </c>
      <c r="C1467" s="2" t="s">
        <v>35</v>
      </c>
      <c r="D1467" s="2" t="s">
        <v>36</v>
      </c>
      <c r="E1467" s="5">
        <v>-28965</v>
      </c>
      <c r="F1467" s="3" t="s">
        <v>1520</v>
      </c>
      <c r="G1467" s="3" t="s">
        <v>62</v>
      </c>
      <c r="H1467" s="2" t="s">
        <v>21</v>
      </c>
      <c r="I1467" s="2" t="s">
        <v>3267</v>
      </c>
      <c r="J1467" s="3" t="str">
        <f>HYPERLINK("https://www.boe.es/gazeta/dias/1820/09/10/pdfs/GGB-1820-74.pdf#page=3","Abrir facsímil")</f>
        <v>Abrir facsímil</v>
      </c>
      <c r="K1467" s="3" t="s">
        <v>23</v>
      </c>
    </row>
    <row r="1468" spans="1:11" ht="42" customHeight="1">
      <c r="A1468" s="2" t="s">
        <v>3268</v>
      </c>
      <c r="B1468" s="2" t="s">
        <v>3269</v>
      </c>
      <c r="C1468" s="2" t="s">
        <v>35</v>
      </c>
      <c r="D1468" s="2" t="s">
        <v>36</v>
      </c>
      <c r="E1468" s="5">
        <v>-28965</v>
      </c>
      <c r="F1468" s="3" t="s">
        <v>1520</v>
      </c>
      <c r="G1468" s="3" t="s">
        <v>62</v>
      </c>
      <c r="H1468" s="2" t="s">
        <v>21</v>
      </c>
      <c r="I1468" s="2" t="s">
        <v>3270</v>
      </c>
      <c r="J1468" s="3" t="str">
        <f>HYPERLINK("https://www.boe.es/gazeta/dias/1820/09/10/pdfs/GGB-1820-74.pdf#page=3","Abrir facsímil")</f>
        <v>Abrir facsímil</v>
      </c>
      <c r="K1468" s="3" t="s">
        <v>23</v>
      </c>
    </row>
    <row r="1469" spans="1:11" ht="42" customHeight="1">
      <c r="A1469" s="2" t="s">
        <v>3271</v>
      </c>
      <c r="B1469" s="2" t="s">
        <v>3271</v>
      </c>
      <c r="C1469" s="2" t="s">
        <v>17</v>
      </c>
      <c r="D1469" s="2" t="s">
        <v>18</v>
      </c>
      <c r="E1469" s="5">
        <v>-29021</v>
      </c>
      <c r="F1469" s="3" t="s">
        <v>377</v>
      </c>
      <c r="G1469" s="3" t="s">
        <v>62</v>
      </c>
      <c r="H1469" s="2" t="s">
        <v>21</v>
      </c>
      <c r="I1469" s="2" t="s">
        <v>3272</v>
      </c>
      <c r="J1469" s="3" t="str">
        <f>HYPERLINK("https://www.boe.es/gazeta/dias/1820/07/16/pdfs/GGB-1820-18.pdf#page=3","Abrir facsímil")</f>
        <v>Abrir facsímil</v>
      </c>
      <c r="K1469" s="3" t="s">
        <v>23</v>
      </c>
    </row>
    <row r="1470" spans="1:11" ht="42" customHeight="1">
      <c r="A1470" s="2" t="s">
        <v>3273</v>
      </c>
      <c r="B1470" s="2" t="s">
        <v>3274</v>
      </c>
      <c r="C1470" s="2" t="s">
        <v>26</v>
      </c>
      <c r="D1470" s="2" t="s">
        <v>27</v>
      </c>
      <c r="E1470" s="5">
        <v>-28854</v>
      </c>
      <c r="F1470" s="3" t="s">
        <v>147</v>
      </c>
      <c r="G1470" s="3" t="s">
        <v>43</v>
      </c>
      <c r="H1470" s="2" t="s">
        <v>21</v>
      </c>
      <c r="I1470" s="2" t="s">
        <v>3275</v>
      </c>
      <c r="J1470" s="3" t="str">
        <f>HYPERLINK("https://www.boe.es/gazeta/dias/1820/12/30/pdfs/GGB-1820-187.pdf#page=2","Abrir facsímil")</f>
        <v>Abrir facsímil</v>
      </c>
      <c r="K1470" s="3" t="s">
        <v>23</v>
      </c>
    </row>
    <row r="1471" spans="1:11" ht="42" customHeight="1">
      <c r="A1471" s="2" t="s">
        <v>3276</v>
      </c>
      <c r="B1471" s="2" t="s">
        <v>3276</v>
      </c>
      <c r="C1471" s="2" t="s">
        <v>293</v>
      </c>
      <c r="D1471" s="2" t="s">
        <v>18</v>
      </c>
      <c r="E1471" s="5">
        <v>-29122</v>
      </c>
      <c r="F1471" s="3" t="s">
        <v>844</v>
      </c>
      <c r="G1471" s="3" t="s">
        <v>62</v>
      </c>
      <c r="H1471" s="2" t="s">
        <v>21</v>
      </c>
      <c r="I1471" s="2" t="s">
        <v>3277</v>
      </c>
      <c r="J1471" s="3" t="str">
        <f>HYPERLINK("https://www.boe.es/gazeta/dias/1820/04/06/pdfs/GMD-1820-62.pdf#page=3","Abrir facsímil")</f>
        <v>Abrir facsímil</v>
      </c>
      <c r="K1471" s="3" t="s">
        <v>23</v>
      </c>
    </row>
    <row r="1472" spans="1:11" ht="42" customHeight="1">
      <c r="A1472" s="2" t="s">
        <v>3278</v>
      </c>
      <c r="B1472" s="2" t="s">
        <v>3279</v>
      </c>
      <c r="C1472" s="2" t="s">
        <v>293</v>
      </c>
      <c r="D1472" s="2" t="s">
        <v>18</v>
      </c>
      <c r="E1472" s="5">
        <v>-29192</v>
      </c>
      <c r="F1472" s="3" t="s">
        <v>497</v>
      </c>
      <c r="G1472" s="3" t="s">
        <v>498</v>
      </c>
      <c r="H1472" s="2" t="s">
        <v>21</v>
      </c>
      <c r="I1472" s="2" t="s">
        <v>3280</v>
      </c>
      <c r="J1472" s="3" t="str">
        <f>HYPERLINK("https://www.boe.es/gazeta/dias/1820/01/27/pdfs/GMD-1820-12.pdf#page=7","Abrir facsímil")</f>
        <v>Abrir facsímil</v>
      </c>
      <c r="K1472" s="3" t="s">
        <v>23</v>
      </c>
    </row>
    <row r="1473" spans="1:11" ht="42" customHeight="1">
      <c r="A1473" s="2" t="s">
        <v>3281</v>
      </c>
      <c r="B1473" s="2" t="s">
        <v>3282</v>
      </c>
      <c r="C1473" s="2" t="s">
        <v>26</v>
      </c>
      <c r="D1473" s="2" t="s">
        <v>27</v>
      </c>
      <c r="E1473" s="5">
        <v>-29029</v>
      </c>
      <c r="F1473" s="3" t="s">
        <v>282</v>
      </c>
      <c r="G1473" s="3" t="s">
        <v>20</v>
      </c>
      <c r="H1473" s="2" t="s">
        <v>21</v>
      </c>
      <c r="I1473" s="2" t="s">
        <v>3283</v>
      </c>
      <c r="J1473" s="3" t="str">
        <f>HYPERLINK("https://www.boe.es/gazeta/dias/1820/07/08/pdfs/GGB-1820-9.pdf#page=4","Abrir facsímil")</f>
        <v>Abrir facsímil</v>
      </c>
      <c r="K1473" s="3" t="s">
        <v>23</v>
      </c>
    </row>
    <row r="1474" spans="1:11" ht="42" customHeight="1">
      <c r="A1474" s="2" t="s">
        <v>3284</v>
      </c>
      <c r="B1474" s="2" t="s">
        <v>3285</v>
      </c>
      <c r="C1474" s="2" t="s">
        <v>35</v>
      </c>
      <c r="D1474" s="2" t="s">
        <v>36</v>
      </c>
      <c r="E1474" s="5">
        <v>-28935</v>
      </c>
      <c r="F1474" s="3" t="s">
        <v>2464</v>
      </c>
      <c r="G1474" s="3" t="s">
        <v>43</v>
      </c>
      <c r="H1474" s="2" t="s">
        <v>21</v>
      </c>
      <c r="I1474" s="2" t="s">
        <v>3286</v>
      </c>
      <c r="J1474" s="3" t="str">
        <f>HYPERLINK("https://www.boe.es/gazeta/dias/1820/10/10/pdfs/GGB-1820-104.pdf#page=2","Abrir facsímil")</f>
        <v>Abrir facsímil</v>
      </c>
      <c r="K1474" s="3" t="s">
        <v>23</v>
      </c>
    </row>
    <row r="1475" spans="1:11" ht="42" customHeight="1">
      <c r="A1475" s="2" t="s">
        <v>3287</v>
      </c>
      <c r="B1475" s="2" t="s">
        <v>3288</v>
      </c>
      <c r="C1475" s="2" t="s">
        <v>35</v>
      </c>
      <c r="D1475" s="2" t="s">
        <v>36</v>
      </c>
      <c r="E1475" s="5">
        <v>-28944</v>
      </c>
      <c r="F1475" s="3" t="s">
        <v>990</v>
      </c>
      <c r="G1475" s="3" t="s">
        <v>128</v>
      </c>
      <c r="H1475" s="2" t="s">
        <v>21</v>
      </c>
      <c r="I1475" s="2" t="s">
        <v>3289</v>
      </c>
      <c r="J1475" s="3" t="str">
        <f>HYPERLINK("https://www.boe.es/gazeta/dias/1820/10/01/pdfs/GGB-1820-95.pdf#page=1","Abrir facsímil")</f>
        <v>Abrir facsímil</v>
      </c>
      <c r="K1475" s="3" t="s">
        <v>23</v>
      </c>
    </row>
    <row r="1476" spans="1:11" ht="42" customHeight="1">
      <c r="A1476" s="2" t="s">
        <v>3290</v>
      </c>
      <c r="B1476" s="2" t="s">
        <v>3290</v>
      </c>
      <c r="C1476" s="2" t="s">
        <v>17</v>
      </c>
      <c r="D1476" s="2" t="s">
        <v>18</v>
      </c>
      <c r="E1476" s="5">
        <v>-28961</v>
      </c>
      <c r="F1476" s="3" t="s">
        <v>242</v>
      </c>
      <c r="G1476" s="3" t="s">
        <v>2442</v>
      </c>
      <c r="H1476" s="2" t="s">
        <v>21</v>
      </c>
      <c r="I1476" s="2" t="s">
        <v>3291</v>
      </c>
      <c r="J1476" s="3" t="str">
        <f>HYPERLINK("https://www.boe.es/gazeta/dias/1820/09/14/pdfs/GGB-1820-78.pdf#page=4","Abrir facsímil")</f>
        <v>Abrir facsímil</v>
      </c>
      <c r="K1476" s="3" t="s">
        <v>23</v>
      </c>
    </row>
    <row r="1477" spans="1:11" ht="42" customHeight="1">
      <c r="A1477" s="2" t="s">
        <v>3292</v>
      </c>
      <c r="B1477" s="2" t="s">
        <v>3292</v>
      </c>
      <c r="C1477" s="2" t="s">
        <v>35</v>
      </c>
      <c r="D1477" s="2" t="s">
        <v>36</v>
      </c>
      <c r="E1477" s="5">
        <v>-28938</v>
      </c>
      <c r="F1477" s="3" t="s">
        <v>716</v>
      </c>
      <c r="G1477" s="3" t="s">
        <v>62</v>
      </c>
      <c r="H1477" s="2" t="s">
        <v>21</v>
      </c>
      <c r="I1477" s="2" t="s">
        <v>3293</v>
      </c>
      <c r="J1477" s="3" t="str">
        <f>HYPERLINK("https://www.boe.es/gazeta/dias/1820/10/07/pdfs/GGB-1820-101.pdf#page=3","Abrir facsímil")</f>
        <v>Abrir facsímil</v>
      </c>
      <c r="K1477" s="3" t="s">
        <v>23</v>
      </c>
    </row>
    <row r="1478" spans="1:11" ht="42" customHeight="1">
      <c r="A1478" s="2" t="s">
        <v>3294</v>
      </c>
      <c r="B1478" s="2" t="s">
        <v>3295</v>
      </c>
      <c r="C1478" s="2" t="s">
        <v>26</v>
      </c>
      <c r="D1478" s="2" t="s">
        <v>27</v>
      </c>
      <c r="E1478" s="5">
        <v>-28938</v>
      </c>
      <c r="F1478" s="3" t="s">
        <v>716</v>
      </c>
      <c r="G1478" s="3" t="s">
        <v>62</v>
      </c>
      <c r="H1478" s="2" t="s">
        <v>21</v>
      </c>
      <c r="I1478" s="2" t="s">
        <v>3296</v>
      </c>
      <c r="J1478" s="3" t="str">
        <f>HYPERLINK("https://www.boe.es/gazeta/dias/1820/10/07/pdfs/GGB-1820-101.pdf#page=3","Abrir facsímil")</f>
        <v>Abrir facsímil</v>
      </c>
      <c r="K1478" s="3" t="s">
        <v>23</v>
      </c>
    </row>
    <row r="1479" spans="1:11" ht="42" customHeight="1">
      <c r="A1479" s="2" t="s">
        <v>3297</v>
      </c>
      <c r="B1479" s="2" t="s">
        <v>3298</v>
      </c>
      <c r="C1479" s="2" t="s">
        <v>107</v>
      </c>
      <c r="D1479" s="2" t="s">
        <v>18</v>
      </c>
      <c r="E1479" s="5">
        <v>-28958</v>
      </c>
      <c r="F1479" s="3" t="s">
        <v>706</v>
      </c>
      <c r="G1479" s="3" t="s">
        <v>20</v>
      </c>
      <c r="H1479" s="2" t="s">
        <v>21</v>
      </c>
      <c r="I1479" s="2" t="s">
        <v>3299</v>
      </c>
      <c r="J1479" s="3" t="str">
        <f>HYPERLINK("https://www.boe.es/gazeta/dias/1820/09/17/pdfs/GGB-1820-81.pdf#page=4","Abrir facsímil")</f>
        <v>Abrir facsímil</v>
      </c>
      <c r="K1479" s="3" t="s">
        <v>23</v>
      </c>
    </row>
    <row r="1480" spans="1:11" ht="42" customHeight="1">
      <c r="A1480" s="2" t="s">
        <v>3300</v>
      </c>
      <c r="B1480" s="2" t="s">
        <v>3301</v>
      </c>
      <c r="C1480" s="2" t="s">
        <v>74</v>
      </c>
      <c r="D1480" s="2" t="s">
        <v>18</v>
      </c>
      <c r="E1480" s="5">
        <v>-29194</v>
      </c>
      <c r="F1480" s="3" t="s">
        <v>416</v>
      </c>
      <c r="G1480" s="3" t="s">
        <v>20</v>
      </c>
      <c r="H1480" s="2" t="s">
        <v>21</v>
      </c>
      <c r="I1480" s="2" t="s">
        <v>3302</v>
      </c>
      <c r="J1480" s="3" t="str">
        <f>HYPERLINK("https://www.boe.es/gazeta/dias/1820/01/25/pdfs/GMD-1820-11.pdf#page=4","Abrir facsímil")</f>
        <v>Abrir facsímil</v>
      </c>
      <c r="K1480" s="3" t="s">
        <v>23</v>
      </c>
    </row>
    <row r="1481" spans="1:11" ht="42" customHeight="1">
      <c r="A1481" s="2" t="s">
        <v>3303</v>
      </c>
      <c r="B1481" s="2" t="s">
        <v>3304</v>
      </c>
      <c r="C1481" s="2" t="s">
        <v>26</v>
      </c>
      <c r="D1481" s="2" t="s">
        <v>27</v>
      </c>
      <c r="E1481" s="5">
        <v>-29211</v>
      </c>
      <c r="F1481" s="3" t="s">
        <v>578</v>
      </c>
      <c r="G1481" s="3" t="s">
        <v>20</v>
      </c>
      <c r="H1481" s="2" t="s">
        <v>21</v>
      </c>
      <c r="I1481" s="2" t="s">
        <v>3305</v>
      </c>
      <c r="J1481" s="3" t="str">
        <f>HYPERLINK("https://www.boe.es/gazeta/dias/1820/01/08/pdfs/GMD-1820-4.pdf#page=4","Abrir facsímil")</f>
        <v>Abrir facsímil</v>
      </c>
      <c r="K1481" s="3" t="s">
        <v>23</v>
      </c>
    </row>
    <row r="1482" spans="1:11" ht="42" customHeight="1">
      <c r="A1482" s="2" t="s">
        <v>3306</v>
      </c>
      <c r="B1482" s="2" t="s">
        <v>3307</v>
      </c>
      <c r="C1482" s="2" t="s">
        <v>111</v>
      </c>
      <c r="D1482" s="2" t="s">
        <v>18</v>
      </c>
      <c r="E1482" s="5">
        <v>-28980</v>
      </c>
      <c r="F1482" s="3" t="s">
        <v>614</v>
      </c>
      <c r="G1482" s="3" t="s">
        <v>62</v>
      </c>
      <c r="H1482" s="2" t="s">
        <v>21</v>
      </c>
      <c r="I1482" s="2" t="s">
        <v>3308</v>
      </c>
      <c r="J1482" s="3" t="str">
        <f>HYPERLINK("https://www.boe.es/gazeta/dias/1820/08/26/pdfs/GGB-1820-59.pdf#page=3","Abrir facsímil")</f>
        <v>Abrir facsímil</v>
      </c>
      <c r="K1482" s="3" t="s">
        <v>23</v>
      </c>
    </row>
    <row r="1483" spans="1:11" ht="42" customHeight="1">
      <c r="A1483" s="2" t="s">
        <v>3309</v>
      </c>
      <c r="B1483" s="2" t="s">
        <v>3310</v>
      </c>
      <c r="C1483" s="2" t="s">
        <v>26</v>
      </c>
      <c r="D1483" s="2" t="s">
        <v>27</v>
      </c>
      <c r="E1483" s="5">
        <v>-28973</v>
      </c>
      <c r="F1483" s="3" t="s">
        <v>151</v>
      </c>
      <c r="G1483" s="3" t="s">
        <v>20</v>
      </c>
      <c r="H1483" s="2" t="s">
        <v>21</v>
      </c>
      <c r="I1483" s="2" t="s">
        <v>3311</v>
      </c>
      <c r="J1483" s="3" t="str">
        <f>HYPERLINK("https://www.boe.es/gazeta/dias/1820/09/02/pdfs/GGB-1820-66.pdf#page=4","Abrir facsímil")</f>
        <v>Abrir facsímil</v>
      </c>
      <c r="K1483" s="3" t="s">
        <v>23</v>
      </c>
    </row>
    <row r="1484" spans="1:11" ht="42" customHeight="1">
      <c r="A1484" s="2" t="s">
        <v>3312</v>
      </c>
      <c r="B1484" s="2" t="s">
        <v>3312</v>
      </c>
      <c r="C1484" s="2" t="s">
        <v>47</v>
      </c>
      <c r="D1484" s="2" t="s">
        <v>18</v>
      </c>
      <c r="E1484" s="5">
        <v>-28889</v>
      </c>
      <c r="F1484" s="3" t="s">
        <v>777</v>
      </c>
      <c r="G1484" s="3" t="s">
        <v>778</v>
      </c>
      <c r="H1484" s="2" t="s">
        <v>21</v>
      </c>
      <c r="I1484" s="2" t="s">
        <v>3313</v>
      </c>
      <c r="J1484" s="3" t="str">
        <f>HYPERLINK("https://www.boe.es/gazeta/dias/1820/11/25/pdfs/GGB-1820-152.pdf#page=4","Abrir facsímil")</f>
        <v>Abrir facsímil</v>
      </c>
      <c r="K1484" s="3" t="s">
        <v>23</v>
      </c>
    </row>
    <row r="1485" spans="1:11" ht="42" customHeight="1">
      <c r="A1485" s="2" t="s">
        <v>3314</v>
      </c>
      <c r="B1485" s="2" t="s">
        <v>3315</v>
      </c>
      <c r="C1485" s="2" t="s">
        <v>111</v>
      </c>
      <c r="D1485" s="2" t="s">
        <v>18</v>
      </c>
      <c r="E1485" s="5">
        <v>-29136</v>
      </c>
      <c r="F1485" s="3" t="s">
        <v>2972</v>
      </c>
      <c r="G1485" s="3" t="s">
        <v>295</v>
      </c>
      <c r="H1485" s="2" t="s">
        <v>21</v>
      </c>
      <c r="I1485" s="2" t="s">
        <v>3316</v>
      </c>
      <c r="J1485" s="3" t="str">
        <f>HYPERLINK("https://www.boe.es/gazeta/dias/1820/03/23/pdfs/GMD-1820-51.pdf#page=8","Abrir facsímil")</f>
        <v>Abrir facsímil</v>
      </c>
      <c r="K1485" s="3" t="s">
        <v>23</v>
      </c>
    </row>
    <row r="1486" spans="1:11" ht="42" customHeight="1">
      <c r="A1486" s="2" t="s">
        <v>3317</v>
      </c>
      <c r="B1486" s="2" t="s">
        <v>3318</v>
      </c>
      <c r="C1486" s="2" t="s">
        <v>26</v>
      </c>
      <c r="D1486" s="2" t="s">
        <v>27</v>
      </c>
      <c r="E1486" s="5">
        <v>-29014</v>
      </c>
      <c r="F1486" s="3" t="s">
        <v>70</v>
      </c>
      <c r="G1486" s="3" t="s">
        <v>43</v>
      </c>
      <c r="H1486" s="2" t="s">
        <v>21</v>
      </c>
      <c r="I1486" s="2" t="s">
        <v>3319</v>
      </c>
      <c r="J1486" s="3" t="str">
        <f>HYPERLINK("https://www.boe.es/gazeta/dias/1820/07/23/pdfs/GGB-1820-25.pdf#page=2","Abrir facsímil")</f>
        <v>Abrir facsímil</v>
      </c>
      <c r="K1486" s="3" t="s">
        <v>23</v>
      </c>
    </row>
    <row r="1487" spans="1:11" ht="42" customHeight="1">
      <c r="A1487" s="2" t="s">
        <v>3320</v>
      </c>
      <c r="B1487" s="2" t="s">
        <v>3320</v>
      </c>
      <c r="C1487" s="2" t="s">
        <v>17</v>
      </c>
      <c r="D1487" s="2" t="s">
        <v>18</v>
      </c>
      <c r="E1487" s="5">
        <v>-29103</v>
      </c>
      <c r="F1487" s="3" t="s">
        <v>313</v>
      </c>
      <c r="G1487" s="3" t="s">
        <v>62</v>
      </c>
      <c r="H1487" s="2" t="s">
        <v>21</v>
      </c>
      <c r="I1487" s="2" t="s">
        <v>3321</v>
      </c>
      <c r="J1487" s="3" t="str">
        <f>HYPERLINK("https://www.boe.es/gazeta/dias/1820/04/25/pdfs/GMD-1820-70.pdf#page=3","Abrir facsímil")</f>
        <v>Abrir facsímil</v>
      </c>
      <c r="K1487" s="3" t="s">
        <v>23</v>
      </c>
    </row>
    <row r="1488" spans="1:11" ht="42" customHeight="1">
      <c r="A1488" s="2" t="s">
        <v>3322</v>
      </c>
      <c r="B1488" s="2" t="s">
        <v>3322</v>
      </c>
      <c r="C1488" s="2" t="s">
        <v>35</v>
      </c>
      <c r="D1488" s="2" t="s">
        <v>36</v>
      </c>
      <c r="E1488" s="5">
        <v>-29169</v>
      </c>
      <c r="F1488" s="3" t="s">
        <v>962</v>
      </c>
      <c r="G1488" s="3" t="s">
        <v>62</v>
      </c>
      <c r="H1488" s="2" t="s">
        <v>21</v>
      </c>
      <c r="I1488" s="2" t="s">
        <v>3323</v>
      </c>
      <c r="J1488" s="3" t="str">
        <f>HYPERLINK("https://www.boe.es/gazeta/dias/1820/02/19/pdfs/GMD-1820-22.pdf#page=3","Abrir facsímil")</f>
        <v>Abrir facsímil</v>
      </c>
      <c r="K1488" s="3" t="s">
        <v>23</v>
      </c>
    </row>
    <row r="1489" spans="1:11" ht="42" customHeight="1">
      <c r="A1489" s="2" t="s">
        <v>3324</v>
      </c>
      <c r="B1489" s="2" t="s">
        <v>3325</v>
      </c>
      <c r="C1489" s="2" t="s">
        <v>35</v>
      </c>
      <c r="D1489" s="2" t="s">
        <v>36</v>
      </c>
      <c r="E1489" s="5">
        <v>-29136</v>
      </c>
      <c r="F1489" s="3" t="s">
        <v>2972</v>
      </c>
      <c r="G1489" s="3" t="s">
        <v>201</v>
      </c>
      <c r="H1489" s="2" t="s">
        <v>21</v>
      </c>
      <c r="I1489" s="2" t="s">
        <v>3326</v>
      </c>
      <c r="J1489" s="3" t="str">
        <f>HYPERLINK("https://www.boe.es/gazeta/dias/1820/03/23/pdfs/GMD-1820-51.pdf#page=7","Abrir facsímil")</f>
        <v>Abrir facsímil</v>
      </c>
      <c r="K1489" s="3" t="s">
        <v>23</v>
      </c>
    </row>
    <row r="1490" spans="1:11" ht="42" customHeight="1">
      <c r="A1490" s="2" t="s">
        <v>3327</v>
      </c>
      <c r="B1490" s="2" t="s">
        <v>3328</v>
      </c>
      <c r="C1490" s="2" t="s">
        <v>35</v>
      </c>
      <c r="D1490" s="2" t="s">
        <v>36</v>
      </c>
      <c r="E1490" s="5">
        <v>-28938</v>
      </c>
      <c r="F1490" s="3" t="s">
        <v>716</v>
      </c>
      <c r="G1490" s="3" t="s">
        <v>717</v>
      </c>
      <c r="H1490" s="2" t="s">
        <v>21</v>
      </c>
      <c r="I1490" s="2" t="s">
        <v>3329</v>
      </c>
      <c r="J1490" s="3" t="str">
        <f>HYPERLINK("https://www.boe.es/gazeta/dias/1820/10/07/pdfs/GGB-1820-101.pdf#page=2","Abrir facsímil")</f>
        <v>Abrir facsímil</v>
      </c>
      <c r="K1490" s="3" t="s">
        <v>23</v>
      </c>
    </row>
    <row r="1491" spans="1:11" ht="42" customHeight="1">
      <c r="A1491" s="2" t="s">
        <v>3330</v>
      </c>
      <c r="B1491" s="2" t="s">
        <v>3330</v>
      </c>
      <c r="C1491" s="2" t="s">
        <v>26</v>
      </c>
      <c r="D1491" s="2" t="s">
        <v>27</v>
      </c>
      <c r="E1491" s="5">
        <v>-28990</v>
      </c>
      <c r="F1491" s="3" t="s">
        <v>61</v>
      </c>
      <c r="G1491" s="3" t="s">
        <v>128</v>
      </c>
      <c r="H1491" s="2" t="s">
        <v>21</v>
      </c>
      <c r="I1491" s="2" t="s">
        <v>3331</v>
      </c>
      <c r="J1491" s="3" t="str">
        <f>HYPERLINK("https://www.boe.es/gazeta/dias/1820/08/16/pdfs/GGB-1820-49.pdf#page=1","Abrir facsímil")</f>
        <v>Abrir facsímil</v>
      </c>
      <c r="K1491" s="3" t="s">
        <v>23</v>
      </c>
    </row>
    <row r="1492" spans="1:11" ht="42" customHeight="1">
      <c r="A1492" s="2" t="s">
        <v>3332</v>
      </c>
      <c r="B1492" s="2" t="s">
        <v>3333</v>
      </c>
      <c r="C1492" s="2" t="s">
        <v>74</v>
      </c>
      <c r="D1492" s="2" t="s">
        <v>18</v>
      </c>
      <c r="E1492" s="5">
        <v>-28981</v>
      </c>
      <c r="F1492" s="3" t="s">
        <v>42</v>
      </c>
      <c r="G1492" s="3" t="s">
        <v>20</v>
      </c>
      <c r="H1492" s="2" t="s">
        <v>21</v>
      </c>
      <c r="I1492" s="2" t="s">
        <v>3334</v>
      </c>
      <c r="J1492" s="3" t="str">
        <f>HYPERLINK("https://www.boe.es/gazeta/dias/1820/08/25/pdfs/GGB-1820-58.pdf#page=4","Abrir facsímil")</f>
        <v>Abrir facsímil</v>
      </c>
      <c r="K1492" s="3" t="s">
        <v>23</v>
      </c>
    </row>
    <row r="1493" spans="1:11" ht="42" customHeight="1">
      <c r="A1493" s="2" t="s">
        <v>3335</v>
      </c>
      <c r="B1493" s="2" t="s">
        <v>3336</v>
      </c>
      <c r="C1493" s="2" t="s">
        <v>26</v>
      </c>
      <c r="D1493" s="2" t="s">
        <v>27</v>
      </c>
      <c r="E1493" s="5">
        <v>-28980</v>
      </c>
      <c r="F1493" s="3" t="s">
        <v>614</v>
      </c>
      <c r="G1493" s="3" t="s">
        <v>3062</v>
      </c>
      <c r="H1493" s="2" t="s">
        <v>21</v>
      </c>
      <c r="I1493" s="2" t="s">
        <v>3337</v>
      </c>
      <c r="J1493" s="3" t="str">
        <f>HYPERLINK("https://www.boe.es/gazeta/dias/1820/08/26/pdfs/GGB-1820-59.pdf#page=2","Abrir facsímil")</f>
        <v>Abrir facsímil</v>
      </c>
      <c r="K1493" s="3" t="s">
        <v>23</v>
      </c>
    </row>
    <row r="1494" spans="1:11" ht="42" customHeight="1">
      <c r="A1494" s="2" t="s">
        <v>3338</v>
      </c>
      <c r="B1494" s="2" t="s">
        <v>3338</v>
      </c>
      <c r="C1494" s="2" t="s">
        <v>26</v>
      </c>
      <c r="D1494" s="2" t="s">
        <v>27</v>
      </c>
      <c r="E1494" s="5">
        <v>-28934</v>
      </c>
      <c r="F1494" s="3" t="s">
        <v>163</v>
      </c>
      <c r="G1494" s="3" t="s">
        <v>62</v>
      </c>
      <c r="H1494" s="2" t="s">
        <v>21</v>
      </c>
      <c r="I1494" s="2" t="s">
        <v>3339</v>
      </c>
      <c r="J1494" s="3" t="str">
        <f>HYPERLINK("https://www.boe.es/gazeta/dias/1820/10/11/pdfs/GGB-1820-105.pdf#page=3","Abrir facsímil")</f>
        <v>Abrir facsímil</v>
      </c>
      <c r="K1494" s="3" t="s">
        <v>23</v>
      </c>
    </row>
    <row r="1495" spans="1:11" ht="42" customHeight="1">
      <c r="A1495" s="2" t="s">
        <v>3340</v>
      </c>
      <c r="B1495" s="2" t="s">
        <v>3341</v>
      </c>
      <c r="C1495" s="2" t="s">
        <v>35</v>
      </c>
      <c r="D1495" s="2" t="s">
        <v>36</v>
      </c>
      <c r="E1495" s="5">
        <v>-28910</v>
      </c>
      <c r="F1495" s="3" t="s">
        <v>746</v>
      </c>
      <c r="G1495" s="3" t="s">
        <v>43</v>
      </c>
      <c r="H1495" s="2" t="s">
        <v>21</v>
      </c>
      <c r="I1495" s="2" t="s">
        <v>3342</v>
      </c>
      <c r="J1495" s="3" t="str">
        <f>HYPERLINK("https://www.boe.es/gazeta/dias/1820/11/04/pdfs/GGB-1820-129.pdf#page=2","Abrir facsímil")</f>
        <v>Abrir facsímil</v>
      </c>
      <c r="K1495" s="3" t="s">
        <v>23</v>
      </c>
    </row>
    <row r="1496" spans="1:11" ht="42" customHeight="1">
      <c r="A1496" s="2" t="s">
        <v>3343</v>
      </c>
      <c r="B1496" s="2" t="s">
        <v>3344</v>
      </c>
      <c r="C1496" s="2" t="s">
        <v>26</v>
      </c>
      <c r="D1496" s="2" t="s">
        <v>27</v>
      </c>
      <c r="E1496" s="5">
        <v>-29017</v>
      </c>
      <c r="F1496" s="3" t="s">
        <v>274</v>
      </c>
      <c r="G1496" s="3" t="s">
        <v>43</v>
      </c>
      <c r="H1496" s="2" t="s">
        <v>30</v>
      </c>
      <c r="I1496" s="2" t="s">
        <v>3345</v>
      </c>
      <c r="J1496" s="3" t="str">
        <f>HYPERLINK("https://www.boe.es/gazeta/dias/1820/07/20/pdfs/GGB-1820-22.pdf#page=2","Abrir facsímil")</f>
        <v>Abrir facsímil</v>
      </c>
      <c r="K1496" s="3" t="s">
        <v>32</v>
      </c>
    </row>
    <row r="1497" spans="1:11" ht="42" customHeight="1">
      <c r="A1497" s="2" t="s">
        <v>3346</v>
      </c>
      <c r="B1497" s="2" t="s">
        <v>3347</v>
      </c>
      <c r="C1497" s="2" t="s">
        <v>26</v>
      </c>
      <c r="D1497" s="2" t="s">
        <v>27</v>
      </c>
      <c r="E1497" s="5">
        <v>-28975</v>
      </c>
      <c r="F1497" s="3" t="s">
        <v>182</v>
      </c>
      <c r="G1497" s="3" t="s">
        <v>43</v>
      </c>
      <c r="H1497" s="2" t="s">
        <v>21</v>
      </c>
      <c r="I1497" s="2" t="s">
        <v>3348</v>
      </c>
      <c r="J1497" s="3" t="str">
        <f>HYPERLINK("https://www.boe.es/gazeta/dias/1820/08/31/pdfs/GGB-1820-64.pdf#page=2","Abrir facsímil")</f>
        <v>Abrir facsímil</v>
      </c>
      <c r="K1497" s="3" t="s">
        <v>23</v>
      </c>
    </row>
    <row r="1498" spans="1:11" ht="42" customHeight="1">
      <c r="A1498" s="2" t="s">
        <v>3346</v>
      </c>
      <c r="B1498" s="2" t="s">
        <v>3347</v>
      </c>
      <c r="C1498" s="2" t="s">
        <v>26</v>
      </c>
      <c r="D1498" s="2" t="s">
        <v>27</v>
      </c>
      <c r="E1498" s="5">
        <v>-28956</v>
      </c>
      <c r="F1498" s="3" t="s">
        <v>190</v>
      </c>
      <c r="G1498" s="3" t="s">
        <v>20</v>
      </c>
      <c r="H1498" s="2" t="s">
        <v>21</v>
      </c>
      <c r="I1498" s="2" t="s">
        <v>3349</v>
      </c>
      <c r="J1498" s="3" t="str">
        <f>HYPERLINK("https://www.boe.es/gazeta/dias/1820/09/19/pdfs/GGB-1820-83.pdf#page=4","Abrir facsímil")</f>
        <v>Abrir facsímil</v>
      </c>
      <c r="K1498" s="3" t="s">
        <v>23</v>
      </c>
    </row>
    <row r="1499" spans="1:11" ht="42" customHeight="1">
      <c r="A1499" s="2" t="s">
        <v>3346</v>
      </c>
      <c r="B1499" s="2" t="s">
        <v>3347</v>
      </c>
      <c r="C1499" s="2" t="s">
        <v>26</v>
      </c>
      <c r="D1499" s="2" t="s">
        <v>27</v>
      </c>
      <c r="E1499" s="5">
        <v>-28934</v>
      </c>
      <c r="F1499" s="3" t="s">
        <v>163</v>
      </c>
      <c r="G1499" s="3" t="s">
        <v>62</v>
      </c>
      <c r="H1499" s="2" t="s">
        <v>21</v>
      </c>
      <c r="I1499" s="2" t="s">
        <v>3350</v>
      </c>
      <c r="J1499" s="3" t="str">
        <f>HYPERLINK("https://www.boe.es/gazeta/dias/1820/10/11/pdfs/GGB-1820-105.pdf#page=3","Abrir facsímil")</f>
        <v>Abrir facsímil</v>
      </c>
      <c r="K1499" s="3" t="s">
        <v>23</v>
      </c>
    </row>
    <row r="1500" spans="1:11" ht="42" customHeight="1">
      <c r="A1500" s="2" t="s">
        <v>3346</v>
      </c>
      <c r="B1500" s="2" t="s">
        <v>3347</v>
      </c>
      <c r="C1500" s="2" t="s">
        <v>26</v>
      </c>
      <c r="D1500" s="2" t="s">
        <v>27</v>
      </c>
      <c r="E1500" s="5">
        <v>-28933</v>
      </c>
      <c r="F1500" s="3" t="s">
        <v>720</v>
      </c>
      <c r="G1500" s="3" t="s">
        <v>62</v>
      </c>
      <c r="H1500" s="2" t="s">
        <v>21</v>
      </c>
      <c r="I1500" s="2" t="s">
        <v>3351</v>
      </c>
      <c r="J1500" s="3" t="str">
        <f>HYPERLINK("https://www.boe.es/gazeta/dias/1820/10/12/pdfs/GGB-1820-106.pdf#page=3","Abrir facsímil")</f>
        <v>Abrir facsímil</v>
      </c>
      <c r="K1500" s="3" t="s">
        <v>23</v>
      </c>
    </row>
    <row r="1501" spans="1:11" ht="42" customHeight="1">
      <c r="A1501" s="2" t="s">
        <v>3346</v>
      </c>
      <c r="B1501" s="2" t="s">
        <v>3347</v>
      </c>
      <c r="C1501" s="2" t="s">
        <v>47</v>
      </c>
      <c r="D1501" s="2" t="s">
        <v>18</v>
      </c>
      <c r="E1501" s="5">
        <v>-28932</v>
      </c>
      <c r="F1501" s="3" t="s">
        <v>407</v>
      </c>
      <c r="G1501" s="3" t="s">
        <v>62</v>
      </c>
      <c r="H1501" s="2" t="s">
        <v>21</v>
      </c>
      <c r="I1501" s="2" t="s">
        <v>3352</v>
      </c>
      <c r="J1501" s="3" t="str">
        <f>HYPERLINK("https://www.boe.es/gazeta/dias/1820/10/13/pdfs/GGB-1820-107.pdf#page=3","Abrir facsímil")</f>
        <v>Abrir facsímil</v>
      </c>
      <c r="K1501" s="3" t="s">
        <v>23</v>
      </c>
    </row>
    <row r="1502" spans="1:11" ht="42" customHeight="1">
      <c r="A1502" s="2" t="s">
        <v>3353</v>
      </c>
      <c r="B1502" s="2" t="s">
        <v>3354</v>
      </c>
      <c r="C1502" s="2" t="s">
        <v>74</v>
      </c>
      <c r="D1502" s="2" t="s">
        <v>18</v>
      </c>
      <c r="E1502" s="5">
        <v>-28919</v>
      </c>
      <c r="F1502" s="3" t="s">
        <v>516</v>
      </c>
      <c r="G1502" s="3" t="s">
        <v>20</v>
      </c>
      <c r="H1502" s="2" t="s">
        <v>21</v>
      </c>
      <c r="I1502" s="2" t="s">
        <v>3355</v>
      </c>
      <c r="J1502" s="3" t="str">
        <f>HYPERLINK("https://www.boe.es/gazeta/dias/1820/10/26/pdfs/GGB-1820-120.pdf#page=4","Abrir facsímil")</f>
        <v>Abrir facsímil</v>
      </c>
      <c r="K1502" s="3" t="s">
        <v>23</v>
      </c>
    </row>
    <row r="1503" spans="1:11" ht="42" customHeight="1">
      <c r="A1503" s="2" t="s">
        <v>3346</v>
      </c>
      <c r="B1503" s="2" t="s">
        <v>3347</v>
      </c>
      <c r="C1503" s="2" t="s">
        <v>35</v>
      </c>
      <c r="D1503" s="2" t="s">
        <v>36</v>
      </c>
      <c r="E1503" s="5">
        <v>-28910</v>
      </c>
      <c r="F1503" s="3" t="s">
        <v>746</v>
      </c>
      <c r="G1503" s="3" t="s">
        <v>62</v>
      </c>
      <c r="H1503" s="2" t="s">
        <v>21</v>
      </c>
      <c r="I1503" s="2" t="s">
        <v>3356</v>
      </c>
      <c r="J1503" s="3" t="str">
        <f>HYPERLINK("https://www.boe.es/gazeta/dias/1820/11/04/pdfs/GGB-1820-129.pdf#page=3","Abrir facsímil")</f>
        <v>Abrir facsímil</v>
      </c>
      <c r="K1503" s="3" t="s">
        <v>23</v>
      </c>
    </row>
    <row r="1504" spans="1:11" ht="42" customHeight="1">
      <c r="A1504" s="2" t="s">
        <v>3357</v>
      </c>
      <c r="B1504" s="2" t="s">
        <v>3357</v>
      </c>
      <c r="C1504" s="2" t="s">
        <v>74</v>
      </c>
      <c r="D1504" s="2" t="s">
        <v>18</v>
      </c>
      <c r="E1504" s="5">
        <v>-29024</v>
      </c>
      <c r="F1504" s="3" t="s">
        <v>1916</v>
      </c>
      <c r="G1504" s="3" t="s">
        <v>43</v>
      </c>
      <c r="H1504" s="2" t="s">
        <v>21</v>
      </c>
      <c r="I1504" s="2" t="s">
        <v>3358</v>
      </c>
      <c r="J1504" s="3" t="str">
        <f>HYPERLINK("https://www.boe.es/gazeta/dias/1820/07/13/pdfs/GGB-1820-15.pdf#page=2","Abrir facsímil")</f>
        <v>Abrir facsímil</v>
      </c>
      <c r="K1504" s="3" t="s">
        <v>23</v>
      </c>
    </row>
    <row r="1505" spans="1:11" ht="42" customHeight="1">
      <c r="A1505" s="2" t="s">
        <v>3359</v>
      </c>
      <c r="B1505" s="2" t="s">
        <v>3359</v>
      </c>
      <c r="C1505" s="2" t="s">
        <v>26</v>
      </c>
      <c r="D1505" s="2" t="s">
        <v>27</v>
      </c>
      <c r="E1505" s="5">
        <v>-28986</v>
      </c>
      <c r="F1505" s="3" t="s">
        <v>488</v>
      </c>
      <c r="G1505" s="3" t="s">
        <v>62</v>
      </c>
      <c r="H1505" s="2" t="s">
        <v>21</v>
      </c>
      <c r="I1505" s="2" t="s">
        <v>3360</v>
      </c>
      <c r="J1505" s="3" t="str">
        <f>HYPERLINK("https://www.boe.es/gazeta/dias/1820/08/20/pdfs/GGB-1820-53.pdf#page=3","Abrir facsímil")</f>
        <v>Abrir facsímil</v>
      </c>
      <c r="K1505" s="3" t="s">
        <v>23</v>
      </c>
    </row>
    <row r="1506" spans="1:11" ht="42" customHeight="1">
      <c r="A1506" s="2" t="s">
        <v>3361</v>
      </c>
      <c r="B1506" s="2" t="s">
        <v>3362</v>
      </c>
      <c r="C1506" s="2" t="s">
        <v>26</v>
      </c>
      <c r="D1506" s="2" t="s">
        <v>27</v>
      </c>
      <c r="E1506" s="5">
        <v>-29094</v>
      </c>
      <c r="F1506" s="3" t="s">
        <v>560</v>
      </c>
      <c r="G1506" s="3" t="s">
        <v>38</v>
      </c>
      <c r="H1506" s="2" t="s">
        <v>21</v>
      </c>
      <c r="I1506" s="2" t="s">
        <v>3363</v>
      </c>
      <c r="J1506" s="3" t="str">
        <f>HYPERLINK("https://www.boe.es/gazeta/dias/1820/05/04/pdfs/GMD-1820-75.pdf#page=6","Abrir facsímil")</f>
        <v>Abrir facsímil</v>
      </c>
      <c r="K1506" s="3" t="s">
        <v>23</v>
      </c>
    </row>
    <row r="1507" spans="1:11" ht="42" customHeight="1">
      <c r="A1507" s="2" t="s">
        <v>3364</v>
      </c>
      <c r="B1507" s="2" t="s">
        <v>3365</v>
      </c>
      <c r="C1507" s="2" t="s">
        <v>17</v>
      </c>
      <c r="D1507" s="2" t="s">
        <v>18</v>
      </c>
      <c r="E1507" s="5">
        <v>-29166</v>
      </c>
      <c r="F1507" s="3" t="s">
        <v>799</v>
      </c>
      <c r="G1507" s="3" t="s">
        <v>295</v>
      </c>
      <c r="H1507" s="2" t="s">
        <v>21</v>
      </c>
      <c r="I1507" s="2" t="s">
        <v>3366</v>
      </c>
      <c r="J1507" s="3" t="str">
        <f>HYPERLINK("https://www.boe.es/gazeta/dias/1820/02/22/pdfs/GMD-1820-23.pdf#page=8","Abrir facsímil")</f>
        <v>Abrir facsímil</v>
      </c>
      <c r="K1507" s="3" t="s">
        <v>23</v>
      </c>
    </row>
    <row r="1508" spans="1:11" ht="42" customHeight="1">
      <c r="A1508" s="2" t="s">
        <v>3367</v>
      </c>
      <c r="B1508" s="2" t="s">
        <v>3367</v>
      </c>
      <c r="C1508" s="2" t="s">
        <v>35</v>
      </c>
      <c r="D1508" s="2" t="s">
        <v>36</v>
      </c>
      <c r="E1508" s="5">
        <v>-29066</v>
      </c>
      <c r="F1508" s="3" t="s">
        <v>1966</v>
      </c>
      <c r="G1508" s="3" t="s">
        <v>43</v>
      </c>
      <c r="H1508" s="2" t="s">
        <v>21</v>
      </c>
      <c r="I1508" s="2" t="s">
        <v>3368</v>
      </c>
      <c r="J1508" s="3" t="str">
        <f>HYPERLINK("https://www.boe.es/gazeta/dias/1820/06/01/pdfs/GMD-1820-88.pdf#page=2","Abrir facsímil")</f>
        <v>Abrir facsímil</v>
      </c>
      <c r="K1508" s="3" t="s">
        <v>23</v>
      </c>
    </row>
    <row r="1509" spans="1:11" ht="42" customHeight="1">
      <c r="A1509" s="2" t="s">
        <v>3369</v>
      </c>
      <c r="B1509" s="2" t="s">
        <v>3369</v>
      </c>
      <c r="C1509" s="2" t="s">
        <v>74</v>
      </c>
      <c r="D1509" s="2" t="s">
        <v>18</v>
      </c>
      <c r="E1509" s="5">
        <v>-28936</v>
      </c>
      <c r="F1509" s="3" t="s">
        <v>167</v>
      </c>
      <c r="G1509" s="3" t="s">
        <v>128</v>
      </c>
      <c r="H1509" s="2" t="s">
        <v>21</v>
      </c>
      <c r="I1509" s="2" t="s">
        <v>3370</v>
      </c>
      <c r="J1509" s="3" t="str">
        <f>HYPERLINK("https://www.boe.es/gazeta/dias/1820/10/09/pdfs/GGB-1820-103.pdf#page=1","Abrir facsímil")</f>
        <v>Abrir facsímil</v>
      </c>
      <c r="K1509" s="3" t="s">
        <v>23</v>
      </c>
    </row>
    <row r="1510" spans="1:11" ht="42" customHeight="1">
      <c r="A1510" s="2" t="s">
        <v>3371</v>
      </c>
      <c r="B1510" s="2" t="s">
        <v>3372</v>
      </c>
      <c r="C1510" s="2" t="s">
        <v>35</v>
      </c>
      <c r="D1510" s="2" t="s">
        <v>36</v>
      </c>
      <c r="E1510" s="5">
        <v>-28940</v>
      </c>
      <c r="F1510" s="3" t="s">
        <v>141</v>
      </c>
      <c r="G1510" s="3" t="s">
        <v>62</v>
      </c>
      <c r="H1510" s="2" t="s">
        <v>21</v>
      </c>
      <c r="I1510" s="2" t="s">
        <v>3373</v>
      </c>
      <c r="J1510" s="3" t="str">
        <f>HYPERLINK("https://www.boe.es/gazeta/dias/1820/10/05/pdfs/GGB-1820-99.pdf#page=3","Abrir facsímil")</f>
        <v>Abrir facsímil</v>
      </c>
      <c r="K1510" s="3" t="s">
        <v>23</v>
      </c>
    </row>
    <row r="1511" spans="1:11" ht="42" customHeight="1">
      <c r="A1511" s="2" t="s">
        <v>3374</v>
      </c>
      <c r="B1511" s="2" t="s">
        <v>3374</v>
      </c>
      <c r="C1511" s="2" t="s">
        <v>74</v>
      </c>
      <c r="D1511" s="2" t="s">
        <v>18</v>
      </c>
      <c r="E1511" s="5">
        <v>-28936</v>
      </c>
      <c r="F1511" s="3" t="s">
        <v>167</v>
      </c>
      <c r="G1511" s="3" t="s">
        <v>128</v>
      </c>
      <c r="H1511" s="2" t="s">
        <v>21</v>
      </c>
      <c r="I1511" s="2" t="s">
        <v>3375</v>
      </c>
      <c r="J1511" s="3" t="str">
        <f>HYPERLINK("https://www.boe.es/gazeta/dias/1820/10/09/pdfs/GGB-1820-103.pdf#page=1","Abrir facsímil")</f>
        <v>Abrir facsímil</v>
      </c>
      <c r="K1511" s="3" t="s">
        <v>23</v>
      </c>
    </row>
    <row r="1512" spans="1:11" ht="42" customHeight="1">
      <c r="A1512" s="2" t="s">
        <v>3376</v>
      </c>
      <c r="B1512" s="2" t="s">
        <v>3376</v>
      </c>
      <c r="C1512" s="2" t="s">
        <v>26</v>
      </c>
      <c r="D1512" s="2" t="s">
        <v>27</v>
      </c>
      <c r="E1512" s="5">
        <v>-28854</v>
      </c>
      <c r="F1512" s="3" t="s">
        <v>147</v>
      </c>
      <c r="G1512" s="3" t="s">
        <v>20</v>
      </c>
      <c r="H1512" s="2" t="s">
        <v>21</v>
      </c>
      <c r="I1512" s="2" t="s">
        <v>3377</v>
      </c>
      <c r="J1512" s="3" t="str">
        <f>HYPERLINK("https://www.boe.es/gazeta/dias/1820/12/30/pdfs/GGB-1820-187.pdf#page=4","Abrir facsímil")</f>
        <v>Abrir facsímil</v>
      </c>
      <c r="K1512" s="3" t="s">
        <v>23</v>
      </c>
    </row>
    <row r="1513" spans="1:11" ht="42" customHeight="1">
      <c r="A1513" s="2" t="s">
        <v>3378</v>
      </c>
      <c r="B1513" s="2" t="s">
        <v>3378</v>
      </c>
      <c r="C1513" s="2" t="s">
        <v>74</v>
      </c>
      <c r="D1513" s="2" t="s">
        <v>18</v>
      </c>
      <c r="E1513" s="5">
        <v>-28853</v>
      </c>
      <c r="F1513" s="3" t="s">
        <v>3379</v>
      </c>
      <c r="G1513" s="3" t="s">
        <v>62</v>
      </c>
      <c r="H1513" s="2" t="s">
        <v>21</v>
      </c>
      <c r="I1513" s="2" t="s">
        <v>3380</v>
      </c>
      <c r="J1513" s="3" t="str">
        <f>HYPERLINK("https://www.boe.es/gazeta/dias/1820/12/31/pdfs/GGB-1820-188.pdf#page=3","Abrir facsímil")</f>
        <v>Abrir facsímil</v>
      </c>
      <c r="K1513" s="3" t="s">
        <v>23</v>
      </c>
    </row>
    <row r="1514" spans="1:11" ht="42" customHeight="1">
      <c r="A1514" s="2" t="s">
        <v>3381</v>
      </c>
      <c r="B1514" s="2" t="s">
        <v>3381</v>
      </c>
      <c r="C1514" s="2" t="s">
        <v>26</v>
      </c>
      <c r="D1514" s="2" t="s">
        <v>27</v>
      </c>
      <c r="E1514" s="5">
        <v>-28986</v>
      </c>
      <c r="F1514" s="3" t="s">
        <v>488</v>
      </c>
      <c r="G1514" s="3" t="s">
        <v>62</v>
      </c>
      <c r="H1514" s="2" t="s">
        <v>21</v>
      </c>
      <c r="I1514" s="2" t="s">
        <v>3382</v>
      </c>
      <c r="J1514" s="3" t="str">
        <f>HYPERLINK("https://www.boe.es/gazeta/dias/1820/08/20/pdfs/GGB-1820-53.pdf#page=3","Abrir facsímil")</f>
        <v>Abrir facsímil</v>
      </c>
      <c r="K1514" s="3" t="s">
        <v>23</v>
      </c>
    </row>
    <row r="1515" spans="1:11" ht="42" customHeight="1">
      <c r="A1515" s="2" t="s">
        <v>3383</v>
      </c>
      <c r="B1515" s="2" t="s">
        <v>3383</v>
      </c>
      <c r="C1515" s="2" t="s">
        <v>26</v>
      </c>
      <c r="D1515" s="2" t="s">
        <v>27</v>
      </c>
      <c r="E1515" s="5">
        <v>-29025</v>
      </c>
      <c r="F1515" s="3" t="s">
        <v>902</v>
      </c>
      <c r="G1515" s="3" t="s">
        <v>20</v>
      </c>
      <c r="H1515" s="2" t="s">
        <v>21</v>
      </c>
      <c r="I1515" s="2" t="s">
        <v>3384</v>
      </c>
      <c r="J1515" s="3" t="str">
        <f>HYPERLINK("https://www.boe.es/gazeta/dias/1820/07/12/pdfs/GGB-1820-14.pdf#page=4","Abrir facsímil")</f>
        <v>Abrir facsímil</v>
      </c>
      <c r="K1515" s="3" t="s">
        <v>23</v>
      </c>
    </row>
    <row r="1516" spans="1:11" ht="42" customHeight="1">
      <c r="A1516" s="2" t="s">
        <v>3385</v>
      </c>
      <c r="B1516" s="2" t="s">
        <v>3386</v>
      </c>
      <c r="C1516" s="2" t="s">
        <v>26</v>
      </c>
      <c r="D1516" s="2" t="s">
        <v>27</v>
      </c>
      <c r="E1516" s="5">
        <v>-28880</v>
      </c>
      <c r="F1516" s="3" t="s">
        <v>1574</v>
      </c>
      <c r="G1516" s="3" t="s">
        <v>62</v>
      </c>
      <c r="H1516" s="2" t="s">
        <v>21</v>
      </c>
      <c r="I1516" s="2" t="s">
        <v>3387</v>
      </c>
      <c r="J1516" s="3" t="str">
        <f>HYPERLINK("https://www.boe.es/gazeta/dias/1820/12/04/pdfs/GGB-1820-161.pdf#page=3","Abrir facsímil")</f>
        <v>Abrir facsímil</v>
      </c>
      <c r="K1516" s="3" t="s">
        <v>23</v>
      </c>
    </row>
    <row r="1517" spans="1:11" ht="42" customHeight="1">
      <c r="A1517" s="2" t="s">
        <v>3388</v>
      </c>
      <c r="B1517" s="2" t="s">
        <v>3389</v>
      </c>
      <c r="C1517" s="2" t="s">
        <v>17</v>
      </c>
      <c r="D1517" s="2" t="s">
        <v>18</v>
      </c>
      <c r="E1517" s="5">
        <v>-28906</v>
      </c>
      <c r="F1517" s="3" t="s">
        <v>232</v>
      </c>
      <c r="G1517" s="3" t="s">
        <v>62</v>
      </c>
      <c r="H1517" s="2" t="s">
        <v>21</v>
      </c>
      <c r="I1517" s="2" t="s">
        <v>3390</v>
      </c>
      <c r="J1517" s="3" t="str">
        <f>HYPERLINK("https://www.boe.es/gazeta/dias/1820/11/08/pdfs/GGB-1820-133.pdf#page=3","Abrir facsímil")</f>
        <v>Abrir facsímil</v>
      </c>
      <c r="K1517" s="3" t="s">
        <v>23</v>
      </c>
    </row>
    <row r="1518" spans="1:11" ht="42" customHeight="1">
      <c r="A1518" s="2" t="s">
        <v>3391</v>
      </c>
      <c r="B1518" s="2" t="s">
        <v>3391</v>
      </c>
      <c r="C1518" s="2" t="s">
        <v>293</v>
      </c>
      <c r="D1518" s="2" t="s">
        <v>18</v>
      </c>
      <c r="E1518" s="5">
        <v>-29000</v>
      </c>
      <c r="F1518" s="3" t="s">
        <v>670</v>
      </c>
      <c r="G1518" s="3" t="s">
        <v>20</v>
      </c>
      <c r="H1518" s="2" t="s">
        <v>21</v>
      </c>
      <c r="I1518" s="2" t="s">
        <v>3392</v>
      </c>
      <c r="J1518" s="3" t="str">
        <f>HYPERLINK("https://www.boe.es/gazeta/dias/1820/08/06/pdfs/GGB-1820-39.pdf#page=4","Abrir facsímil")</f>
        <v>Abrir facsímil</v>
      </c>
      <c r="K1518" s="3" t="s">
        <v>23</v>
      </c>
    </row>
    <row r="1519" spans="1:11" ht="42" customHeight="1">
      <c r="A1519" s="2" t="s">
        <v>3391</v>
      </c>
      <c r="B1519" s="2" t="s">
        <v>3391</v>
      </c>
      <c r="C1519" s="2" t="s">
        <v>74</v>
      </c>
      <c r="D1519" s="2" t="s">
        <v>18</v>
      </c>
      <c r="E1519" s="5">
        <v>-28994</v>
      </c>
      <c r="F1519" s="3" t="s">
        <v>1612</v>
      </c>
      <c r="G1519" s="3" t="s">
        <v>43</v>
      </c>
      <c r="H1519" s="2" t="s">
        <v>21</v>
      </c>
      <c r="I1519" s="2" t="s">
        <v>3393</v>
      </c>
      <c r="J1519" s="3" t="str">
        <f>HYPERLINK("https://www.boe.es/gazeta/dias/1820/08/12/pdfs/GGB-1820-45.pdf#page=2","Abrir facsímil")</f>
        <v>Abrir facsímil</v>
      </c>
      <c r="K1519" s="3" t="s">
        <v>23</v>
      </c>
    </row>
    <row r="1520" spans="1:11" ht="42" customHeight="1">
      <c r="A1520" s="2" t="s">
        <v>3391</v>
      </c>
      <c r="B1520" s="2" t="s">
        <v>3391</v>
      </c>
      <c r="C1520" s="2" t="s">
        <v>26</v>
      </c>
      <c r="D1520" s="2" t="s">
        <v>27</v>
      </c>
      <c r="E1520" s="5">
        <v>-28964</v>
      </c>
      <c r="F1520" s="3" t="s">
        <v>240</v>
      </c>
      <c r="G1520" s="3" t="s">
        <v>20</v>
      </c>
      <c r="H1520" s="2" t="s">
        <v>21</v>
      </c>
      <c r="I1520" s="2" t="s">
        <v>3394</v>
      </c>
      <c r="J1520" s="3" t="str">
        <f>HYPERLINK("https://www.boe.es/gazeta/dias/1820/09/11/pdfs/GGB-1820-75.pdf#page=4","Abrir facsímil")</f>
        <v>Abrir facsímil</v>
      </c>
      <c r="K1520" s="3" t="s">
        <v>23</v>
      </c>
    </row>
    <row r="1521" spans="1:11" ht="42" customHeight="1">
      <c r="A1521" s="2" t="s">
        <v>3395</v>
      </c>
      <c r="B1521" s="2" t="s">
        <v>3396</v>
      </c>
      <c r="C1521" s="2" t="s">
        <v>26</v>
      </c>
      <c r="D1521" s="2" t="s">
        <v>27</v>
      </c>
      <c r="E1521" s="5">
        <v>-28972</v>
      </c>
      <c r="F1521" s="3" t="s">
        <v>522</v>
      </c>
      <c r="G1521" s="3" t="s">
        <v>62</v>
      </c>
      <c r="H1521" s="2" t="s">
        <v>21</v>
      </c>
      <c r="I1521" s="2" t="s">
        <v>3397</v>
      </c>
      <c r="J1521" s="3" t="str">
        <f>HYPERLINK("https://www.boe.es/gazeta/dias/1820/09/03/pdfs/GGB-1820-67.pdf#page=3","Abrir facsímil")</f>
        <v>Abrir facsímil</v>
      </c>
      <c r="K1521" s="3" t="s">
        <v>23</v>
      </c>
    </row>
    <row r="1522" spans="1:11" ht="42" customHeight="1">
      <c r="A1522" s="2" t="s">
        <v>3398</v>
      </c>
      <c r="B1522" s="2" t="s">
        <v>3398</v>
      </c>
      <c r="C1522" s="2" t="s">
        <v>111</v>
      </c>
      <c r="D1522" s="2" t="s">
        <v>18</v>
      </c>
      <c r="E1522" s="5">
        <v>-28941</v>
      </c>
      <c r="F1522" s="3" t="s">
        <v>1727</v>
      </c>
      <c r="G1522" s="3" t="s">
        <v>62</v>
      </c>
      <c r="H1522" s="2" t="s">
        <v>21</v>
      </c>
      <c r="I1522" s="2" t="s">
        <v>3399</v>
      </c>
      <c r="J1522" s="3" t="str">
        <f>HYPERLINK("https://www.boe.es/gazeta/dias/1820/10/04/pdfs/GGB-1820-98.pdf#page=3","Abrir facsímil")</f>
        <v>Abrir facsímil</v>
      </c>
      <c r="K1522" s="3" t="s">
        <v>23</v>
      </c>
    </row>
    <row r="1523" spans="1:11" ht="42" customHeight="1">
      <c r="A1523" s="2" t="s">
        <v>3398</v>
      </c>
      <c r="B1523" s="2" t="s">
        <v>3398</v>
      </c>
      <c r="C1523" s="2" t="s">
        <v>35</v>
      </c>
      <c r="D1523" s="2" t="s">
        <v>36</v>
      </c>
      <c r="E1523" s="5">
        <v>-28935</v>
      </c>
      <c r="F1523" s="3" t="s">
        <v>2464</v>
      </c>
      <c r="G1523" s="3" t="s">
        <v>62</v>
      </c>
      <c r="H1523" s="2" t="s">
        <v>21</v>
      </c>
      <c r="I1523" s="2" t="s">
        <v>3400</v>
      </c>
      <c r="J1523" s="3" t="str">
        <f>HYPERLINK("https://www.boe.es/gazeta/dias/1820/10/10/pdfs/GGB-1820-104.pdf#page=3","Abrir facsímil")</f>
        <v>Abrir facsímil</v>
      </c>
      <c r="K1523" s="3" t="s">
        <v>23</v>
      </c>
    </row>
    <row r="1524" spans="1:11" ht="42" customHeight="1">
      <c r="A1524" s="2" t="s">
        <v>3401</v>
      </c>
      <c r="B1524" s="2" t="s">
        <v>3402</v>
      </c>
      <c r="C1524" s="2" t="s">
        <v>26</v>
      </c>
      <c r="D1524" s="2" t="s">
        <v>27</v>
      </c>
      <c r="E1524" s="5">
        <v>-29017</v>
      </c>
      <c r="F1524" s="3" t="s">
        <v>274</v>
      </c>
      <c r="G1524" s="3" t="s">
        <v>20</v>
      </c>
      <c r="H1524" s="2" t="s">
        <v>21</v>
      </c>
      <c r="I1524" s="2" t="s">
        <v>3403</v>
      </c>
      <c r="J1524" s="3" t="str">
        <f>HYPERLINK("https://www.boe.es/gazeta/dias/1820/07/20/pdfs/GGB-1820-22.pdf#page=4","Abrir facsímil")</f>
        <v>Abrir facsímil</v>
      </c>
      <c r="K1524" s="3" t="s">
        <v>23</v>
      </c>
    </row>
    <row r="1525" spans="1:11" ht="42" customHeight="1">
      <c r="A1525" s="2" t="s">
        <v>3404</v>
      </c>
      <c r="B1525" s="2" t="s">
        <v>3405</v>
      </c>
      <c r="C1525" s="2" t="s">
        <v>26</v>
      </c>
      <c r="D1525" s="2" t="s">
        <v>27</v>
      </c>
      <c r="E1525" s="5">
        <v>-29164</v>
      </c>
      <c r="F1525" s="3" t="s">
        <v>2516</v>
      </c>
      <c r="G1525" s="3" t="s">
        <v>201</v>
      </c>
      <c r="H1525" s="2" t="s">
        <v>21</v>
      </c>
      <c r="I1525" s="2" t="s">
        <v>3406</v>
      </c>
      <c r="J1525" s="3" t="str">
        <f>HYPERLINK("https://www.boe.es/gazeta/dias/1820/02/24/pdfs/GMD-1820-24.pdf#page=7","Abrir facsímil")</f>
        <v>Abrir facsímil</v>
      </c>
      <c r="K1525" s="3" t="s">
        <v>23</v>
      </c>
    </row>
    <row r="1526" spans="1:11" ht="42" customHeight="1">
      <c r="A1526" s="2" t="s">
        <v>3407</v>
      </c>
      <c r="B1526" s="2" t="s">
        <v>3408</v>
      </c>
      <c r="C1526" s="2" t="s">
        <v>26</v>
      </c>
      <c r="D1526" s="2" t="s">
        <v>27</v>
      </c>
      <c r="E1526" s="5">
        <v>-28991</v>
      </c>
      <c r="F1526" s="3" t="s">
        <v>213</v>
      </c>
      <c r="G1526" s="3" t="s">
        <v>214</v>
      </c>
      <c r="H1526" s="2" t="s">
        <v>21</v>
      </c>
      <c r="I1526" s="2" t="s">
        <v>3409</v>
      </c>
      <c r="J1526" s="3" t="str">
        <f>HYPERLINK("https://www.boe.es/gazeta/dias/1820/08/15/pdfs/GGB-1820-48.pdf#page=2","Abrir facsímil")</f>
        <v>Abrir facsímil</v>
      </c>
      <c r="K1526" s="3" t="s">
        <v>23</v>
      </c>
    </row>
    <row r="1527" spans="1:11" ht="42" customHeight="1">
      <c r="A1527" s="2" t="s">
        <v>3407</v>
      </c>
      <c r="B1527" s="2" t="s">
        <v>3408</v>
      </c>
      <c r="C1527" s="2" t="s">
        <v>74</v>
      </c>
      <c r="D1527" s="2" t="s">
        <v>18</v>
      </c>
      <c r="E1527" s="5">
        <v>-28977</v>
      </c>
      <c r="F1527" s="3" t="s">
        <v>687</v>
      </c>
      <c r="G1527" s="3" t="s">
        <v>62</v>
      </c>
      <c r="H1527" s="2" t="s">
        <v>21</v>
      </c>
      <c r="I1527" s="2" t="s">
        <v>3410</v>
      </c>
      <c r="J1527" s="3" t="str">
        <f>HYPERLINK("https://www.boe.es/gazeta/dias/1820/08/29/pdfs/GGB-1820-62.pdf#page=3","Abrir facsímil")</f>
        <v>Abrir facsímil</v>
      </c>
      <c r="K1527" s="3" t="s">
        <v>23</v>
      </c>
    </row>
    <row r="1528" spans="1:11" ht="42" customHeight="1">
      <c r="A1528" s="2" t="s">
        <v>3411</v>
      </c>
      <c r="B1528" s="2" t="s">
        <v>3412</v>
      </c>
      <c r="C1528" s="2" t="s">
        <v>26</v>
      </c>
      <c r="D1528" s="2" t="s">
        <v>27</v>
      </c>
      <c r="E1528" s="5">
        <v>-28865</v>
      </c>
      <c r="F1528" s="3" t="s">
        <v>136</v>
      </c>
      <c r="G1528" s="3" t="s">
        <v>137</v>
      </c>
      <c r="H1528" s="2" t="s">
        <v>21</v>
      </c>
      <c r="I1528" s="2" t="s">
        <v>3413</v>
      </c>
      <c r="J1528" s="3" t="str">
        <f>HYPERLINK("https://www.boe.es/gazeta/dias/1820/12/19/pdfs/GGB-1820-176.pdf#page=3","Abrir facsímil")</f>
        <v>Abrir facsímil</v>
      </c>
      <c r="K1528" s="3" t="s">
        <v>23</v>
      </c>
    </row>
    <row r="1529" spans="1:11" ht="42" customHeight="1">
      <c r="A1529" s="2" t="s">
        <v>3414</v>
      </c>
      <c r="B1529" s="2" t="s">
        <v>3414</v>
      </c>
      <c r="C1529" s="2" t="s">
        <v>74</v>
      </c>
      <c r="D1529" s="2" t="s">
        <v>18</v>
      </c>
      <c r="E1529" s="5">
        <v>-28998</v>
      </c>
      <c r="F1529" s="3" t="s">
        <v>629</v>
      </c>
      <c r="G1529" s="3" t="s">
        <v>128</v>
      </c>
      <c r="H1529" s="2" t="s">
        <v>21</v>
      </c>
      <c r="I1529" s="2" t="s">
        <v>3415</v>
      </c>
      <c r="J1529" s="3" t="str">
        <f>HYPERLINK("https://www.boe.es/gazeta/dias/1820/08/08/pdfs/GGB-1820-41.pdf#page=1","Abrir facsímil")</f>
        <v>Abrir facsímil</v>
      </c>
      <c r="K1529" s="3" t="s">
        <v>23</v>
      </c>
    </row>
    <row r="1530" spans="1:11" ht="42" customHeight="1">
      <c r="A1530" s="2" t="s">
        <v>3416</v>
      </c>
      <c r="B1530" s="2" t="s">
        <v>3417</v>
      </c>
      <c r="C1530" s="2" t="s">
        <v>26</v>
      </c>
      <c r="D1530" s="2" t="s">
        <v>27</v>
      </c>
      <c r="E1530" s="5">
        <v>-29011</v>
      </c>
      <c r="F1530" s="3" t="s">
        <v>338</v>
      </c>
      <c r="G1530" s="3" t="s">
        <v>62</v>
      </c>
      <c r="H1530" s="2" t="s">
        <v>21</v>
      </c>
      <c r="I1530" s="2" t="s">
        <v>3418</v>
      </c>
      <c r="J1530" s="3" t="str">
        <f>HYPERLINK("https://www.boe.es/gazeta/dias/1820/07/26/pdfs/GGB-1820-28.pdf#page=3","Abrir facsímil")</f>
        <v>Abrir facsímil</v>
      </c>
      <c r="K1530" s="3" t="s">
        <v>23</v>
      </c>
    </row>
    <row r="1531" spans="1:11" ht="42" customHeight="1">
      <c r="A1531" s="2" t="s">
        <v>3419</v>
      </c>
      <c r="B1531" s="2" t="s">
        <v>3419</v>
      </c>
      <c r="C1531" s="2" t="s">
        <v>74</v>
      </c>
      <c r="D1531" s="2" t="s">
        <v>18</v>
      </c>
      <c r="E1531" s="5">
        <v>-29020</v>
      </c>
      <c r="F1531" s="3" t="s">
        <v>756</v>
      </c>
      <c r="G1531" s="3" t="s">
        <v>62</v>
      </c>
      <c r="H1531" s="2" t="s">
        <v>21</v>
      </c>
      <c r="I1531" s="2" t="s">
        <v>3420</v>
      </c>
      <c r="J1531" s="3" t="str">
        <f>HYPERLINK("https://www.boe.es/gazeta/dias/1820/07/17/pdfs/GGB-1820-19.pdf#page=3","Abrir facsímil")</f>
        <v>Abrir facsímil</v>
      </c>
      <c r="K1531" s="3" t="s">
        <v>23</v>
      </c>
    </row>
    <row r="1532" spans="1:11" ht="42" customHeight="1">
      <c r="A1532" s="2" t="s">
        <v>3421</v>
      </c>
      <c r="B1532" s="2" t="s">
        <v>3421</v>
      </c>
      <c r="C1532" s="2" t="s">
        <v>35</v>
      </c>
      <c r="D1532" s="2" t="s">
        <v>36</v>
      </c>
      <c r="E1532" s="5">
        <v>-29038</v>
      </c>
      <c r="F1532" s="3" t="s">
        <v>957</v>
      </c>
      <c r="G1532" s="3" t="s">
        <v>256</v>
      </c>
      <c r="H1532" s="2" t="s">
        <v>21</v>
      </c>
      <c r="I1532" s="2" t="s">
        <v>3422</v>
      </c>
      <c r="J1532" s="3" t="str">
        <f>HYPERLINK("https://www.boe.es/gazeta/dias/1820/06/29/pdfs/GMD-1820-100.pdf#page=5","Abrir facsímil")</f>
        <v>Abrir facsímil</v>
      </c>
      <c r="K1532" s="3" t="s">
        <v>23</v>
      </c>
    </row>
    <row r="1533" spans="1:11" ht="42" customHeight="1">
      <c r="A1533" s="2" t="s">
        <v>3421</v>
      </c>
      <c r="B1533" s="2" t="s">
        <v>3421</v>
      </c>
      <c r="C1533" s="2" t="s">
        <v>35</v>
      </c>
      <c r="D1533" s="2" t="s">
        <v>36</v>
      </c>
      <c r="E1533" s="5">
        <v>-28995</v>
      </c>
      <c r="F1533" s="3" t="s">
        <v>672</v>
      </c>
      <c r="G1533" s="3" t="s">
        <v>1557</v>
      </c>
      <c r="H1533" s="2" t="s">
        <v>21</v>
      </c>
      <c r="I1533" s="2" t="s">
        <v>3423</v>
      </c>
      <c r="J1533" s="3" t="str">
        <f>HYPERLINK("https://www.boe.es/gazeta/dias/1820/08/11/pdfs/GGB-1820-44.pdf#page=2","Abrir facsímil")</f>
        <v>Abrir facsímil</v>
      </c>
      <c r="K1533" s="3" t="s">
        <v>23</v>
      </c>
    </row>
    <row r="1534" spans="1:11" ht="42" customHeight="1">
      <c r="A1534" s="2" t="s">
        <v>3424</v>
      </c>
      <c r="B1534" s="2" t="s">
        <v>3425</v>
      </c>
      <c r="C1534" s="2" t="s">
        <v>35</v>
      </c>
      <c r="D1534" s="2" t="s">
        <v>36</v>
      </c>
      <c r="E1534" s="5">
        <v>-29031</v>
      </c>
      <c r="F1534" s="3" t="s">
        <v>1036</v>
      </c>
      <c r="G1534" s="3" t="s">
        <v>43</v>
      </c>
      <c r="H1534" s="2" t="s">
        <v>21</v>
      </c>
      <c r="I1534" s="2" t="s">
        <v>3426</v>
      </c>
      <c r="J1534" s="3" t="str">
        <f>HYPERLINK("https://www.boe.es/gazeta/dias/1820/07/06/pdfs/GGB-1820-6.pdf#page=2","Abrir facsímil")</f>
        <v>Abrir facsímil</v>
      </c>
      <c r="K1534" s="3" t="s">
        <v>23</v>
      </c>
    </row>
    <row r="1535" spans="1:11" ht="42" customHeight="1">
      <c r="A1535" s="2" t="s">
        <v>3427</v>
      </c>
      <c r="B1535" s="2" t="s">
        <v>3427</v>
      </c>
      <c r="C1535" s="2" t="s">
        <v>26</v>
      </c>
      <c r="D1535" s="2" t="s">
        <v>27</v>
      </c>
      <c r="E1535" s="5">
        <v>-29017</v>
      </c>
      <c r="F1535" s="3" t="s">
        <v>274</v>
      </c>
      <c r="G1535" s="3" t="s">
        <v>62</v>
      </c>
      <c r="H1535" s="2" t="s">
        <v>21</v>
      </c>
      <c r="I1535" s="2" t="s">
        <v>3428</v>
      </c>
      <c r="J1535" s="3" t="str">
        <f>HYPERLINK("https://www.boe.es/gazeta/dias/1820/07/20/pdfs/GGB-1820-22.pdf#page=3","Abrir facsímil")</f>
        <v>Abrir facsímil</v>
      </c>
      <c r="K1535" s="3" t="s">
        <v>23</v>
      </c>
    </row>
    <row r="1536" spans="1:11" ht="42" customHeight="1">
      <c r="A1536" s="2" t="s">
        <v>3427</v>
      </c>
      <c r="B1536" s="2" t="s">
        <v>3427</v>
      </c>
      <c r="C1536" s="2" t="s">
        <v>35</v>
      </c>
      <c r="D1536" s="2" t="s">
        <v>36</v>
      </c>
      <c r="E1536" s="5">
        <v>-28996</v>
      </c>
      <c r="F1536" s="3" t="s">
        <v>636</v>
      </c>
      <c r="G1536" s="3" t="s">
        <v>1039</v>
      </c>
      <c r="H1536" s="2" t="s">
        <v>21</v>
      </c>
      <c r="I1536" s="2" t="s">
        <v>3429</v>
      </c>
      <c r="J1536" s="3" t="str">
        <f>HYPERLINK("https://www.boe.es/gazeta/dias/1820/08/10/pdfs/GGB-1820-43.pdf#page=2","Abrir facsímil")</f>
        <v>Abrir facsímil</v>
      </c>
      <c r="K1536" s="3" t="s">
        <v>23</v>
      </c>
    </row>
    <row r="1537" spans="1:11" ht="42" customHeight="1">
      <c r="A1537" s="2" t="s">
        <v>3430</v>
      </c>
      <c r="B1537" s="2" t="s">
        <v>3431</v>
      </c>
      <c r="C1537" s="2" t="s">
        <v>111</v>
      </c>
      <c r="D1537" s="2" t="s">
        <v>18</v>
      </c>
      <c r="E1537" s="5">
        <v>-29096</v>
      </c>
      <c r="F1537" s="3" t="s">
        <v>315</v>
      </c>
      <c r="G1537" s="3" t="s">
        <v>295</v>
      </c>
      <c r="H1537" s="2" t="s">
        <v>21</v>
      </c>
      <c r="I1537" s="2" t="s">
        <v>3432</v>
      </c>
      <c r="J1537" s="3" t="str">
        <f>HYPERLINK("https://www.boe.es/gazeta/dias/1820/05/02/pdfs/GMD-1820-74.pdf#page=8","Abrir facsímil")</f>
        <v>Abrir facsímil</v>
      </c>
      <c r="K1537" s="3" t="s">
        <v>23</v>
      </c>
    </row>
    <row r="1538" spans="1:11" ht="42" customHeight="1">
      <c r="A1538" s="2" t="s">
        <v>3430</v>
      </c>
      <c r="B1538" s="2" t="s">
        <v>3431</v>
      </c>
      <c r="C1538" s="2" t="s">
        <v>35</v>
      </c>
      <c r="D1538" s="2" t="s">
        <v>36</v>
      </c>
      <c r="E1538" s="5">
        <v>-28995</v>
      </c>
      <c r="F1538" s="3" t="s">
        <v>672</v>
      </c>
      <c r="G1538" s="3" t="s">
        <v>20</v>
      </c>
      <c r="H1538" s="2" t="s">
        <v>21</v>
      </c>
      <c r="I1538" s="2" t="s">
        <v>3433</v>
      </c>
      <c r="J1538" s="3" t="str">
        <f>HYPERLINK("https://www.boe.es/gazeta/dias/1820/08/11/pdfs/GGB-1820-44.pdf#page=4","Abrir facsímil")</f>
        <v>Abrir facsímil</v>
      </c>
      <c r="K1538" s="3" t="s">
        <v>23</v>
      </c>
    </row>
    <row r="1539" spans="1:11" ht="42" customHeight="1">
      <c r="A1539" s="2" t="s">
        <v>3434</v>
      </c>
      <c r="B1539" s="2" t="s">
        <v>3434</v>
      </c>
      <c r="C1539" s="2" t="s">
        <v>26</v>
      </c>
      <c r="D1539" s="2" t="s">
        <v>27</v>
      </c>
      <c r="E1539" s="5">
        <v>-28957</v>
      </c>
      <c r="F1539" s="3" t="s">
        <v>361</v>
      </c>
      <c r="G1539" s="3" t="s">
        <v>128</v>
      </c>
      <c r="H1539" s="2" t="s">
        <v>21</v>
      </c>
      <c r="I1539" s="2" t="s">
        <v>3435</v>
      </c>
      <c r="J1539" s="3" t="str">
        <f>HYPERLINK("https://www.boe.es/gazeta/dias/1820/09/18/pdfs/GGB-1820-82.pdf#page=1","Abrir facsímil")</f>
        <v>Abrir facsímil</v>
      </c>
      <c r="K1539" s="3" t="s">
        <v>23</v>
      </c>
    </row>
    <row r="1540" spans="1:11" ht="42" customHeight="1">
      <c r="A1540" s="2" t="s">
        <v>3436</v>
      </c>
      <c r="B1540" s="2" t="s">
        <v>3437</v>
      </c>
      <c r="C1540" s="2" t="s">
        <v>47</v>
      </c>
      <c r="D1540" s="2" t="s">
        <v>18</v>
      </c>
      <c r="E1540" s="5">
        <v>-29180</v>
      </c>
      <c r="F1540" s="3" t="s">
        <v>294</v>
      </c>
      <c r="G1540" s="3" t="s">
        <v>295</v>
      </c>
      <c r="H1540" s="2" t="s">
        <v>21</v>
      </c>
      <c r="I1540" s="2" t="s">
        <v>3438</v>
      </c>
      <c r="J1540" s="3" t="str">
        <f>HYPERLINK("https://www.boe.es/gazeta/dias/1820/02/08/pdfs/GMD-1820-17.pdf#page=8","Abrir facsímil")</f>
        <v>Abrir facsímil</v>
      </c>
      <c r="K1540" s="3" t="s">
        <v>23</v>
      </c>
    </row>
    <row r="1541" spans="1:11" ht="42" customHeight="1">
      <c r="A1541" s="2" t="s">
        <v>3439</v>
      </c>
      <c r="B1541" s="2" t="s">
        <v>3439</v>
      </c>
      <c r="C1541" s="2" t="s">
        <v>111</v>
      </c>
      <c r="D1541" s="2" t="s">
        <v>18</v>
      </c>
      <c r="E1541" s="5">
        <v>-28940</v>
      </c>
      <c r="F1541" s="3" t="s">
        <v>141</v>
      </c>
      <c r="G1541" s="3" t="s">
        <v>62</v>
      </c>
      <c r="H1541" s="2" t="s">
        <v>21</v>
      </c>
      <c r="I1541" s="2" t="s">
        <v>3440</v>
      </c>
      <c r="J1541" s="3" t="str">
        <f>HYPERLINK("https://www.boe.es/gazeta/dias/1820/10/05/pdfs/GGB-1820-99.pdf#page=3","Abrir facsímil")</f>
        <v>Abrir facsímil</v>
      </c>
      <c r="K1541" s="3" t="s">
        <v>23</v>
      </c>
    </row>
    <row r="1542" spans="1:11" ht="42" customHeight="1">
      <c r="A1542" s="2" t="s">
        <v>3441</v>
      </c>
      <c r="B1542" s="2" t="s">
        <v>3442</v>
      </c>
      <c r="C1542" s="2" t="s">
        <v>35</v>
      </c>
      <c r="D1542" s="2" t="s">
        <v>36</v>
      </c>
      <c r="E1542" s="5">
        <v>-29194</v>
      </c>
      <c r="F1542" s="3" t="s">
        <v>416</v>
      </c>
      <c r="G1542" s="3" t="s">
        <v>38</v>
      </c>
      <c r="H1542" s="2" t="s">
        <v>30</v>
      </c>
      <c r="I1542" s="2" t="s">
        <v>3443</v>
      </c>
      <c r="J1542" s="3" t="str">
        <f>HYPERLINK("https://www.boe.es/gazeta/dias/1820/01/25/pdfs/GMD-1820-11.pdf#page=6","Abrir facsímil")</f>
        <v>Abrir facsímil</v>
      </c>
      <c r="K1542" s="3" t="s">
        <v>32</v>
      </c>
    </row>
    <row r="1543" spans="1:11" ht="42" customHeight="1">
      <c r="A1543" s="2" t="s">
        <v>3444</v>
      </c>
      <c r="B1543" s="2" t="s">
        <v>3445</v>
      </c>
      <c r="C1543" s="2" t="s">
        <v>74</v>
      </c>
      <c r="D1543" s="2" t="s">
        <v>18</v>
      </c>
      <c r="E1543" s="5">
        <v>-28967</v>
      </c>
      <c r="F1543" s="3" t="s">
        <v>238</v>
      </c>
      <c r="G1543" s="3" t="s">
        <v>38</v>
      </c>
      <c r="H1543" s="2" t="s">
        <v>21</v>
      </c>
      <c r="I1543" s="2" t="s">
        <v>3446</v>
      </c>
      <c r="J1543" s="3" t="str">
        <f>HYPERLINK("https://www.boe.es/gazeta/dias/1820/09/08/pdfs/GGB-1820-72.pdf#page=6","Abrir facsímil")</f>
        <v>Abrir facsímil</v>
      </c>
      <c r="K1543" s="3" t="s">
        <v>23</v>
      </c>
    </row>
    <row r="1544" spans="1:11" ht="42" customHeight="1">
      <c r="A1544" s="2" t="s">
        <v>3447</v>
      </c>
      <c r="B1544" s="2" t="s">
        <v>3447</v>
      </c>
      <c r="C1544" s="2" t="s">
        <v>74</v>
      </c>
      <c r="D1544" s="2" t="s">
        <v>18</v>
      </c>
      <c r="E1544" s="5">
        <v>-29108</v>
      </c>
      <c r="F1544" s="3" t="s">
        <v>304</v>
      </c>
      <c r="G1544" s="3" t="s">
        <v>43</v>
      </c>
      <c r="H1544" s="2" t="s">
        <v>21</v>
      </c>
      <c r="I1544" s="2" t="s">
        <v>3448</v>
      </c>
      <c r="J1544" s="3" t="str">
        <f>HYPERLINK("https://www.boe.es/gazeta/dias/1820/04/20/pdfs/GMD-1820-68.pdf#page=2","Abrir facsímil")</f>
        <v>Abrir facsímil</v>
      </c>
      <c r="K1544" s="3" t="s">
        <v>23</v>
      </c>
    </row>
    <row r="1545" spans="1:11" ht="42" customHeight="1">
      <c r="A1545" s="2" t="s">
        <v>3447</v>
      </c>
      <c r="B1545" s="2" t="s">
        <v>3447</v>
      </c>
      <c r="C1545" s="2" t="s">
        <v>17</v>
      </c>
      <c r="D1545" s="2" t="s">
        <v>18</v>
      </c>
      <c r="E1545" s="5">
        <v>-29082</v>
      </c>
      <c r="F1545" s="3" t="s">
        <v>478</v>
      </c>
      <c r="G1545" s="3" t="s">
        <v>201</v>
      </c>
      <c r="H1545" s="2" t="s">
        <v>21</v>
      </c>
      <c r="I1545" s="2" t="s">
        <v>3449</v>
      </c>
      <c r="J1545" s="3" t="str">
        <f>HYPERLINK("https://www.boe.es/gazeta/dias/1820/05/16/pdfs/GMD-1820-80.pdf#page=7","Abrir facsímil")</f>
        <v>Abrir facsímil</v>
      </c>
      <c r="K1545" s="3" t="s">
        <v>23</v>
      </c>
    </row>
    <row r="1546" spans="1:11" ht="42" customHeight="1">
      <c r="A1546" s="2" t="s">
        <v>3447</v>
      </c>
      <c r="B1546" s="2" t="s">
        <v>3447</v>
      </c>
      <c r="C1546" s="2" t="s">
        <v>26</v>
      </c>
      <c r="D1546" s="2" t="s">
        <v>27</v>
      </c>
      <c r="E1546" s="5">
        <v>-29071</v>
      </c>
      <c r="F1546" s="3" t="s">
        <v>329</v>
      </c>
      <c r="G1546" s="3" t="s">
        <v>62</v>
      </c>
      <c r="H1546" s="2" t="s">
        <v>21</v>
      </c>
      <c r="I1546" s="2" t="s">
        <v>3450</v>
      </c>
      <c r="J1546" s="3" t="str">
        <f>HYPERLINK("https://www.boe.es/gazeta/dias/1820/05/27/pdfs/GMD-1820-86.pdf#page=3","Abrir facsímil")</f>
        <v>Abrir facsímil</v>
      </c>
      <c r="K1546" s="3" t="s">
        <v>23</v>
      </c>
    </row>
    <row r="1547" spans="1:11" ht="42" customHeight="1">
      <c r="A1547" s="2" t="s">
        <v>3447</v>
      </c>
      <c r="B1547" s="2" t="s">
        <v>3447</v>
      </c>
      <c r="C1547" s="2" t="s">
        <v>17</v>
      </c>
      <c r="D1547" s="2" t="s">
        <v>18</v>
      </c>
      <c r="E1547" s="5">
        <v>-28973</v>
      </c>
      <c r="F1547" s="3" t="s">
        <v>151</v>
      </c>
      <c r="G1547" s="3" t="s">
        <v>128</v>
      </c>
      <c r="H1547" s="2" t="s">
        <v>21</v>
      </c>
      <c r="I1547" s="2" t="s">
        <v>3451</v>
      </c>
      <c r="J1547" s="3" t="str">
        <f>HYPERLINK("https://www.boe.es/gazeta/dias/1820/09/02/pdfs/GGB-1820-66.pdf#page=1","Abrir facsímil")</f>
        <v>Abrir facsímil</v>
      </c>
      <c r="K1547" s="3" t="s">
        <v>23</v>
      </c>
    </row>
    <row r="1548" spans="1:11" ht="42" customHeight="1">
      <c r="A1548" s="2" t="s">
        <v>3447</v>
      </c>
      <c r="B1548" s="2" t="s">
        <v>3447</v>
      </c>
      <c r="C1548" s="2" t="s">
        <v>26</v>
      </c>
      <c r="D1548" s="2" t="s">
        <v>27</v>
      </c>
      <c r="E1548" s="5">
        <v>-28888</v>
      </c>
      <c r="F1548" s="3" t="s">
        <v>112</v>
      </c>
      <c r="G1548" s="3" t="s">
        <v>113</v>
      </c>
      <c r="H1548" s="2" t="s">
        <v>21</v>
      </c>
      <c r="I1548" s="2" t="s">
        <v>3452</v>
      </c>
      <c r="J1548" s="3" t="str">
        <f>HYPERLINK("https://www.boe.es/gazeta/dias/1820/11/26/pdfs/GGB-1820-153.pdf#page=3","Abrir facsímil")</f>
        <v>Abrir facsímil</v>
      </c>
      <c r="K1548" s="3" t="s">
        <v>23</v>
      </c>
    </row>
    <row r="1549" spans="1:11" ht="42" customHeight="1">
      <c r="A1549" s="2" t="s">
        <v>3453</v>
      </c>
      <c r="B1549" s="2" t="s">
        <v>3453</v>
      </c>
      <c r="C1549" s="2" t="s">
        <v>17</v>
      </c>
      <c r="D1549" s="2" t="s">
        <v>18</v>
      </c>
      <c r="E1549" s="5">
        <v>-29117</v>
      </c>
      <c r="F1549" s="3" t="s">
        <v>1451</v>
      </c>
      <c r="G1549" s="3" t="s">
        <v>62</v>
      </c>
      <c r="H1549" s="2" t="s">
        <v>21</v>
      </c>
      <c r="I1549" s="2" t="s">
        <v>3454</v>
      </c>
      <c r="J1549" s="3" t="str">
        <f>HYPERLINK("https://www.boe.es/gazeta/dias/1820/04/11/pdfs/GMD-1820-64.pdf#page=3","Abrir facsímil")</f>
        <v>Abrir facsímil</v>
      </c>
      <c r="K1549" s="3" t="s">
        <v>23</v>
      </c>
    </row>
    <row r="1550" spans="1:11" ht="42" customHeight="1">
      <c r="A1550" s="2" t="s">
        <v>3455</v>
      </c>
      <c r="B1550" s="2" t="s">
        <v>3455</v>
      </c>
      <c r="C1550" s="2" t="s">
        <v>107</v>
      </c>
      <c r="D1550" s="2" t="s">
        <v>18</v>
      </c>
      <c r="E1550" s="5">
        <v>-29213</v>
      </c>
      <c r="F1550" s="3" t="s">
        <v>195</v>
      </c>
      <c r="G1550" s="3" t="s">
        <v>62</v>
      </c>
      <c r="H1550" s="2" t="s">
        <v>21</v>
      </c>
      <c r="I1550" s="2" t="s">
        <v>3456</v>
      </c>
      <c r="J1550" s="3" t="str">
        <f>HYPERLINK("https://www.boe.es/gazeta/dias/1820/01/06/pdfs/GMD-1820-3.pdf#page=3","Abrir facsímil")</f>
        <v>Abrir facsímil</v>
      </c>
      <c r="K1550" s="3" t="s">
        <v>23</v>
      </c>
    </row>
    <row r="1551" spans="1:11" ht="42" customHeight="1">
      <c r="A1551" s="2" t="s">
        <v>3457</v>
      </c>
      <c r="B1551" s="2" t="s">
        <v>3457</v>
      </c>
      <c r="C1551" s="2" t="s">
        <v>26</v>
      </c>
      <c r="D1551" s="2" t="s">
        <v>27</v>
      </c>
      <c r="E1551" s="5">
        <v>-29017</v>
      </c>
      <c r="F1551" s="3" t="s">
        <v>274</v>
      </c>
      <c r="G1551" s="3" t="s">
        <v>62</v>
      </c>
      <c r="H1551" s="2" t="s">
        <v>21</v>
      </c>
      <c r="I1551" s="2" t="s">
        <v>3458</v>
      </c>
      <c r="J1551" s="3" t="str">
        <f>HYPERLINK("https://www.boe.es/gazeta/dias/1820/07/20/pdfs/GGB-1820-22.pdf#page=3","Abrir facsímil")</f>
        <v>Abrir facsímil</v>
      </c>
      <c r="K1551" s="3" t="s">
        <v>23</v>
      </c>
    </row>
    <row r="1552" spans="1:11" ht="42" customHeight="1">
      <c r="A1552" s="2" t="s">
        <v>3457</v>
      </c>
      <c r="B1552" s="2" t="s">
        <v>3457</v>
      </c>
      <c r="C1552" s="2" t="s">
        <v>74</v>
      </c>
      <c r="D1552" s="2" t="s">
        <v>18</v>
      </c>
      <c r="E1552" s="5">
        <v>-28995</v>
      </c>
      <c r="F1552" s="3" t="s">
        <v>672</v>
      </c>
      <c r="G1552" s="3" t="s">
        <v>1557</v>
      </c>
      <c r="H1552" s="2" t="s">
        <v>21</v>
      </c>
      <c r="I1552" s="2" t="s">
        <v>3459</v>
      </c>
      <c r="J1552" s="3" t="str">
        <f>HYPERLINK("https://www.boe.es/gazeta/dias/1820/08/11/pdfs/GGB-1820-44.pdf#page=2","Abrir facsímil")</f>
        <v>Abrir facsímil</v>
      </c>
      <c r="K1552" s="3" t="s">
        <v>23</v>
      </c>
    </row>
    <row r="1553" spans="1:11" ht="42" customHeight="1">
      <c r="A1553" s="2" t="s">
        <v>3460</v>
      </c>
      <c r="B1553" s="2" t="s">
        <v>3461</v>
      </c>
      <c r="C1553" s="2" t="s">
        <v>35</v>
      </c>
      <c r="D1553" s="2" t="s">
        <v>36</v>
      </c>
      <c r="E1553" s="5">
        <v>-28978</v>
      </c>
      <c r="F1553" s="3" t="s">
        <v>203</v>
      </c>
      <c r="G1553" s="3" t="s">
        <v>62</v>
      </c>
      <c r="H1553" s="2" t="s">
        <v>21</v>
      </c>
      <c r="I1553" s="2" t="s">
        <v>3462</v>
      </c>
      <c r="J1553" s="3" t="str">
        <f>HYPERLINK("https://www.boe.es/gazeta/dias/1820/08/28/pdfs/GGB-1820-61.pdf#page=3","Abrir facsímil")</f>
        <v>Abrir facsímil</v>
      </c>
      <c r="K1553" s="3" t="s">
        <v>23</v>
      </c>
    </row>
    <row r="1554" spans="1:11" ht="42" customHeight="1">
      <c r="A1554" s="2" t="s">
        <v>3460</v>
      </c>
      <c r="B1554" s="2" t="s">
        <v>3461</v>
      </c>
      <c r="C1554" s="2" t="s">
        <v>35</v>
      </c>
      <c r="D1554" s="2" t="s">
        <v>36</v>
      </c>
      <c r="E1554" s="5">
        <v>-28957</v>
      </c>
      <c r="F1554" s="3" t="s">
        <v>361</v>
      </c>
      <c r="G1554" s="3" t="s">
        <v>62</v>
      </c>
      <c r="H1554" s="2" t="s">
        <v>21</v>
      </c>
      <c r="I1554" s="2" t="s">
        <v>3463</v>
      </c>
      <c r="J1554" s="3" t="str">
        <f>HYPERLINK("https://www.boe.es/gazeta/dias/1820/09/18/pdfs/GGB-1820-82.pdf#page=3","Abrir facsímil")</f>
        <v>Abrir facsímil</v>
      </c>
      <c r="K1554" s="3" t="s">
        <v>23</v>
      </c>
    </row>
    <row r="1555" spans="1:11" ht="42" customHeight="1">
      <c r="A1555" s="2" t="s">
        <v>3464</v>
      </c>
      <c r="B1555" s="2" t="s">
        <v>3465</v>
      </c>
      <c r="C1555" s="2" t="s">
        <v>26</v>
      </c>
      <c r="D1555" s="2" t="s">
        <v>27</v>
      </c>
      <c r="E1555" s="5">
        <v>-29050</v>
      </c>
      <c r="F1555" s="3" t="s">
        <v>423</v>
      </c>
      <c r="G1555" s="3" t="s">
        <v>1409</v>
      </c>
      <c r="H1555" s="2" t="s">
        <v>21</v>
      </c>
      <c r="I1555" s="2" t="s">
        <v>3466</v>
      </c>
      <c r="J1555" s="3" t="str">
        <f>HYPERLINK("https://www.boe.es/gazeta/dias/1820/06/17/pdfs/GMD-1820-95.pdf#page=8","Abrir facsímil")</f>
        <v>Abrir facsímil</v>
      </c>
      <c r="K1555" s="3" t="s">
        <v>23</v>
      </c>
    </row>
    <row r="1556" spans="1:11" ht="42" customHeight="1">
      <c r="A1556" s="2" t="s">
        <v>3467</v>
      </c>
      <c r="B1556" s="2" t="s">
        <v>3467</v>
      </c>
      <c r="C1556" s="2" t="s">
        <v>26</v>
      </c>
      <c r="D1556" s="2" t="s">
        <v>27</v>
      </c>
      <c r="E1556" s="5">
        <v>-29211</v>
      </c>
      <c r="F1556" s="3" t="s">
        <v>578</v>
      </c>
      <c r="G1556" s="3" t="s">
        <v>20</v>
      </c>
      <c r="H1556" s="2" t="s">
        <v>21</v>
      </c>
      <c r="I1556" s="2" t="s">
        <v>3468</v>
      </c>
      <c r="J1556" s="3" t="str">
        <f>HYPERLINK("https://www.boe.es/gazeta/dias/1820/01/08/pdfs/GMD-1820-4.pdf#page=4","Abrir facsímil")</f>
        <v>Abrir facsímil</v>
      </c>
      <c r="K1556" s="3" t="s">
        <v>23</v>
      </c>
    </row>
    <row r="1557" spans="1:11" ht="42" customHeight="1">
      <c r="A1557" s="2" t="s">
        <v>3467</v>
      </c>
      <c r="B1557" s="2" t="s">
        <v>3467</v>
      </c>
      <c r="C1557" s="2" t="s">
        <v>74</v>
      </c>
      <c r="D1557" s="2" t="s">
        <v>18</v>
      </c>
      <c r="E1557" s="5">
        <v>-29190</v>
      </c>
      <c r="F1557" s="3" t="s">
        <v>537</v>
      </c>
      <c r="G1557" s="3" t="s">
        <v>2241</v>
      </c>
      <c r="H1557" s="2" t="s">
        <v>21</v>
      </c>
      <c r="I1557" s="2" t="s">
        <v>3469</v>
      </c>
      <c r="J1557" s="3" t="str">
        <f>HYPERLINK("https://www.boe.es/gazeta/dias/1820/01/29/pdfs/GMD-1820-13.pdf#page=4","Abrir facsímil")</f>
        <v>Abrir facsímil</v>
      </c>
      <c r="K1557" s="3" t="s">
        <v>23</v>
      </c>
    </row>
    <row r="1558" spans="1:11" ht="42" customHeight="1">
      <c r="A1558" s="2" t="s">
        <v>3470</v>
      </c>
      <c r="B1558" s="2" t="s">
        <v>3470</v>
      </c>
      <c r="C1558" s="2" t="s">
        <v>26</v>
      </c>
      <c r="D1558" s="2" t="s">
        <v>27</v>
      </c>
      <c r="E1558" s="5">
        <v>-28990</v>
      </c>
      <c r="F1558" s="3" t="s">
        <v>61</v>
      </c>
      <c r="G1558" s="3" t="s">
        <v>128</v>
      </c>
      <c r="H1558" s="2" t="s">
        <v>21</v>
      </c>
      <c r="I1558" s="2" t="s">
        <v>3471</v>
      </c>
      <c r="J1558" s="3" t="str">
        <f>HYPERLINK("https://www.boe.es/gazeta/dias/1820/08/16/pdfs/GGB-1820-49.pdf#page=1","Abrir facsímil")</f>
        <v>Abrir facsímil</v>
      </c>
      <c r="K1558" s="3" t="s">
        <v>23</v>
      </c>
    </row>
    <row r="1559" spans="1:11" ht="42" customHeight="1">
      <c r="A1559" s="2" t="s">
        <v>3472</v>
      </c>
      <c r="B1559" s="2" t="s">
        <v>3472</v>
      </c>
      <c r="C1559" s="2" t="s">
        <v>26</v>
      </c>
      <c r="D1559" s="2" t="s">
        <v>27</v>
      </c>
      <c r="E1559" s="5">
        <v>-28990</v>
      </c>
      <c r="F1559" s="3" t="s">
        <v>61</v>
      </c>
      <c r="G1559" s="3" t="s">
        <v>128</v>
      </c>
      <c r="H1559" s="2" t="s">
        <v>21</v>
      </c>
      <c r="I1559" s="2" t="s">
        <v>3473</v>
      </c>
      <c r="J1559" s="3" t="str">
        <f>HYPERLINK("https://www.boe.es/gazeta/dias/1820/08/16/pdfs/GGB-1820-49.pdf#page=1","Abrir facsímil")</f>
        <v>Abrir facsímil</v>
      </c>
      <c r="K1559" s="3" t="s">
        <v>23</v>
      </c>
    </row>
    <row r="1560" spans="1:11" ht="42" customHeight="1">
      <c r="A1560" s="2" t="s">
        <v>3474</v>
      </c>
      <c r="B1560" s="2" t="s">
        <v>3475</v>
      </c>
      <c r="C1560" s="2" t="s">
        <v>17</v>
      </c>
      <c r="D1560" s="2" t="s">
        <v>18</v>
      </c>
      <c r="E1560" s="5">
        <v>-29011</v>
      </c>
      <c r="F1560" s="3" t="s">
        <v>338</v>
      </c>
      <c r="G1560" s="3" t="s">
        <v>43</v>
      </c>
      <c r="H1560" s="2" t="s">
        <v>21</v>
      </c>
      <c r="I1560" s="2" t="s">
        <v>3476</v>
      </c>
      <c r="J1560" s="3" t="str">
        <f>HYPERLINK("https://www.boe.es/gazeta/dias/1820/07/26/pdfs/GGB-1820-28.pdf#page=2","Abrir facsímil")</f>
        <v>Abrir facsímil</v>
      </c>
      <c r="K1560" s="3" t="s">
        <v>23</v>
      </c>
    </row>
    <row r="1561" spans="1:11" ht="42" customHeight="1">
      <c r="A1561" s="2" t="s">
        <v>3477</v>
      </c>
      <c r="B1561" s="2" t="s">
        <v>3477</v>
      </c>
      <c r="C1561" s="2" t="s">
        <v>26</v>
      </c>
      <c r="D1561" s="2" t="s">
        <v>27</v>
      </c>
      <c r="E1561" s="5">
        <v>-28891</v>
      </c>
      <c r="F1561" s="3" t="s">
        <v>965</v>
      </c>
      <c r="G1561" s="3" t="s">
        <v>43</v>
      </c>
      <c r="H1561" s="2" t="s">
        <v>21</v>
      </c>
      <c r="I1561" s="2" t="s">
        <v>3478</v>
      </c>
      <c r="J1561" s="3" t="str">
        <f>HYPERLINK("https://www.boe.es/gazeta/dias/1820/11/23/pdfs/GGB-1820-150.pdf#page=2","Abrir facsímil")</f>
        <v>Abrir facsímil</v>
      </c>
      <c r="K1561" s="3" t="s">
        <v>23</v>
      </c>
    </row>
    <row r="1562" spans="1:11" ht="42" customHeight="1">
      <c r="A1562" s="2" t="s">
        <v>3477</v>
      </c>
      <c r="B1562" s="2" t="s">
        <v>3477</v>
      </c>
      <c r="C1562" s="2" t="s">
        <v>17</v>
      </c>
      <c r="D1562" s="2" t="s">
        <v>18</v>
      </c>
      <c r="E1562" s="5">
        <v>-28887</v>
      </c>
      <c r="F1562" s="3" t="s">
        <v>2098</v>
      </c>
      <c r="G1562" s="3" t="s">
        <v>128</v>
      </c>
      <c r="H1562" s="2" t="s">
        <v>21</v>
      </c>
      <c r="I1562" s="2" t="s">
        <v>3479</v>
      </c>
      <c r="J1562" s="3" t="str">
        <f>HYPERLINK("https://www.boe.es/gazeta/dias/1820/11/27/pdfs/GGB-1820-154.pdf#page=1","Abrir facsímil")</f>
        <v>Abrir facsímil</v>
      </c>
      <c r="K1562" s="3" t="s">
        <v>23</v>
      </c>
    </row>
    <row r="1563" spans="1:11" ht="42" customHeight="1">
      <c r="A1563" s="2" t="s">
        <v>3477</v>
      </c>
      <c r="B1563" s="2" t="s">
        <v>3477</v>
      </c>
      <c r="C1563" s="2" t="s">
        <v>35</v>
      </c>
      <c r="D1563" s="2" t="s">
        <v>36</v>
      </c>
      <c r="E1563" s="5">
        <v>-28858</v>
      </c>
      <c r="F1563" s="3" t="s">
        <v>117</v>
      </c>
      <c r="G1563" s="3" t="s">
        <v>43</v>
      </c>
      <c r="H1563" s="2" t="s">
        <v>21</v>
      </c>
      <c r="I1563" s="2" t="s">
        <v>3480</v>
      </c>
      <c r="J1563" s="3" t="str">
        <f>HYPERLINK("https://www.boe.es/gazeta/dias/1820/12/26/pdfs/GGB-1820-183.pdf#page=2","Abrir facsímil")</f>
        <v>Abrir facsímil</v>
      </c>
      <c r="K1563" s="3" t="s">
        <v>23</v>
      </c>
    </row>
    <row r="1564" spans="1:11" ht="42" customHeight="1">
      <c r="A1564" s="2" t="s">
        <v>3481</v>
      </c>
      <c r="B1564" s="2" t="s">
        <v>3481</v>
      </c>
      <c r="C1564" s="2" t="s">
        <v>74</v>
      </c>
      <c r="D1564" s="2" t="s">
        <v>18</v>
      </c>
      <c r="E1564" s="5">
        <v>-28898</v>
      </c>
      <c r="F1564" s="3" t="s">
        <v>1405</v>
      </c>
      <c r="G1564" s="3" t="s">
        <v>1588</v>
      </c>
      <c r="H1564" s="2" t="s">
        <v>21</v>
      </c>
      <c r="I1564" s="2" t="s">
        <v>3482</v>
      </c>
      <c r="J1564" s="3" t="str">
        <f>HYPERLINK("https://www.boe.es/gazeta/dias/1820/11/16/pdfs/GGB-1820-142.pdf#page=2","Abrir facsímil")</f>
        <v>Abrir facsímil</v>
      </c>
      <c r="K1564" s="3" t="s">
        <v>23</v>
      </c>
    </row>
    <row r="1565" spans="1:11" ht="42" customHeight="1">
      <c r="A1565" s="2" t="s">
        <v>3483</v>
      </c>
      <c r="B1565" s="2" t="s">
        <v>3483</v>
      </c>
      <c r="C1565" s="2" t="s">
        <v>26</v>
      </c>
      <c r="D1565" s="2" t="s">
        <v>27</v>
      </c>
      <c r="E1565" s="5">
        <v>-28870</v>
      </c>
      <c r="F1565" s="3" t="s">
        <v>1014</v>
      </c>
      <c r="G1565" s="3" t="s">
        <v>20</v>
      </c>
      <c r="H1565" s="2" t="s">
        <v>21</v>
      </c>
      <c r="I1565" s="2" t="s">
        <v>3484</v>
      </c>
      <c r="J1565" s="3" t="str">
        <f>HYPERLINK("https://www.boe.es/gazeta/dias/1820/12/14/pdfs/GGB-1820-171.pdf#page=4","Abrir facsímil")</f>
        <v>Abrir facsímil</v>
      </c>
      <c r="K1565" s="3" t="s">
        <v>23</v>
      </c>
    </row>
    <row r="1566" spans="1:11" ht="42" customHeight="1">
      <c r="A1566" s="2" t="s">
        <v>3485</v>
      </c>
      <c r="B1566" s="2" t="s">
        <v>3485</v>
      </c>
      <c r="C1566" s="2" t="s">
        <v>35</v>
      </c>
      <c r="D1566" s="2" t="s">
        <v>36</v>
      </c>
      <c r="E1566" s="5">
        <v>-28875</v>
      </c>
      <c r="F1566" s="3" t="s">
        <v>2737</v>
      </c>
      <c r="G1566" s="3" t="s">
        <v>128</v>
      </c>
      <c r="H1566" s="2" t="s">
        <v>21</v>
      </c>
      <c r="I1566" s="2" t="s">
        <v>3486</v>
      </c>
      <c r="J1566" s="3" t="str">
        <f>HYPERLINK("https://www.boe.es/gazeta/dias/1820/12/09/pdfs/GGB-1820-166.pdf#page=1","Abrir facsímil")</f>
        <v>Abrir facsímil</v>
      </c>
      <c r="K1566" s="3" t="s">
        <v>23</v>
      </c>
    </row>
    <row r="1567" spans="1:11" ht="42" customHeight="1">
      <c r="A1567" s="2" t="s">
        <v>3487</v>
      </c>
      <c r="B1567" s="2" t="s">
        <v>3488</v>
      </c>
      <c r="C1567" s="2" t="s">
        <v>111</v>
      </c>
      <c r="D1567" s="2" t="s">
        <v>18</v>
      </c>
      <c r="E1567" s="5">
        <v>-28900</v>
      </c>
      <c r="F1567" s="3" t="s">
        <v>878</v>
      </c>
      <c r="G1567" s="3" t="s">
        <v>20</v>
      </c>
      <c r="H1567" s="2" t="s">
        <v>21</v>
      </c>
      <c r="I1567" s="2" t="s">
        <v>3489</v>
      </c>
      <c r="J1567" s="3" t="str">
        <f>HYPERLINK("https://www.boe.es/gazeta/dias/1820/11/14/pdfs/GGB-1820-140.pdf#page=4","Abrir facsímil")</f>
        <v>Abrir facsímil</v>
      </c>
      <c r="K1567" s="3" t="s">
        <v>23</v>
      </c>
    </row>
    <row r="1568" spans="1:11" ht="42" customHeight="1">
      <c r="A1568" s="2" t="s">
        <v>3490</v>
      </c>
      <c r="B1568" s="2" t="s">
        <v>3491</v>
      </c>
      <c r="C1568" s="2" t="s">
        <v>35</v>
      </c>
      <c r="D1568" s="2" t="s">
        <v>36</v>
      </c>
      <c r="E1568" s="5">
        <v>-28855</v>
      </c>
      <c r="F1568" s="3" t="s">
        <v>2055</v>
      </c>
      <c r="G1568" s="3" t="s">
        <v>20</v>
      </c>
      <c r="H1568" s="2" t="s">
        <v>21</v>
      </c>
      <c r="I1568" s="2" t="s">
        <v>3492</v>
      </c>
      <c r="J1568" s="3" t="str">
        <f>HYPERLINK("https://www.boe.es/gazeta/dias/1820/12/29/pdfs/GGB-1820-186.pdf#page=4","Abrir facsímil")</f>
        <v>Abrir facsímil</v>
      </c>
      <c r="K1568" s="3" t="s">
        <v>23</v>
      </c>
    </row>
    <row r="1569" spans="1:11" ht="42" customHeight="1">
      <c r="A1569" s="2" t="s">
        <v>3493</v>
      </c>
      <c r="B1569" s="2" t="s">
        <v>3494</v>
      </c>
      <c r="C1569" s="2" t="s">
        <v>26</v>
      </c>
      <c r="D1569" s="2" t="s">
        <v>27</v>
      </c>
      <c r="E1569" s="5">
        <v>-29199</v>
      </c>
      <c r="F1569" s="3" t="s">
        <v>1178</v>
      </c>
      <c r="G1569" s="3" t="s">
        <v>201</v>
      </c>
      <c r="H1569" s="2" t="s">
        <v>21</v>
      </c>
      <c r="I1569" s="2" t="s">
        <v>3495</v>
      </c>
      <c r="J1569" s="3" t="str">
        <f>HYPERLINK("https://www.boe.es/gazeta/dias/1820/01/20/pdfs/GMD-1820-9.pdf#page=7","Abrir facsímil")</f>
        <v>Abrir facsímil</v>
      </c>
      <c r="K1569" s="3" t="s">
        <v>23</v>
      </c>
    </row>
    <row r="1570" spans="1:11" ht="42" customHeight="1">
      <c r="A1570" s="2" t="s">
        <v>3496</v>
      </c>
      <c r="B1570" s="2" t="s">
        <v>3496</v>
      </c>
      <c r="C1570" s="2" t="s">
        <v>26</v>
      </c>
      <c r="D1570" s="2" t="s">
        <v>27</v>
      </c>
      <c r="E1570" s="5">
        <v>-28895</v>
      </c>
      <c r="F1570" s="3" t="s">
        <v>347</v>
      </c>
      <c r="G1570" s="3" t="s">
        <v>2318</v>
      </c>
      <c r="H1570" s="2" t="s">
        <v>21</v>
      </c>
      <c r="I1570" s="2" t="s">
        <v>3497</v>
      </c>
      <c r="J1570" s="3" t="str">
        <f>HYPERLINK("https://www.boe.es/gazeta/dias/1820/11/19/pdfs/GGB-1820-146.pdf#page=2","Abrir facsímil")</f>
        <v>Abrir facsímil</v>
      </c>
      <c r="K1570" s="3" t="s">
        <v>23</v>
      </c>
    </row>
    <row r="1571" spans="1:11" ht="42" customHeight="1">
      <c r="A1571" s="2" t="s">
        <v>3498</v>
      </c>
      <c r="B1571" s="2" t="s">
        <v>3498</v>
      </c>
      <c r="C1571" s="2" t="s">
        <v>26</v>
      </c>
      <c r="D1571" s="2" t="s">
        <v>27</v>
      </c>
      <c r="E1571" s="5">
        <v>-28895</v>
      </c>
      <c r="F1571" s="3" t="s">
        <v>347</v>
      </c>
      <c r="G1571" s="3" t="s">
        <v>128</v>
      </c>
      <c r="H1571" s="2" t="s">
        <v>21</v>
      </c>
      <c r="I1571" s="2" t="s">
        <v>3499</v>
      </c>
      <c r="J1571" s="3" t="str">
        <f>HYPERLINK("https://www.boe.es/gazeta/dias/1820/11/19/pdfs/GGB-1820-146.pdf#page=1","Abrir facsímil")</f>
        <v>Abrir facsímil</v>
      </c>
      <c r="K1571" s="3" t="s">
        <v>23</v>
      </c>
    </row>
    <row r="1572" spans="1:11" ht="42" customHeight="1">
      <c r="A1572" s="2" t="s">
        <v>3500</v>
      </c>
      <c r="B1572" s="2" t="s">
        <v>3501</v>
      </c>
      <c r="C1572" s="2" t="s">
        <v>26</v>
      </c>
      <c r="D1572" s="2" t="s">
        <v>27</v>
      </c>
      <c r="E1572" s="5">
        <v>-28986</v>
      </c>
      <c r="F1572" s="3" t="s">
        <v>488</v>
      </c>
      <c r="G1572" s="3" t="s">
        <v>128</v>
      </c>
      <c r="H1572" s="2" t="s">
        <v>21</v>
      </c>
      <c r="I1572" s="2" t="s">
        <v>3502</v>
      </c>
      <c r="J1572" s="3" t="str">
        <f>HYPERLINK("https://www.boe.es/gazeta/dias/1820/08/20/pdfs/GGB-1820-53.pdf#page=1","Abrir facsímil")</f>
        <v>Abrir facsímil</v>
      </c>
      <c r="K1572" s="3" t="s">
        <v>23</v>
      </c>
    </row>
    <row r="1573" spans="1:11" ht="42" customHeight="1">
      <c r="A1573" s="2" t="s">
        <v>3503</v>
      </c>
      <c r="B1573" s="2" t="s">
        <v>3504</v>
      </c>
      <c r="C1573" s="2" t="s">
        <v>26</v>
      </c>
      <c r="D1573" s="2" t="s">
        <v>27</v>
      </c>
      <c r="E1573" s="5">
        <v>-28893</v>
      </c>
      <c r="F1573" s="3" t="s">
        <v>546</v>
      </c>
      <c r="G1573" s="3" t="s">
        <v>62</v>
      </c>
      <c r="H1573" s="2" t="s">
        <v>21</v>
      </c>
      <c r="I1573" s="2" t="s">
        <v>3505</v>
      </c>
      <c r="J1573" s="3" t="str">
        <f>HYPERLINK("https://www.boe.es/gazeta/dias/1820/11/21/pdfs/GGB-1820-148.pdf#page=3","Abrir facsímil")</f>
        <v>Abrir facsímil</v>
      </c>
      <c r="K1573" s="3" t="s">
        <v>23</v>
      </c>
    </row>
    <row r="1574" spans="1:11" ht="42" customHeight="1">
      <c r="A1574" s="2" t="s">
        <v>3506</v>
      </c>
      <c r="B1574" s="2" t="s">
        <v>3507</v>
      </c>
      <c r="C1574" s="2" t="s">
        <v>26</v>
      </c>
      <c r="D1574" s="2" t="s">
        <v>27</v>
      </c>
      <c r="E1574" s="5">
        <v>-29110</v>
      </c>
      <c r="F1574" s="3" t="s">
        <v>272</v>
      </c>
      <c r="G1574" s="3" t="s">
        <v>295</v>
      </c>
      <c r="H1574" s="2" t="s">
        <v>21</v>
      </c>
      <c r="I1574" s="2" t="s">
        <v>3508</v>
      </c>
      <c r="J1574" s="3" t="str">
        <f>HYPERLINK("https://www.boe.es/gazeta/dias/1820/04/18/pdfs/GMD-1820-67.pdf#page=8","Abrir facsímil")</f>
        <v>Abrir facsímil</v>
      </c>
      <c r="K1574" s="3" t="s">
        <v>23</v>
      </c>
    </row>
    <row r="1575" spans="1:11" ht="42" customHeight="1">
      <c r="A1575" s="2" t="s">
        <v>3509</v>
      </c>
      <c r="B1575" s="2" t="s">
        <v>3509</v>
      </c>
      <c r="C1575" s="2" t="s">
        <v>26</v>
      </c>
      <c r="D1575" s="2" t="s">
        <v>27</v>
      </c>
      <c r="E1575" s="5">
        <v>-28855</v>
      </c>
      <c r="F1575" s="3" t="s">
        <v>2055</v>
      </c>
      <c r="G1575" s="3" t="s">
        <v>62</v>
      </c>
      <c r="H1575" s="2" t="s">
        <v>21</v>
      </c>
      <c r="I1575" s="2" t="s">
        <v>3510</v>
      </c>
      <c r="J1575" s="3" t="str">
        <f>HYPERLINK("https://www.boe.es/gazeta/dias/1820/12/29/pdfs/GGB-1820-186.pdf#page=3","Abrir facsímil")</f>
        <v>Abrir facsímil</v>
      </c>
      <c r="K1575" s="3" t="s">
        <v>23</v>
      </c>
    </row>
    <row r="1576" spans="1:11" ht="42" customHeight="1">
      <c r="A1576" s="2" t="s">
        <v>3511</v>
      </c>
      <c r="B1576" s="2" t="s">
        <v>3511</v>
      </c>
      <c r="C1576" s="2" t="s">
        <v>26</v>
      </c>
      <c r="D1576" s="2" t="s">
        <v>27</v>
      </c>
      <c r="E1576" s="5">
        <v>-29159</v>
      </c>
      <c r="F1576" s="3" t="s">
        <v>1022</v>
      </c>
      <c r="G1576" s="3" t="s">
        <v>256</v>
      </c>
      <c r="H1576" s="2" t="s">
        <v>21</v>
      </c>
      <c r="I1576" s="2" t="s">
        <v>3512</v>
      </c>
      <c r="J1576" s="3" t="str">
        <f>HYPERLINK("https://www.boe.es/gazeta/dias/1820/02/29/pdfs/GMD-1820-26.pdf#page=5","Abrir facsímil")</f>
        <v>Abrir facsímil</v>
      </c>
      <c r="K1576" s="3" t="s">
        <v>23</v>
      </c>
    </row>
    <row r="1577" spans="1:11" ht="42" customHeight="1">
      <c r="A1577" s="2" t="s">
        <v>3511</v>
      </c>
      <c r="B1577" s="2" t="s">
        <v>3511</v>
      </c>
      <c r="C1577" s="2" t="s">
        <v>26</v>
      </c>
      <c r="D1577" s="2" t="s">
        <v>310</v>
      </c>
      <c r="E1577" s="5">
        <v>-29138</v>
      </c>
      <c r="F1577" s="3" t="s">
        <v>2523</v>
      </c>
      <c r="G1577" s="3" t="s">
        <v>479</v>
      </c>
      <c r="H1577" s="2" t="s">
        <v>21</v>
      </c>
      <c r="I1577" s="2" t="s">
        <v>3513</v>
      </c>
      <c r="J1577" s="3" t="str">
        <f>HYPERLINK("https://www.boe.es/gazeta/dias/1820/03/21/pdfs/GMD-1820-48E.pdf#page=12","Abrir facsímil")</f>
        <v>Abrir facsímil</v>
      </c>
      <c r="K1577" s="3" t="s">
        <v>23</v>
      </c>
    </row>
    <row r="1578" spans="1:11" ht="42" customHeight="1">
      <c r="A1578" s="2" t="s">
        <v>3514</v>
      </c>
      <c r="B1578" s="2" t="s">
        <v>3515</v>
      </c>
      <c r="C1578" s="2" t="s">
        <v>35</v>
      </c>
      <c r="D1578" s="2" t="s">
        <v>36</v>
      </c>
      <c r="E1578" s="5">
        <v>-28913</v>
      </c>
      <c r="F1578" s="3" t="s">
        <v>230</v>
      </c>
      <c r="G1578" s="3" t="s">
        <v>20</v>
      </c>
      <c r="H1578" s="2" t="s">
        <v>21</v>
      </c>
      <c r="I1578" s="2" t="s">
        <v>3516</v>
      </c>
      <c r="J1578" s="3" t="str">
        <f>HYPERLINK("https://www.boe.es/gazeta/dias/1820/11/01/pdfs/GGB-1820-126.pdf#page=4","Abrir facsímil")</f>
        <v>Abrir facsímil</v>
      </c>
      <c r="K1578" s="3" t="s">
        <v>23</v>
      </c>
    </row>
    <row r="1579" spans="1:11" ht="42" customHeight="1">
      <c r="A1579" s="2" t="s">
        <v>3517</v>
      </c>
      <c r="B1579" s="2" t="s">
        <v>3518</v>
      </c>
      <c r="C1579" s="2" t="s">
        <v>26</v>
      </c>
      <c r="D1579" s="2" t="s">
        <v>27</v>
      </c>
      <c r="E1579" s="5">
        <v>-28965</v>
      </c>
      <c r="F1579" s="3" t="s">
        <v>1520</v>
      </c>
      <c r="G1579" s="3" t="s">
        <v>43</v>
      </c>
      <c r="H1579" s="2" t="s">
        <v>21</v>
      </c>
      <c r="I1579" s="2" t="s">
        <v>3519</v>
      </c>
      <c r="J1579" s="3" t="str">
        <f>HYPERLINK("https://www.boe.es/gazeta/dias/1820/09/10/pdfs/GGB-1820-74.pdf#page=2","Abrir facsímil")</f>
        <v>Abrir facsímil</v>
      </c>
      <c r="K1579" s="3" t="s">
        <v>23</v>
      </c>
    </row>
    <row r="1580" spans="1:11" ht="42" customHeight="1">
      <c r="A1580" s="2" t="s">
        <v>3520</v>
      </c>
      <c r="B1580" s="2" t="s">
        <v>3521</v>
      </c>
      <c r="C1580" s="2" t="s">
        <v>293</v>
      </c>
      <c r="D1580" s="2" t="s">
        <v>18</v>
      </c>
      <c r="E1580" s="5">
        <v>-28976</v>
      </c>
      <c r="F1580" s="3" t="s">
        <v>689</v>
      </c>
      <c r="G1580" s="3" t="s">
        <v>20</v>
      </c>
      <c r="H1580" s="2" t="s">
        <v>21</v>
      </c>
      <c r="I1580" s="2" t="s">
        <v>3522</v>
      </c>
      <c r="J1580" s="3" t="str">
        <f>HYPERLINK("https://www.boe.es/gazeta/dias/1820/08/30/pdfs/GGB-1820-63.pdf#page=4","Abrir facsímil")</f>
        <v>Abrir facsímil</v>
      </c>
      <c r="K1580" s="3" t="s">
        <v>23</v>
      </c>
    </row>
    <row r="1581" spans="1:11" ht="42" customHeight="1">
      <c r="A1581" s="2" t="s">
        <v>3523</v>
      </c>
      <c r="B1581" s="2" t="s">
        <v>3524</v>
      </c>
      <c r="C1581" s="2" t="s">
        <v>26</v>
      </c>
      <c r="D1581" s="2" t="s">
        <v>27</v>
      </c>
      <c r="E1581" s="5">
        <v>-29208</v>
      </c>
      <c r="F1581" s="3" t="s">
        <v>770</v>
      </c>
      <c r="G1581" s="3" t="s">
        <v>201</v>
      </c>
      <c r="H1581" s="2" t="s">
        <v>21</v>
      </c>
      <c r="I1581" s="2" t="s">
        <v>3525</v>
      </c>
      <c r="J1581" s="3" t="str">
        <f>HYPERLINK("https://www.boe.es/gazeta/dias/1820/01/11/pdfs/GMD-1820-5.pdf#page=7","Abrir facsímil")</f>
        <v>Abrir facsímil</v>
      </c>
      <c r="K1581" s="3" t="s">
        <v>23</v>
      </c>
    </row>
    <row r="1582" spans="1:11" ht="42" customHeight="1">
      <c r="A1582" s="2" t="s">
        <v>3526</v>
      </c>
      <c r="B1582" s="2" t="s">
        <v>3527</v>
      </c>
      <c r="C1582" s="2" t="s">
        <v>17</v>
      </c>
      <c r="D1582" s="2" t="s">
        <v>18</v>
      </c>
      <c r="E1582" s="5">
        <v>-29101</v>
      </c>
      <c r="F1582" s="3" t="s">
        <v>999</v>
      </c>
      <c r="G1582" s="3" t="s">
        <v>256</v>
      </c>
      <c r="H1582" s="2" t="s">
        <v>21</v>
      </c>
      <c r="I1582" s="2" t="s">
        <v>3528</v>
      </c>
      <c r="J1582" s="3" t="str">
        <f>HYPERLINK("https://www.boe.es/gazeta/dias/1820/04/27/pdfs/GMD-1820-72.pdf#page=5","Abrir facsímil")</f>
        <v>Abrir facsímil</v>
      </c>
      <c r="K1582" s="3" t="s">
        <v>23</v>
      </c>
    </row>
    <row r="1583" spans="1:11" ht="42" customHeight="1">
      <c r="A1583" s="2" t="s">
        <v>3529</v>
      </c>
      <c r="B1583" s="2" t="s">
        <v>3530</v>
      </c>
      <c r="C1583" s="2" t="s">
        <v>26</v>
      </c>
      <c r="D1583" s="2" t="s">
        <v>27</v>
      </c>
      <c r="E1583" s="5">
        <v>-28931</v>
      </c>
      <c r="F1583" s="3" t="s">
        <v>724</v>
      </c>
      <c r="G1583" s="3" t="s">
        <v>725</v>
      </c>
      <c r="H1583" s="2" t="s">
        <v>21</v>
      </c>
      <c r="I1583" s="2" t="s">
        <v>3531</v>
      </c>
      <c r="J1583" s="3" t="str">
        <f>HYPERLINK("https://www.boe.es/gazeta/dias/1820/10/14/pdfs/GGB-1820-108.pdf#page=3","Abrir facsímil")</f>
        <v>Abrir facsímil</v>
      </c>
      <c r="K1583" s="3" t="s">
        <v>23</v>
      </c>
    </row>
    <row r="1584" spans="1:11" ht="42" customHeight="1">
      <c r="A1584" s="2" t="s">
        <v>3532</v>
      </c>
      <c r="B1584" s="2" t="s">
        <v>3532</v>
      </c>
      <c r="C1584" s="2" t="s">
        <v>26</v>
      </c>
      <c r="D1584" s="2" t="s">
        <v>27</v>
      </c>
      <c r="E1584" s="5">
        <v>-28953</v>
      </c>
      <c r="F1584" s="3" t="s">
        <v>367</v>
      </c>
      <c r="G1584" s="3" t="s">
        <v>128</v>
      </c>
      <c r="H1584" s="2" t="s">
        <v>21</v>
      </c>
      <c r="I1584" s="2" t="s">
        <v>3533</v>
      </c>
      <c r="J1584" s="3" t="str">
        <f>HYPERLINK("https://www.boe.es/gazeta/dias/1820/09/22/pdfs/GGB-1820-86.pdf#page=1","Abrir facsímil")</f>
        <v>Abrir facsímil</v>
      </c>
      <c r="K1584" s="3" t="s">
        <v>23</v>
      </c>
    </row>
    <row r="1585" spans="1:11" ht="42" customHeight="1">
      <c r="A1585" s="2" t="s">
        <v>3534</v>
      </c>
      <c r="B1585" s="2" t="s">
        <v>3534</v>
      </c>
      <c r="C1585" s="2" t="s">
        <v>111</v>
      </c>
      <c r="D1585" s="2" t="s">
        <v>18</v>
      </c>
      <c r="E1585" s="5">
        <v>-29190</v>
      </c>
      <c r="F1585" s="3" t="s">
        <v>537</v>
      </c>
      <c r="G1585" s="3" t="s">
        <v>43</v>
      </c>
      <c r="H1585" s="2" t="s">
        <v>21</v>
      </c>
      <c r="I1585" s="2" t="s">
        <v>3535</v>
      </c>
      <c r="J1585" s="3" t="str">
        <f>HYPERLINK("https://www.boe.es/gazeta/dias/1820/01/29/pdfs/GMD-1820-13.pdf#page=2","Abrir facsímil")</f>
        <v>Abrir facsímil</v>
      </c>
      <c r="K1585" s="3" t="s">
        <v>23</v>
      </c>
    </row>
    <row r="1586" spans="1:11" ht="42" customHeight="1">
      <c r="A1586" s="2" t="s">
        <v>3536</v>
      </c>
      <c r="B1586" s="2" t="s">
        <v>3536</v>
      </c>
      <c r="C1586" s="2" t="s">
        <v>35</v>
      </c>
      <c r="D1586" s="2" t="s">
        <v>36</v>
      </c>
      <c r="E1586" s="5">
        <v>-29145</v>
      </c>
      <c r="F1586" s="3" t="s">
        <v>3537</v>
      </c>
      <c r="G1586" s="3" t="s">
        <v>43</v>
      </c>
      <c r="H1586" s="2" t="s">
        <v>21</v>
      </c>
      <c r="I1586" s="2" t="s">
        <v>3538</v>
      </c>
      <c r="J1586" s="3" t="str">
        <f>HYPERLINK("https://www.boe.es/gazeta/dias/1820/03/14/pdfs/GMD-1820-39.pdf#page=2","Abrir facsímil")</f>
        <v>Abrir facsímil</v>
      </c>
      <c r="K1586" s="3" t="s">
        <v>23</v>
      </c>
    </row>
    <row r="1587" spans="1:11" ht="42" customHeight="1">
      <c r="A1587" s="2" t="s">
        <v>3536</v>
      </c>
      <c r="B1587" s="2" t="s">
        <v>3536</v>
      </c>
      <c r="C1587" s="2" t="s">
        <v>26</v>
      </c>
      <c r="D1587" s="2" t="s">
        <v>27</v>
      </c>
      <c r="E1587" s="5">
        <v>-28882</v>
      </c>
      <c r="F1587" s="3" t="s">
        <v>1245</v>
      </c>
      <c r="G1587" s="3" t="s">
        <v>20</v>
      </c>
      <c r="H1587" s="2" t="s">
        <v>21</v>
      </c>
      <c r="I1587" s="2" t="s">
        <v>3539</v>
      </c>
      <c r="J1587" s="3" t="str">
        <f>HYPERLINK("https://www.boe.es/gazeta/dias/1820/12/02/pdfs/GGB-1820-159.pdf#page=4","Abrir facsímil")</f>
        <v>Abrir facsímil</v>
      </c>
      <c r="K1587" s="3" t="s">
        <v>23</v>
      </c>
    </row>
    <row r="1588" spans="1:11" ht="42" customHeight="1">
      <c r="A1588" s="2" t="s">
        <v>3540</v>
      </c>
      <c r="B1588" s="2" t="s">
        <v>3540</v>
      </c>
      <c r="C1588" s="2" t="s">
        <v>17</v>
      </c>
      <c r="D1588" s="2" t="s">
        <v>18</v>
      </c>
      <c r="E1588" s="5">
        <v>-28933</v>
      </c>
      <c r="F1588" s="3" t="s">
        <v>720</v>
      </c>
      <c r="G1588" s="3" t="s">
        <v>128</v>
      </c>
      <c r="H1588" s="2" t="s">
        <v>21</v>
      </c>
      <c r="I1588" s="2" t="s">
        <v>3541</v>
      </c>
      <c r="J1588" s="3" t="str">
        <f>HYPERLINK("https://www.boe.es/gazeta/dias/1820/10/12/pdfs/GGB-1820-106.pdf#page=1","Abrir facsímil")</f>
        <v>Abrir facsímil</v>
      </c>
      <c r="K1588" s="3" t="s">
        <v>23</v>
      </c>
    </row>
    <row r="1589" spans="1:11" ht="42" customHeight="1">
      <c r="A1589" s="2" t="s">
        <v>3542</v>
      </c>
      <c r="B1589" s="2" t="s">
        <v>3543</v>
      </c>
      <c r="C1589" s="2" t="s">
        <v>74</v>
      </c>
      <c r="D1589" s="2" t="s">
        <v>18</v>
      </c>
      <c r="E1589" s="5">
        <v>-28926</v>
      </c>
      <c r="F1589" s="3" t="s">
        <v>597</v>
      </c>
      <c r="G1589" s="3" t="s">
        <v>62</v>
      </c>
      <c r="H1589" s="2" t="s">
        <v>21</v>
      </c>
      <c r="I1589" s="2" t="s">
        <v>3544</v>
      </c>
      <c r="J1589" s="3" t="str">
        <f>HYPERLINK("https://www.boe.es/gazeta/dias/1820/10/19/pdfs/GGB-1820-113.pdf#page=3","Abrir facsímil")</f>
        <v>Abrir facsímil</v>
      </c>
      <c r="K1589" s="3" t="s">
        <v>23</v>
      </c>
    </row>
    <row r="1590" spans="1:11" ht="42" customHeight="1">
      <c r="A1590" s="2" t="s">
        <v>3545</v>
      </c>
      <c r="B1590" s="2" t="s">
        <v>3545</v>
      </c>
      <c r="C1590" s="2" t="s">
        <v>17</v>
      </c>
      <c r="D1590" s="2" t="s">
        <v>18</v>
      </c>
      <c r="E1590" s="5">
        <v>-29183</v>
      </c>
      <c r="F1590" s="3" t="s">
        <v>476</v>
      </c>
      <c r="G1590" s="3" t="s">
        <v>20</v>
      </c>
      <c r="H1590" s="2" t="s">
        <v>21</v>
      </c>
      <c r="I1590" s="2" t="s">
        <v>3546</v>
      </c>
      <c r="J1590" s="3" t="str">
        <f>HYPERLINK("https://www.boe.es/gazeta/dias/1820/02/05/pdfs/GMD-1820-16.pdf#page=4","Abrir facsímil")</f>
        <v>Abrir facsímil</v>
      </c>
      <c r="K1590" s="3" t="s">
        <v>23</v>
      </c>
    </row>
    <row r="1591" spans="1:11" ht="42" customHeight="1">
      <c r="A1591" s="2" t="s">
        <v>3547</v>
      </c>
      <c r="B1591" s="2" t="s">
        <v>3547</v>
      </c>
      <c r="C1591" s="2" t="s">
        <v>26</v>
      </c>
      <c r="D1591" s="2" t="s">
        <v>27</v>
      </c>
      <c r="E1591" s="5">
        <v>-28971</v>
      </c>
      <c r="F1591" s="3" t="s">
        <v>691</v>
      </c>
      <c r="G1591" s="3" t="s">
        <v>62</v>
      </c>
      <c r="H1591" s="2" t="s">
        <v>21</v>
      </c>
      <c r="I1591" s="2" t="s">
        <v>3548</v>
      </c>
      <c r="J1591" s="3" t="str">
        <f>HYPERLINK("https://www.boe.es/gazeta/dias/1820/09/04/pdfs/GGB-1820-68.pdf#page=3","Abrir facsímil")</f>
        <v>Abrir facsímil</v>
      </c>
      <c r="K1591" s="3" t="s">
        <v>23</v>
      </c>
    </row>
    <row r="1592" spans="1:11" ht="42" customHeight="1">
      <c r="A1592" s="2" t="s">
        <v>3547</v>
      </c>
      <c r="B1592" s="2" t="s">
        <v>3547</v>
      </c>
      <c r="C1592" s="2" t="s">
        <v>74</v>
      </c>
      <c r="D1592" s="2" t="s">
        <v>18</v>
      </c>
      <c r="E1592" s="5">
        <v>-28878</v>
      </c>
      <c r="F1592" s="3" t="s">
        <v>866</v>
      </c>
      <c r="G1592" s="3" t="s">
        <v>62</v>
      </c>
      <c r="H1592" s="2" t="s">
        <v>21</v>
      </c>
      <c r="I1592" s="2" t="s">
        <v>3549</v>
      </c>
      <c r="J1592" s="3" t="str">
        <f>HYPERLINK("https://www.boe.es/gazeta/dias/1820/12/06/pdfs/GGB-1820-163.pdf#page=3","Abrir facsímil")</f>
        <v>Abrir facsímil</v>
      </c>
      <c r="K1592" s="3" t="s">
        <v>23</v>
      </c>
    </row>
    <row r="1593" spans="1:11" ht="42" customHeight="1">
      <c r="A1593" s="2" t="s">
        <v>3550</v>
      </c>
      <c r="B1593" s="2" t="s">
        <v>3550</v>
      </c>
      <c r="C1593" s="2" t="s">
        <v>74</v>
      </c>
      <c r="D1593" s="2" t="s">
        <v>18</v>
      </c>
      <c r="E1593" s="5">
        <v>-28932</v>
      </c>
      <c r="F1593" s="3" t="s">
        <v>407</v>
      </c>
      <c r="G1593" s="3" t="s">
        <v>43</v>
      </c>
      <c r="H1593" s="2" t="s">
        <v>21</v>
      </c>
      <c r="I1593" s="2" t="s">
        <v>3551</v>
      </c>
      <c r="J1593" s="3" t="str">
        <f>HYPERLINK("https://www.boe.es/gazeta/dias/1820/10/13/pdfs/GGB-1820-107.pdf#page=2","Abrir facsímil")</f>
        <v>Abrir facsímil</v>
      </c>
      <c r="K1593" s="3" t="s">
        <v>23</v>
      </c>
    </row>
    <row r="1594" spans="1:11" ht="42" customHeight="1">
      <c r="A1594" s="2" t="s">
        <v>3552</v>
      </c>
      <c r="B1594" s="2" t="s">
        <v>3553</v>
      </c>
      <c r="C1594" s="2" t="s">
        <v>74</v>
      </c>
      <c r="D1594" s="2" t="s">
        <v>18</v>
      </c>
      <c r="E1594" s="5">
        <v>-28964</v>
      </c>
      <c r="F1594" s="3" t="s">
        <v>240</v>
      </c>
      <c r="G1594" s="3" t="s">
        <v>43</v>
      </c>
      <c r="H1594" s="2" t="s">
        <v>21</v>
      </c>
      <c r="I1594" s="2" t="s">
        <v>3554</v>
      </c>
      <c r="J1594" s="3" t="str">
        <f>HYPERLINK("https://www.boe.es/gazeta/dias/1820/09/11/pdfs/GGB-1820-75.pdf#page=2","Abrir facsímil")</f>
        <v>Abrir facsímil</v>
      </c>
      <c r="K1594" s="3" t="s">
        <v>23</v>
      </c>
    </row>
    <row r="1595" spans="1:11" ht="42" customHeight="1">
      <c r="A1595" s="2" t="s">
        <v>3555</v>
      </c>
      <c r="B1595" s="2" t="s">
        <v>3556</v>
      </c>
      <c r="C1595" s="2" t="s">
        <v>111</v>
      </c>
      <c r="D1595" s="2" t="s">
        <v>18</v>
      </c>
      <c r="E1595" s="5">
        <v>-28938</v>
      </c>
      <c r="F1595" s="3" t="s">
        <v>716</v>
      </c>
      <c r="G1595" s="3" t="s">
        <v>717</v>
      </c>
      <c r="H1595" s="2" t="s">
        <v>21</v>
      </c>
      <c r="I1595" s="2" t="s">
        <v>3557</v>
      </c>
      <c r="J1595" s="3" t="str">
        <f>HYPERLINK("https://www.boe.es/gazeta/dias/1820/10/07/pdfs/GGB-1820-101.pdf#page=2","Abrir facsímil")</f>
        <v>Abrir facsímil</v>
      </c>
      <c r="K1595" s="3" t="s">
        <v>23</v>
      </c>
    </row>
    <row r="1596" spans="1:11" ht="42" customHeight="1">
      <c r="A1596" s="2" t="s">
        <v>3558</v>
      </c>
      <c r="B1596" s="2" t="s">
        <v>3559</v>
      </c>
      <c r="C1596" s="2" t="s">
        <v>17</v>
      </c>
      <c r="D1596" s="2" t="s">
        <v>18</v>
      </c>
      <c r="E1596" s="5">
        <v>-28950</v>
      </c>
      <c r="F1596" s="3" t="s">
        <v>1052</v>
      </c>
      <c r="G1596" s="3" t="s">
        <v>62</v>
      </c>
      <c r="H1596" s="2" t="s">
        <v>21</v>
      </c>
      <c r="I1596" s="2" t="s">
        <v>3560</v>
      </c>
      <c r="J1596" s="3" t="str">
        <f>HYPERLINK("https://www.boe.es/gazeta/dias/1820/09/25/pdfs/GGB-1820-89.pdf#page=3","Abrir facsímil")</f>
        <v>Abrir facsímil</v>
      </c>
      <c r="K1596" s="3" t="s">
        <v>23</v>
      </c>
    </row>
    <row r="1597" spans="1:11" ht="42" customHeight="1">
      <c r="A1597" s="2" t="s">
        <v>3561</v>
      </c>
      <c r="B1597" s="2" t="s">
        <v>3561</v>
      </c>
      <c r="C1597" s="2" t="s">
        <v>35</v>
      </c>
      <c r="D1597" s="2" t="s">
        <v>36</v>
      </c>
      <c r="E1597" s="5">
        <v>-29016</v>
      </c>
      <c r="F1597" s="3" t="s">
        <v>657</v>
      </c>
      <c r="G1597" s="3" t="s">
        <v>62</v>
      </c>
      <c r="H1597" s="2" t="s">
        <v>21</v>
      </c>
      <c r="I1597" s="2" t="s">
        <v>3562</v>
      </c>
      <c r="J1597" s="3" t="str">
        <f>HYPERLINK("https://www.boe.es/gazeta/dias/1820/07/21/pdfs/GGB-1820-23.pdf#page=3","Abrir facsímil")</f>
        <v>Abrir facsímil</v>
      </c>
      <c r="K1597" s="3" t="s">
        <v>23</v>
      </c>
    </row>
    <row r="1598" spans="1:11" ht="42" customHeight="1">
      <c r="A1598" s="2" t="s">
        <v>3563</v>
      </c>
      <c r="B1598" s="2" t="s">
        <v>3564</v>
      </c>
      <c r="C1598" s="2" t="s">
        <v>35</v>
      </c>
      <c r="D1598" s="2" t="s">
        <v>36</v>
      </c>
      <c r="E1598" s="5">
        <v>-29068</v>
      </c>
      <c r="F1598" s="3" t="s">
        <v>943</v>
      </c>
      <c r="G1598" s="3" t="s">
        <v>1698</v>
      </c>
      <c r="H1598" s="2" t="s">
        <v>21</v>
      </c>
      <c r="I1598" s="2" t="s">
        <v>3565</v>
      </c>
      <c r="J1598" s="3" t="str">
        <f>HYPERLINK("https://www.boe.es/gazeta/dias/1820/05/30/pdfs/GMD-1820-87.pdf#page=11","Abrir facsímil")</f>
        <v>Abrir facsímil</v>
      </c>
      <c r="K1598" s="3" t="s">
        <v>23</v>
      </c>
    </row>
    <row r="1599" spans="1:11" ht="42" customHeight="1">
      <c r="A1599" s="2" t="s">
        <v>3566</v>
      </c>
      <c r="B1599" s="2" t="s">
        <v>3567</v>
      </c>
      <c r="C1599" s="2" t="s">
        <v>26</v>
      </c>
      <c r="D1599" s="2" t="s">
        <v>27</v>
      </c>
      <c r="E1599" s="5">
        <v>-29218</v>
      </c>
      <c r="F1599" s="3" t="s">
        <v>834</v>
      </c>
      <c r="G1599" s="3" t="s">
        <v>20</v>
      </c>
      <c r="H1599" s="2" t="s">
        <v>21</v>
      </c>
      <c r="I1599" s="2" t="s">
        <v>3568</v>
      </c>
      <c r="J1599" s="3" t="str">
        <f>HYPERLINK("https://www.boe.es/gazeta/dias/1820/01/01/pdfs/GMD-1820-1.pdf#page=4","Abrir facsímil")</f>
        <v>Abrir facsímil</v>
      </c>
      <c r="K1599" s="3" t="s">
        <v>23</v>
      </c>
    </row>
    <row r="1600" spans="1:11" ht="42" customHeight="1">
      <c r="A1600" s="2" t="s">
        <v>3569</v>
      </c>
      <c r="B1600" s="2" t="s">
        <v>3570</v>
      </c>
      <c r="C1600" s="2" t="s">
        <v>26</v>
      </c>
      <c r="D1600" s="2" t="s">
        <v>27</v>
      </c>
      <c r="E1600" s="5">
        <v>-28909</v>
      </c>
      <c r="F1600" s="3" t="s">
        <v>278</v>
      </c>
      <c r="G1600" s="3" t="s">
        <v>62</v>
      </c>
      <c r="H1600" s="2" t="s">
        <v>30</v>
      </c>
      <c r="I1600" s="2" t="s">
        <v>3571</v>
      </c>
      <c r="J1600" s="3" t="str">
        <f>HYPERLINK("https://www.boe.es/gazeta/dias/1820/11/05/pdfs/GGB-1820-130.pdf#page=3","Abrir facsímil")</f>
        <v>Abrir facsímil</v>
      </c>
      <c r="K1600" s="3" t="s">
        <v>32</v>
      </c>
    </row>
    <row r="1601" spans="1:11" ht="42" customHeight="1">
      <c r="A1601" s="2" t="s">
        <v>3572</v>
      </c>
      <c r="B1601" s="2" t="s">
        <v>3573</v>
      </c>
      <c r="C1601" s="2" t="s">
        <v>26</v>
      </c>
      <c r="D1601" s="2" t="s">
        <v>27</v>
      </c>
      <c r="E1601" s="5">
        <v>-28899</v>
      </c>
      <c r="F1601" s="3" t="s">
        <v>285</v>
      </c>
      <c r="G1601" s="3" t="s">
        <v>20</v>
      </c>
      <c r="H1601" s="2" t="s">
        <v>21</v>
      </c>
      <c r="I1601" s="2" t="s">
        <v>3574</v>
      </c>
      <c r="J1601" s="3" t="str">
        <f>HYPERLINK("https://www.boe.es/gazeta/dias/1820/11/15/pdfs/GGB-1820-141.pdf#page=4","Abrir facsímil")</f>
        <v>Abrir facsímil</v>
      </c>
      <c r="K1601" s="3" t="s">
        <v>23</v>
      </c>
    </row>
    <row r="1602" spans="1:11" ht="42" customHeight="1">
      <c r="A1602" s="2" t="s">
        <v>3575</v>
      </c>
      <c r="B1602" s="2" t="s">
        <v>3576</v>
      </c>
      <c r="C1602" s="2" t="s">
        <v>17</v>
      </c>
      <c r="D1602" s="2" t="s">
        <v>18</v>
      </c>
      <c r="E1602" s="5">
        <v>-28931</v>
      </c>
      <c r="F1602" s="3" t="s">
        <v>724</v>
      </c>
      <c r="G1602" s="3" t="s">
        <v>20</v>
      </c>
      <c r="H1602" s="2" t="s">
        <v>30</v>
      </c>
      <c r="I1602" s="2" t="s">
        <v>3577</v>
      </c>
      <c r="J1602" s="3" t="str">
        <f>HYPERLINK("https://www.boe.es/gazeta/dias/1820/10/14/pdfs/GGB-1820-108.pdf#page=4","Abrir facsímil")</f>
        <v>Abrir facsímil</v>
      </c>
      <c r="K1602" s="3" t="s">
        <v>32</v>
      </c>
    </row>
    <row r="1603" spans="1:11" ht="42" customHeight="1">
      <c r="A1603" s="2" t="s">
        <v>3578</v>
      </c>
      <c r="B1603" s="2" t="s">
        <v>3578</v>
      </c>
      <c r="C1603" s="2" t="s">
        <v>35</v>
      </c>
      <c r="D1603" s="2" t="s">
        <v>36</v>
      </c>
      <c r="E1603" s="5">
        <v>-28864</v>
      </c>
      <c r="F1603" s="3" t="s">
        <v>1275</v>
      </c>
      <c r="G1603" s="3" t="s">
        <v>43</v>
      </c>
      <c r="H1603" s="2" t="s">
        <v>21</v>
      </c>
      <c r="I1603" s="2" t="s">
        <v>3579</v>
      </c>
      <c r="J1603" s="3" t="str">
        <f>HYPERLINK("https://www.boe.es/gazeta/dias/1820/12/20/pdfs/GGB-1820-177.pdf#page=2","Abrir facsímil")</f>
        <v>Abrir facsímil</v>
      </c>
      <c r="K1603" s="3" t="s">
        <v>23</v>
      </c>
    </row>
    <row r="1604" spans="1:11" ht="42" customHeight="1">
      <c r="A1604" s="2" t="s">
        <v>3580</v>
      </c>
      <c r="B1604" s="2" t="s">
        <v>3580</v>
      </c>
      <c r="C1604" s="2" t="s">
        <v>74</v>
      </c>
      <c r="D1604" s="2" t="s">
        <v>18</v>
      </c>
      <c r="E1604" s="5">
        <v>-29080</v>
      </c>
      <c r="F1604" s="3" t="s">
        <v>1031</v>
      </c>
      <c r="G1604" s="3" t="s">
        <v>20</v>
      </c>
      <c r="H1604" s="2" t="s">
        <v>21</v>
      </c>
      <c r="I1604" s="2" t="s">
        <v>3581</v>
      </c>
      <c r="J1604" s="3" t="str">
        <f>HYPERLINK("https://www.boe.es/gazeta/dias/1820/05/18/pdfs/GMD-1820-82.pdf#page=4","Abrir facsímil")</f>
        <v>Abrir facsímil</v>
      </c>
      <c r="K1604" s="3" t="s">
        <v>23</v>
      </c>
    </row>
    <row r="1605" spans="1:11" ht="42" customHeight="1">
      <c r="A1605" s="2" t="s">
        <v>3582</v>
      </c>
      <c r="B1605" s="2" t="s">
        <v>3582</v>
      </c>
      <c r="C1605" s="2" t="s">
        <v>26</v>
      </c>
      <c r="D1605" s="2" t="s">
        <v>27</v>
      </c>
      <c r="E1605" s="5">
        <v>-28975</v>
      </c>
      <c r="F1605" s="3" t="s">
        <v>182</v>
      </c>
      <c r="G1605" s="3" t="s">
        <v>62</v>
      </c>
      <c r="H1605" s="2" t="s">
        <v>21</v>
      </c>
      <c r="I1605" s="2" t="s">
        <v>3583</v>
      </c>
      <c r="J1605" s="3" t="str">
        <f>HYPERLINK("https://www.boe.es/gazeta/dias/1820/08/31/pdfs/GGB-1820-64.pdf#page=3","Abrir facsímil")</f>
        <v>Abrir facsímil</v>
      </c>
      <c r="K1605" s="3" t="s">
        <v>23</v>
      </c>
    </row>
    <row r="1606" spans="1:11" ht="42" customHeight="1">
      <c r="A1606" s="2" t="s">
        <v>3584</v>
      </c>
      <c r="B1606" s="2" t="s">
        <v>3585</v>
      </c>
      <c r="C1606" s="2" t="s">
        <v>35</v>
      </c>
      <c r="D1606" s="2" t="s">
        <v>36</v>
      </c>
      <c r="E1606" s="5">
        <v>-29000</v>
      </c>
      <c r="F1606" s="3" t="s">
        <v>670</v>
      </c>
      <c r="G1606" s="3" t="s">
        <v>62</v>
      </c>
      <c r="H1606" s="2" t="s">
        <v>21</v>
      </c>
      <c r="I1606" s="2" t="s">
        <v>3586</v>
      </c>
      <c r="J1606" s="3" t="str">
        <f>HYPERLINK("https://www.boe.es/gazeta/dias/1820/08/06/pdfs/GGB-1820-39.pdf#page=3","Abrir facsímil")</f>
        <v>Abrir facsímil</v>
      </c>
      <c r="K1606" s="3" t="s">
        <v>23</v>
      </c>
    </row>
    <row r="1607" spans="1:11" ht="42" customHeight="1">
      <c r="A1607" s="2" t="s">
        <v>3587</v>
      </c>
      <c r="B1607" s="2" t="s">
        <v>3588</v>
      </c>
      <c r="C1607" s="2" t="s">
        <v>111</v>
      </c>
      <c r="D1607" s="2" t="s">
        <v>18</v>
      </c>
      <c r="E1607" s="5">
        <v>-29159</v>
      </c>
      <c r="F1607" s="3" t="s">
        <v>1022</v>
      </c>
      <c r="G1607" s="3" t="s">
        <v>38</v>
      </c>
      <c r="H1607" s="2" t="s">
        <v>30</v>
      </c>
      <c r="I1607" s="2" t="s">
        <v>3589</v>
      </c>
      <c r="J1607" s="3" t="str">
        <f>HYPERLINK("https://www.boe.es/gazeta/dias/1820/02/29/pdfs/GMD-1820-26.pdf#page=6","Abrir facsímil")</f>
        <v>Abrir facsímil</v>
      </c>
      <c r="K1607" s="3" t="s">
        <v>32</v>
      </c>
    </row>
    <row r="1608" spans="1:11" ht="42" customHeight="1">
      <c r="A1608" s="2" t="s">
        <v>3590</v>
      </c>
      <c r="B1608" s="2" t="s">
        <v>3590</v>
      </c>
      <c r="C1608" s="2" t="s">
        <v>26</v>
      </c>
      <c r="D1608" s="2" t="s">
        <v>27</v>
      </c>
      <c r="E1608" s="5">
        <v>-28915</v>
      </c>
      <c r="F1608" s="3" t="s">
        <v>525</v>
      </c>
      <c r="G1608" s="3" t="s">
        <v>43</v>
      </c>
      <c r="H1608" s="2" t="s">
        <v>21</v>
      </c>
      <c r="I1608" s="2" t="s">
        <v>3591</v>
      </c>
      <c r="J1608" s="3" t="str">
        <f>HYPERLINK("https://www.boe.es/gazeta/dias/1820/10/30/pdfs/GGB-1820-124.pdf#page=2","Abrir facsímil")</f>
        <v>Abrir facsímil</v>
      </c>
      <c r="K1608" s="3" t="s">
        <v>23</v>
      </c>
    </row>
    <row r="1609" spans="1:11" ht="42" customHeight="1">
      <c r="A1609" s="2" t="s">
        <v>3592</v>
      </c>
      <c r="B1609" s="2" t="s">
        <v>3593</v>
      </c>
      <c r="C1609" s="2" t="s">
        <v>293</v>
      </c>
      <c r="D1609" s="2" t="s">
        <v>18</v>
      </c>
      <c r="E1609" s="5">
        <v>-29101</v>
      </c>
      <c r="F1609" s="3" t="s">
        <v>999</v>
      </c>
      <c r="G1609" s="3" t="s">
        <v>196</v>
      </c>
      <c r="H1609" s="2" t="s">
        <v>30</v>
      </c>
      <c r="I1609" s="2" t="s">
        <v>3594</v>
      </c>
      <c r="J1609" s="3" t="str">
        <f>HYPERLINK("https://www.boe.es/gazeta/dias/1820/04/27/pdfs/GMD-1820-72.pdf#page=11","Abrir facsímil")</f>
        <v>Abrir facsímil</v>
      </c>
      <c r="K1609" s="3" t="s">
        <v>32</v>
      </c>
    </row>
    <row r="1610" spans="1:11" ht="42" customHeight="1">
      <c r="A1610" s="2" t="s">
        <v>3595</v>
      </c>
      <c r="B1610" s="2" t="s">
        <v>3596</v>
      </c>
      <c r="C1610" s="2" t="s">
        <v>293</v>
      </c>
      <c r="D1610" s="2" t="s">
        <v>18</v>
      </c>
      <c r="E1610" s="5">
        <v>-29050</v>
      </c>
      <c r="F1610" s="3" t="s">
        <v>423</v>
      </c>
      <c r="G1610" s="3" t="s">
        <v>201</v>
      </c>
      <c r="H1610" s="2" t="s">
        <v>30</v>
      </c>
      <c r="I1610" s="2" t="s">
        <v>3597</v>
      </c>
      <c r="J1610" s="3" t="str">
        <f>HYPERLINK("https://www.boe.es/gazeta/dias/1820/06/17/pdfs/GMD-1820-95.pdf#page=7","Abrir facsímil")</f>
        <v>Abrir facsímil</v>
      </c>
      <c r="K1610" s="3" t="s">
        <v>32</v>
      </c>
    </row>
    <row r="1611" spans="1:11" ht="42" customHeight="1">
      <c r="A1611" s="2" t="s">
        <v>3598</v>
      </c>
      <c r="B1611" s="2" t="s">
        <v>3599</v>
      </c>
      <c r="C1611" s="2" t="s">
        <v>35</v>
      </c>
      <c r="D1611" s="2" t="s">
        <v>36</v>
      </c>
      <c r="E1611" s="5">
        <v>-28854</v>
      </c>
      <c r="F1611" s="3" t="s">
        <v>147</v>
      </c>
      <c r="G1611" s="3" t="s">
        <v>62</v>
      </c>
      <c r="H1611" s="2" t="s">
        <v>21</v>
      </c>
      <c r="I1611" s="2" t="s">
        <v>3600</v>
      </c>
      <c r="J1611" s="3" t="str">
        <f>HYPERLINK("https://www.boe.es/gazeta/dias/1820/12/30/pdfs/GGB-1820-187.pdf#page=3","Abrir facsímil")</f>
        <v>Abrir facsímil</v>
      </c>
      <c r="K1611" s="3" t="s">
        <v>23</v>
      </c>
    </row>
    <row r="1612" spans="1:11" ht="42" customHeight="1">
      <c r="A1612" s="2" t="s">
        <v>3601</v>
      </c>
      <c r="B1612" s="2" t="s">
        <v>3602</v>
      </c>
      <c r="C1612" s="2" t="s">
        <v>107</v>
      </c>
      <c r="D1612" s="2" t="s">
        <v>18</v>
      </c>
      <c r="E1612" s="5">
        <v>-28987</v>
      </c>
      <c r="F1612" s="3" t="s">
        <v>680</v>
      </c>
      <c r="G1612" s="3" t="s">
        <v>1300</v>
      </c>
      <c r="H1612" s="2" t="s">
        <v>21</v>
      </c>
      <c r="I1612" s="2" t="s">
        <v>3603</v>
      </c>
      <c r="J1612" s="3" t="str">
        <f>HYPERLINK("https://www.boe.es/gazeta/dias/1820/08/19/pdfs/GGB-1820-52.pdf#page=2","Abrir facsímil")</f>
        <v>Abrir facsímil</v>
      </c>
      <c r="K1612" s="3" t="s">
        <v>23</v>
      </c>
    </row>
    <row r="1613" spans="1:11" ht="42" customHeight="1">
      <c r="A1613" s="2" t="s">
        <v>3604</v>
      </c>
      <c r="B1613" s="2" t="s">
        <v>3605</v>
      </c>
      <c r="C1613" s="2" t="s">
        <v>26</v>
      </c>
      <c r="D1613" s="2" t="s">
        <v>27</v>
      </c>
      <c r="E1613" s="5">
        <v>-28951</v>
      </c>
      <c r="F1613" s="3" t="s">
        <v>622</v>
      </c>
      <c r="G1613" s="3" t="s">
        <v>62</v>
      </c>
      <c r="H1613" s="2" t="s">
        <v>21</v>
      </c>
      <c r="I1613" s="2" t="s">
        <v>3606</v>
      </c>
      <c r="J1613" s="3" t="str">
        <f>HYPERLINK("https://www.boe.es/gazeta/dias/1820/09/24/pdfs/GGB-1820-88.pdf#page=3","Abrir facsímil")</f>
        <v>Abrir facsímil</v>
      </c>
      <c r="K1613" s="3" t="s">
        <v>23</v>
      </c>
    </row>
    <row r="1614" spans="1:11" ht="42" customHeight="1">
      <c r="A1614" s="2" t="s">
        <v>3607</v>
      </c>
      <c r="B1614" s="2" t="s">
        <v>3608</v>
      </c>
      <c r="C1614" s="2" t="s">
        <v>17</v>
      </c>
      <c r="D1614" s="2" t="s">
        <v>18</v>
      </c>
      <c r="E1614" s="5">
        <v>-28981</v>
      </c>
      <c r="F1614" s="3" t="s">
        <v>42</v>
      </c>
      <c r="G1614" s="3" t="s">
        <v>62</v>
      </c>
      <c r="H1614" s="2" t="s">
        <v>21</v>
      </c>
      <c r="I1614" s="2" t="s">
        <v>3609</v>
      </c>
      <c r="J1614" s="3" t="str">
        <f>HYPERLINK("https://www.boe.es/gazeta/dias/1820/08/25/pdfs/GGB-1820-58.pdf#page=3","Abrir facsímil")</f>
        <v>Abrir facsímil</v>
      </c>
      <c r="K1614" s="3" t="s">
        <v>23</v>
      </c>
    </row>
    <row r="1615" spans="1:11" ht="42" customHeight="1">
      <c r="A1615" s="2" t="s">
        <v>3610</v>
      </c>
      <c r="B1615" s="2" t="s">
        <v>3610</v>
      </c>
      <c r="C1615" s="2" t="s">
        <v>74</v>
      </c>
      <c r="D1615" s="2" t="s">
        <v>18</v>
      </c>
      <c r="E1615" s="5">
        <v>-28930</v>
      </c>
      <c r="F1615" s="3" t="s">
        <v>372</v>
      </c>
      <c r="G1615" s="3" t="s">
        <v>43</v>
      </c>
      <c r="H1615" s="2" t="s">
        <v>21</v>
      </c>
      <c r="I1615" s="2" t="s">
        <v>3611</v>
      </c>
      <c r="J1615" s="3" t="str">
        <f>HYPERLINK("https://www.boe.es/gazeta/dias/1820/10/15/pdfs/GGB-1820-109.pdf#page=2","Abrir facsímil")</f>
        <v>Abrir facsímil</v>
      </c>
      <c r="K1615" s="3" t="s">
        <v>23</v>
      </c>
    </row>
    <row r="1616" spans="1:11" ht="42" customHeight="1">
      <c r="A1616" s="2" t="s">
        <v>3612</v>
      </c>
      <c r="B1616" s="2" t="s">
        <v>3613</v>
      </c>
      <c r="C1616" s="2" t="s">
        <v>17</v>
      </c>
      <c r="D1616" s="2" t="s">
        <v>18</v>
      </c>
      <c r="E1616" s="5">
        <v>-29115</v>
      </c>
      <c r="F1616" s="3" t="s">
        <v>289</v>
      </c>
      <c r="G1616" s="3" t="s">
        <v>20</v>
      </c>
      <c r="H1616" s="2" t="s">
        <v>21</v>
      </c>
      <c r="I1616" s="2" t="s">
        <v>3614</v>
      </c>
      <c r="J1616" s="3" t="str">
        <f>HYPERLINK("https://www.boe.es/gazeta/dias/1820/04/13/pdfs/GMD-1820-65.pdf#page=4","Abrir facsímil")</f>
        <v>Abrir facsímil</v>
      </c>
      <c r="K1616" s="3" t="s">
        <v>23</v>
      </c>
    </row>
    <row r="1617" spans="1:11" ht="42" customHeight="1">
      <c r="A1617" s="2" t="s">
        <v>3615</v>
      </c>
      <c r="B1617" s="2" t="s">
        <v>3616</v>
      </c>
      <c r="C1617" s="2" t="s">
        <v>26</v>
      </c>
      <c r="D1617" s="2" t="s">
        <v>27</v>
      </c>
      <c r="E1617" s="5">
        <v>-28958</v>
      </c>
      <c r="F1617" s="3" t="s">
        <v>706</v>
      </c>
      <c r="G1617" s="3" t="s">
        <v>43</v>
      </c>
      <c r="H1617" s="2" t="s">
        <v>21</v>
      </c>
      <c r="I1617" s="2" t="s">
        <v>3617</v>
      </c>
      <c r="J1617" s="3" t="str">
        <f>HYPERLINK("https://www.boe.es/gazeta/dias/1820/09/17/pdfs/GGB-1820-81.pdf#page=2","Abrir facsímil")</f>
        <v>Abrir facsímil</v>
      </c>
      <c r="K1617" s="3" t="s">
        <v>23</v>
      </c>
    </row>
    <row r="1618" spans="1:11" ht="42" customHeight="1">
      <c r="A1618" s="2" t="s">
        <v>3618</v>
      </c>
      <c r="B1618" s="2" t="s">
        <v>3618</v>
      </c>
      <c r="C1618" s="2" t="s">
        <v>26</v>
      </c>
      <c r="D1618" s="2" t="s">
        <v>27</v>
      </c>
      <c r="E1618" s="5">
        <v>-28945</v>
      </c>
      <c r="F1618" s="3" t="s">
        <v>99</v>
      </c>
      <c r="G1618" s="3" t="s">
        <v>43</v>
      </c>
      <c r="H1618" s="2" t="s">
        <v>21</v>
      </c>
      <c r="I1618" s="2" t="s">
        <v>3619</v>
      </c>
      <c r="J1618" s="3" t="str">
        <f>HYPERLINK("https://www.boe.es/gazeta/dias/1820/09/30/pdfs/GGB-1820-94.pdf#page=2","Abrir facsímil")</f>
        <v>Abrir facsímil</v>
      </c>
      <c r="K1618" s="3" t="s">
        <v>23</v>
      </c>
    </row>
    <row r="1619" spans="1:11" ht="42" customHeight="1">
      <c r="A1619" s="2" t="s">
        <v>3620</v>
      </c>
      <c r="B1619" s="2" t="s">
        <v>3621</v>
      </c>
      <c r="C1619" s="2" t="s">
        <v>26</v>
      </c>
      <c r="D1619" s="2" t="s">
        <v>27</v>
      </c>
      <c r="E1619" s="5">
        <v>-28966</v>
      </c>
      <c r="F1619" s="3" t="s">
        <v>701</v>
      </c>
      <c r="G1619" s="3" t="s">
        <v>20</v>
      </c>
      <c r="H1619" s="2" t="s">
        <v>21</v>
      </c>
      <c r="I1619" s="2" t="s">
        <v>3622</v>
      </c>
      <c r="J1619" s="3" t="str">
        <f>HYPERLINK("https://www.boe.es/gazeta/dias/1820/09/09/pdfs/GGB-1820-73.pdf#page=4","Abrir facsímil")</f>
        <v>Abrir facsímil</v>
      </c>
      <c r="K1619" s="3" t="s">
        <v>23</v>
      </c>
    </row>
    <row r="1620" spans="1:11" ht="42" customHeight="1">
      <c r="A1620" s="2" t="s">
        <v>3623</v>
      </c>
      <c r="B1620" s="2" t="s">
        <v>3624</v>
      </c>
      <c r="C1620" s="2" t="s">
        <v>26</v>
      </c>
      <c r="D1620" s="2" t="s">
        <v>27</v>
      </c>
      <c r="E1620" s="5">
        <v>-28974</v>
      </c>
      <c r="F1620" s="3" t="s">
        <v>1144</v>
      </c>
      <c r="G1620" s="3" t="s">
        <v>1145</v>
      </c>
      <c r="H1620" s="2" t="s">
        <v>21</v>
      </c>
      <c r="I1620" s="2" t="s">
        <v>3625</v>
      </c>
      <c r="J1620" s="3" t="str">
        <f>HYPERLINK("https://www.boe.es/gazeta/dias/1820/09/01/pdfs/GGB-1820-65.pdf#page=4","Abrir facsímil")</f>
        <v>Abrir facsímil</v>
      </c>
      <c r="K1620" s="3" t="s">
        <v>23</v>
      </c>
    </row>
    <row r="1621" spans="1:11" ht="42" customHeight="1">
      <c r="A1621" s="2" t="s">
        <v>3623</v>
      </c>
      <c r="B1621" s="2" t="s">
        <v>3624</v>
      </c>
      <c r="C1621" s="2" t="s">
        <v>35</v>
      </c>
      <c r="D1621" s="2" t="s">
        <v>36</v>
      </c>
      <c r="E1621" s="5">
        <v>-28927</v>
      </c>
      <c r="F1621" s="3" t="s">
        <v>345</v>
      </c>
      <c r="G1621" s="3" t="s">
        <v>62</v>
      </c>
      <c r="H1621" s="2" t="s">
        <v>21</v>
      </c>
      <c r="I1621" s="2" t="s">
        <v>3626</v>
      </c>
      <c r="J1621" s="3" t="str">
        <f>HYPERLINK("https://www.boe.es/gazeta/dias/1820/10/18/pdfs/GGB-1820-112.pdf#page=3","Abrir facsímil")</f>
        <v>Abrir facsímil</v>
      </c>
      <c r="K1621" s="3" t="s">
        <v>23</v>
      </c>
    </row>
    <row r="1622" spans="1:11" ht="42" customHeight="1">
      <c r="A1622" s="2" t="s">
        <v>3623</v>
      </c>
      <c r="B1622" s="2" t="s">
        <v>3624</v>
      </c>
      <c r="C1622" s="2" t="s">
        <v>74</v>
      </c>
      <c r="D1622" s="2" t="s">
        <v>18</v>
      </c>
      <c r="E1622" s="5">
        <v>-28908</v>
      </c>
      <c r="F1622" s="3" t="s">
        <v>1060</v>
      </c>
      <c r="G1622" s="3" t="s">
        <v>62</v>
      </c>
      <c r="H1622" s="2" t="s">
        <v>21</v>
      </c>
      <c r="I1622" s="2" t="s">
        <v>3627</v>
      </c>
      <c r="J1622" s="3" t="str">
        <f>HYPERLINK("https://www.boe.es/gazeta/dias/1820/11/06/pdfs/GGB-1820-131.pdf#page=3","Abrir facsímil")</f>
        <v>Abrir facsímil</v>
      </c>
      <c r="K1622" s="3" t="s">
        <v>23</v>
      </c>
    </row>
    <row r="1623" spans="1:11" ht="42" customHeight="1">
      <c r="A1623" s="2" t="s">
        <v>3628</v>
      </c>
      <c r="B1623" s="2" t="s">
        <v>3629</v>
      </c>
      <c r="C1623" s="2" t="s">
        <v>35</v>
      </c>
      <c r="D1623" s="2" t="s">
        <v>36</v>
      </c>
      <c r="E1623" s="5">
        <v>-28863</v>
      </c>
      <c r="F1623" s="3" t="s">
        <v>3630</v>
      </c>
      <c r="G1623" s="3" t="s">
        <v>20</v>
      </c>
      <c r="H1623" s="2" t="s">
        <v>21</v>
      </c>
      <c r="I1623" s="2" t="s">
        <v>3631</v>
      </c>
      <c r="J1623" s="3" t="str">
        <f>HYPERLINK("https://www.boe.es/gazeta/dias/1820/12/21/pdfs/GGB-1820-178.pdf#page=4","Abrir facsímil")</f>
        <v>Abrir facsímil</v>
      </c>
      <c r="K1623" s="3" t="s">
        <v>23</v>
      </c>
    </row>
    <row r="1624" spans="1:11" ht="42" customHeight="1">
      <c r="A1624" s="2" t="s">
        <v>3632</v>
      </c>
      <c r="B1624" s="2" t="s">
        <v>3633</v>
      </c>
      <c r="C1624" s="2" t="s">
        <v>35</v>
      </c>
      <c r="D1624" s="2" t="s">
        <v>36</v>
      </c>
      <c r="E1624" s="5">
        <v>-29120</v>
      </c>
      <c r="F1624" s="3" t="s">
        <v>852</v>
      </c>
      <c r="G1624" s="3" t="s">
        <v>295</v>
      </c>
      <c r="H1624" s="2" t="s">
        <v>21</v>
      </c>
      <c r="I1624" s="2" t="s">
        <v>3634</v>
      </c>
      <c r="J1624" s="3" t="str">
        <f>HYPERLINK("https://www.boe.es/gazeta/dias/1820/04/08/pdfs/GMD-1820-63.pdf#page=8","Abrir facsímil")</f>
        <v>Abrir facsímil</v>
      </c>
      <c r="K1624" s="3" t="s">
        <v>23</v>
      </c>
    </row>
    <row r="1625" spans="1:11" ht="42" customHeight="1">
      <c r="A1625" s="2" t="s">
        <v>3635</v>
      </c>
      <c r="B1625" s="2" t="s">
        <v>3636</v>
      </c>
      <c r="C1625" s="2" t="s">
        <v>26</v>
      </c>
      <c r="D1625" s="2" t="s">
        <v>27</v>
      </c>
      <c r="E1625" s="5">
        <v>-28975</v>
      </c>
      <c r="F1625" s="3" t="s">
        <v>182</v>
      </c>
      <c r="G1625" s="3" t="s">
        <v>183</v>
      </c>
      <c r="H1625" s="2" t="s">
        <v>21</v>
      </c>
      <c r="I1625" s="2" t="s">
        <v>3637</v>
      </c>
      <c r="J1625" s="3" t="str">
        <f>HYPERLINK("https://www.boe.es/gazeta/dias/1820/08/31/pdfs/GGB-1820-64.pdf#page=4","Abrir facsímil")</f>
        <v>Abrir facsímil</v>
      </c>
      <c r="K1625" s="3" t="s">
        <v>23</v>
      </c>
    </row>
    <row r="1626" spans="1:11" ht="42" customHeight="1">
      <c r="A1626" s="2" t="s">
        <v>3638</v>
      </c>
      <c r="B1626" s="2" t="s">
        <v>3639</v>
      </c>
      <c r="C1626" s="2" t="s">
        <v>26</v>
      </c>
      <c r="D1626" s="2" t="s">
        <v>27</v>
      </c>
      <c r="E1626" s="5">
        <v>-28971</v>
      </c>
      <c r="F1626" s="3" t="s">
        <v>691</v>
      </c>
      <c r="G1626" s="3" t="s">
        <v>43</v>
      </c>
      <c r="H1626" s="2" t="s">
        <v>21</v>
      </c>
      <c r="I1626" s="2" t="s">
        <v>3640</v>
      </c>
      <c r="J1626" s="3" t="str">
        <f>HYPERLINK("https://www.boe.es/gazeta/dias/1820/09/04/pdfs/GGB-1820-68.pdf#page=2","Abrir facsímil")</f>
        <v>Abrir facsímil</v>
      </c>
      <c r="K1626" s="3" t="s">
        <v>23</v>
      </c>
    </row>
    <row r="1627" spans="1:11" ht="42" customHeight="1">
      <c r="A1627" s="2" t="s">
        <v>3641</v>
      </c>
      <c r="B1627" s="2" t="s">
        <v>3641</v>
      </c>
      <c r="C1627" s="2" t="s">
        <v>26</v>
      </c>
      <c r="D1627" s="2" t="s">
        <v>27</v>
      </c>
      <c r="E1627" s="5">
        <v>-28975</v>
      </c>
      <c r="F1627" s="3" t="s">
        <v>182</v>
      </c>
      <c r="G1627" s="3" t="s">
        <v>62</v>
      </c>
      <c r="H1627" s="2" t="s">
        <v>21</v>
      </c>
      <c r="I1627" s="2" t="s">
        <v>3642</v>
      </c>
      <c r="J1627" s="3" t="str">
        <f>HYPERLINK("https://www.boe.es/gazeta/dias/1820/08/31/pdfs/GGB-1820-64.pdf#page=3","Abrir facsímil")</f>
        <v>Abrir facsímil</v>
      </c>
      <c r="K1627" s="3" t="s">
        <v>23</v>
      </c>
    </row>
    <row r="1628" spans="1:11" ht="42" customHeight="1">
      <c r="A1628" s="2" t="s">
        <v>3643</v>
      </c>
      <c r="B1628" s="2" t="s">
        <v>3644</v>
      </c>
      <c r="C1628" s="2" t="s">
        <v>107</v>
      </c>
      <c r="D1628" s="2" t="s">
        <v>18</v>
      </c>
      <c r="E1628" s="5">
        <v>-28930</v>
      </c>
      <c r="F1628" s="3" t="s">
        <v>372</v>
      </c>
      <c r="G1628" s="3" t="s">
        <v>20</v>
      </c>
      <c r="H1628" s="2" t="s">
        <v>21</v>
      </c>
      <c r="I1628" s="2" t="s">
        <v>3645</v>
      </c>
      <c r="J1628" s="3" t="str">
        <f>HYPERLINK("https://www.boe.es/gazeta/dias/1820/10/15/pdfs/GGB-1820-109.pdf#page=4","Abrir facsímil")</f>
        <v>Abrir facsímil</v>
      </c>
      <c r="K1628" s="3" t="s">
        <v>23</v>
      </c>
    </row>
    <row r="1629" spans="1:11" ht="42" customHeight="1">
      <c r="A1629" s="2" t="s">
        <v>3646</v>
      </c>
      <c r="B1629" s="2" t="s">
        <v>3647</v>
      </c>
      <c r="C1629" s="2" t="s">
        <v>26</v>
      </c>
      <c r="D1629" s="2" t="s">
        <v>27</v>
      </c>
      <c r="E1629" s="5">
        <v>-28975</v>
      </c>
      <c r="F1629" s="3" t="s">
        <v>182</v>
      </c>
      <c r="G1629" s="3" t="s">
        <v>183</v>
      </c>
      <c r="H1629" s="2" t="s">
        <v>21</v>
      </c>
      <c r="I1629" s="2" t="s">
        <v>3648</v>
      </c>
      <c r="J1629" s="3" t="str">
        <f>HYPERLINK("https://www.boe.es/gazeta/dias/1820/08/31/pdfs/GGB-1820-64.pdf#page=4","Abrir facsímil")</f>
        <v>Abrir facsímil</v>
      </c>
      <c r="K1629" s="3" t="s">
        <v>23</v>
      </c>
    </row>
    <row r="1630" spans="1:11" ht="42" customHeight="1">
      <c r="A1630" s="2" t="s">
        <v>3649</v>
      </c>
      <c r="B1630" s="2" t="s">
        <v>3650</v>
      </c>
      <c r="C1630" s="2" t="s">
        <v>26</v>
      </c>
      <c r="D1630" s="2" t="s">
        <v>27</v>
      </c>
      <c r="E1630" s="5">
        <v>-28984</v>
      </c>
      <c r="F1630" s="3" t="s">
        <v>520</v>
      </c>
      <c r="G1630" s="3" t="s">
        <v>43</v>
      </c>
      <c r="H1630" s="2" t="s">
        <v>21</v>
      </c>
      <c r="I1630" s="2" t="s">
        <v>3651</v>
      </c>
      <c r="J1630" s="3" t="str">
        <f>HYPERLINK("https://www.boe.es/gazeta/dias/1820/08/22/pdfs/GGB-1820-55.pdf#page=2","Abrir facsímil")</f>
        <v>Abrir facsímil</v>
      </c>
      <c r="K1630" s="3" t="s">
        <v>23</v>
      </c>
    </row>
    <row r="1631" spans="1:11" ht="42" customHeight="1">
      <c r="A1631" s="2" t="s">
        <v>3652</v>
      </c>
      <c r="B1631" s="2" t="s">
        <v>3653</v>
      </c>
      <c r="C1631" s="2" t="s">
        <v>17</v>
      </c>
      <c r="D1631" s="2" t="s">
        <v>18</v>
      </c>
      <c r="E1631" s="5">
        <v>-28890</v>
      </c>
      <c r="F1631" s="3" t="s">
        <v>248</v>
      </c>
      <c r="G1631" s="3" t="s">
        <v>62</v>
      </c>
      <c r="H1631" s="2" t="s">
        <v>21</v>
      </c>
      <c r="I1631" s="2" t="s">
        <v>3654</v>
      </c>
      <c r="J1631" s="3" t="str">
        <f>HYPERLINK("https://www.boe.es/gazeta/dias/1820/11/24/pdfs/GGB-1820-151.pdf#page=3","Abrir facsímil")</f>
        <v>Abrir facsímil</v>
      </c>
      <c r="K1631" s="3" t="s">
        <v>23</v>
      </c>
    </row>
    <row r="1632" spans="1:11" ht="42" customHeight="1">
      <c r="A1632" s="2" t="s">
        <v>3655</v>
      </c>
      <c r="B1632" s="2" t="s">
        <v>3655</v>
      </c>
      <c r="C1632" s="2" t="s">
        <v>35</v>
      </c>
      <c r="D1632" s="2" t="s">
        <v>36</v>
      </c>
      <c r="E1632" s="5">
        <v>-28927</v>
      </c>
      <c r="F1632" s="3" t="s">
        <v>345</v>
      </c>
      <c r="G1632" s="3" t="s">
        <v>43</v>
      </c>
      <c r="H1632" s="2" t="s">
        <v>21</v>
      </c>
      <c r="I1632" s="2" t="s">
        <v>3656</v>
      </c>
      <c r="J1632" s="3" t="str">
        <f>HYPERLINK("https://www.boe.es/gazeta/dias/1820/10/18/pdfs/GGB-1820-112.pdf#page=2","Abrir facsímil")</f>
        <v>Abrir facsímil</v>
      </c>
      <c r="K1632" s="3" t="s">
        <v>23</v>
      </c>
    </row>
    <row r="1633" spans="1:11" ht="42" customHeight="1">
      <c r="A1633" s="2" t="s">
        <v>3657</v>
      </c>
      <c r="B1633" s="2" t="s">
        <v>3657</v>
      </c>
      <c r="C1633" s="2" t="s">
        <v>74</v>
      </c>
      <c r="D1633" s="2" t="s">
        <v>18</v>
      </c>
      <c r="E1633" s="5">
        <v>-28947</v>
      </c>
      <c r="F1633" s="3" t="s">
        <v>127</v>
      </c>
      <c r="G1633" s="3" t="s">
        <v>20</v>
      </c>
      <c r="H1633" s="2" t="s">
        <v>21</v>
      </c>
      <c r="I1633" s="2" t="s">
        <v>3658</v>
      </c>
      <c r="J1633" s="3" t="str">
        <f>HYPERLINK("https://www.boe.es/gazeta/dias/1820/09/28/pdfs/GGB-1820-92.pdf#page=4","Abrir facsímil")</f>
        <v>Abrir facsímil</v>
      </c>
      <c r="K1633" s="3" t="s">
        <v>23</v>
      </c>
    </row>
    <row r="1634" spans="1:11" ht="42" customHeight="1">
      <c r="A1634" s="2" t="s">
        <v>3659</v>
      </c>
      <c r="B1634" s="2" t="s">
        <v>3659</v>
      </c>
      <c r="C1634" s="2" t="s">
        <v>17</v>
      </c>
      <c r="D1634" s="2" t="s">
        <v>18</v>
      </c>
      <c r="E1634" s="5">
        <v>-28994</v>
      </c>
      <c r="F1634" s="3" t="s">
        <v>1612</v>
      </c>
      <c r="G1634" s="3" t="s">
        <v>62</v>
      </c>
      <c r="H1634" s="2" t="s">
        <v>21</v>
      </c>
      <c r="I1634" s="2" t="s">
        <v>3660</v>
      </c>
      <c r="J1634" s="3" t="str">
        <f>HYPERLINK("https://www.boe.es/gazeta/dias/1820/08/12/pdfs/GGB-1820-45.pdf#page=3","Abrir facsímil")</f>
        <v>Abrir facsímil</v>
      </c>
      <c r="K1634" s="3" t="s">
        <v>23</v>
      </c>
    </row>
    <row r="1635" spans="1:11" ht="42" customHeight="1">
      <c r="A1635" s="2" t="s">
        <v>3661</v>
      </c>
      <c r="B1635" s="2" t="s">
        <v>3661</v>
      </c>
      <c r="C1635" s="2" t="s">
        <v>293</v>
      </c>
      <c r="D1635" s="2" t="s">
        <v>18</v>
      </c>
      <c r="E1635" s="5">
        <v>-29023</v>
      </c>
      <c r="F1635" s="3" t="s">
        <v>1662</v>
      </c>
      <c r="G1635" s="3" t="s">
        <v>3662</v>
      </c>
      <c r="H1635" s="2" t="s">
        <v>21</v>
      </c>
      <c r="I1635" s="2" t="s">
        <v>3663</v>
      </c>
      <c r="J1635" s="3" t="str">
        <f>HYPERLINK("https://www.boe.es/gazeta/dias/1820/07/14/pdfs/GGB-1820-16.pdf#page=2","Abrir facsímil")</f>
        <v>Abrir facsímil</v>
      </c>
      <c r="K1635" s="3" t="s">
        <v>23</v>
      </c>
    </row>
    <row r="1636" spans="1:11" ht="42" customHeight="1">
      <c r="A1636" s="2" t="s">
        <v>3661</v>
      </c>
      <c r="B1636" s="2" t="s">
        <v>3661</v>
      </c>
      <c r="C1636" s="2" t="s">
        <v>17</v>
      </c>
      <c r="D1636" s="2" t="s">
        <v>18</v>
      </c>
      <c r="E1636" s="5">
        <v>-29003</v>
      </c>
      <c r="F1636" s="3" t="s">
        <v>340</v>
      </c>
      <c r="G1636" s="3" t="s">
        <v>20</v>
      </c>
      <c r="H1636" s="2" t="s">
        <v>21</v>
      </c>
      <c r="I1636" s="2" t="s">
        <v>3664</v>
      </c>
      <c r="J1636" s="3" t="str">
        <f>HYPERLINK("https://www.boe.es/gazeta/dias/1820/08/03/pdfs/GGB-1820-36.pdf#page=4","Abrir facsímil")</f>
        <v>Abrir facsímil</v>
      </c>
      <c r="K1636" s="3" t="s">
        <v>23</v>
      </c>
    </row>
    <row r="1637" spans="1:11" ht="42" customHeight="1">
      <c r="A1637" s="2" t="s">
        <v>3661</v>
      </c>
      <c r="B1637" s="2" t="s">
        <v>3661</v>
      </c>
      <c r="C1637" s="2" t="s">
        <v>35</v>
      </c>
      <c r="D1637" s="2" t="s">
        <v>36</v>
      </c>
      <c r="E1637" s="5">
        <v>-28995</v>
      </c>
      <c r="F1637" s="3" t="s">
        <v>672</v>
      </c>
      <c r="G1637" s="3" t="s">
        <v>62</v>
      </c>
      <c r="H1637" s="2" t="s">
        <v>21</v>
      </c>
      <c r="I1637" s="2" t="s">
        <v>3665</v>
      </c>
      <c r="J1637" s="3" t="str">
        <f>HYPERLINK("https://www.boe.es/gazeta/dias/1820/08/11/pdfs/GGB-1820-44.pdf#page=3","Abrir facsímil")</f>
        <v>Abrir facsímil</v>
      </c>
      <c r="K1637" s="3" t="s">
        <v>23</v>
      </c>
    </row>
    <row r="1638" spans="1:11" ht="42" customHeight="1">
      <c r="A1638" s="2" t="s">
        <v>3661</v>
      </c>
      <c r="B1638" s="2" t="s">
        <v>3661</v>
      </c>
      <c r="C1638" s="2" t="s">
        <v>17</v>
      </c>
      <c r="D1638" s="2" t="s">
        <v>18</v>
      </c>
      <c r="E1638" s="5">
        <v>-28991</v>
      </c>
      <c r="F1638" s="3" t="s">
        <v>213</v>
      </c>
      <c r="G1638" s="3" t="s">
        <v>62</v>
      </c>
      <c r="H1638" s="2" t="s">
        <v>21</v>
      </c>
      <c r="I1638" s="2" t="s">
        <v>3666</v>
      </c>
      <c r="J1638" s="3" t="str">
        <f>HYPERLINK("https://www.boe.es/gazeta/dias/1820/08/15/pdfs/GGB-1820-48.pdf#page=3","Abrir facsímil")</f>
        <v>Abrir facsímil</v>
      </c>
      <c r="K1638" s="3" t="s">
        <v>23</v>
      </c>
    </row>
    <row r="1639" spans="1:11" ht="42" customHeight="1">
      <c r="A1639" s="2" t="s">
        <v>3661</v>
      </c>
      <c r="B1639" s="2" t="s">
        <v>3661</v>
      </c>
      <c r="C1639" s="2" t="s">
        <v>47</v>
      </c>
      <c r="D1639" s="2" t="s">
        <v>18</v>
      </c>
      <c r="E1639" s="5">
        <v>-28984</v>
      </c>
      <c r="F1639" s="3" t="s">
        <v>520</v>
      </c>
      <c r="G1639" s="3" t="s">
        <v>20</v>
      </c>
      <c r="H1639" s="2" t="s">
        <v>21</v>
      </c>
      <c r="I1639" s="2" t="s">
        <v>3667</v>
      </c>
      <c r="J1639" s="3" t="str">
        <f>HYPERLINK("https://www.boe.es/gazeta/dias/1820/08/22/pdfs/GGB-1820-55.pdf#page=4","Abrir facsímil")</f>
        <v>Abrir facsímil</v>
      </c>
      <c r="K1639" s="3" t="s">
        <v>23</v>
      </c>
    </row>
    <row r="1640" spans="1:11" ht="42" customHeight="1">
      <c r="A1640" s="2" t="s">
        <v>3661</v>
      </c>
      <c r="B1640" s="2" t="s">
        <v>3661</v>
      </c>
      <c r="C1640" s="2" t="s">
        <v>26</v>
      </c>
      <c r="D1640" s="2" t="s">
        <v>27</v>
      </c>
      <c r="E1640" s="5">
        <v>-28976</v>
      </c>
      <c r="F1640" s="3" t="s">
        <v>689</v>
      </c>
      <c r="G1640" s="3" t="s">
        <v>62</v>
      </c>
      <c r="H1640" s="2" t="s">
        <v>21</v>
      </c>
      <c r="I1640" s="2" t="s">
        <v>3668</v>
      </c>
      <c r="J1640" s="3" t="str">
        <f>HYPERLINK("https://www.boe.es/gazeta/dias/1820/08/30/pdfs/GGB-1820-63.pdf#page=3","Abrir facsímil")</f>
        <v>Abrir facsímil</v>
      </c>
      <c r="K1640" s="3" t="s">
        <v>23</v>
      </c>
    </row>
    <row r="1641" spans="1:11" ht="42" customHeight="1">
      <c r="A1641" s="2" t="s">
        <v>3661</v>
      </c>
      <c r="B1641" s="2" t="s">
        <v>3661</v>
      </c>
      <c r="C1641" s="2" t="s">
        <v>74</v>
      </c>
      <c r="D1641" s="2" t="s">
        <v>18</v>
      </c>
      <c r="E1641" s="5">
        <v>-28975</v>
      </c>
      <c r="F1641" s="3" t="s">
        <v>182</v>
      </c>
      <c r="G1641" s="3" t="s">
        <v>62</v>
      </c>
      <c r="H1641" s="2" t="s">
        <v>21</v>
      </c>
      <c r="I1641" s="2" t="s">
        <v>3669</v>
      </c>
      <c r="J1641" s="3" t="str">
        <f>HYPERLINK("https://www.boe.es/gazeta/dias/1820/08/31/pdfs/GGB-1820-64.pdf#page=3","Abrir facsímil")</f>
        <v>Abrir facsímil</v>
      </c>
      <c r="K1641" s="3" t="s">
        <v>23</v>
      </c>
    </row>
    <row r="1642" spans="1:11" ht="42" customHeight="1">
      <c r="A1642" s="2" t="s">
        <v>3661</v>
      </c>
      <c r="B1642" s="2" t="s">
        <v>3661</v>
      </c>
      <c r="C1642" s="2" t="s">
        <v>26</v>
      </c>
      <c r="D1642" s="2" t="s">
        <v>27</v>
      </c>
      <c r="E1642" s="5">
        <v>-28971</v>
      </c>
      <c r="F1642" s="3" t="s">
        <v>691</v>
      </c>
      <c r="G1642" s="3" t="s">
        <v>43</v>
      </c>
      <c r="H1642" s="2" t="s">
        <v>21</v>
      </c>
      <c r="I1642" s="2" t="s">
        <v>3670</v>
      </c>
      <c r="J1642" s="3" t="str">
        <f>HYPERLINK("https://www.boe.es/gazeta/dias/1820/09/04/pdfs/GGB-1820-68.pdf#page=2","Abrir facsímil")</f>
        <v>Abrir facsímil</v>
      </c>
      <c r="K1642" s="3" t="s">
        <v>23</v>
      </c>
    </row>
    <row r="1643" spans="1:11" ht="42" customHeight="1">
      <c r="A1643" s="2" t="s">
        <v>3661</v>
      </c>
      <c r="B1643" s="2" t="s">
        <v>3661</v>
      </c>
      <c r="C1643" s="2" t="s">
        <v>26</v>
      </c>
      <c r="D1643" s="2" t="s">
        <v>27</v>
      </c>
      <c r="E1643" s="5">
        <v>-28963</v>
      </c>
      <c r="F1643" s="3" t="s">
        <v>94</v>
      </c>
      <c r="G1643" s="3" t="s">
        <v>62</v>
      </c>
      <c r="H1643" s="2" t="s">
        <v>21</v>
      </c>
      <c r="I1643" s="2" t="s">
        <v>3671</v>
      </c>
      <c r="J1643" s="3" t="str">
        <f>HYPERLINK("https://www.boe.es/gazeta/dias/1820/09/12/pdfs/GGB-1820-76.pdf#page=3","Abrir facsímil")</f>
        <v>Abrir facsímil</v>
      </c>
      <c r="K1643" s="3" t="s">
        <v>23</v>
      </c>
    </row>
    <row r="1644" spans="1:11" ht="42" customHeight="1">
      <c r="A1644" s="2" t="s">
        <v>3661</v>
      </c>
      <c r="B1644" s="2" t="s">
        <v>3661</v>
      </c>
      <c r="C1644" s="2" t="s">
        <v>74</v>
      </c>
      <c r="D1644" s="2" t="s">
        <v>18</v>
      </c>
      <c r="E1644" s="5">
        <v>-28956</v>
      </c>
      <c r="F1644" s="3" t="s">
        <v>190</v>
      </c>
      <c r="G1644" s="3" t="s">
        <v>62</v>
      </c>
      <c r="H1644" s="2" t="s">
        <v>21</v>
      </c>
      <c r="I1644" s="2" t="s">
        <v>3672</v>
      </c>
      <c r="J1644" s="3" t="str">
        <f>HYPERLINK("https://www.boe.es/gazeta/dias/1820/09/19/pdfs/GGB-1820-83.pdf#page=3","Abrir facsímil")</f>
        <v>Abrir facsímil</v>
      </c>
      <c r="K1644" s="3" t="s">
        <v>23</v>
      </c>
    </row>
    <row r="1645" spans="1:11" ht="42" customHeight="1">
      <c r="A1645" s="2" t="s">
        <v>3661</v>
      </c>
      <c r="B1645" s="2" t="s">
        <v>3661</v>
      </c>
      <c r="C1645" s="2" t="s">
        <v>74</v>
      </c>
      <c r="D1645" s="2" t="s">
        <v>18</v>
      </c>
      <c r="E1645" s="5">
        <v>-28952</v>
      </c>
      <c r="F1645" s="3" t="s">
        <v>370</v>
      </c>
      <c r="G1645" s="3" t="s">
        <v>43</v>
      </c>
      <c r="H1645" s="2" t="s">
        <v>21</v>
      </c>
      <c r="I1645" s="2" t="s">
        <v>3673</v>
      </c>
      <c r="J1645" s="3" t="str">
        <f>HYPERLINK("https://www.boe.es/gazeta/dias/1820/09/23/pdfs/GGB-1820-87.pdf#page=2","Abrir facsímil")</f>
        <v>Abrir facsímil</v>
      </c>
      <c r="K1645" s="3" t="s">
        <v>23</v>
      </c>
    </row>
    <row r="1646" spans="1:11" ht="42" customHeight="1">
      <c r="A1646" s="2" t="s">
        <v>3661</v>
      </c>
      <c r="B1646" s="2" t="s">
        <v>3661</v>
      </c>
      <c r="C1646" s="2" t="s">
        <v>74</v>
      </c>
      <c r="D1646" s="2" t="s">
        <v>18</v>
      </c>
      <c r="E1646" s="5">
        <v>-28951</v>
      </c>
      <c r="F1646" s="3" t="s">
        <v>622</v>
      </c>
      <c r="G1646" s="3" t="s">
        <v>62</v>
      </c>
      <c r="H1646" s="2" t="s">
        <v>21</v>
      </c>
      <c r="I1646" s="2" t="s">
        <v>3674</v>
      </c>
      <c r="J1646" s="3" t="str">
        <f>HYPERLINK("https://www.boe.es/gazeta/dias/1820/09/24/pdfs/GGB-1820-88.pdf#page=3","Abrir facsímil")</f>
        <v>Abrir facsímil</v>
      </c>
      <c r="K1646" s="3" t="s">
        <v>23</v>
      </c>
    </row>
    <row r="1647" spans="1:11" ht="42" customHeight="1">
      <c r="A1647" s="2" t="s">
        <v>3661</v>
      </c>
      <c r="B1647" s="2" t="s">
        <v>3661</v>
      </c>
      <c r="C1647" s="2" t="s">
        <v>17</v>
      </c>
      <c r="D1647" s="2" t="s">
        <v>18</v>
      </c>
      <c r="E1647" s="5">
        <v>-28950</v>
      </c>
      <c r="F1647" s="3" t="s">
        <v>1052</v>
      </c>
      <c r="G1647" s="3" t="s">
        <v>1372</v>
      </c>
      <c r="H1647" s="2" t="s">
        <v>21</v>
      </c>
      <c r="I1647" s="2" t="s">
        <v>3675</v>
      </c>
      <c r="J1647" s="3" t="str">
        <f>HYPERLINK("https://www.boe.es/gazeta/dias/1820/09/25/pdfs/GGB-1820-89.pdf#page=2","Abrir facsímil")</f>
        <v>Abrir facsímil</v>
      </c>
      <c r="K1647" s="3" t="s">
        <v>23</v>
      </c>
    </row>
    <row r="1648" spans="1:11" ht="42" customHeight="1">
      <c r="A1648" s="2" t="s">
        <v>3661</v>
      </c>
      <c r="B1648" s="2" t="s">
        <v>3661</v>
      </c>
      <c r="C1648" s="2" t="s">
        <v>17</v>
      </c>
      <c r="D1648" s="2" t="s">
        <v>18</v>
      </c>
      <c r="E1648" s="5">
        <v>-28950</v>
      </c>
      <c r="F1648" s="3" t="s">
        <v>1052</v>
      </c>
      <c r="G1648" s="3" t="s">
        <v>128</v>
      </c>
      <c r="H1648" s="2" t="s">
        <v>21</v>
      </c>
      <c r="I1648" s="2" t="s">
        <v>3676</v>
      </c>
      <c r="J1648" s="3" t="str">
        <f>HYPERLINK("https://www.boe.es/gazeta/dias/1820/09/25/pdfs/GGB-1820-89.pdf#page=1","Abrir facsímil")</f>
        <v>Abrir facsímil</v>
      </c>
      <c r="K1648" s="3" t="s">
        <v>23</v>
      </c>
    </row>
    <row r="1649" spans="1:11" ht="42" customHeight="1">
      <c r="A1649" s="2" t="s">
        <v>3661</v>
      </c>
      <c r="B1649" s="2" t="s">
        <v>3661</v>
      </c>
      <c r="C1649" s="2" t="s">
        <v>293</v>
      </c>
      <c r="D1649" s="2" t="s">
        <v>18</v>
      </c>
      <c r="E1649" s="5">
        <v>-28950</v>
      </c>
      <c r="F1649" s="3" t="s">
        <v>1052</v>
      </c>
      <c r="G1649" s="3" t="s">
        <v>62</v>
      </c>
      <c r="H1649" s="2" t="s">
        <v>21</v>
      </c>
      <c r="I1649" s="2" t="s">
        <v>3677</v>
      </c>
      <c r="J1649" s="3" t="str">
        <f>HYPERLINK("https://www.boe.es/gazeta/dias/1820/09/25/pdfs/GGB-1820-89.pdf#page=3","Abrir facsímil")</f>
        <v>Abrir facsímil</v>
      </c>
      <c r="K1649" s="3" t="s">
        <v>23</v>
      </c>
    </row>
    <row r="1650" spans="1:11" ht="42" customHeight="1">
      <c r="A1650" s="2" t="s">
        <v>3661</v>
      </c>
      <c r="B1650" s="2" t="s">
        <v>3661</v>
      </c>
      <c r="C1650" s="2" t="s">
        <v>35</v>
      </c>
      <c r="D1650" s="2" t="s">
        <v>36</v>
      </c>
      <c r="E1650" s="5">
        <v>-28949</v>
      </c>
      <c r="F1650" s="3" t="s">
        <v>178</v>
      </c>
      <c r="G1650" s="3" t="s">
        <v>62</v>
      </c>
      <c r="H1650" s="2" t="s">
        <v>21</v>
      </c>
      <c r="I1650" s="2" t="s">
        <v>3678</v>
      </c>
      <c r="J1650" s="3" t="str">
        <f>HYPERLINK("https://www.boe.es/gazeta/dias/1820/09/26/pdfs/GGB-1820-90.pdf#page=3","Abrir facsímil")</f>
        <v>Abrir facsímil</v>
      </c>
      <c r="K1650" s="3" t="s">
        <v>23</v>
      </c>
    </row>
    <row r="1651" spans="1:11" ht="42" customHeight="1">
      <c r="A1651" s="2" t="s">
        <v>3661</v>
      </c>
      <c r="B1651" s="2" t="s">
        <v>3661</v>
      </c>
      <c r="C1651" s="2" t="s">
        <v>35</v>
      </c>
      <c r="D1651" s="2" t="s">
        <v>36</v>
      </c>
      <c r="E1651" s="5">
        <v>-28945</v>
      </c>
      <c r="F1651" s="3" t="s">
        <v>99</v>
      </c>
      <c r="G1651" s="3" t="s">
        <v>43</v>
      </c>
      <c r="H1651" s="2" t="s">
        <v>21</v>
      </c>
      <c r="I1651" s="2" t="s">
        <v>3679</v>
      </c>
      <c r="J1651" s="3" t="str">
        <f>HYPERLINK("https://www.boe.es/gazeta/dias/1820/09/30/pdfs/GGB-1820-94.pdf#page=2","Abrir facsímil")</f>
        <v>Abrir facsímil</v>
      </c>
      <c r="K1651" s="3" t="s">
        <v>23</v>
      </c>
    </row>
    <row r="1652" spans="1:11" ht="42" customHeight="1">
      <c r="A1652" s="2" t="s">
        <v>3661</v>
      </c>
      <c r="B1652" s="2" t="s">
        <v>3661</v>
      </c>
      <c r="C1652" s="2" t="s">
        <v>17</v>
      </c>
      <c r="D1652" s="2" t="s">
        <v>18</v>
      </c>
      <c r="E1652" s="5">
        <v>-28945</v>
      </c>
      <c r="F1652" s="3" t="s">
        <v>99</v>
      </c>
      <c r="G1652" s="3" t="s">
        <v>62</v>
      </c>
      <c r="H1652" s="2" t="s">
        <v>21</v>
      </c>
      <c r="I1652" s="2" t="s">
        <v>3680</v>
      </c>
      <c r="J1652" s="3" t="str">
        <f>HYPERLINK("https://www.boe.es/gazeta/dias/1820/09/30/pdfs/GGB-1820-94.pdf#page=3","Abrir facsímil")</f>
        <v>Abrir facsímil</v>
      </c>
      <c r="K1652" s="3" t="s">
        <v>23</v>
      </c>
    </row>
    <row r="1653" spans="1:11" ht="42" customHeight="1">
      <c r="A1653" s="2" t="s">
        <v>3661</v>
      </c>
      <c r="B1653" s="2" t="s">
        <v>3661</v>
      </c>
      <c r="C1653" s="2" t="s">
        <v>111</v>
      </c>
      <c r="D1653" s="2" t="s">
        <v>18</v>
      </c>
      <c r="E1653" s="5">
        <v>-28943</v>
      </c>
      <c r="F1653" s="3" t="s">
        <v>1403</v>
      </c>
      <c r="G1653" s="3" t="s">
        <v>43</v>
      </c>
      <c r="H1653" s="2" t="s">
        <v>21</v>
      </c>
      <c r="I1653" s="2" t="s">
        <v>3681</v>
      </c>
      <c r="J1653" s="3" t="str">
        <f>HYPERLINK("https://www.boe.es/gazeta/dias/1820/10/02/pdfs/GGB-1820-96.pdf#page=2","Abrir facsímil")</f>
        <v>Abrir facsímil</v>
      </c>
      <c r="K1653" s="3" t="s">
        <v>23</v>
      </c>
    </row>
    <row r="1654" spans="1:11" ht="42" customHeight="1">
      <c r="A1654" s="2" t="s">
        <v>3661</v>
      </c>
      <c r="B1654" s="2" t="s">
        <v>3661</v>
      </c>
      <c r="C1654" s="2" t="s">
        <v>74</v>
      </c>
      <c r="D1654" s="2" t="s">
        <v>18</v>
      </c>
      <c r="E1654" s="5">
        <v>-28938</v>
      </c>
      <c r="F1654" s="3" t="s">
        <v>716</v>
      </c>
      <c r="G1654" s="3" t="s">
        <v>62</v>
      </c>
      <c r="H1654" s="2" t="s">
        <v>21</v>
      </c>
      <c r="I1654" s="2" t="s">
        <v>3682</v>
      </c>
      <c r="J1654" s="3" t="str">
        <f>HYPERLINK("https://www.boe.es/gazeta/dias/1820/10/07/pdfs/GGB-1820-101.pdf#page=3","Abrir facsímil")</f>
        <v>Abrir facsímil</v>
      </c>
      <c r="K1654" s="3" t="s">
        <v>23</v>
      </c>
    </row>
    <row r="1655" spans="1:11" ht="42" customHeight="1">
      <c r="A1655" s="2" t="s">
        <v>3661</v>
      </c>
      <c r="B1655" s="2" t="s">
        <v>3661</v>
      </c>
      <c r="C1655" s="2" t="s">
        <v>35</v>
      </c>
      <c r="D1655" s="2" t="s">
        <v>36</v>
      </c>
      <c r="E1655" s="5">
        <v>-28935</v>
      </c>
      <c r="F1655" s="3" t="s">
        <v>2464</v>
      </c>
      <c r="G1655" s="3" t="s">
        <v>62</v>
      </c>
      <c r="H1655" s="2" t="s">
        <v>21</v>
      </c>
      <c r="I1655" s="2" t="s">
        <v>3683</v>
      </c>
      <c r="J1655" s="3" t="str">
        <f>HYPERLINK("https://www.boe.es/gazeta/dias/1820/10/10/pdfs/GGB-1820-104.pdf#page=3","Abrir facsímil")</f>
        <v>Abrir facsímil</v>
      </c>
      <c r="K1655" s="3" t="s">
        <v>23</v>
      </c>
    </row>
    <row r="1656" spans="1:11" ht="42" customHeight="1">
      <c r="A1656" s="2" t="s">
        <v>3661</v>
      </c>
      <c r="B1656" s="2" t="s">
        <v>3661</v>
      </c>
      <c r="C1656" s="2" t="s">
        <v>26</v>
      </c>
      <c r="D1656" s="2" t="s">
        <v>27</v>
      </c>
      <c r="E1656" s="5">
        <v>-28933</v>
      </c>
      <c r="F1656" s="3" t="s">
        <v>720</v>
      </c>
      <c r="G1656" s="3" t="s">
        <v>20</v>
      </c>
      <c r="H1656" s="2" t="s">
        <v>21</v>
      </c>
      <c r="I1656" s="2" t="s">
        <v>3684</v>
      </c>
      <c r="J1656" s="3" t="str">
        <f>HYPERLINK("https://www.boe.es/gazeta/dias/1820/10/12/pdfs/GGB-1820-106.pdf#page=4","Abrir facsímil")</f>
        <v>Abrir facsímil</v>
      </c>
      <c r="K1656" s="3" t="s">
        <v>23</v>
      </c>
    </row>
    <row r="1657" spans="1:11" ht="42" customHeight="1">
      <c r="A1657" s="2" t="s">
        <v>3661</v>
      </c>
      <c r="B1657" s="2" t="s">
        <v>3661</v>
      </c>
      <c r="C1657" s="2" t="s">
        <v>35</v>
      </c>
      <c r="D1657" s="2" t="s">
        <v>36</v>
      </c>
      <c r="E1657" s="5">
        <v>-28926</v>
      </c>
      <c r="F1657" s="3" t="s">
        <v>597</v>
      </c>
      <c r="G1657" s="3" t="s">
        <v>43</v>
      </c>
      <c r="H1657" s="2" t="s">
        <v>21</v>
      </c>
      <c r="I1657" s="2" t="s">
        <v>3685</v>
      </c>
      <c r="J1657" s="3" t="str">
        <f>HYPERLINK("https://www.boe.es/gazeta/dias/1820/10/19/pdfs/GGB-1820-113.pdf#page=2","Abrir facsímil")</f>
        <v>Abrir facsímil</v>
      </c>
      <c r="K1657" s="3" t="s">
        <v>23</v>
      </c>
    </row>
    <row r="1658" spans="1:11" ht="42" customHeight="1">
      <c r="A1658" s="2" t="s">
        <v>3661</v>
      </c>
      <c r="B1658" s="2" t="s">
        <v>3661</v>
      </c>
      <c r="C1658" s="2" t="s">
        <v>17</v>
      </c>
      <c r="D1658" s="2" t="s">
        <v>18</v>
      </c>
      <c r="E1658" s="5">
        <v>-28921</v>
      </c>
      <c r="F1658" s="3" t="s">
        <v>738</v>
      </c>
      <c r="G1658" s="3" t="s">
        <v>3686</v>
      </c>
      <c r="H1658" s="2" t="s">
        <v>21</v>
      </c>
      <c r="I1658" s="2" t="s">
        <v>3687</v>
      </c>
      <c r="J1658" s="3" t="str">
        <f>HYPERLINK("https://www.boe.es/gazeta/dias/1820/10/24/pdfs/GGB-1820-118.pdf#page=3","Abrir facsímil")</f>
        <v>Abrir facsímil</v>
      </c>
      <c r="K1658" s="3" t="s">
        <v>23</v>
      </c>
    </row>
    <row r="1659" spans="1:11" ht="42" customHeight="1">
      <c r="A1659" s="2" t="s">
        <v>3661</v>
      </c>
      <c r="B1659" s="2" t="s">
        <v>3661</v>
      </c>
      <c r="C1659" s="2" t="s">
        <v>74</v>
      </c>
      <c r="D1659" s="2" t="s">
        <v>18</v>
      </c>
      <c r="E1659" s="5">
        <v>-28904</v>
      </c>
      <c r="F1659" s="3" t="s">
        <v>541</v>
      </c>
      <c r="G1659" s="3" t="s">
        <v>20</v>
      </c>
      <c r="H1659" s="2" t="s">
        <v>21</v>
      </c>
      <c r="I1659" s="2" t="s">
        <v>3688</v>
      </c>
      <c r="J1659" s="3" t="str">
        <f>HYPERLINK("https://www.boe.es/gazeta/dias/1820/11/10/pdfs/GGB-1820-136.pdf#page=4","Abrir facsímil")</f>
        <v>Abrir facsímil</v>
      </c>
      <c r="K1659" s="3" t="s">
        <v>23</v>
      </c>
    </row>
    <row r="1660" spans="1:11" ht="42" customHeight="1">
      <c r="A1660" s="2" t="s">
        <v>3689</v>
      </c>
      <c r="B1660" s="2" t="s">
        <v>3690</v>
      </c>
      <c r="C1660" s="2" t="s">
        <v>74</v>
      </c>
      <c r="D1660" s="2" t="s">
        <v>18</v>
      </c>
      <c r="E1660" s="5">
        <v>-28906</v>
      </c>
      <c r="F1660" s="3" t="s">
        <v>232</v>
      </c>
      <c r="G1660" s="3" t="s">
        <v>62</v>
      </c>
      <c r="H1660" s="2" t="s">
        <v>21</v>
      </c>
      <c r="I1660" s="2" t="s">
        <v>3691</v>
      </c>
      <c r="J1660" s="3" t="str">
        <f>HYPERLINK("https://www.boe.es/gazeta/dias/1820/11/08/pdfs/GGB-1820-133.pdf#page=3","Abrir facsímil")</f>
        <v>Abrir facsímil</v>
      </c>
      <c r="K1660" s="3" t="s">
        <v>23</v>
      </c>
    </row>
    <row r="1661" spans="1:11" ht="42" customHeight="1">
      <c r="A1661" s="2" t="s">
        <v>3692</v>
      </c>
      <c r="B1661" s="2" t="s">
        <v>3693</v>
      </c>
      <c r="C1661" s="2" t="s">
        <v>35</v>
      </c>
      <c r="D1661" s="2" t="s">
        <v>36</v>
      </c>
      <c r="E1661" s="5">
        <v>-28972</v>
      </c>
      <c r="F1661" s="3" t="s">
        <v>522</v>
      </c>
      <c r="G1661" s="3" t="s">
        <v>62</v>
      </c>
      <c r="H1661" s="2" t="s">
        <v>21</v>
      </c>
      <c r="I1661" s="2" t="s">
        <v>3694</v>
      </c>
      <c r="J1661" s="3" t="str">
        <f>HYPERLINK("https://www.boe.es/gazeta/dias/1820/09/03/pdfs/GGB-1820-67.pdf#page=3","Abrir facsímil")</f>
        <v>Abrir facsímil</v>
      </c>
      <c r="K1661" s="3" t="s">
        <v>23</v>
      </c>
    </row>
    <row r="1662" spans="1:11" ht="42" customHeight="1">
      <c r="A1662" s="2" t="s">
        <v>3695</v>
      </c>
      <c r="B1662" s="2" t="s">
        <v>3696</v>
      </c>
      <c r="C1662" s="2" t="s">
        <v>107</v>
      </c>
      <c r="D1662" s="2" t="s">
        <v>18</v>
      </c>
      <c r="E1662" s="5">
        <v>-28928</v>
      </c>
      <c r="F1662" s="3" t="s">
        <v>86</v>
      </c>
      <c r="G1662" s="3" t="s">
        <v>62</v>
      </c>
      <c r="H1662" s="2" t="s">
        <v>30</v>
      </c>
      <c r="I1662" s="2" t="s">
        <v>3697</v>
      </c>
      <c r="J1662" s="3" t="str">
        <f>HYPERLINK("https://www.boe.es/gazeta/dias/1820/10/17/pdfs/GGB-1820-111.pdf#page=3","Abrir facsímil")</f>
        <v>Abrir facsímil</v>
      </c>
      <c r="K1662" s="3" t="s">
        <v>32</v>
      </c>
    </row>
    <row r="1663" spans="1:11" ht="42" customHeight="1">
      <c r="A1663" s="2" t="s">
        <v>3698</v>
      </c>
      <c r="B1663" s="2" t="s">
        <v>3699</v>
      </c>
      <c r="C1663" s="2" t="s">
        <v>17</v>
      </c>
      <c r="D1663" s="2" t="s">
        <v>18</v>
      </c>
      <c r="E1663" s="5">
        <v>-29011</v>
      </c>
      <c r="F1663" s="3" t="s">
        <v>338</v>
      </c>
      <c r="G1663" s="3" t="s">
        <v>43</v>
      </c>
      <c r="H1663" s="2" t="s">
        <v>21</v>
      </c>
      <c r="I1663" s="2" t="s">
        <v>3700</v>
      </c>
      <c r="J1663" s="3" t="str">
        <f>HYPERLINK("https://www.boe.es/gazeta/dias/1820/07/26/pdfs/GGB-1820-28.pdf#page=2","Abrir facsímil")</f>
        <v>Abrir facsímil</v>
      </c>
      <c r="K1663" s="3" t="s">
        <v>23</v>
      </c>
    </row>
    <row r="1664" spans="1:11" ht="42" customHeight="1">
      <c r="A1664" s="2" t="s">
        <v>3701</v>
      </c>
      <c r="B1664" s="2" t="s">
        <v>3702</v>
      </c>
      <c r="C1664" s="2" t="s">
        <v>26</v>
      </c>
      <c r="D1664" s="2" t="s">
        <v>27</v>
      </c>
      <c r="E1664" s="5">
        <v>-28972</v>
      </c>
      <c r="F1664" s="3" t="s">
        <v>522</v>
      </c>
      <c r="G1664" s="3" t="s">
        <v>20</v>
      </c>
      <c r="H1664" s="2" t="s">
        <v>21</v>
      </c>
      <c r="I1664" s="2" t="s">
        <v>3703</v>
      </c>
      <c r="J1664" s="3" t="str">
        <f>HYPERLINK("https://www.boe.es/gazeta/dias/1820/09/03/pdfs/GGB-1820-67.pdf#page=4","Abrir facsímil")</f>
        <v>Abrir facsímil</v>
      </c>
      <c r="K1664" s="3" t="s">
        <v>23</v>
      </c>
    </row>
    <row r="1665" spans="1:11" ht="42" customHeight="1">
      <c r="A1665" s="2" t="s">
        <v>3704</v>
      </c>
      <c r="B1665" s="2" t="s">
        <v>3705</v>
      </c>
      <c r="C1665" s="2" t="s">
        <v>26</v>
      </c>
      <c r="D1665" s="2" t="s">
        <v>27</v>
      </c>
      <c r="E1665" s="5">
        <v>-29045</v>
      </c>
      <c r="F1665" s="3" t="s">
        <v>155</v>
      </c>
      <c r="G1665" s="3" t="s">
        <v>295</v>
      </c>
      <c r="H1665" s="2" t="s">
        <v>21</v>
      </c>
      <c r="I1665" s="2" t="s">
        <v>3706</v>
      </c>
      <c r="J1665" s="3" t="str">
        <f>HYPERLINK("https://www.boe.es/gazeta/dias/1820/06/22/pdfs/GMD-1820-97.pdf#page=8","Abrir facsímil")</f>
        <v>Abrir facsímil</v>
      </c>
      <c r="K1665" s="3" t="s">
        <v>23</v>
      </c>
    </row>
    <row r="1666" spans="1:11" ht="42" customHeight="1">
      <c r="A1666" s="2" t="s">
        <v>3707</v>
      </c>
      <c r="B1666" s="2" t="s">
        <v>3708</v>
      </c>
      <c r="C1666" s="2" t="s">
        <v>35</v>
      </c>
      <c r="D1666" s="2" t="s">
        <v>36</v>
      </c>
      <c r="E1666" s="5">
        <v>-28911</v>
      </c>
      <c r="F1666" s="3" t="s">
        <v>82</v>
      </c>
      <c r="G1666" s="3" t="s">
        <v>43</v>
      </c>
      <c r="H1666" s="2" t="s">
        <v>21</v>
      </c>
      <c r="I1666" s="2" t="s">
        <v>3709</v>
      </c>
      <c r="J1666" s="3" t="str">
        <f>HYPERLINK("https://www.boe.es/gazeta/dias/1820/11/03/pdfs/GGB-1820-128.pdf#page=2","Abrir facsímil")</f>
        <v>Abrir facsímil</v>
      </c>
      <c r="K1666" s="3" t="s">
        <v>23</v>
      </c>
    </row>
    <row r="1667" spans="1:11" ht="42" customHeight="1">
      <c r="A1667" s="2" t="s">
        <v>3710</v>
      </c>
      <c r="B1667" s="2" t="s">
        <v>3711</v>
      </c>
      <c r="C1667" s="2" t="s">
        <v>26</v>
      </c>
      <c r="D1667" s="2" t="s">
        <v>27</v>
      </c>
      <c r="E1667" s="5">
        <v>-28872</v>
      </c>
      <c r="F1667" s="3" t="s">
        <v>1939</v>
      </c>
      <c r="G1667" s="3" t="s">
        <v>62</v>
      </c>
      <c r="H1667" s="2" t="s">
        <v>21</v>
      </c>
      <c r="I1667" s="2" t="s">
        <v>3712</v>
      </c>
      <c r="J1667" s="3" t="str">
        <f>HYPERLINK("https://www.boe.es/gazeta/dias/1820/12/12/pdfs/GGB-1820-169.pdf#page=3","Abrir facsímil")</f>
        <v>Abrir facsímil</v>
      </c>
      <c r="K1667" s="3" t="s">
        <v>23</v>
      </c>
    </row>
    <row r="1668" spans="1:11" ht="42" customHeight="1">
      <c r="A1668" s="2" t="s">
        <v>3713</v>
      </c>
      <c r="B1668" s="2" t="s">
        <v>3714</v>
      </c>
      <c r="C1668" s="2" t="s">
        <v>35</v>
      </c>
      <c r="D1668" s="2" t="s">
        <v>36</v>
      </c>
      <c r="E1668" s="5">
        <v>-28934</v>
      </c>
      <c r="F1668" s="3" t="s">
        <v>163</v>
      </c>
      <c r="G1668" s="3" t="s">
        <v>20</v>
      </c>
      <c r="H1668" s="2" t="s">
        <v>21</v>
      </c>
      <c r="I1668" s="2" t="s">
        <v>3715</v>
      </c>
      <c r="J1668" s="3" t="str">
        <f>HYPERLINK("https://www.boe.es/gazeta/dias/1820/10/11/pdfs/GGB-1820-105.pdf#page=4","Abrir facsímil")</f>
        <v>Abrir facsímil</v>
      </c>
      <c r="K1668" s="3" t="s">
        <v>23</v>
      </c>
    </row>
    <row r="1669" spans="1:11" ht="42" customHeight="1">
      <c r="A1669" s="2" t="s">
        <v>3716</v>
      </c>
      <c r="B1669" s="2" t="s">
        <v>3717</v>
      </c>
      <c r="C1669" s="2" t="s">
        <v>35</v>
      </c>
      <c r="D1669" s="2" t="s">
        <v>36</v>
      </c>
      <c r="E1669" s="5">
        <v>-28950</v>
      </c>
      <c r="F1669" s="3" t="s">
        <v>1052</v>
      </c>
      <c r="G1669" s="3" t="s">
        <v>62</v>
      </c>
      <c r="H1669" s="2" t="s">
        <v>21</v>
      </c>
      <c r="I1669" s="2" t="s">
        <v>3718</v>
      </c>
      <c r="J1669" s="3" t="str">
        <f>HYPERLINK("https://www.boe.es/gazeta/dias/1820/09/25/pdfs/GGB-1820-89.pdf#page=3","Abrir facsímil")</f>
        <v>Abrir facsímil</v>
      </c>
      <c r="K1669" s="3" t="s">
        <v>23</v>
      </c>
    </row>
    <row r="1670" spans="1:11" ht="42" customHeight="1">
      <c r="A1670" s="2" t="s">
        <v>3719</v>
      </c>
      <c r="B1670" s="2" t="s">
        <v>3720</v>
      </c>
      <c r="C1670" s="2" t="s">
        <v>26</v>
      </c>
      <c r="D1670" s="2" t="s">
        <v>27</v>
      </c>
      <c r="E1670" s="5">
        <v>-29002</v>
      </c>
      <c r="F1670" s="3" t="s">
        <v>124</v>
      </c>
      <c r="G1670" s="3" t="s">
        <v>43</v>
      </c>
      <c r="H1670" s="2" t="s">
        <v>21</v>
      </c>
      <c r="I1670" s="2" t="s">
        <v>3721</v>
      </c>
      <c r="J1670" s="3" t="str">
        <f>HYPERLINK("https://www.boe.es/gazeta/dias/1820/08/04/pdfs/GGB-1820-37.pdf#page=2","Abrir facsímil")</f>
        <v>Abrir facsímil</v>
      </c>
      <c r="K1670" s="3" t="s">
        <v>23</v>
      </c>
    </row>
    <row r="1671" spans="1:11" ht="42" customHeight="1">
      <c r="A1671" s="2" t="s">
        <v>3722</v>
      </c>
      <c r="B1671" s="2" t="s">
        <v>3723</v>
      </c>
      <c r="C1671" s="2" t="s">
        <v>74</v>
      </c>
      <c r="D1671" s="2" t="s">
        <v>18</v>
      </c>
      <c r="E1671" s="5">
        <v>-28938</v>
      </c>
      <c r="F1671" s="3" t="s">
        <v>716</v>
      </c>
      <c r="G1671" s="3" t="s">
        <v>1452</v>
      </c>
      <c r="H1671" s="2" t="s">
        <v>21</v>
      </c>
      <c r="I1671" s="2" t="s">
        <v>3724</v>
      </c>
      <c r="J1671" s="3" t="str">
        <f>HYPERLINK("https://www.boe.es/gazeta/dias/1820/10/07/pdfs/GGB-1820-101.pdf#page=4","Abrir facsímil")</f>
        <v>Abrir facsímil</v>
      </c>
      <c r="K1671" s="3" t="s">
        <v>23</v>
      </c>
    </row>
    <row r="1672" spans="1:11" ht="42" customHeight="1">
      <c r="A1672" s="2" t="s">
        <v>3725</v>
      </c>
      <c r="B1672" s="2" t="s">
        <v>3725</v>
      </c>
      <c r="C1672" s="2" t="s">
        <v>17</v>
      </c>
      <c r="D1672" s="2" t="s">
        <v>18</v>
      </c>
      <c r="E1672" s="5">
        <v>-28869</v>
      </c>
      <c r="F1672" s="3" t="s">
        <v>449</v>
      </c>
      <c r="G1672" s="3" t="s">
        <v>450</v>
      </c>
      <c r="H1672" s="2" t="s">
        <v>21</v>
      </c>
      <c r="I1672" s="2" t="s">
        <v>3726</v>
      </c>
      <c r="J1672" s="3" t="str">
        <f>HYPERLINK("https://www.boe.es/gazeta/dias/1820/12/15/pdfs/GGB-1820-172.pdf#page=4","Abrir facsímil")</f>
        <v>Abrir facsímil</v>
      </c>
      <c r="K1672" s="3" t="s">
        <v>23</v>
      </c>
    </row>
    <row r="1673" spans="1:11" ht="42" customHeight="1">
      <c r="A1673" s="2" t="s">
        <v>3727</v>
      </c>
      <c r="B1673" s="2" t="s">
        <v>3728</v>
      </c>
      <c r="C1673" s="2" t="s">
        <v>17</v>
      </c>
      <c r="D1673" s="2" t="s">
        <v>18</v>
      </c>
      <c r="E1673" s="5">
        <v>-28950</v>
      </c>
      <c r="F1673" s="3" t="s">
        <v>1052</v>
      </c>
      <c r="G1673" s="3" t="s">
        <v>20</v>
      </c>
      <c r="H1673" s="2" t="s">
        <v>21</v>
      </c>
      <c r="I1673" s="2" t="s">
        <v>3729</v>
      </c>
      <c r="J1673" s="3" t="str">
        <f>HYPERLINK("https://www.boe.es/gazeta/dias/1820/09/25/pdfs/GGB-1820-89.pdf#page=4","Abrir facsímil")</f>
        <v>Abrir facsímil</v>
      </c>
      <c r="K1673" s="3" t="s">
        <v>23</v>
      </c>
    </row>
    <row r="1674" spans="1:11" ht="42" customHeight="1">
      <c r="A1674" s="2" t="s">
        <v>3730</v>
      </c>
      <c r="B1674" s="2" t="s">
        <v>3730</v>
      </c>
      <c r="C1674" s="2" t="s">
        <v>26</v>
      </c>
      <c r="D1674" s="2" t="s">
        <v>27</v>
      </c>
      <c r="E1674" s="5">
        <v>-28945</v>
      </c>
      <c r="F1674" s="3" t="s">
        <v>99</v>
      </c>
      <c r="G1674" s="3" t="s">
        <v>128</v>
      </c>
      <c r="H1674" s="2" t="s">
        <v>21</v>
      </c>
      <c r="I1674" s="2" t="s">
        <v>3731</v>
      </c>
      <c r="J1674" s="3" t="str">
        <f>HYPERLINK("https://www.boe.es/gazeta/dias/1820/09/30/pdfs/GGB-1820-94.pdf#page=1","Abrir facsímil")</f>
        <v>Abrir facsímil</v>
      </c>
      <c r="K1674" s="3" t="s">
        <v>23</v>
      </c>
    </row>
    <row r="1675" spans="1:11" ht="42" customHeight="1">
      <c r="A1675" s="2" t="s">
        <v>3732</v>
      </c>
      <c r="B1675" s="2" t="s">
        <v>3733</v>
      </c>
      <c r="C1675" s="2" t="s">
        <v>74</v>
      </c>
      <c r="D1675" s="2" t="s">
        <v>18</v>
      </c>
      <c r="E1675" s="5">
        <v>-28906</v>
      </c>
      <c r="F1675" s="3" t="s">
        <v>232</v>
      </c>
      <c r="G1675" s="3" t="s">
        <v>43</v>
      </c>
      <c r="H1675" s="2" t="s">
        <v>21</v>
      </c>
      <c r="I1675" s="2" t="s">
        <v>3734</v>
      </c>
      <c r="J1675" s="3" t="str">
        <f>HYPERLINK("https://www.boe.es/gazeta/dias/1820/11/08/pdfs/GGB-1820-133.pdf#page=2","Abrir facsímil")</f>
        <v>Abrir facsímil</v>
      </c>
      <c r="K1675" s="3" t="s">
        <v>23</v>
      </c>
    </row>
    <row r="1676" spans="1:11" ht="42" customHeight="1">
      <c r="A1676" s="2" t="s">
        <v>3735</v>
      </c>
      <c r="B1676" s="2" t="s">
        <v>3735</v>
      </c>
      <c r="C1676" s="2" t="s">
        <v>26</v>
      </c>
      <c r="D1676" s="2" t="s">
        <v>27</v>
      </c>
      <c r="E1676" s="5">
        <v>-28907</v>
      </c>
      <c r="F1676" s="3" t="s">
        <v>374</v>
      </c>
      <c r="G1676" s="3" t="s">
        <v>43</v>
      </c>
      <c r="H1676" s="2" t="s">
        <v>21</v>
      </c>
      <c r="I1676" s="2" t="s">
        <v>3736</v>
      </c>
      <c r="J1676" s="3" t="str">
        <f>HYPERLINK("https://www.boe.es/gazeta/dias/1820/11/07/pdfs/GGB-1820-132.pdf#page=2","Abrir facsímil")</f>
        <v>Abrir facsímil</v>
      </c>
      <c r="K1676" s="3" t="s">
        <v>23</v>
      </c>
    </row>
    <row r="1677" spans="1:11" ht="42" customHeight="1">
      <c r="A1677" s="2" t="s">
        <v>3737</v>
      </c>
      <c r="B1677" s="2" t="s">
        <v>3738</v>
      </c>
      <c r="C1677" s="2" t="s">
        <v>26</v>
      </c>
      <c r="D1677" s="2" t="s">
        <v>27</v>
      </c>
      <c r="E1677" s="5">
        <v>-28999</v>
      </c>
      <c r="F1677" s="3" t="s">
        <v>342</v>
      </c>
      <c r="G1677" s="3" t="s">
        <v>343</v>
      </c>
      <c r="H1677" s="2" t="s">
        <v>21</v>
      </c>
      <c r="I1677" s="2" t="s">
        <v>3739</v>
      </c>
      <c r="J1677" s="3" t="str">
        <f>HYPERLINK("https://www.boe.es/gazeta/dias/1820/08/07/pdfs/GGB-1820-40.pdf#page=2","Abrir facsímil")</f>
        <v>Abrir facsímil</v>
      </c>
      <c r="K1677" s="3" t="s">
        <v>23</v>
      </c>
    </row>
    <row r="1678" spans="1:11" ht="42" customHeight="1">
      <c r="A1678" s="2" t="s">
        <v>3740</v>
      </c>
      <c r="B1678" s="2" t="s">
        <v>3740</v>
      </c>
      <c r="C1678" s="2" t="s">
        <v>26</v>
      </c>
      <c r="D1678" s="2" t="s">
        <v>27</v>
      </c>
      <c r="E1678" s="5">
        <v>-28982</v>
      </c>
      <c r="F1678" s="3" t="s">
        <v>173</v>
      </c>
      <c r="G1678" s="3" t="s">
        <v>43</v>
      </c>
      <c r="H1678" s="2" t="s">
        <v>21</v>
      </c>
      <c r="I1678" s="2" t="s">
        <v>3741</v>
      </c>
      <c r="J1678" s="3" t="str">
        <f>HYPERLINK("https://www.boe.es/gazeta/dias/1820/08/24/pdfs/GGB-1820-57.pdf#page=2","Abrir facsímil")</f>
        <v>Abrir facsímil</v>
      </c>
      <c r="K1678" s="3" t="s">
        <v>23</v>
      </c>
    </row>
    <row r="1679" spans="1:11" ht="42" customHeight="1">
      <c r="A1679" s="2" t="s">
        <v>3740</v>
      </c>
      <c r="B1679" s="2" t="s">
        <v>3740</v>
      </c>
      <c r="C1679" s="2" t="s">
        <v>26</v>
      </c>
      <c r="D1679" s="2" t="s">
        <v>27</v>
      </c>
      <c r="E1679" s="5">
        <v>-28974</v>
      </c>
      <c r="F1679" s="3" t="s">
        <v>1144</v>
      </c>
      <c r="G1679" s="3" t="s">
        <v>1145</v>
      </c>
      <c r="H1679" s="2" t="s">
        <v>21</v>
      </c>
      <c r="I1679" s="2" t="s">
        <v>3742</v>
      </c>
      <c r="J1679" s="3" t="str">
        <f>HYPERLINK("https://www.boe.es/gazeta/dias/1820/09/01/pdfs/GGB-1820-65.pdf#page=4","Abrir facsímil")</f>
        <v>Abrir facsímil</v>
      </c>
      <c r="K1679" s="3" t="s">
        <v>23</v>
      </c>
    </row>
    <row r="1680" spans="1:11" ht="42" customHeight="1">
      <c r="A1680" s="2" t="s">
        <v>3743</v>
      </c>
      <c r="B1680" s="2" t="s">
        <v>3743</v>
      </c>
      <c r="C1680" s="2" t="s">
        <v>35</v>
      </c>
      <c r="D1680" s="2" t="s">
        <v>36</v>
      </c>
      <c r="E1680" s="5">
        <v>-29026</v>
      </c>
      <c r="F1680" s="3" t="s">
        <v>1197</v>
      </c>
      <c r="G1680" s="3" t="s">
        <v>62</v>
      </c>
      <c r="H1680" s="2" t="s">
        <v>21</v>
      </c>
      <c r="I1680" s="2" t="s">
        <v>3744</v>
      </c>
      <c r="J1680" s="3" t="str">
        <f>HYPERLINK("https://www.boe.es/gazeta/dias/1820/07/11/pdfs/GGB-1820-13.pdf#page=3","Abrir facsímil")</f>
        <v>Abrir facsímil</v>
      </c>
      <c r="K1680" s="3" t="s">
        <v>23</v>
      </c>
    </row>
    <row r="1681" spans="1:11" ht="42" customHeight="1">
      <c r="A1681" s="2" t="s">
        <v>3745</v>
      </c>
      <c r="B1681" s="2" t="s">
        <v>3746</v>
      </c>
      <c r="C1681" s="2" t="s">
        <v>35</v>
      </c>
      <c r="D1681" s="2" t="s">
        <v>36</v>
      </c>
      <c r="E1681" s="5">
        <v>-28938</v>
      </c>
      <c r="F1681" s="3" t="s">
        <v>716</v>
      </c>
      <c r="G1681" s="3" t="s">
        <v>717</v>
      </c>
      <c r="H1681" s="2" t="s">
        <v>21</v>
      </c>
      <c r="I1681" s="2" t="s">
        <v>3747</v>
      </c>
      <c r="J1681" s="3" t="str">
        <f>HYPERLINK("https://www.boe.es/gazeta/dias/1820/10/07/pdfs/GGB-1820-101.pdf#page=2","Abrir facsímil")</f>
        <v>Abrir facsímil</v>
      </c>
      <c r="K1681" s="3" t="s">
        <v>23</v>
      </c>
    </row>
    <row r="1682" spans="1:11" ht="42" customHeight="1">
      <c r="A1682" s="2" t="s">
        <v>3748</v>
      </c>
      <c r="B1682" s="2" t="s">
        <v>3749</v>
      </c>
      <c r="C1682" s="2" t="s">
        <v>17</v>
      </c>
      <c r="D1682" s="2" t="s">
        <v>18</v>
      </c>
      <c r="E1682" s="5">
        <v>-28950</v>
      </c>
      <c r="F1682" s="3" t="s">
        <v>1052</v>
      </c>
      <c r="G1682" s="3" t="s">
        <v>20</v>
      </c>
      <c r="H1682" s="2" t="s">
        <v>21</v>
      </c>
      <c r="I1682" s="2" t="s">
        <v>3750</v>
      </c>
      <c r="J1682" s="3" t="str">
        <f>HYPERLINK("https://www.boe.es/gazeta/dias/1820/09/25/pdfs/GGB-1820-89.pdf#page=4","Abrir facsímil")</f>
        <v>Abrir facsímil</v>
      </c>
      <c r="K1682" s="3" t="s">
        <v>23</v>
      </c>
    </row>
    <row r="1683" spans="1:11" ht="42" customHeight="1">
      <c r="A1683" s="2" t="s">
        <v>3751</v>
      </c>
      <c r="B1683" s="2" t="s">
        <v>3752</v>
      </c>
      <c r="C1683" s="2" t="s">
        <v>35</v>
      </c>
      <c r="D1683" s="2" t="s">
        <v>36</v>
      </c>
      <c r="E1683" s="5">
        <v>-28979</v>
      </c>
      <c r="F1683" s="3" t="s">
        <v>218</v>
      </c>
      <c r="G1683" s="3" t="s">
        <v>43</v>
      </c>
      <c r="H1683" s="2" t="s">
        <v>21</v>
      </c>
      <c r="I1683" s="2" t="s">
        <v>3753</v>
      </c>
      <c r="J1683" s="3" t="str">
        <f>HYPERLINK("https://www.boe.es/gazeta/dias/1820/08/27/pdfs/GGB-1820-60.pdf#page=2","Abrir facsímil")</f>
        <v>Abrir facsímil</v>
      </c>
      <c r="K1683" s="3" t="s">
        <v>23</v>
      </c>
    </row>
    <row r="1684" spans="1:11" ht="42" customHeight="1">
      <c r="A1684" s="2" t="s">
        <v>3751</v>
      </c>
      <c r="B1684" s="2" t="s">
        <v>3752</v>
      </c>
      <c r="C1684" s="2" t="s">
        <v>35</v>
      </c>
      <c r="D1684" s="2" t="s">
        <v>36</v>
      </c>
      <c r="E1684" s="5">
        <v>-28969</v>
      </c>
      <c r="F1684" s="3" t="s">
        <v>225</v>
      </c>
      <c r="G1684" s="3" t="s">
        <v>43</v>
      </c>
      <c r="H1684" s="2" t="s">
        <v>21</v>
      </c>
      <c r="I1684" s="2" t="s">
        <v>3754</v>
      </c>
      <c r="J1684" s="3" t="str">
        <f>HYPERLINK("https://www.boe.es/gazeta/dias/1820/09/06/pdfs/GGB-1820-70.pdf#page=2","Abrir facsímil")</f>
        <v>Abrir facsímil</v>
      </c>
      <c r="K1684" s="3" t="s">
        <v>23</v>
      </c>
    </row>
    <row r="1685" spans="1:11" ht="42" customHeight="1">
      <c r="A1685" s="2" t="s">
        <v>3751</v>
      </c>
      <c r="B1685" s="2" t="s">
        <v>3752</v>
      </c>
      <c r="C1685" s="2" t="s">
        <v>26</v>
      </c>
      <c r="D1685" s="2" t="s">
        <v>27</v>
      </c>
      <c r="E1685" s="5">
        <v>-28960</v>
      </c>
      <c r="F1685" s="3" t="s">
        <v>704</v>
      </c>
      <c r="G1685" s="3" t="s">
        <v>62</v>
      </c>
      <c r="H1685" s="2" t="s">
        <v>21</v>
      </c>
      <c r="I1685" s="2" t="s">
        <v>3755</v>
      </c>
      <c r="J1685" s="3" t="str">
        <f>HYPERLINK("https://www.boe.es/gazeta/dias/1820/09/15/pdfs/GGB-1820-79.pdf#page=3","Abrir facsímil")</f>
        <v>Abrir facsímil</v>
      </c>
      <c r="K1685" s="3" t="s">
        <v>23</v>
      </c>
    </row>
    <row r="1686" spans="1:11" ht="42" customHeight="1">
      <c r="A1686" s="2" t="s">
        <v>3751</v>
      </c>
      <c r="B1686" s="2" t="s">
        <v>3752</v>
      </c>
      <c r="C1686" s="2" t="s">
        <v>111</v>
      </c>
      <c r="D1686" s="2" t="s">
        <v>18</v>
      </c>
      <c r="E1686" s="5">
        <v>-28958</v>
      </c>
      <c r="F1686" s="3" t="s">
        <v>706</v>
      </c>
      <c r="G1686" s="3" t="s">
        <v>62</v>
      </c>
      <c r="H1686" s="2" t="s">
        <v>21</v>
      </c>
      <c r="I1686" s="2" t="s">
        <v>3756</v>
      </c>
      <c r="J1686" s="3" t="str">
        <f>HYPERLINK("https://www.boe.es/gazeta/dias/1820/09/17/pdfs/GGB-1820-81.pdf#page=3","Abrir facsímil")</f>
        <v>Abrir facsímil</v>
      </c>
      <c r="K1686" s="3" t="s">
        <v>23</v>
      </c>
    </row>
    <row r="1687" spans="1:11" ht="42" customHeight="1">
      <c r="A1687" s="2" t="s">
        <v>3751</v>
      </c>
      <c r="B1687" s="2" t="s">
        <v>3752</v>
      </c>
      <c r="C1687" s="2" t="s">
        <v>26</v>
      </c>
      <c r="D1687" s="2" t="s">
        <v>27</v>
      </c>
      <c r="E1687" s="5">
        <v>-28954</v>
      </c>
      <c r="F1687" s="3" t="s">
        <v>28</v>
      </c>
      <c r="G1687" s="3" t="s">
        <v>29</v>
      </c>
      <c r="H1687" s="2" t="s">
        <v>21</v>
      </c>
      <c r="I1687" s="2" t="s">
        <v>3757</v>
      </c>
      <c r="J1687" s="3" t="str">
        <f>HYPERLINK("https://www.boe.es/gazeta/dias/1820/09/21/pdfs/GGB-1820-85.pdf#page=2","Abrir facsímil")</f>
        <v>Abrir facsímil</v>
      </c>
      <c r="K1687" s="3" t="s">
        <v>23</v>
      </c>
    </row>
    <row r="1688" spans="1:11" ht="42" customHeight="1">
      <c r="A1688" s="2" t="s">
        <v>3751</v>
      </c>
      <c r="B1688" s="2" t="s">
        <v>3752</v>
      </c>
      <c r="C1688" s="2" t="s">
        <v>17</v>
      </c>
      <c r="D1688" s="2" t="s">
        <v>18</v>
      </c>
      <c r="E1688" s="5">
        <v>-28927</v>
      </c>
      <c r="F1688" s="3" t="s">
        <v>345</v>
      </c>
      <c r="G1688" s="3" t="s">
        <v>128</v>
      </c>
      <c r="H1688" s="2" t="s">
        <v>21</v>
      </c>
      <c r="I1688" s="2" t="s">
        <v>3758</v>
      </c>
      <c r="J1688" s="3" t="str">
        <f>HYPERLINK("https://www.boe.es/gazeta/dias/1820/10/18/pdfs/GGB-1820-112.pdf#page=1","Abrir facsímil")</f>
        <v>Abrir facsímil</v>
      </c>
      <c r="K1688" s="3" t="s">
        <v>23</v>
      </c>
    </row>
    <row r="1689" spans="1:11" ht="42" customHeight="1">
      <c r="A1689" s="2" t="s">
        <v>3751</v>
      </c>
      <c r="B1689" s="2" t="s">
        <v>3752</v>
      </c>
      <c r="C1689" s="2" t="s">
        <v>35</v>
      </c>
      <c r="D1689" s="2" t="s">
        <v>36</v>
      </c>
      <c r="E1689" s="5">
        <v>-28924</v>
      </c>
      <c r="F1689" s="3" t="s">
        <v>78</v>
      </c>
      <c r="G1689" s="3" t="s">
        <v>20</v>
      </c>
      <c r="H1689" s="2" t="s">
        <v>21</v>
      </c>
      <c r="I1689" s="2" t="s">
        <v>3759</v>
      </c>
      <c r="J1689" s="3" t="str">
        <f>HYPERLINK("https://www.boe.es/gazeta/dias/1820/10/21/pdfs/GGB-1820-115.pdf#page=4","Abrir facsímil")</f>
        <v>Abrir facsímil</v>
      </c>
      <c r="K1689" s="3" t="s">
        <v>23</v>
      </c>
    </row>
    <row r="1690" spans="1:11" ht="42" customHeight="1">
      <c r="A1690" s="2" t="s">
        <v>3760</v>
      </c>
      <c r="B1690" s="2" t="s">
        <v>3761</v>
      </c>
      <c r="C1690" s="2" t="s">
        <v>35</v>
      </c>
      <c r="D1690" s="2" t="s">
        <v>36</v>
      </c>
      <c r="E1690" s="5">
        <v>-29211</v>
      </c>
      <c r="F1690" s="3" t="s">
        <v>578</v>
      </c>
      <c r="G1690" s="3" t="s">
        <v>201</v>
      </c>
      <c r="H1690" s="2" t="s">
        <v>30</v>
      </c>
      <c r="I1690" s="2" t="s">
        <v>3762</v>
      </c>
      <c r="J1690" s="3" t="str">
        <f>HYPERLINK("https://www.boe.es/gazeta/dias/1820/01/08/pdfs/GMD-1820-4.pdf#page=7","Abrir facsímil")</f>
        <v>Abrir facsímil</v>
      </c>
      <c r="K1690" s="3" t="s">
        <v>32</v>
      </c>
    </row>
    <row r="1691" spans="1:11" ht="42" customHeight="1">
      <c r="A1691" s="2" t="s">
        <v>3763</v>
      </c>
      <c r="B1691" s="2" t="s">
        <v>3763</v>
      </c>
      <c r="C1691" s="2" t="s">
        <v>26</v>
      </c>
      <c r="D1691" s="2" t="s">
        <v>27</v>
      </c>
      <c r="E1691" s="5">
        <v>-29002</v>
      </c>
      <c r="F1691" s="3" t="s">
        <v>124</v>
      </c>
      <c r="G1691" s="3" t="s">
        <v>43</v>
      </c>
      <c r="H1691" s="2" t="s">
        <v>21</v>
      </c>
      <c r="I1691" s="2" t="s">
        <v>3764</v>
      </c>
      <c r="J1691" s="3" t="str">
        <f>HYPERLINK("https://www.boe.es/gazeta/dias/1820/08/04/pdfs/GGB-1820-37.pdf#page=2","Abrir facsímil")</f>
        <v>Abrir facsímil</v>
      </c>
      <c r="K1691" s="3" t="s">
        <v>23</v>
      </c>
    </row>
    <row r="1692" spans="1:11" ht="42" customHeight="1">
      <c r="A1692" s="2" t="s">
        <v>3765</v>
      </c>
      <c r="B1692" s="2" t="s">
        <v>3765</v>
      </c>
      <c r="C1692" s="2" t="s">
        <v>17</v>
      </c>
      <c r="D1692" s="2" t="s">
        <v>18</v>
      </c>
      <c r="E1692" s="5">
        <v>-29159</v>
      </c>
      <c r="F1692" s="3" t="s">
        <v>1022</v>
      </c>
      <c r="G1692" s="3" t="s">
        <v>3766</v>
      </c>
      <c r="H1692" s="2" t="s">
        <v>21</v>
      </c>
      <c r="I1692" s="2" t="s">
        <v>3767</v>
      </c>
      <c r="J1692" s="3" t="str">
        <f>HYPERLINK("https://www.boe.es/gazeta/dias/1820/02/29/pdfs/GMD-1820-26.pdf#page=8","Abrir facsímil")</f>
        <v>Abrir facsímil</v>
      </c>
      <c r="K1692" s="3" t="s">
        <v>23</v>
      </c>
    </row>
    <row r="1693" spans="1:11" ht="42" customHeight="1">
      <c r="A1693" s="2" t="s">
        <v>3768</v>
      </c>
      <c r="B1693" s="2" t="s">
        <v>3768</v>
      </c>
      <c r="C1693" s="2" t="s">
        <v>35</v>
      </c>
      <c r="D1693" s="2" t="s">
        <v>36</v>
      </c>
      <c r="E1693" s="5">
        <v>-28964</v>
      </c>
      <c r="F1693" s="3" t="s">
        <v>240</v>
      </c>
      <c r="G1693" s="3" t="s">
        <v>43</v>
      </c>
      <c r="H1693" s="2" t="s">
        <v>21</v>
      </c>
      <c r="I1693" s="2" t="s">
        <v>3769</v>
      </c>
      <c r="J1693" s="3" t="str">
        <f>HYPERLINK("https://www.boe.es/gazeta/dias/1820/09/11/pdfs/GGB-1820-75.pdf#page=2","Abrir facsímil")</f>
        <v>Abrir facsímil</v>
      </c>
      <c r="K1693" s="3" t="s">
        <v>23</v>
      </c>
    </row>
    <row r="1694" spans="1:11" ht="42" customHeight="1">
      <c r="A1694" s="2" t="s">
        <v>3768</v>
      </c>
      <c r="B1694" s="2" t="s">
        <v>3768</v>
      </c>
      <c r="C1694" s="2" t="s">
        <v>35</v>
      </c>
      <c r="D1694" s="2" t="s">
        <v>36</v>
      </c>
      <c r="E1694" s="5">
        <v>-28929</v>
      </c>
      <c r="F1694" s="3" t="s">
        <v>728</v>
      </c>
      <c r="G1694" s="3" t="s">
        <v>62</v>
      </c>
      <c r="H1694" s="2" t="s">
        <v>21</v>
      </c>
      <c r="I1694" s="2" t="s">
        <v>3770</v>
      </c>
      <c r="J1694" s="3" t="str">
        <f>HYPERLINK("https://www.boe.es/gazeta/dias/1820/10/16/pdfs/GGB-1820-110.pdf#page=3","Abrir facsímil")</f>
        <v>Abrir facsímil</v>
      </c>
      <c r="K1694" s="3" t="s">
        <v>23</v>
      </c>
    </row>
    <row r="1695" spans="1:11" ht="42" customHeight="1">
      <c r="A1695" s="2" t="s">
        <v>3768</v>
      </c>
      <c r="B1695" s="2" t="s">
        <v>3768</v>
      </c>
      <c r="C1695" s="2" t="s">
        <v>26</v>
      </c>
      <c r="D1695" s="2" t="s">
        <v>27</v>
      </c>
      <c r="E1695" s="5">
        <v>-28928</v>
      </c>
      <c r="F1695" s="3" t="s">
        <v>86</v>
      </c>
      <c r="G1695" s="3" t="s">
        <v>43</v>
      </c>
      <c r="H1695" s="2" t="s">
        <v>21</v>
      </c>
      <c r="I1695" s="2" t="s">
        <v>3771</v>
      </c>
      <c r="J1695" s="3" t="str">
        <f>HYPERLINK("https://www.boe.es/gazeta/dias/1820/10/17/pdfs/GGB-1820-111.pdf#page=2","Abrir facsímil")</f>
        <v>Abrir facsímil</v>
      </c>
      <c r="K1695" s="3" t="s">
        <v>23</v>
      </c>
    </row>
    <row r="1696" spans="1:11" ht="42" customHeight="1">
      <c r="A1696" s="2" t="s">
        <v>3768</v>
      </c>
      <c r="B1696" s="2" t="s">
        <v>3768</v>
      </c>
      <c r="C1696" s="2" t="s">
        <v>35</v>
      </c>
      <c r="D1696" s="2" t="s">
        <v>36</v>
      </c>
      <c r="E1696" s="5">
        <v>-28927</v>
      </c>
      <c r="F1696" s="3" t="s">
        <v>345</v>
      </c>
      <c r="G1696" s="3" t="s">
        <v>20</v>
      </c>
      <c r="H1696" s="2" t="s">
        <v>21</v>
      </c>
      <c r="I1696" s="2" t="s">
        <v>3772</v>
      </c>
      <c r="J1696" s="3" t="str">
        <f>HYPERLINK("https://www.boe.es/gazeta/dias/1820/10/18/pdfs/GGB-1820-112.pdf#page=4","Abrir facsímil")</f>
        <v>Abrir facsímil</v>
      </c>
      <c r="K1696" s="3" t="s">
        <v>23</v>
      </c>
    </row>
    <row r="1697" spans="1:11" ht="42" customHeight="1">
      <c r="A1697" s="2" t="s">
        <v>3768</v>
      </c>
      <c r="B1697" s="2" t="s">
        <v>3768</v>
      </c>
      <c r="C1697" s="2" t="s">
        <v>35</v>
      </c>
      <c r="D1697" s="2" t="s">
        <v>36</v>
      </c>
      <c r="E1697" s="5">
        <v>-28911</v>
      </c>
      <c r="F1697" s="3" t="s">
        <v>82</v>
      </c>
      <c r="G1697" s="3" t="s">
        <v>43</v>
      </c>
      <c r="H1697" s="2" t="s">
        <v>21</v>
      </c>
      <c r="I1697" s="2" t="s">
        <v>3773</v>
      </c>
      <c r="J1697" s="3" t="str">
        <f>HYPERLINK("https://www.boe.es/gazeta/dias/1820/11/03/pdfs/GGB-1820-128.pdf#page=2","Abrir facsímil")</f>
        <v>Abrir facsímil</v>
      </c>
      <c r="K1697" s="3" t="s">
        <v>23</v>
      </c>
    </row>
    <row r="1698" spans="1:11" ht="42" customHeight="1">
      <c r="A1698" s="2" t="s">
        <v>3774</v>
      </c>
      <c r="B1698" s="2" t="s">
        <v>3775</v>
      </c>
      <c r="C1698" s="2" t="s">
        <v>35</v>
      </c>
      <c r="D1698" s="2" t="s">
        <v>36</v>
      </c>
      <c r="E1698" s="5">
        <v>-28965</v>
      </c>
      <c r="F1698" s="3" t="s">
        <v>1520</v>
      </c>
      <c r="G1698" s="3" t="s">
        <v>62</v>
      </c>
      <c r="H1698" s="2" t="s">
        <v>21</v>
      </c>
      <c r="I1698" s="2" t="s">
        <v>3776</v>
      </c>
      <c r="J1698" s="3" t="str">
        <f>HYPERLINK("https://www.boe.es/gazeta/dias/1820/09/10/pdfs/GGB-1820-74.pdf#page=3","Abrir facsímil")</f>
        <v>Abrir facsímil</v>
      </c>
      <c r="K1698" s="3" t="s">
        <v>23</v>
      </c>
    </row>
    <row r="1699" spans="1:11" ht="42" customHeight="1">
      <c r="A1699" s="2" t="s">
        <v>3774</v>
      </c>
      <c r="B1699" s="2" t="s">
        <v>3775</v>
      </c>
      <c r="C1699" s="2" t="s">
        <v>35</v>
      </c>
      <c r="D1699" s="2" t="s">
        <v>36</v>
      </c>
      <c r="E1699" s="5">
        <v>-28899</v>
      </c>
      <c r="F1699" s="3" t="s">
        <v>285</v>
      </c>
      <c r="G1699" s="3" t="s">
        <v>20</v>
      </c>
      <c r="H1699" s="2" t="s">
        <v>21</v>
      </c>
      <c r="I1699" s="2" t="s">
        <v>3777</v>
      </c>
      <c r="J1699" s="3" t="str">
        <f>HYPERLINK("https://www.boe.es/gazeta/dias/1820/11/15/pdfs/GGB-1820-141.pdf#page=4","Abrir facsímil")</f>
        <v>Abrir facsímil</v>
      </c>
      <c r="K1699" s="3" t="s">
        <v>23</v>
      </c>
    </row>
    <row r="1700" spans="1:11" ht="42" customHeight="1">
      <c r="A1700" s="2" t="s">
        <v>3778</v>
      </c>
      <c r="B1700" s="2" t="s">
        <v>3778</v>
      </c>
      <c r="C1700" s="2" t="s">
        <v>107</v>
      </c>
      <c r="D1700" s="2" t="s">
        <v>18</v>
      </c>
      <c r="E1700" s="5">
        <v>-29025</v>
      </c>
      <c r="F1700" s="3" t="s">
        <v>902</v>
      </c>
      <c r="G1700" s="3" t="s">
        <v>62</v>
      </c>
      <c r="H1700" s="2" t="s">
        <v>21</v>
      </c>
      <c r="I1700" s="2" t="s">
        <v>3779</v>
      </c>
      <c r="J1700" s="3" t="str">
        <f>HYPERLINK("https://www.boe.es/gazeta/dias/1820/07/12/pdfs/GGB-1820-14.pdf#page=3","Abrir facsímil")</f>
        <v>Abrir facsímil</v>
      </c>
      <c r="K1700" s="3" t="s">
        <v>23</v>
      </c>
    </row>
    <row r="1701" spans="1:11" ht="42" customHeight="1">
      <c r="A1701" s="2" t="s">
        <v>3780</v>
      </c>
      <c r="B1701" s="2" t="s">
        <v>3781</v>
      </c>
      <c r="C1701" s="2" t="s">
        <v>293</v>
      </c>
      <c r="D1701" s="2" t="s">
        <v>18</v>
      </c>
      <c r="E1701" s="5">
        <v>-29089</v>
      </c>
      <c r="F1701" s="3" t="s">
        <v>2128</v>
      </c>
      <c r="G1701" s="3" t="s">
        <v>295</v>
      </c>
      <c r="H1701" s="2" t="s">
        <v>30</v>
      </c>
      <c r="I1701" s="2" t="s">
        <v>3782</v>
      </c>
      <c r="J1701" s="3" t="str">
        <f>HYPERLINK("https://www.boe.es/gazeta/dias/1820/05/09/pdfs/GMD-1820-77.pdf#page=8","Abrir facsímil")</f>
        <v>Abrir facsímil</v>
      </c>
      <c r="K1701" s="3" t="s">
        <v>32</v>
      </c>
    </row>
    <row r="1702" spans="1:11" ht="42" customHeight="1">
      <c r="A1702" s="2" t="s">
        <v>3783</v>
      </c>
      <c r="B1702" s="2" t="s">
        <v>3783</v>
      </c>
      <c r="C1702" s="2" t="s">
        <v>74</v>
      </c>
      <c r="D1702" s="2" t="s">
        <v>18</v>
      </c>
      <c r="E1702" s="5">
        <v>-29027</v>
      </c>
      <c r="F1702" s="3" t="s">
        <v>937</v>
      </c>
      <c r="G1702" s="3" t="s">
        <v>43</v>
      </c>
      <c r="H1702" s="2" t="s">
        <v>21</v>
      </c>
      <c r="I1702" s="2" t="s">
        <v>3784</v>
      </c>
      <c r="J1702" s="3" t="str">
        <f>HYPERLINK("https://www.boe.es/gazeta/dias/1820/07/10/pdfs/GGB-1820-11.pdf#page=2","Abrir facsímil")</f>
        <v>Abrir facsímil</v>
      </c>
      <c r="K1702" s="3" t="s">
        <v>23</v>
      </c>
    </row>
    <row r="1703" spans="1:11" ht="42" customHeight="1">
      <c r="A1703" s="2" t="s">
        <v>3785</v>
      </c>
      <c r="B1703" s="2" t="s">
        <v>3785</v>
      </c>
      <c r="C1703" s="2" t="s">
        <v>293</v>
      </c>
      <c r="D1703" s="2" t="s">
        <v>18</v>
      </c>
      <c r="E1703" s="5">
        <v>-28958</v>
      </c>
      <c r="F1703" s="3" t="s">
        <v>706</v>
      </c>
      <c r="G1703" s="3" t="s">
        <v>43</v>
      </c>
      <c r="H1703" s="2" t="s">
        <v>21</v>
      </c>
      <c r="I1703" s="2" t="s">
        <v>3786</v>
      </c>
      <c r="J1703" s="3" t="str">
        <f>HYPERLINK("https://www.boe.es/gazeta/dias/1820/09/17/pdfs/GGB-1820-81.pdf#page=2","Abrir facsímil")</f>
        <v>Abrir facsímil</v>
      </c>
      <c r="K1703" s="3" t="s">
        <v>23</v>
      </c>
    </row>
    <row r="1704" spans="1:11" ht="42" customHeight="1">
      <c r="A1704" s="2" t="s">
        <v>3787</v>
      </c>
      <c r="B1704" s="2" t="s">
        <v>3788</v>
      </c>
      <c r="C1704" s="2" t="s">
        <v>17</v>
      </c>
      <c r="D1704" s="2" t="s">
        <v>18</v>
      </c>
      <c r="E1704" s="5">
        <v>-28958</v>
      </c>
      <c r="F1704" s="3" t="s">
        <v>706</v>
      </c>
      <c r="G1704" s="3" t="s">
        <v>43</v>
      </c>
      <c r="H1704" s="2" t="s">
        <v>21</v>
      </c>
      <c r="I1704" s="2" t="s">
        <v>3789</v>
      </c>
      <c r="J1704" s="3" t="str">
        <f>HYPERLINK("https://www.boe.es/gazeta/dias/1820/09/17/pdfs/GGB-1820-81.pdf#page=2","Abrir facsímil")</f>
        <v>Abrir facsímil</v>
      </c>
      <c r="K1704" s="3" t="s">
        <v>23</v>
      </c>
    </row>
    <row r="1705" spans="1:11" ht="42" customHeight="1">
      <c r="A1705" s="2" t="s">
        <v>3790</v>
      </c>
      <c r="B1705" s="2" t="s">
        <v>3791</v>
      </c>
      <c r="C1705" s="2" t="s">
        <v>47</v>
      </c>
      <c r="D1705" s="2" t="s">
        <v>18</v>
      </c>
      <c r="E1705" s="5">
        <v>-28955</v>
      </c>
      <c r="F1705" s="3" t="s">
        <v>175</v>
      </c>
      <c r="G1705" s="3" t="s">
        <v>62</v>
      </c>
      <c r="H1705" s="2" t="s">
        <v>21</v>
      </c>
      <c r="I1705" s="2" t="s">
        <v>3792</v>
      </c>
      <c r="J1705" s="3" t="str">
        <f>HYPERLINK("https://www.boe.es/gazeta/dias/1820/09/20/pdfs/GGB-1820-84.pdf#page=3","Abrir facsímil")</f>
        <v>Abrir facsímil</v>
      </c>
      <c r="K1705" s="3" t="s">
        <v>23</v>
      </c>
    </row>
    <row r="1706" spans="1:11" ht="42" customHeight="1">
      <c r="A1706" s="2" t="s">
        <v>3793</v>
      </c>
      <c r="B1706" s="2" t="s">
        <v>3794</v>
      </c>
      <c r="C1706" s="2" t="s">
        <v>47</v>
      </c>
      <c r="D1706" s="2" t="s">
        <v>18</v>
      </c>
      <c r="E1706" s="5">
        <v>-28920</v>
      </c>
      <c r="F1706" s="3" t="s">
        <v>399</v>
      </c>
      <c r="G1706" s="3" t="s">
        <v>20</v>
      </c>
      <c r="H1706" s="2" t="s">
        <v>21</v>
      </c>
      <c r="I1706" s="2" t="s">
        <v>3795</v>
      </c>
      <c r="J1706" s="3" t="str">
        <f>HYPERLINK("https://www.boe.es/gazeta/dias/1820/10/25/pdfs/GGB-1820-119.pdf#page=4","Abrir facsímil")</f>
        <v>Abrir facsímil</v>
      </c>
      <c r="K1706" s="3" t="s">
        <v>23</v>
      </c>
    </row>
    <row r="1707" spans="1:11" ht="42" customHeight="1">
      <c r="A1707" s="2" t="s">
        <v>3796</v>
      </c>
      <c r="B1707" s="2" t="s">
        <v>3797</v>
      </c>
      <c r="C1707" s="2" t="s">
        <v>26</v>
      </c>
      <c r="D1707" s="2" t="s">
        <v>27</v>
      </c>
      <c r="E1707" s="5">
        <v>-28988</v>
      </c>
      <c r="F1707" s="3" t="s">
        <v>618</v>
      </c>
      <c r="G1707" s="3" t="s">
        <v>62</v>
      </c>
      <c r="H1707" s="2" t="s">
        <v>21</v>
      </c>
      <c r="I1707" s="2" t="s">
        <v>3798</v>
      </c>
      <c r="J1707" s="3" t="str">
        <f>HYPERLINK("https://www.boe.es/gazeta/dias/1820/08/18/pdfs/GGB-1820-51.pdf#page=3","Abrir facsímil")</f>
        <v>Abrir facsímil</v>
      </c>
      <c r="K1707" s="3" t="s">
        <v>23</v>
      </c>
    </row>
    <row r="1708" spans="1:11" ht="42" customHeight="1">
      <c r="A1708" s="2" t="s">
        <v>3799</v>
      </c>
      <c r="B1708" s="2" t="s">
        <v>3799</v>
      </c>
      <c r="C1708" s="2" t="s">
        <v>17</v>
      </c>
      <c r="D1708" s="2" t="s">
        <v>18</v>
      </c>
      <c r="E1708" s="5">
        <v>-28928</v>
      </c>
      <c r="F1708" s="3" t="s">
        <v>86</v>
      </c>
      <c r="G1708" s="3" t="s">
        <v>43</v>
      </c>
      <c r="H1708" s="2" t="s">
        <v>21</v>
      </c>
      <c r="I1708" s="2" t="s">
        <v>3800</v>
      </c>
      <c r="J1708" s="3" t="str">
        <f>HYPERLINK("https://www.boe.es/gazeta/dias/1820/10/17/pdfs/GGB-1820-111.pdf#page=2","Abrir facsímil")</f>
        <v>Abrir facsímil</v>
      </c>
      <c r="K1708" s="3" t="s">
        <v>23</v>
      </c>
    </row>
    <row r="1709" spans="1:11" ht="42" customHeight="1">
      <c r="A1709" s="2" t="s">
        <v>3801</v>
      </c>
      <c r="B1709" s="2" t="s">
        <v>3802</v>
      </c>
      <c r="C1709" s="2" t="s">
        <v>26</v>
      </c>
      <c r="D1709" s="2" t="s">
        <v>27</v>
      </c>
      <c r="E1709" s="5">
        <v>-29164</v>
      </c>
      <c r="F1709" s="3" t="s">
        <v>2516</v>
      </c>
      <c r="G1709" s="3" t="s">
        <v>256</v>
      </c>
      <c r="H1709" s="2" t="s">
        <v>21</v>
      </c>
      <c r="I1709" s="2" t="s">
        <v>3803</v>
      </c>
      <c r="J1709" s="3" t="str">
        <f>HYPERLINK("https://www.boe.es/gazeta/dias/1820/02/24/pdfs/GMD-1820-24.pdf#page=5","Abrir facsímil")</f>
        <v>Abrir facsímil</v>
      </c>
      <c r="K1709" s="3" t="s">
        <v>23</v>
      </c>
    </row>
    <row r="1710" spans="1:11" ht="42" customHeight="1">
      <c r="A1710" s="2" t="s">
        <v>3804</v>
      </c>
      <c r="B1710" s="2" t="s">
        <v>3804</v>
      </c>
      <c r="C1710" s="2" t="s">
        <v>26</v>
      </c>
      <c r="D1710" s="2" t="s">
        <v>27</v>
      </c>
      <c r="E1710" s="5">
        <v>-28879</v>
      </c>
      <c r="F1710" s="3" t="s">
        <v>953</v>
      </c>
      <c r="G1710" s="3" t="s">
        <v>43</v>
      </c>
      <c r="H1710" s="2" t="s">
        <v>21</v>
      </c>
      <c r="I1710" s="2" t="s">
        <v>3805</v>
      </c>
      <c r="J1710" s="3" t="str">
        <f>HYPERLINK("https://www.boe.es/gazeta/dias/1820/12/05/pdfs/GGB-1820-162.pdf#page=2","Abrir facsímil")</f>
        <v>Abrir facsímil</v>
      </c>
      <c r="K1710" s="3" t="s">
        <v>23</v>
      </c>
    </row>
    <row r="1711" spans="1:11" ht="42" customHeight="1">
      <c r="A1711" s="2" t="s">
        <v>3806</v>
      </c>
      <c r="B1711" s="2" t="s">
        <v>3807</v>
      </c>
      <c r="C1711" s="2" t="s">
        <v>1808</v>
      </c>
      <c r="D1711" s="2" t="s">
        <v>36</v>
      </c>
      <c r="E1711" s="5">
        <v>-29145</v>
      </c>
      <c r="F1711" s="3" t="s">
        <v>3537</v>
      </c>
      <c r="G1711" s="3" t="s">
        <v>201</v>
      </c>
      <c r="H1711" s="2" t="s">
        <v>21</v>
      </c>
      <c r="I1711" s="2" t="s">
        <v>3808</v>
      </c>
      <c r="J1711" s="3" t="str">
        <f>HYPERLINK("https://www.boe.es/gazeta/dias/1820/03/14/pdfs/GMD-1820-39.pdf#page=7","Abrir facsímil")</f>
        <v>Abrir facsímil</v>
      </c>
      <c r="K1711" s="3" t="s">
        <v>23</v>
      </c>
    </row>
    <row r="1712" spans="1:11" ht="42" customHeight="1">
      <c r="A1712" s="2" t="s">
        <v>3809</v>
      </c>
      <c r="B1712" s="2" t="s">
        <v>3810</v>
      </c>
      <c r="C1712" s="2" t="s">
        <v>26</v>
      </c>
      <c r="D1712" s="2" t="s">
        <v>27</v>
      </c>
      <c r="E1712" s="5">
        <v>-29143</v>
      </c>
      <c r="F1712" s="3" t="s">
        <v>334</v>
      </c>
      <c r="G1712" s="3" t="s">
        <v>201</v>
      </c>
      <c r="H1712" s="2" t="s">
        <v>21</v>
      </c>
      <c r="I1712" s="2" t="s">
        <v>3811</v>
      </c>
      <c r="J1712" s="3" t="str">
        <f>HYPERLINK("https://www.boe.es/gazeta/dias/1820/03/16/pdfs/GMD-1820-42.pdf#page=7","Abrir facsímil")</f>
        <v>Abrir facsímil</v>
      </c>
      <c r="K1712" s="3" t="s">
        <v>23</v>
      </c>
    </row>
    <row r="1713" spans="1:11" ht="42" customHeight="1">
      <c r="A1713" s="2" t="s">
        <v>3812</v>
      </c>
      <c r="B1713" s="2" t="s">
        <v>3813</v>
      </c>
      <c r="C1713" s="2" t="s">
        <v>107</v>
      </c>
      <c r="D1713" s="2" t="s">
        <v>18</v>
      </c>
      <c r="E1713" s="5">
        <v>-29197</v>
      </c>
      <c r="F1713" s="3" t="s">
        <v>48</v>
      </c>
      <c r="G1713" s="3" t="s">
        <v>295</v>
      </c>
      <c r="H1713" s="2" t="s">
        <v>21</v>
      </c>
      <c r="I1713" s="2" t="s">
        <v>3814</v>
      </c>
      <c r="J1713" s="3" t="str">
        <f>HYPERLINK("https://www.boe.es/gazeta/dias/1820/01/22/pdfs/GMD-1820-10.pdf#page=8","Abrir facsímil")</f>
        <v>Abrir facsímil</v>
      </c>
      <c r="K1713" s="3" t="s">
        <v>23</v>
      </c>
    </row>
    <row r="1714" spans="1:11" ht="42" customHeight="1">
      <c r="A1714" s="2" t="s">
        <v>3815</v>
      </c>
      <c r="B1714" s="2" t="s">
        <v>3816</v>
      </c>
      <c r="C1714" s="2" t="s">
        <v>17</v>
      </c>
      <c r="D1714" s="2" t="s">
        <v>18</v>
      </c>
      <c r="E1714" s="5">
        <v>-28881</v>
      </c>
      <c r="F1714" s="3" t="s">
        <v>57</v>
      </c>
      <c r="G1714" s="3" t="s">
        <v>20</v>
      </c>
      <c r="H1714" s="2" t="s">
        <v>21</v>
      </c>
      <c r="I1714" s="2" t="s">
        <v>3817</v>
      </c>
      <c r="J1714" s="3" t="str">
        <f>HYPERLINK("https://www.boe.es/gazeta/dias/1820/12/03/pdfs/GGB-1820-160.pdf#page=4","Abrir facsímil")</f>
        <v>Abrir facsímil</v>
      </c>
      <c r="K1714" s="3" t="s">
        <v>23</v>
      </c>
    </row>
    <row r="1715" spans="1:11" ht="42" customHeight="1">
      <c r="A1715" s="2" t="s">
        <v>3818</v>
      </c>
      <c r="B1715" s="2" t="s">
        <v>3819</v>
      </c>
      <c r="C1715" s="2" t="s">
        <v>26</v>
      </c>
      <c r="D1715" s="2" t="s">
        <v>27</v>
      </c>
      <c r="E1715" s="5">
        <v>-28955</v>
      </c>
      <c r="F1715" s="3" t="s">
        <v>175</v>
      </c>
      <c r="G1715" s="3" t="s">
        <v>62</v>
      </c>
      <c r="H1715" s="2" t="s">
        <v>21</v>
      </c>
      <c r="I1715" s="2" t="s">
        <v>3820</v>
      </c>
      <c r="J1715" s="3" t="str">
        <f>HYPERLINK("https://www.boe.es/gazeta/dias/1820/09/20/pdfs/GGB-1820-84.pdf#page=3","Abrir facsímil")</f>
        <v>Abrir facsímil</v>
      </c>
      <c r="K1715" s="3" t="s">
        <v>23</v>
      </c>
    </row>
    <row r="1716" spans="1:11" ht="42" customHeight="1">
      <c r="A1716" s="2" t="s">
        <v>3821</v>
      </c>
      <c r="B1716" s="2" t="s">
        <v>3822</v>
      </c>
      <c r="C1716" s="2" t="s">
        <v>26</v>
      </c>
      <c r="D1716" s="2" t="s">
        <v>27</v>
      </c>
      <c r="E1716" s="5">
        <v>-28950</v>
      </c>
      <c r="F1716" s="3" t="s">
        <v>1052</v>
      </c>
      <c r="G1716" s="3" t="s">
        <v>20</v>
      </c>
      <c r="H1716" s="2" t="s">
        <v>21</v>
      </c>
      <c r="I1716" s="2" t="s">
        <v>3823</v>
      </c>
      <c r="J1716" s="3" t="str">
        <f>HYPERLINK("https://www.boe.es/gazeta/dias/1820/09/25/pdfs/GGB-1820-89.pdf#page=4","Abrir facsímil")</f>
        <v>Abrir facsímil</v>
      </c>
      <c r="K1716" s="3" t="s">
        <v>23</v>
      </c>
    </row>
    <row r="1717" spans="1:11" ht="42" customHeight="1">
      <c r="A1717" s="2" t="s">
        <v>3824</v>
      </c>
      <c r="B1717" s="2" t="s">
        <v>3824</v>
      </c>
      <c r="C1717" s="2" t="s">
        <v>17</v>
      </c>
      <c r="D1717" s="2" t="s">
        <v>18</v>
      </c>
      <c r="E1717" s="5">
        <v>-28884</v>
      </c>
      <c r="F1717" s="3" t="s">
        <v>882</v>
      </c>
      <c r="G1717" s="3" t="s">
        <v>256</v>
      </c>
      <c r="H1717" s="2" t="s">
        <v>21</v>
      </c>
      <c r="I1717" s="2" t="s">
        <v>3825</v>
      </c>
      <c r="J1717" s="3" t="str">
        <f>HYPERLINK("https://www.boe.es/gazeta/dias/1820/11/30/pdfs/GGB-1820-157.pdf#page=5","Abrir facsímil")</f>
        <v>Abrir facsímil</v>
      </c>
      <c r="K1717" s="3" t="s">
        <v>23</v>
      </c>
    </row>
    <row r="1718" spans="1:11" ht="42" customHeight="1">
      <c r="A1718" s="2" t="s">
        <v>3826</v>
      </c>
      <c r="B1718" s="2" t="s">
        <v>3826</v>
      </c>
      <c r="C1718" s="2" t="s">
        <v>35</v>
      </c>
      <c r="D1718" s="2" t="s">
        <v>36</v>
      </c>
      <c r="E1718" s="5">
        <v>-29023</v>
      </c>
      <c r="F1718" s="3" t="s">
        <v>1662</v>
      </c>
      <c r="G1718" s="3" t="s">
        <v>3662</v>
      </c>
      <c r="H1718" s="2" t="s">
        <v>21</v>
      </c>
      <c r="I1718" s="2" t="s">
        <v>3827</v>
      </c>
      <c r="J1718" s="3" t="str">
        <f>HYPERLINK("https://www.boe.es/gazeta/dias/1820/07/14/pdfs/GGB-1820-16.pdf#page=2","Abrir facsímil")</f>
        <v>Abrir facsímil</v>
      </c>
      <c r="K1718" s="3" t="s">
        <v>23</v>
      </c>
    </row>
    <row r="1719" spans="1:11" ht="42" customHeight="1">
      <c r="A1719" s="2" t="s">
        <v>3828</v>
      </c>
      <c r="B1719" s="2" t="s">
        <v>3829</v>
      </c>
      <c r="C1719" s="2" t="s">
        <v>35</v>
      </c>
      <c r="D1719" s="2" t="s">
        <v>36</v>
      </c>
      <c r="E1719" s="5">
        <v>-28962</v>
      </c>
      <c r="F1719" s="3" t="s">
        <v>90</v>
      </c>
      <c r="G1719" s="3" t="s">
        <v>3830</v>
      </c>
      <c r="H1719" s="2" t="s">
        <v>21</v>
      </c>
      <c r="I1719" s="2" t="s">
        <v>3831</v>
      </c>
      <c r="J1719" s="3" t="str">
        <f>HYPERLINK("https://www.boe.es/gazeta/dias/1820/09/13/pdfs/GGB-1820-77.pdf#page=2","Abrir facsímil")</f>
        <v>Abrir facsímil</v>
      </c>
      <c r="K1719" s="3" t="s">
        <v>23</v>
      </c>
    </row>
    <row r="1720" spans="1:11" ht="42" customHeight="1">
      <c r="A1720" s="2" t="s">
        <v>3832</v>
      </c>
      <c r="B1720" s="2" t="s">
        <v>3832</v>
      </c>
      <c r="C1720" s="2" t="s">
        <v>107</v>
      </c>
      <c r="D1720" s="2" t="s">
        <v>18</v>
      </c>
      <c r="E1720" s="5">
        <v>-28970</v>
      </c>
      <c r="F1720" s="3" t="s">
        <v>693</v>
      </c>
      <c r="G1720" s="3" t="s">
        <v>43</v>
      </c>
      <c r="H1720" s="2" t="s">
        <v>21</v>
      </c>
      <c r="I1720" s="2" t="s">
        <v>3833</v>
      </c>
      <c r="J1720" s="3" t="str">
        <f>HYPERLINK("https://www.boe.es/gazeta/dias/1820/09/05/pdfs/GGB-1820-69.pdf#page=2","Abrir facsímil")</f>
        <v>Abrir facsímil</v>
      </c>
      <c r="K1720" s="3" t="s">
        <v>23</v>
      </c>
    </row>
    <row r="1721" spans="1:11" ht="42" customHeight="1">
      <c r="A1721" s="2" t="s">
        <v>3834</v>
      </c>
      <c r="B1721" s="2" t="s">
        <v>3835</v>
      </c>
      <c r="C1721" s="2" t="s">
        <v>35</v>
      </c>
      <c r="D1721" s="2" t="s">
        <v>36</v>
      </c>
      <c r="E1721" s="5">
        <v>-28957</v>
      </c>
      <c r="F1721" s="3" t="s">
        <v>361</v>
      </c>
      <c r="G1721" s="3" t="s">
        <v>62</v>
      </c>
      <c r="H1721" s="2" t="s">
        <v>21</v>
      </c>
      <c r="I1721" s="2" t="s">
        <v>3836</v>
      </c>
      <c r="J1721" s="3" t="str">
        <f>HYPERLINK("https://www.boe.es/gazeta/dias/1820/09/18/pdfs/GGB-1820-82.pdf#page=3","Abrir facsímil")</f>
        <v>Abrir facsímil</v>
      </c>
      <c r="K1721" s="3" t="s">
        <v>23</v>
      </c>
    </row>
    <row r="1722" spans="1:11" ht="42" customHeight="1">
      <c r="A1722" s="2" t="s">
        <v>3837</v>
      </c>
      <c r="B1722" s="2" t="s">
        <v>3838</v>
      </c>
      <c r="C1722" s="2" t="s">
        <v>74</v>
      </c>
      <c r="D1722" s="2" t="s">
        <v>18</v>
      </c>
      <c r="E1722" s="5">
        <v>-29018</v>
      </c>
      <c r="F1722" s="3" t="s">
        <v>601</v>
      </c>
      <c r="G1722" s="3" t="s">
        <v>43</v>
      </c>
      <c r="H1722" s="2" t="s">
        <v>21</v>
      </c>
      <c r="I1722" s="2" t="s">
        <v>3839</v>
      </c>
      <c r="J1722" s="3" t="str">
        <f>HYPERLINK("https://www.boe.es/gazeta/dias/1820/07/19/pdfs/GGB-1820-21.pdf#page=2","Abrir facsímil")</f>
        <v>Abrir facsímil</v>
      </c>
      <c r="K1722" s="3" t="s">
        <v>23</v>
      </c>
    </row>
    <row r="1723" spans="1:11" ht="42" customHeight="1">
      <c r="A1723" s="2" t="s">
        <v>3837</v>
      </c>
      <c r="B1723" s="2" t="s">
        <v>3838</v>
      </c>
      <c r="C1723" s="2" t="s">
        <v>35</v>
      </c>
      <c r="D1723" s="2" t="s">
        <v>36</v>
      </c>
      <c r="E1723" s="5">
        <v>-28933</v>
      </c>
      <c r="F1723" s="3" t="s">
        <v>720</v>
      </c>
      <c r="G1723" s="3" t="s">
        <v>20</v>
      </c>
      <c r="H1723" s="2" t="s">
        <v>21</v>
      </c>
      <c r="I1723" s="2" t="s">
        <v>3840</v>
      </c>
      <c r="J1723" s="3" t="str">
        <f>HYPERLINK("https://www.boe.es/gazeta/dias/1820/10/12/pdfs/GGB-1820-106.pdf#page=4","Abrir facsímil")</f>
        <v>Abrir facsímil</v>
      </c>
      <c r="K1723" s="3" t="s">
        <v>23</v>
      </c>
    </row>
    <row r="1724" spans="1:11" ht="42" customHeight="1">
      <c r="A1724" s="2" t="s">
        <v>3841</v>
      </c>
      <c r="B1724" s="2" t="s">
        <v>3841</v>
      </c>
      <c r="C1724" s="2" t="s">
        <v>17</v>
      </c>
      <c r="D1724" s="2" t="s">
        <v>18</v>
      </c>
      <c r="E1724" s="5">
        <v>-28970</v>
      </c>
      <c r="F1724" s="3" t="s">
        <v>693</v>
      </c>
      <c r="G1724" s="3" t="s">
        <v>43</v>
      </c>
      <c r="H1724" s="2" t="s">
        <v>21</v>
      </c>
      <c r="I1724" s="2" t="s">
        <v>3842</v>
      </c>
      <c r="J1724" s="3" t="str">
        <f>HYPERLINK("https://www.boe.es/gazeta/dias/1820/09/05/pdfs/GGB-1820-69.pdf#page=2","Abrir facsímil")</f>
        <v>Abrir facsímil</v>
      </c>
      <c r="K1724" s="3" t="s">
        <v>23</v>
      </c>
    </row>
    <row r="1725" spans="1:11" ht="42" customHeight="1">
      <c r="A1725" s="2" t="s">
        <v>3843</v>
      </c>
      <c r="B1725" s="2" t="s">
        <v>3844</v>
      </c>
      <c r="C1725" s="2" t="s">
        <v>35</v>
      </c>
      <c r="D1725" s="2" t="s">
        <v>36</v>
      </c>
      <c r="E1725" s="5">
        <v>-28970</v>
      </c>
      <c r="F1725" s="3" t="s">
        <v>693</v>
      </c>
      <c r="G1725" s="3" t="s">
        <v>43</v>
      </c>
      <c r="H1725" s="2" t="s">
        <v>21</v>
      </c>
      <c r="I1725" s="2" t="s">
        <v>3845</v>
      </c>
      <c r="J1725" s="3" t="str">
        <f>HYPERLINK("https://www.boe.es/gazeta/dias/1820/09/05/pdfs/GGB-1820-69.pdf#page=2","Abrir facsímil")</f>
        <v>Abrir facsímil</v>
      </c>
      <c r="K1725" s="3" t="s">
        <v>23</v>
      </c>
    </row>
    <row r="1726" spans="1:11" ht="42" customHeight="1">
      <c r="A1726" s="2" t="s">
        <v>3846</v>
      </c>
      <c r="B1726" s="2" t="s">
        <v>3847</v>
      </c>
      <c r="C1726" s="2" t="s">
        <v>26</v>
      </c>
      <c r="D1726" s="2" t="s">
        <v>27</v>
      </c>
      <c r="E1726" s="5">
        <v>-28875</v>
      </c>
      <c r="F1726" s="3" t="s">
        <v>2737</v>
      </c>
      <c r="G1726" s="3" t="s">
        <v>62</v>
      </c>
      <c r="H1726" s="2" t="s">
        <v>21</v>
      </c>
      <c r="I1726" s="2" t="s">
        <v>3848</v>
      </c>
      <c r="J1726" s="3" t="str">
        <f>HYPERLINK("https://www.boe.es/gazeta/dias/1820/12/09/pdfs/GGB-1820-166.pdf#page=3","Abrir facsímil")</f>
        <v>Abrir facsímil</v>
      </c>
      <c r="K1726" s="3" t="s">
        <v>23</v>
      </c>
    </row>
    <row r="1727" spans="1:11" ht="42" customHeight="1">
      <c r="A1727" s="2" t="s">
        <v>3849</v>
      </c>
      <c r="B1727" s="2" t="s">
        <v>3850</v>
      </c>
      <c r="C1727" s="2" t="s">
        <v>35</v>
      </c>
      <c r="D1727" s="2" t="s">
        <v>36</v>
      </c>
      <c r="E1727" s="5">
        <v>-28944</v>
      </c>
      <c r="F1727" s="3" t="s">
        <v>990</v>
      </c>
      <c r="G1727" s="3" t="s">
        <v>1548</v>
      </c>
      <c r="H1727" s="2" t="s">
        <v>21</v>
      </c>
      <c r="I1727" s="2" t="s">
        <v>3851</v>
      </c>
      <c r="J1727" s="3" t="str">
        <f>HYPERLINK("https://www.boe.es/gazeta/dias/1820/10/01/pdfs/GGB-1820-95.pdf#page=2","Abrir facsímil")</f>
        <v>Abrir facsímil</v>
      </c>
      <c r="K1727" s="3" t="s">
        <v>23</v>
      </c>
    </row>
    <row r="1728" spans="1:11" ht="42" customHeight="1">
      <c r="A1728" s="2" t="s">
        <v>3852</v>
      </c>
      <c r="B1728" s="2" t="s">
        <v>3852</v>
      </c>
      <c r="C1728" s="2" t="s">
        <v>26</v>
      </c>
      <c r="D1728" s="2" t="s">
        <v>27</v>
      </c>
      <c r="E1728" s="5">
        <v>-29211</v>
      </c>
      <c r="F1728" s="3" t="s">
        <v>578</v>
      </c>
      <c r="G1728" s="3" t="s">
        <v>20</v>
      </c>
      <c r="H1728" s="2" t="s">
        <v>21</v>
      </c>
      <c r="I1728" s="2" t="s">
        <v>3853</v>
      </c>
      <c r="J1728" s="3" t="str">
        <f>HYPERLINK("https://www.boe.es/gazeta/dias/1820/01/08/pdfs/GMD-1820-4.pdf#page=4","Abrir facsímil")</f>
        <v>Abrir facsímil</v>
      </c>
      <c r="K1728" s="3" t="s">
        <v>23</v>
      </c>
    </row>
    <row r="1729" spans="1:11" ht="42" customHeight="1">
      <c r="A1729" s="2" t="s">
        <v>3854</v>
      </c>
      <c r="B1729" s="2" t="s">
        <v>3855</v>
      </c>
      <c r="C1729" s="2" t="s">
        <v>74</v>
      </c>
      <c r="D1729" s="2" t="s">
        <v>18</v>
      </c>
      <c r="E1729" s="5">
        <v>-28950</v>
      </c>
      <c r="F1729" s="3" t="s">
        <v>1052</v>
      </c>
      <c r="G1729" s="3" t="s">
        <v>62</v>
      </c>
      <c r="H1729" s="2" t="s">
        <v>21</v>
      </c>
      <c r="I1729" s="2" t="s">
        <v>3856</v>
      </c>
      <c r="J1729" s="3" t="str">
        <f>HYPERLINK("https://www.boe.es/gazeta/dias/1820/09/25/pdfs/GGB-1820-89.pdf#page=3","Abrir facsímil")</f>
        <v>Abrir facsímil</v>
      </c>
      <c r="K1729" s="3" t="s">
        <v>23</v>
      </c>
    </row>
    <row r="1730" spans="1:11" ht="42" customHeight="1">
      <c r="A1730" s="2" t="s">
        <v>3857</v>
      </c>
      <c r="B1730" s="2" t="s">
        <v>3858</v>
      </c>
      <c r="C1730" s="2" t="s">
        <v>111</v>
      </c>
      <c r="D1730" s="2" t="s">
        <v>18</v>
      </c>
      <c r="E1730" s="5">
        <v>-28897</v>
      </c>
      <c r="F1730" s="3" t="s">
        <v>1935</v>
      </c>
      <c r="G1730" s="3" t="s">
        <v>1967</v>
      </c>
      <c r="H1730" s="2" t="s">
        <v>21</v>
      </c>
      <c r="I1730" s="2" t="s">
        <v>3859</v>
      </c>
      <c r="J1730" s="3" t="str">
        <f>HYPERLINK("https://www.boe.es/gazeta/dias/1820/11/17/pdfs/GGB-1820-143.pdf#page=4","Abrir facsímil")</f>
        <v>Abrir facsímil</v>
      </c>
      <c r="K1730" s="3" t="s">
        <v>23</v>
      </c>
    </row>
    <row r="1731" spans="1:11" ht="42" customHeight="1">
      <c r="A1731" s="2" t="s">
        <v>3860</v>
      </c>
      <c r="B1731" s="2" t="s">
        <v>3861</v>
      </c>
      <c r="C1731" s="2" t="s">
        <v>293</v>
      </c>
      <c r="D1731" s="2" t="s">
        <v>18</v>
      </c>
      <c r="E1731" s="5">
        <v>-29159</v>
      </c>
      <c r="F1731" s="3" t="s">
        <v>1022</v>
      </c>
      <c r="G1731" s="3" t="s">
        <v>3766</v>
      </c>
      <c r="H1731" s="2" t="s">
        <v>21</v>
      </c>
      <c r="I1731" s="2" t="s">
        <v>3862</v>
      </c>
      <c r="J1731" s="3" t="str">
        <f>HYPERLINK("https://www.boe.es/gazeta/dias/1820/02/29/pdfs/GMD-1820-26.pdf#page=8","Abrir facsímil")</f>
        <v>Abrir facsímil</v>
      </c>
      <c r="K1731" s="3" t="s">
        <v>23</v>
      </c>
    </row>
    <row r="1732" spans="1:11" ht="42" customHeight="1">
      <c r="A1732" s="2" t="s">
        <v>3863</v>
      </c>
      <c r="B1732" s="2" t="s">
        <v>3863</v>
      </c>
      <c r="C1732" s="2" t="s">
        <v>47</v>
      </c>
      <c r="D1732" s="2" t="s">
        <v>18</v>
      </c>
      <c r="E1732" s="5">
        <v>-29007</v>
      </c>
      <c r="F1732" s="3" t="s">
        <v>251</v>
      </c>
      <c r="G1732" s="3" t="s">
        <v>20</v>
      </c>
      <c r="H1732" s="2" t="s">
        <v>21</v>
      </c>
      <c r="I1732" s="2" t="s">
        <v>3864</v>
      </c>
      <c r="J1732" s="3" t="str">
        <f>HYPERLINK("https://www.boe.es/gazeta/dias/1820/07/30/pdfs/GGB-1820-32.pdf#page=4","Abrir facsímil")</f>
        <v>Abrir facsímil</v>
      </c>
      <c r="K1732" s="3" t="s">
        <v>23</v>
      </c>
    </row>
    <row r="1733" spans="1:11" ht="42" customHeight="1">
      <c r="A1733" s="2" t="s">
        <v>3863</v>
      </c>
      <c r="B1733" s="2" t="s">
        <v>3863</v>
      </c>
      <c r="C1733" s="2" t="s">
        <v>74</v>
      </c>
      <c r="D1733" s="2" t="s">
        <v>18</v>
      </c>
      <c r="E1733" s="5">
        <v>-28986</v>
      </c>
      <c r="F1733" s="3" t="s">
        <v>488</v>
      </c>
      <c r="G1733" s="3" t="s">
        <v>62</v>
      </c>
      <c r="H1733" s="2" t="s">
        <v>21</v>
      </c>
      <c r="I1733" s="2" t="s">
        <v>3865</v>
      </c>
      <c r="J1733" s="3" t="str">
        <f>HYPERLINK("https://www.boe.es/gazeta/dias/1820/08/20/pdfs/GGB-1820-53.pdf#page=3","Abrir facsímil")</f>
        <v>Abrir facsímil</v>
      </c>
      <c r="K1733" s="3" t="s">
        <v>23</v>
      </c>
    </row>
    <row r="1734" spans="1:11" ht="42" customHeight="1">
      <c r="A1734" s="2" t="s">
        <v>3863</v>
      </c>
      <c r="B1734" s="2" t="s">
        <v>3863</v>
      </c>
      <c r="C1734" s="2" t="s">
        <v>17</v>
      </c>
      <c r="D1734" s="2" t="s">
        <v>18</v>
      </c>
      <c r="E1734" s="5">
        <v>-28971</v>
      </c>
      <c r="F1734" s="3" t="s">
        <v>691</v>
      </c>
      <c r="G1734" s="3" t="s">
        <v>62</v>
      </c>
      <c r="H1734" s="2" t="s">
        <v>21</v>
      </c>
      <c r="I1734" s="2" t="s">
        <v>3866</v>
      </c>
      <c r="J1734" s="3" t="str">
        <f>HYPERLINK("https://www.boe.es/gazeta/dias/1820/09/04/pdfs/GGB-1820-68.pdf#page=3","Abrir facsímil")</f>
        <v>Abrir facsímil</v>
      </c>
      <c r="K1734" s="3" t="s">
        <v>23</v>
      </c>
    </row>
    <row r="1735" spans="1:11" ht="42" customHeight="1">
      <c r="A1735" s="2" t="s">
        <v>3863</v>
      </c>
      <c r="B1735" s="2" t="s">
        <v>3863</v>
      </c>
      <c r="C1735" s="2" t="s">
        <v>35</v>
      </c>
      <c r="D1735" s="2" t="s">
        <v>36</v>
      </c>
      <c r="E1735" s="5">
        <v>-28954</v>
      </c>
      <c r="F1735" s="3" t="s">
        <v>28</v>
      </c>
      <c r="G1735" s="3" t="s">
        <v>20</v>
      </c>
      <c r="H1735" s="2" t="s">
        <v>21</v>
      </c>
      <c r="I1735" s="2" t="s">
        <v>3867</v>
      </c>
      <c r="J1735" s="3" t="str">
        <f>HYPERLINK("https://www.boe.es/gazeta/dias/1820/09/21/pdfs/GGB-1820-85.pdf#page=4","Abrir facsímil")</f>
        <v>Abrir facsímil</v>
      </c>
      <c r="K1735" s="3" t="s">
        <v>23</v>
      </c>
    </row>
    <row r="1736" spans="1:11" ht="42" customHeight="1">
      <c r="A1736" s="2" t="s">
        <v>3863</v>
      </c>
      <c r="B1736" s="2" t="s">
        <v>3863</v>
      </c>
      <c r="C1736" s="2" t="s">
        <v>74</v>
      </c>
      <c r="D1736" s="2" t="s">
        <v>18</v>
      </c>
      <c r="E1736" s="5">
        <v>-28953</v>
      </c>
      <c r="F1736" s="3" t="s">
        <v>367</v>
      </c>
      <c r="G1736" s="3" t="s">
        <v>62</v>
      </c>
      <c r="H1736" s="2" t="s">
        <v>21</v>
      </c>
      <c r="I1736" s="2" t="s">
        <v>3868</v>
      </c>
      <c r="J1736" s="3" t="str">
        <f>HYPERLINK("https://www.boe.es/gazeta/dias/1820/09/22/pdfs/GGB-1820-86.pdf#page=3","Abrir facsímil")</f>
        <v>Abrir facsímil</v>
      </c>
      <c r="K1736" s="3" t="s">
        <v>23</v>
      </c>
    </row>
    <row r="1737" spans="1:11" ht="42" customHeight="1">
      <c r="A1737" s="2" t="s">
        <v>3863</v>
      </c>
      <c r="B1737" s="2" t="s">
        <v>3863</v>
      </c>
      <c r="C1737" s="2" t="s">
        <v>111</v>
      </c>
      <c r="D1737" s="2" t="s">
        <v>18</v>
      </c>
      <c r="E1737" s="5">
        <v>-28952</v>
      </c>
      <c r="F1737" s="3" t="s">
        <v>370</v>
      </c>
      <c r="G1737" s="3" t="s">
        <v>43</v>
      </c>
      <c r="H1737" s="2" t="s">
        <v>21</v>
      </c>
      <c r="I1737" s="2" t="s">
        <v>3869</v>
      </c>
      <c r="J1737" s="3" t="str">
        <f>HYPERLINK("https://www.boe.es/gazeta/dias/1820/09/23/pdfs/GGB-1820-87.pdf#page=2","Abrir facsímil")</f>
        <v>Abrir facsímil</v>
      </c>
      <c r="K1737" s="3" t="s">
        <v>23</v>
      </c>
    </row>
    <row r="1738" spans="1:11" ht="42" customHeight="1">
      <c r="A1738" s="2" t="s">
        <v>3863</v>
      </c>
      <c r="B1738" s="2" t="s">
        <v>3863</v>
      </c>
      <c r="C1738" s="2" t="s">
        <v>26</v>
      </c>
      <c r="D1738" s="2" t="s">
        <v>27</v>
      </c>
      <c r="E1738" s="5">
        <v>-28950</v>
      </c>
      <c r="F1738" s="3" t="s">
        <v>1052</v>
      </c>
      <c r="G1738" s="3" t="s">
        <v>1372</v>
      </c>
      <c r="H1738" s="2" t="s">
        <v>21</v>
      </c>
      <c r="I1738" s="2" t="s">
        <v>3870</v>
      </c>
      <c r="J1738" s="3" t="str">
        <f>HYPERLINK("https://www.boe.es/gazeta/dias/1820/09/25/pdfs/GGB-1820-89.pdf#page=2","Abrir facsímil")</f>
        <v>Abrir facsímil</v>
      </c>
      <c r="K1738" s="3" t="s">
        <v>23</v>
      </c>
    </row>
    <row r="1739" spans="1:11" ht="42" customHeight="1">
      <c r="A1739" s="2" t="s">
        <v>3863</v>
      </c>
      <c r="B1739" s="2" t="s">
        <v>3863</v>
      </c>
      <c r="C1739" s="2" t="s">
        <v>74</v>
      </c>
      <c r="D1739" s="2" t="s">
        <v>18</v>
      </c>
      <c r="E1739" s="5">
        <v>-28940</v>
      </c>
      <c r="F1739" s="3" t="s">
        <v>141</v>
      </c>
      <c r="G1739" s="3" t="s">
        <v>142</v>
      </c>
      <c r="H1739" s="2" t="s">
        <v>21</v>
      </c>
      <c r="I1739" s="2" t="s">
        <v>3871</v>
      </c>
      <c r="J1739" s="3" t="str">
        <f>HYPERLINK("https://www.boe.es/gazeta/dias/1820/10/05/pdfs/GGB-1820-99.pdf#page=4","Abrir facsímil")</f>
        <v>Abrir facsímil</v>
      </c>
      <c r="K1739" s="3" t="s">
        <v>23</v>
      </c>
    </row>
    <row r="1740" spans="1:11" ht="42" customHeight="1">
      <c r="A1740" s="2" t="s">
        <v>3863</v>
      </c>
      <c r="B1740" s="2" t="s">
        <v>3863</v>
      </c>
      <c r="C1740" s="2" t="s">
        <v>17</v>
      </c>
      <c r="D1740" s="2" t="s">
        <v>18</v>
      </c>
      <c r="E1740" s="5">
        <v>-28939</v>
      </c>
      <c r="F1740" s="3" t="s">
        <v>992</v>
      </c>
      <c r="G1740" s="3" t="s">
        <v>62</v>
      </c>
      <c r="H1740" s="2" t="s">
        <v>21</v>
      </c>
      <c r="I1740" s="2" t="s">
        <v>3872</v>
      </c>
      <c r="J1740" s="3" t="str">
        <f>HYPERLINK("https://www.boe.es/gazeta/dias/1820/10/06/pdfs/GGB-1820-100.pdf#page=3","Abrir facsímil")</f>
        <v>Abrir facsímil</v>
      </c>
      <c r="K1740" s="3" t="s">
        <v>23</v>
      </c>
    </row>
    <row r="1741" spans="1:11" ht="42" customHeight="1">
      <c r="A1741" s="2" t="s">
        <v>3863</v>
      </c>
      <c r="B1741" s="2" t="s">
        <v>3863</v>
      </c>
      <c r="C1741" s="2" t="s">
        <v>26</v>
      </c>
      <c r="D1741" s="2" t="s">
        <v>27</v>
      </c>
      <c r="E1741" s="5">
        <v>-28936</v>
      </c>
      <c r="F1741" s="3" t="s">
        <v>167</v>
      </c>
      <c r="G1741" s="3" t="s">
        <v>20</v>
      </c>
      <c r="H1741" s="2" t="s">
        <v>21</v>
      </c>
      <c r="I1741" s="2" t="s">
        <v>3873</v>
      </c>
      <c r="J1741" s="3" t="str">
        <f>HYPERLINK("https://www.boe.es/gazeta/dias/1820/10/09/pdfs/GGB-1820-103.pdf#page=4","Abrir facsímil")</f>
        <v>Abrir facsímil</v>
      </c>
      <c r="K1741" s="3" t="s">
        <v>23</v>
      </c>
    </row>
    <row r="1742" spans="1:11" ht="42" customHeight="1">
      <c r="A1742" s="2" t="s">
        <v>3863</v>
      </c>
      <c r="B1742" s="2" t="s">
        <v>3863</v>
      </c>
      <c r="C1742" s="2" t="s">
        <v>107</v>
      </c>
      <c r="D1742" s="2" t="s">
        <v>18</v>
      </c>
      <c r="E1742" s="5">
        <v>-28920</v>
      </c>
      <c r="F1742" s="3" t="s">
        <v>399</v>
      </c>
      <c r="G1742" s="3" t="s">
        <v>20</v>
      </c>
      <c r="H1742" s="2" t="s">
        <v>21</v>
      </c>
      <c r="I1742" s="2" t="s">
        <v>3874</v>
      </c>
      <c r="J1742" s="3" t="str">
        <f>HYPERLINK("https://www.boe.es/gazeta/dias/1820/10/25/pdfs/GGB-1820-119.pdf#page=4","Abrir facsímil")</f>
        <v>Abrir facsímil</v>
      </c>
      <c r="K1742" s="3" t="s">
        <v>23</v>
      </c>
    </row>
    <row r="1743" spans="1:11" ht="42" customHeight="1">
      <c r="A1743" s="2" t="s">
        <v>3863</v>
      </c>
      <c r="B1743" s="2" t="s">
        <v>3863</v>
      </c>
      <c r="C1743" s="2" t="s">
        <v>35</v>
      </c>
      <c r="D1743" s="2" t="s">
        <v>36</v>
      </c>
      <c r="E1743" s="5">
        <v>-28913</v>
      </c>
      <c r="F1743" s="3" t="s">
        <v>230</v>
      </c>
      <c r="G1743" s="3" t="s">
        <v>62</v>
      </c>
      <c r="H1743" s="2" t="s">
        <v>21</v>
      </c>
      <c r="I1743" s="2" t="s">
        <v>3875</v>
      </c>
      <c r="J1743" s="3" t="str">
        <f>HYPERLINK("https://www.boe.es/gazeta/dias/1820/11/01/pdfs/GGB-1820-126.pdf#page=3","Abrir facsímil")</f>
        <v>Abrir facsímil</v>
      </c>
      <c r="K1743" s="3" t="s">
        <v>23</v>
      </c>
    </row>
    <row r="1744" spans="1:11" ht="42" customHeight="1">
      <c r="A1744" s="2" t="s">
        <v>3876</v>
      </c>
      <c r="B1744" s="2" t="s">
        <v>3877</v>
      </c>
      <c r="C1744" s="2" t="s">
        <v>17</v>
      </c>
      <c r="D1744" s="2" t="s">
        <v>18</v>
      </c>
      <c r="E1744" s="5">
        <v>-28930</v>
      </c>
      <c r="F1744" s="3" t="s">
        <v>372</v>
      </c>
      <c r="G1744" s="3" t="s">
        <v>20</v>
      </c>
      <c r="H1744" s="2" t="s">
        <v>21</v>
      </c>
      <c r="I1744" s="2" t="s">
        <v>3878</v>
      </c>
      <c r="J1744" s="3" t="str">
        <f>HYPERLINK("https://www.boe.es/gazeta/dias/1820/10/15/pdfs/GGB-1820-109.pdf#page=4","Abrir facsímil")</f>
        <v>Abrir facsímil</v>
      </c>
      <c r="K1744" s="3" t="s">
        <v>23</v>
      </c>
    </row>
    <row r="1745" spans="1:11" ht="42" customHeight="1">
      <c r="A1745" s="2" t="s">
        <v>3879</v>
      </c>
      <c r="B1745" s="2" t="s">
        <v>3880</v>
      </c>
      <c r="C1745" s="2" t="s">
        <v>17</v>
      </c>
      <c r="D1745" s="2" t="s">
        <v>18</v>
      </c>
      <c r="E1745" s="5">
        <v>-29192</v>
      </c>
      <c r="F1745" s="3" t="s">
        <v>497</v>
      </c>
      <c r="G1745" s="3" t="s">
        <v>295</v>
      </c>
      <c r="H1745" s="2" t="s">
        <v>21</v>
      </c>
      <c r="I1745" s="2" t="s">
        <v>3881</v>
      </c>
      <c r="J1745" s="3" t="str">
        <f>HYPERLINK("https://www.boe.es/gazeta/dias/1820/01/27/pdfs/GMD-1820-12.pdf#page=8","Abrir facsímil")</f>
        <v>Abrir facsímil</v>
      </c>
      <c r="K1745" s="3" t="s">
        <v>23</v>
      </c>
    </row>
    <row r="1746" spans="1:11" ht="42" customHeight="1">
      <c r="A1746" s="2" t="s">
        <v>3882</v>
      </c>
      <c r="B1746" s="2" t="s">
        <v>3883</v>
      </c>
      <c r="C1746" s="2" t="s">
        <v>17</v>
      </c>
      <c r="D1746" s="2" t="s">
        <v>18</v>
      </c>
      <c r="E1746" s="5">
        <v>-29131</v>
      </c>
      <c r="F1746" s="3" t="s">
        <v>1193</v>
      </c>
      <c r="G1746" s="3" t="s">
        <v>43</v>
      </c>
      <c r="H1746" s="2" t="s">
        <v>30</v>
      </c>
      <c r="I1746" s="2" t="s">
        <v>3884</v>
      </c>
      <c r="J1746" s="3" t="str">
        <f>HYPERLINK("https://www.boe.es/gazeta/dias/1820/03/28/pdfs/GMD-1820-56.pdf#page=2","Abrir facsímil")</f>
        <v>Abrir facsímil</v>
      </c>
      <c r="K1746" s="3" t="s">
        <v>32</v>
      </c>
    </row>
    <row r="1747" spans="1:11" ht="42" customHeight="1">
      <c r="A1747" s="2" t="s">
        <v>3885</v>
      </c>
      <c r="B1747" s="2" t="s">
        <v>3886</v>
      </c>
      <c r="C1747" s="2" t="s">
        <v>111</v>
      </c>
      <c r="D1747" s="2" t="s">
        <v>18</v>
      </c>
      <c r="E1747" s="5">
        <v>-29115</v>
      </c>
      <c r="F1747" s="3" t="s">
        <v>289</v>
      </c>
      <c r="G1747" s="3" t="s">
        <v>20</v>
      </c>
      <c r="H1747" s="2" t="s">
        <v>21</v>
      </c>
      <c r="I1747" s="2" t="s">
        <v>3887</v>
      </c>
      <c r="J1747" s="3" t="str">
        <f>HYPERLINK("https://www.boe.es/gazeta/dias/1820/04/13/pdfs/GMD-1820-65.pdf#page=4","Abrir facsímil")</f>
        <v>Abrir facsímil</v>
      </c>
      <c r="K1747" s="3" t="s">
        <v>23</v>
      </c>
    </row>
    <row r="1748" spans="1:11" ht="42" customHeight="1">
      <c r="A1748" s="2" t="s">
        <v>3888</v>
      </c>
      <c r="B1748" s="2" t="s">
        <v>3889</v>
      </c>
      <c r="C1748" s="2" t="s">
        <v>35</v>
      </c>
      <c r="D1748" s="2" t="s">
        <v>36</v>
      </c>
      <c r="E1748" s="5">
        <v>-28900</v>
      </c>
      <c r="F1748" s="3" t="s">
        <v>878</v>
      </c>
      <c r="G1748" s="3" t="s">
        <v>20</v>
      </c>
      <c r="H1748" s="2" t="s">
        <v>21</v>
      </c>
      <c r="I1748" s="2" t="s">
        <v>3890</v>
      </c>
      <c r="J1748" s="3" t="str">
        <f>HYPERLINK("https://www.boe.es/gazeta/dias/1820/11/14/pdfs/GGB-1820-140.pdf#page=4","Abrir facsímil")</f>
        <v>Abrir facsímil</v>
      </c>
      <c r="K1748" s="3" t="s">
        <v>23</v>
      </c>
    </row>
    <row r="1749" spans="1:11" ht="42" customHeight="1">
      <c r="A1749" s="2" t="s">
        <v>3891</v>
      </c>
      <c r="B1749" s="2" t="s">
        <v>3892</v>
      </c>
      <c r="C1749" s="2" t="s">
        <v>74</v>
      </c>
      <c r="D1749" s="2" t="s">
        <v>18</v>
      </c>
      <c r="E1749" s="5">
        <v>-28985</v>
      </c>
      <c r="F1749" s="3" t="s">
        <v>905</v>
      </c>
      <c r="G1749" s="3" t="s">
        <v>928</v>
      </c>
      <c r="H1749" s="2" t="s">
        <v>21</v>
      </c>
      <c r="I1749" s="2" t="s">
        <v>3893</v>
      </c>
      <c r="J1749" s="3" t="str">
        <f>HYPERLINK("https://www.boe.es/gazeta/dias/1820/08/21/pdfs/GGB-1820-54.pdf#page=4","Abrir facsímil")</f>
        <v>Abrir facsímil</v>
      </c>
      <c r="K1749" s="3" t="s">
        <v>23</v>
      </c>
    </row>
    <row r="1750" spans="1:11" ht="42" customHeight="1">
      <c r="A1750" s="2" t="s">
        <v>3894</v>
      </c>
      <c r="B1750" s="2" t="s">
        <v>3895</v>
      </c>
      <c r="C1750" s="2" t="s">
        <v>293</v>
      </c>
      <c r="D1750" s="2" t="s">
        <v>18</v>
      </c>
      <c r="E1750" s="5">
        <v>-29171</v>
      </c>
      <c r="F1750" s="3" t="s">
        <v>764</v>
      </c>
      <c r="G1750" s="3" t="s">
        <v>3896</v>
      </c>
      <c r="H1750" s="2" t="s">
        <v>21</v>
      </c>
      <c r="I1750" s="2" t="s">
        <v>3897</v>
      </c>
      <c r="J1750" s="3" t="str">
        <f>HYPERLINK("https://www.boe.es/gazeta/dias/1820/02/17/pdfs/GMD-1820-21.pdf#page=6","Abrir facsímil")</f>
        <v>Abrir facsímil</v>
      </c>
      <c r="K1750" s="3" t="s">
        <v>23</v>
      </c>
    </row>
    <row r="1751" spans="1:11" ht="42" customHeight="1">
      <c r="A1751" s="2" t="s">
        <v>3898</v>
      </c>
      <c r="B1751" s="2" t="s">
        <v>3898</v>
      </c>
      <c r="C1751" s="2" t="s">
        <v>74</v>
      </c>
      <c r="D1751" s="2" t="s">
        <v>18</v>
      </c>
      <c r="E1751" s="5">
        <v>-28884</v>
      </c>
      <c r="F1751" s="3" t="s">
        <v>882</v>
      </c>
      <c r="G1751" s="3" t="s">
        <v>128</v>
      </c>
      <c r="H1751" s="2" t="s">
        <v>21</v>
      </c>
      <c r="I1751" s="2" t="s">
        <v>3899</v>
      </c>
      <c r="J1751" s="3" t="str">
        <f>HYPERLINK("https://www.boe.es/gazeta/dias/1820/11/30/pdfs/GGB-1820-157.pdf#page=1","Abrir facsímil")</f>
        <v>Abrir facsímil</v>
      </c>
      <c r="K1751" s="3" t="s">
        <v>23</v>
      </c>
    </row>
    <row r="1752" spans="1:11" ht="42" customHeight="1">
      <c r="A1752" s="2" t="s">
        <v>3900</v>
      </c>
      <c r="B1752" s="2" t="s">
        <v>3901</v>
      </c>
      <c r="C1752" s="2" t="s">
        <v>293</v>
      </c>
      <c r="D1752" s="2" t="s">
        <v>18</v>
      </c>
      <c r="E1752" s="5">
        <v>-28989</v>
      </c>
      <c r="F1752" s="3" t="s">
        <v>809</v>
      </c>
      <c r="G1752" s="3" t="s">
        <v>20</v>
      </c>
      <c r="H1752" s="2" t="s">
        <v>30</v>
      </c>
      <c r="I1752" s="2" t="s">
        <v>3902</v>
      </c>
      <c r="J1752" s="3" t="str">
        <f>HYPERLINK("https://www.boe.es/gazeta/dias/1820/08/17/pdfs/GGB-1820-50.pdf#page=4","Abrir facsímil")</f>
        <v>Abrir facsímil</v>
      </c>
      <c r="K1752" s="3" t="s">
        <v>32</v>
      </c>
    </row>
    <row r="1753" spans="1:11" ht="42" customHeight="1">
      <c r="A1753" s="2" t="s">
        <v>3903</v>
      </c>
      <c r="B1753" s="2" t="s">
        <v>3904</v>
      </c>
      <c r="C1753" s="2" t="s">
        <v>17</v>
      </c>
      <c r="D1753" s="2" t="s">
        <v>18</v>
      </c>
      <c r="E1753" s="5">
        <v>-29215</v>
      </c>
      <c r="F1753" s="3" t="s">
        <v>827</v>
      </c>
      <c r="G1753" s="3" t="s">
        <v>461</v>
      </c>
      <c r="H1753" s="2" t="s">
        <v>30</v>
      </c>
      <c r="I1753" s="2" t="s">
        <v>3905</v>
      </c>
      <c r="J1753" s="3" t="str">
        <f>HYPERLINK("https://www.boe.es/gazeta/dias/1820/01/04/pdfs/GMD-1820-2.pdf#page=6","Abrir facsímil")</f>
        <v>Abrir facsímil</v>
      </c>
      <c r="K1753" s="3" t="s">
        <v>32</v>
      </c>
    </row>
    <row r="1754" spans="1:11" ht="42" customHeight="1">
      <c r="A1754" s="2" t="s">
        <v>3906</v>
      </c>
      <c r="B1754" s="2" t="s">
        <v>3907</v>
      </c>
      <c r="C1754" s="2" t="s">
        <v>26</v>
      </c>
      <c r="D1754" s="2" t="s">
        <v>27</v>
      </c>
      <c r="E1754" s="5">
        <v>-29011</v>
      </c>
      <c r="F1754" s="3" t="s">
        <v>338</v>
      </c>
      <c r="G1754" s="3" t="s">
        <v>20</v>
      </c>
      <c r="H1754" s="2" t="s">
        <v>30</v>
      </c>
      <c r="I1754" s="2" t="s">
        <v>3908</v>
      </c>
      <c r="J1754" s="3" t="str">
        <f>HYPERLINK("https://www.boe.es/gazeta/dias/1820/07/26/pdfs/GGB-1820-28.pdf#page=4","Abrir facsímil")</f>
        <v>Abrir facsímil</v>
      </c>
      <c r="K1754" s="3" t="s">
        <v>32</v>
      </c>
    </row>
    <row r="1755" spans="1:11" ht="42" customHeight="1">
      <c r="A1755" s="2" t="s">
        <v>3909</v>
      </c>
      <c r="B1755" s="2" t="s">
        <v>3910</v>
      </c>
      <c r="C1755" s="2" t="s">
        <v>26</v>
      </c>
      <c r="D1755" s="2" t="s">
        <v>27</v>
      </c>
      <c r="E1755" s="5">
        <v>-29040</v>
      </c>
      <c r="F1755" s="3" t="s">
        <v>1125</v>
      </c>
      <c r="G1755" s="3" t="s">
        <v>201</v>
      </c>
      <c r="H1755" s="2" t="s">
        <v>30</v>
      </c>
      <c r="I1755" s="2" t="s">
        <v>3911</v>
      </c>
      <c r="J1755" s="3" t="str">
        <f>HYPERLINK("https://www.boe.es/gazeta/dias/1820/06/27/pdfs/GMD-1820-99.pdf#page=7","Abrir facsímil")</f>
        <v>Abrir facsímil</v>
      </c>
      <c r="K1755" s="3" t="s">
        <v>32</v>
      </c>
    </row>
    <row r="1756" spans="1:11" ht="42" customHeight="1">
      <c r="A1756" s="2" t="s">
        <v>3912</v>
      </c>
      <c r="B1756" s="2" t="s">
        <v>3913</v>
      </c>
      <c r="C1756" s="2" t="s">
        <v>111</v>
      </c>
      <c r="D1756" s="2" t="s">
        <v>18</v>
      </c>
      <c r="E1756" s="5">
        <v>-28989</v>
      </c>
      <c r="F1756" s="3" t="s">
        <v>809</v>
      </c>
      <c r="G1756" s="3" t="s">
        <v>62</v>
      </c>
      <c r="H1756" s="2" t="s">
        <v>30</v>
      </c>
      <c r="I1756" s="2" t="s">
        <v>3914</v>
      </c>
      <c r="J1756" s="3" t="str">
        <f>HYPERLINK("https://www.boe.es/gazeta/dias/1820/08/17/pdfs/GGB-1820-50.pdf#page=3","Abrir facsímil")</f>
        <v>Abrir facsímil</v>
      </c>
      <c r="K1756" s="3" t="s">
        <v>32</v>
      </c>
    </row>
    <row r="1757" spans="1:11" ht="42" customHeight="1">
      <c r="A1757" s="2" t="s">
        <v>3915</v>
      </c>
      <c r="B1757" s="2" t="s">
        <v>3916</v>
      </c>
      <c r="C1757" s="2" t="s">
        <v>26</v>
      </c>
      <c r="D1757" s="2" t="s">
        <v>27</v>
      </c>
      <c r="E1757" s="5">
        <v>-29099</v>
      </c>
      <c r="F1757" s="3" t="s">
        <v>871</v>
      </c>
      <c r="G1757" s="3" t="s">
        <v>295</v>
      </c>
      <c r="H1757" s="2" t="s">
        <v>30</v>
      </c>
      <c r="I1757" s="2" t="s">
        <v>3917</v>
      </c>
      <c r="J1757" s="3" t="str">
        <f>HYPERLINK("https://www.boe.es/gazeta/dias/1820/04/29/pdfs/GMD-1820-73.pdf#page=8","Abrir facsímil")</f>
        <v>Abrir facsímil</v>
      </c>
      <c r="K1757" s="3" t="s">
        <v>32</v>
      </c>
    </row>
    <row r="1758" spans="1:11" ht="42" customHeight="1">
      <c r="A1758" s="2" t="s">
        <v>3918</v>
      </c>
      <c r="B1758" s="2" t="s">
        <v>3919</v>
      </c>
      <c r="C1758" s="2" t="s">
        <v>26</v>
      </c>
      <c r="D1758" s="2" t="s">
        <v>27</v>
      </c>
      <c r="E1758" s="5">
        <v>-29211</v>
      </c>
      <c r="F1758" s="3" t="s">
        <v>578</v>
      </c>
      <c r="G1758" s="3" t="s">
        <v>256</v>
      </c>
      <c r="H1758" s="2" t="s">
        <v>30</v>
      </c>
      <c r="I1758" s="2" t="s">
        <v>3920</v>
      </c>
      <c r="J1758" s="3" t="str">
        <f>HYPERLINK("https://www.boe.es/gazeta/dias/1820/01/08/pdfs/GMD-1820-4.pdf#page=5","Abrir facsímil")</f>
        <v>Abrir facsímil</v>
      </c>
      <c r="K1758" s="3" t="s">
        <v>32</v>
      </c>
    </row>
    <row r="1759" spans="1:11" ht="42" customHeight="1">
      <c r="A1759" s="2" t="s">
        <v>3921</v>
      </c>
      <c r="B1759" s="2" t="s">
        <v>3922</v>
      </c>
      <c r="C1759" s="2" t="s">
        <v>17</v>
      </c>
      <c r="D1759" s="2" t="s">
        <v>18</v>
      </c>
      <c r="E1759" s="5">
        <v>-28901</v>
      </c>
      <c r="F1759" s="3" t="s">
        <v>1492</v>
      </c>
      <c r="G1759" s="3" t="s">
        <v>20</v>
      </c>
      <c r="H1759" s="2" t="s">
        <v>30</v>
      </c>
      <c r="I1759" s="2" t="s">
        <v>3923</v>
      </c>
      <c r="J1759" s="3" t="str">
        <f>HYPERLINK("https://www.boe.es/gazeta/dias/1820/11/13/pdfs/GGB-1820-139.pdf#page=4","Abrir facsímil")</f>
        <v>Abrir facsímil</v>
      </c>
      <c r="K1759" s="3" t="s">
        <v>32</v>
      </c>
    </row>
    <row r="1760" spans="1:11" ht="42" customHeight="1">
      <c r="A1760" s="2" t="s">
        <v>3924</v>
      </c>
      <c r="B1760" s="2" t="s">
        <v>3925</v>
      </c>
      <c r="C1760" s="2" t="s">
        <v>26</v>
      </c>
      <c r="D1760" s="2" t="s">
        <v>27</v>
      </c>
      <c r="E1760" s="5">
        <v>-29204</v>
      </c>
      <c r="F1760" s="3" t="s">
        <v>753</v>
      </c>
      <c r="G1760" s="3" t="s">
        <v>38</v>
      </c>
      <c r="H1760" s="2" t="s">
        <v>30</v>
      </c>
      <c r="I1760" s="2" t="s">
        <v>3926</v>
      </c>
      <c r="J1760" s="3" t="str">
        <f>HYPERLINK("https://www.boe.es/gazeta/dias/1820/01/15/pdfs/GMD-1820-7.pdf#page=6","Abrir facsímil")</f>
        <v>Abrir facsímil</v>
      </c>
      <c r="K1760" s="3" t="s">
        <v>32</v>
      </c>
    </row>
    <row r="1761" spans="1:11" ht="42" customHeight="1">
      <c r="A1761" s="2" t="s">
        <v>3927</v>
      </c>
      <c r="B1761" s="2" t="s">
        <v>3927</v>
      </c>
      <c r="C1761" s="2" t="s">
        <v>111</v>
      </c>
      <c r="D1761" s="2" t="s">
        <v>18</v>
      </c>
      <c r="E1761" s="5">
        <v>-29022</v>
      </c>
      <c r="F1761" s="3" t="s">
        <v>1310</v>
      </c>
      <c r="G1761" s="3" t="s">
        <v>128</v>
      </c>
      <c r="H1761" s="2" t="s">
        <v>21</v>
      </c>
      <c r="I1761" s="2" t="s">
        <v>3928</v>
      </c>
      <c r="J1761" s="3" t="str">
        <f>HYPERLINK("https://www.boe.es/gazeta/dias/1820/07/15/pdfs/GGB-1820-17.pdf#page=1","Abrir facsímil")</f>
        <v>Abrir facsímil</v>
      </c>
      <c r="K1761" s="3" t="s">
        <v>23</v>
      </c>
    </row>
    <row r="1762" spans="1:11" ht="42" customHeight="1">
      <c r="A1762" s="2" t="s">
        <v>3927</v>
      </c>
      <c r="B1762" s="2" t="s">
        <v>3927</v>
      </c>
      <c r="C1762" s="2" t="s">
        <v>47</v>
      </c>
      <c r="D1762" s="2" t="s">
        <v>18</v>
      </c>
      <c r="E1762" s="5">
        <v>-29012</v>
      </c>
      <c r="F1762" s="3" t="s">
        <v>72</v>
      </c>
      <c r="G1762" s="3" t="s">
        <v>128</v>
      </c>
      <c r="H1762" s="2" t="s">
        <v>21</v>
      </c>
      <c r="I1762" s="2" t="s">
        <v>3929</v>
      </c>
      <c r="J1762" s="3" t="str">
        <f>HYPERLINK("https://www.boe.es/gazeta/dias/1820/07/25/pdfs/GGB-1820-27.pdf#page=1","Abrir facsímil")</f>
        <v>Abrir facsímil</v>
      </c>
      <c r="K1762" s="3" t="s">
        <v>23</v>
      </c>
    </row>
    <row r="1763" spans="1:11" ht="42" customHeight="1">
      <c r="A1763" s="2" t="s">
        <v>3927</v>
      </c>
      <c r="B1763" s="2" t="s">
        <v>3927</v>
      </c>
      <c r="C1763" s="2" t="s">
        <v>26</v>
      </c>
      <c r="D1763" s="2" t="s">
        <v>27</v>
      </c>
      <c r="E1763" s="5">
        <v>-28893</v>
      </c>
      <c r="F1763" s="3" t="s">
        <v>546</v>
      </c>
      <c r="G1763" s="3" t="s">
        <v>20</v>
      </c>
      <c r="H1763" s="2" t="s">
        <v>21</v>
      </c>
      <c r="I1763" s="2" t="s">
        <v>3930</v>
      </c>
      <c r="J1763" s="3" t="str">
        <f>HYPERLINK("https://www.boe.es/gazeta/dias/1820/11/21/pdfs/GGB-1820-148.pdf#page=4","Abrir facsímil")</f>
        <v>Abrir facsímil</v>
      </c>
      <c r="K1763" s="3" t="s">
        <v>23</v>
      </c>
    </row>
    <row r="1764" spans="1:11" ht="42" customHeight="1">
      <c r="A1764" s="2" t="s">
        <v>3927</v>
      </c>
      <c r="B1764" s="2" t="s">
        <v>3927</v>
      </c>
      <c r="C1764" s="2" t="s">
        <v>17</v>
      </c>
      <c r="D1764" s="2" t="s">
        <v>18</v>
      </c>
      <c r="E1764" s="5">
        <v>-28888</v>
      </c>
      <c r="F1764" s="3" t="s">
        <v>112</v>
      </c>
      <c r="G1764" s="3" t="s">
        <v>3931</v>
      </c>
      <c r="H1764" s="2" t="s">
        <v>21</v>
      </c>
      <c r="I1764" s="2" t="s">
        <v>3932</v>
      </c>
      <c r="J1764" s="3" t="str">
        <f>HYPERLINK("https://www.boe.es/gazeta/dias/1820/11/26/pdfs/GGB-1820-153.pdf#page=2","Abrir facsímil")</f>
        <v>Abrir facsímil</v>
      </c>
      <c r="K1764" s="3" t="s">
        <v>23</v>
      </c>
    </row>
    <row r="1765" spans="1:11" ht="42" customHeight="1">
      <c r="A1765" s="2" t="s">
        <v>3933</v>
      </c>
      <c r="B1765" s="2" t="s">
        <v>3934</v>
      </c>
      <c r="C1765" s="2" t="s">
        <v>26</v>
      </c>
      <c r="D1765" s="2" t="s">
        <v>27</v>
      </c>
      <c r="E1765" s="5">
        <v>-29211</v>
      </c>
      <c r="F1765" s="3" t="s">
        <v>578</v>
      </c>
      <c r="G1765" s="3" t="s">
        <v>201</v>
      </c>
      <c r="H1765" s="2" t="s">
        <v>21</v>
      </c>
      <c r="I1765" s="2" t="s">
        <v>3935</v>
      </c>
      <c r="J1765" s="3" t="str">
        <f>HYPERLINK("https://www.boe.es/gazeta/dias/1820/01/08/pdfs/GMD-1820-4.pdf#page=7","Abrir facsímil")</f>
        <v>Abrir facsímil</v>
      </c>
      <c r="K1765" s="3" t="s">
        <v>23</v>
      </c>
    </row>
    <row r="1766" spans="1:11" ht="42" customHeight="1">
      <c r="A1766" s="2" t="s">
        <v>3936</v>
      </c>
      <c r="B1766" s="2" t="s">
        <v>3936</v>
      </c>
      <c r="C1766" s="2" t="s">
        <v>17</v>
      </c>
      <c r="D1766" s="2" t="s">
        <v>18</v>
      </c>
      <c r="E1766" s="5">
        <v>-28864</v>
      </c>
      <c r="F1766" s="3" t="s">
        <v>1275</v>
      </c>
      <c r="G1766" s="3" t="s">
        <v>38</v>
      </c>
      <c r="H1766" s="2" t="s">
        <v>21</v>
      </c>
      <c r="I1766" s="2" t="s">
        <v>3937</v>
      </c>
      <c r="J1766" s="3" t="str">
        <f>HYPERLINK("https://www.boe.es/gazeta/dias/1820/12/20/pdfs/GGB-1820-177.pdf#page=6","Abrir facsímil")</f>
        <v>Abrir facsímil</v>
      </c>
      <c r="K1766" s="3" t="s">
        <v>23</v>
      </c>
    </row>
    <row r="1767" spans="1:11" ht="42" customHeight="1">
      <c r="A1767" s="2" t="s">
        <v>3938</v>
      </c>
      <c r="B1767" s="2" t="s">
        <v>3938</v>
      </c>
      <c r="C1767" s="2" t="s">
        <v>17</v>
      </c>
      <c r="D1767" s="2" t="s">
        <v>18</v>
      </c>
      <c r="E1767" s="5">
        <v>-28861</v>
      </c>
      <c r="F1767" s="3" t="s">
        <v>894</v>
      </c>
      <c r="G1767" s="3" t="s">
        <v>43</v>
      </c>
      <c r="H1767" s="2" t="s">
        <v>21</v>
      </c>
      <c r="I1767" s="2" t="s">
        <v>3939</v>
      </c>
      <c r="J1767" s="3" t="str">
        <f>HYPERLINK("https://www.boe.es/gazeta/dias/1820/12/23/pdfs/GGB-1820-180.pdf#page=2","Abrir facsímil")</f>
        <v>Abrir facsímil</v>
      </c>
      <c r="K1767" s="3" t="s">
        <v>23</v>
      </c>
    </row>
    <row r="1768" spans="1:11" ht="42" customHeight="1">
      <c r="A1768" s="2" t="s">
        <v>3940</v>
      </c>
      <c r="B1768" s="2" t="s">
        <v>3941</v>
      </c>
      <c r="C1768" s="2" t="s">
        <v>17</v>
      </c>
      <c r="D1768" s="2" t="s">
        <v>18</v>
      </c>
      <c r="E1768" s="5">
        <v>-29007</v>
      </c>
      <c r="F1768" s="3" t="s">
        <v>251</v>
      </c>
      <c r="G1768" s="3" t="s">
        <v>20</v>
      </c>
      <c r="H1768" s="2" t="s">
        <v>21</v>
      </c>
      <c r="I1768" s="2" t="s">
        <v>3942</v>
      </c>
      <c r="J1768" s="3" t="str">
        <f>HYPERLINK("https://www.boe.es/gazeta/dias/1820/07/30/pdfs/GGB-1820-32.pdf#page=4","Abrir facsímil")</f>
        <v>Abrir facsímil</v>
      </c>
      <c r="K1768" s="3" t="s">
        <v>23</v>
      </c>
    </row>
    <row r="1769" spans="1:11" ht="42" customHeight="1">
      <c r="A1769" s="2" t="s">
        <v>3943</v>
      </c>
      <c r="B1769" s="2" t="s">
        <v>3943</v>
      </c>
      <c r="C1769" s="2" t="s">
        <v>111</v>
      </c>
      <c r="D1769" s="2" t="s">
        <v>18</v>
      </c>
      <c r="E1769" s="5">
        <v>-28866</v>
      </c>
      <c r="F1769" s="3" t="s">
        <v>507</v>
      </c>
      <c r="G1769" s="3" t="s">
        <v>128</v>
      </c>
      <c r="H1769" s="2" t="s">
        <v>21</v>
      </c>
      <c r="I1769" s="2" t="s">
        <v>3944</v>
      </c>
      <c r="J1769" s="3" t="str">
        <f>HYPERLINK("https://www.boe.es/gazeta/dias/1820/12/18/pdfs/GGB-1820-175.pdf#page=1","Abrir facsímil")</f>
        <v>Abrir facsímil</v>
      </c>
      <c r="K1769" s="3" t="s">
        <v>23</v>
      </c>
    </row>
    <row r="1770" spans="1:11" ht="42" customHeight="1">
      <c r="A1770" s="2" t="s">
        <v>3945</v>
      </c>
      <c r="B1770" s="2" t="s">
        <v>3945</v>
      </c>
      <c r="C1770" s="2" t="s">
        <v>26</v>
      </c>
      <c r="D1770" s="2" t="s">
        <v>27</v>
      </c>
      <c r="E1770" s="5">
        <v>-29002</v>
      </c>
      <c r="F1770" s="3" t="s">
        <v>124</v>
      </c>
      <c r="G1770" s="3" t="s">
        <v>43</v>
      </c>
      <c r="H1770" s="2" t="s">
        <v>21</v>
      </c>
      <c r="I1770" s="2" t="s">
        <v>3946</v>
      </c>
      <c r="J1770" s="3" t="str">
        <f>HYPERLINK("https://www.boe.es/gazeta/dias/1820/08/04/pdfs/GGB-1820-37.pdf#page=2","Abrir facsímil")</f>
        <v>Abrir facsímil</v>
      </c>
      <c r="K1770" s="3" t="s">
        <v>23</v>
      </c>
    </row>
    <row r="1771" spans="1:11" ht="42" customHeight="1">
      <c r="A1771" s="2" t="s">
        <v>3947</v>
      </c>
      <c r="B1771" s="2" t="s">
        <v>3948</v>
      </c>
      <c r="C1771" s="2" t="s">
        <v>26</v>
      </c>
      <c r="D1771" s="2" t="s">
        <v>27</v>
      </c>
      <c r="E1771" s="5">
        <v>-29108</v>
      </c>
      <c r="F1771" s="3" t="s">
        <v>304</v>
      </c>
      <c r="G1771" s="3" t="s">
        <v>201</v>
      </c>
      <c r="H1771" s="2" t="s">
        <v>30</v>
      </c>
      <c r="I1771" s="2" t="s">
        <v>3949</v>
      </c>
      <c r="J1771" s="3" t="str">
        <f>HYPERLINK("https://www.boe.es/gazeta/dias/1820/04/20/pdfs/GMD-1820-68.pdf#page=7","Abrir facsímil")</f>
        <v>Abrir facsímil</v>
      </c>
      <c r="K1771" s="3" t="s">
        <v>32</v>
      </c>
    </row>
    <row r="1772" spans="1:11" ht="42" customHeight="1">
      <c r="A1772" s="2" t="s">
        <v>3950</v>
      </c>
      <c r="B1772" s="2" t="s">
        <v>3950</v>
      </c>
      <c r="C1772" s="2" t="s">
        <v>17</v>
      </c>
      <c r="D1772" s="2" t="s">
        <v>18</v>
      </c>
      <c r="E1772" s="5">
        <v>-29218</v>
      </c>
      <c r="F1772" s="3" t="s">
        <v>834</v>
      </c>
      <c r="G1772" s="3" t="s">
        <v>62</v>
      </c>
      <c r="H1772" s="2" t="s">
        <v>21</v>
      </c>
      <c r="I1772" s="2" t="s">
        <v>3951</v>
      </c>
      <c r="J1772" s="3" t="str">
        <f>HYPERLINK("https://www.boe.es/gazeta/dias/1820/01/01/pdfs/GMD-1820-1.pdf#page=3","Abrir facsímil")</f>
        <v>Abrir facsímil</v>
      </c>
      <c r="K1772" s="3" t="s">
        <v>23</v>
      </c>
    </row>
    <row r="1773" spans="1:11" ht="42" customHeight="1">
      <c r="A1773" s="2" t="s">
        <v>3952</v>
      </c>
      <c r="B1773" s="2" t="s">
        <v>3952</v>
      </c>
      <c r="C1773" s="2" t="s">
        <v>26</v>
      </c>
      <c r="D1773" s="2" t="s">
        <v>27</v>
      </c>
      <c r="E1773" s="5">
        <v>-28997</v>
      </c>
      <c r="F1773" s="3" t="s">
        <v>1471</v>
      </c>
      <c r="G1773" s="3" t="s">
        <v>128</v>
      </c>
      <c r="H1773" s="2" t="s">
        <v>21</v>
      </c>
      <c r="I1773" s="2" t="s">
        <v>3953</v>
      </c>
      <c r="J1773" s="3" t="str">
        <f>HYPERLINK("https://www.boe.es/gazeta/dias/1820/08/09/pdfs/GGB-1820-42.pdf#page=1","Abrir facsímil")</f>
        <v>Abrir facsímil</v>
      </c>
      <c r="K1773" s="3" t="s">
        <v>23</v>
      </c>
    </row>
    <row r="1774" spans="1:11" ht="42" customHeight="1">
      <c r="A1774" s="2" t="s">
        <v>3954</v>
      </c>
      <c r="B1774" s="2" t="s">
        <v>3955</v>
      </c>
      <c r="C1774" s="2" t="s">
        <v>74</v>
      </c>
      <c r="D1774" s="2" t="s">
        <v>18</v>
      </c>
      <c r="E1774" s="5">
        <v>-29082</v>
      </c>
      <c r="F1774" s="3" t="s">
        <v>478</v>
      </c>
      <c r="G1774" s="3" t="s">
        <v>479</v>
      </c>
      <c r="H1774" s="2" t="s">
        <v>30</v>
      </c>
      <c r="I1774" s="2" t="s">
        <v>3956</v>
      </c>
      <c r="J1774" s="3" t="str">
        <f>HYPERLINK("https://www.boe.es/gazeta/dias/1820/05/16/pdfs/GMD-1820-80.pdf#page=12","Abrir facsímil")</f>
        <v>Abrir facsímil</v>
      </c>
      <c r="K1774" s="3" t="s">
        <v>32</v>
      </c>
    </row>
    <row r="1775" spans="1:11" ht="42" customHeight="1">
      <c r="A1775" s="2" t="s">
        <v>3957</v>
      </c>
      <c r="B1775" s="2" t="s">
        <v>3957</v>
      </c>
      <c r="C1775" s="2" t="s">
        <v>26</v>
      </c>
      <c r="D1775" s="2" t="s">
        <v>27</v>
      </c>
      <c r="E1775" s="5">
        <v>-29064</v>
      </c>
      <c r="F1775" s="3" t="s">
        <v>1264</v>
      </c>
      <c r="G1775" s="3" t="s">
        <v>128</v>
      </c>
      <c r="H1775" s="2" t="s">
        <v>21</v>
      </c>
      <c r="I1775" s="2" t="s">
        <v>3958</v>
      </c>
      <c r="J1775" s="3" t="str">
        <f>HYPERLINK("https://www.boe.es/gazeta/dias/1820/06/03/pdfs/GMD-1820-89.pdf#page=1","Abrir facsímil")</f>
        <v>Abrir facsímil</v>
      </c>
      <c r="K1775" s="3" t="s">
        <v>23</v>
      </c>
    </row>
    <row r="1776" spans="1:11" ht="42" customHeight="1">
      <c r="A1776" s="2" t="s">
        <v>3959</v>
      </c>
      <c r="B1776" s="2" t="s">
        <v>3960</v>
      </c>
      <c r="C1776" s="2" t="s">
        <v>17</v>
      </c>
      <c r="D1776" s="2" t="s">
        <v>18</v>
      </c>
      <c r="E1776" s="5">
        <v>-28899</v>
      </c>
      <c r="F1776" s="3" t="s">
        <v>285</v>
      </c>
      <c r="G1776" s="3" t="s">
        <v>20</v>
      </c>
      <c r="H1776" s="2" t="s">
        <v>21</v>
      </c>
      <c r="I1776" s="2" t="s">
        <v>3961</v>
      </c>
      <c r="J1776" s="3" t="str">
        <f>HYPERLINK("https://www.boe.es/gazeta/dias/1820/11/15/pdfs/GGB-1820-141.pdf#page=4","Abrir facsímil")</f>
        <v>Abrir facsímil</v>
      </c>
      <c r="K1776" s="3" t="s">
        <v>23</v>
      </c>
    </row>
    <row r="1777" spans="1:11" ht="42" customHeight="1">
      <c r="A1777" s="2" t="s">
        <v>3962</v>
      </c>
      <c r="B1777" s="2" t="s">
        <v>3963</v>
      </c>
      <c r="C1777" s="2" t="s">
        <v>35</v>
      </c>
      <c r="D1777" s="2" t="s">
        <v>310</v>
      </c>
      <c r="E1777" s="5">
        <v>-29137</v>
      </c>
      <c r="F1777" s="3" t="s">
        <v>573</v>
      </c>
      <c r="G1777" s="3" t="s">
        <v>43</v>
      </c>
      <c r="H1777" s="2" t="s">
        <v>21</v>
      </c>
      <c r="I1777" s="2" t="s">
        <v>3964</v>
      </c>
      <c r="J1777" s="3" t="str">
        <f>HYPERLINK("https://www.boe.es/gazeta/dias/1820/03/22/pdfs/GMD-1820-50E.pdf#page=2","Abrir facsímil")</f>
        <v>Abrir facsímil</v>
      </c>
      <c r="K1777" s="3" t="s">
        <v>23</v>
      </c>
    </row>
    <row r="1778" spans="1:11" ht="42" customHeight="1">
      <c r="A1778" s="2" t="s">
        <v>3965</v>
      </c>
      <c r="B1778" s="2" t="s">
        <v>3966</v>
      </c>
      <c r="C1778" s="2" t="s">
        <v>35</v>
      </c>
      <c r="D1778" s="2" t="s">
        <v>310</v>
      </c>
      <c r="E1778" s="5">
        <v>-29140</v>
      </c>
      <c r="F1778" s="3" t="s">
        <v>533</v>
      </c>
      <c r="G1778" s="3" t="s">
        <v>128</v>
      </c>
      <c r="H1778" s="2" t="s">
        <v>21</v>
      </c>
      <c r="I1778" s="2" t="s">
        <v>3967</v>
      </c>
      <c r="J1778" s="3" t="str">
        <f>HYPERLINK("https://www.boe.es/gazeta/dias/1820/03/19/pdfs/GMD-1820-45E.pdf#page=1","Abrir facsímil")</f>
        <v>Abrir facsímil</v>
      </c>
      <c r="K1778" s="3" t="s">
        <v>23</v>
      </c>
    </row>
    <row r="1779" spans="1:11" ht="42" customHeight="1">
      <c r="A1779" s="2" t="s">
        <v>3968</v>
      </c>
      <c r="B1779" s="2" t="s">
        <v>3969</v>
      </c>
      <c r="C1779" s="2" t="s">
        <v>17</v>
      </c>
      <c r="D1779" s="2" t="s">
        <v>18</v>
      </c>
      <c r="E1779" s="5">
        <v>-28866</v>
      </c>
      <c r="F1779" s="3" t="s">
        <v>507</v>
      </c>
      <c r="G1779" s="3" t="s">
        <v>62</v>
      </c>
      <c r="H1779" s="2" t="s">
        <v>21</v>
      </c>
      <c r="I1779" s="2" t="s">
        <v>3970</v>
      </c>
      <c r="J1779" s="3" t="str">
        <f>HYPERLINK("https://www.boe.es/gazeta/dias/1820/12/18/pdfs/GGB-1820-175.pdf#page=3","Abrir facsímil")</f>
        <v>Abrir facsímil</v>
      </c>
      <c r="K1779" s="3" t="s">
        <v>23</v>
      </c>
    </row>
    <row r="1780" spans="1:11" ht="42" customHeight="1">
      <c r="A1780" s="2" t="s">
        <v>3971</v>
      </c>
      <c r="B1780" s="2" t="s">
        <v>3972</v>
      </c>
      <c r="C1780" s="2" t="s">
        <v>47</v>
      </c>
      <c r="D1780" s="2" t="s">
        <v>18</v>
      </c>
      <c r="E1780" s="5">
        <v>-28951</v>
      </c>
      <c r="F1780" s="3" t="s">
        <v>622</v>
      </c>
      <c r="G1780" s="3" t="s">
        <v>128</v>
      </c>
      <c r="H1780" s="2" t="s">
        <v>21</v>
      </c>
      <c r="I1780" s="2" t="s">
        <v>3973</v>
      </c>
      <c r="J1780" s="3" t="str">
        <f>HYPERLINK("https://www.boe.es/gazeta/dias/1820/09/24/pdfs/GGB-1820-88.pdf#page=1","Abrir facsímil")</f>
        <v>Abrir facsímil</v>
      </c>
      <c r="K1780" s="3" t="s">
        <v>23</v>
      </c>
    </row>
    <row r="1781" spans="1:11" ht="42" customHeight="1">
      <c r="A1781" s="2" t="s">
        <v>3974</v>
      </c>
      <c r="B1781" s="2" t="s">
        <v>3974</v>
      </c>
      <c r="C1781" s="2" t="s">
        <v>17</v>
      </c>
      <c r="D1781" s="2" t="s">
        <v>18</v>
      </c>
      <c r="E1781" s="5">
        <v>-29120</v>
      </c>
      <c r="F1781" s="3" t="s">
        <v>852</v>
      </c>
      <c r="G1781" s="3" t="s">
        <v>3975</v>
      </c>
      <c r="H1781" s="2" t="s">
        <v>21</v>
      </c>
      <c r="I1781" s="2" t="s">
        <v>3976</v>
      </c>
      <c r="J1781" s="3" t="str">
        <f>HYPERLINK("https://www.boe.es/gazeta/dias/1820/04/08/pdfs/GMD-1820-63.pdf#page=5","Abrir facsímil")</f>
        <v>Abrir facsímil</v>
      </c>
      <c r="K1781" s="3" t="s">
        <v>23</v>
      </c>
    </row>
    <row r="1782" spans="1:11" ht="42" customHeight="1">
      <c r="A1782" s="2" t="s">
        <v>3977</v>
      </c>
      <c r="B1782" s="2" t="s">
        <v>3977</v>
      </c>
      <c r="C1782" s="2" t="s">
        <v>74</v>
      </c>
      <c r="D1782" s="2" t="s">
        <v>18</v>
      </c>
      <c r="E1782" s="5">
        <v>-28998</v>
      </c>
      <c r="F1782" s="3" t="s">
        <v>629</v>
      </c>
      <c r="G1782" s="3" t="s">
        <v>128</v>
      </c>
      <c r="H1782" s="2" t="s">
        <v>21</v>
      </c>
      <c r="I1782" s="2" t="s">
        <v>3978</v>
      </c>
      <c r="J1782" s="3" t="str">
        <f>HYPERLINK("https://www.boe.es/gazeta/dias/1820/08/08/pdfs/GGB-1820-41.pdf#page=1","Abrir facsímil")</f>
        <v>Abrir facsímil</v>
      </c>
      <c r="K1782" s="3" t="s">
        <v>23</v>
      </c>
    </row>
    <row r="1783" spans="1:11" ht="42" customHeight="1">
      <c r="A1783" s="2" t="s">
        <v>3979</v>
      </c>
      <c r="B1783" s="2" t="s">
        <v>3980</v>
      </c>
      <c r="C1783" s="2" t="s">
        <v>74</v>
      </c>
      <c r="D1783" s="2" t="s">
        <v>18</v>
      </c>
      <c r="E1783" s="5">
        <v>-28957</v>
      </c>
      <c r="F1783" s="3" t="s">
        <v>361</v>
      </c>
      <c r="G1783" s="3" t="s">
        <v>62</v>
      </c>
      <c r="H1783" s="2" t="s">
        <v>21</v>
      </c>
      <c r="I1783" s="2" t="s">
        <v>3981</v>
      </c>
      <c r="J1783" s="3" t="str">
        <f>HYPERLINK("https://www.boe.es/gazeta/dias/1820/09/18/pdfs/GGB-1820-82.pdf#page=3","Abrir facsímil")</f>
        <v>Abrir facsímil</v>
      </c>
      <c r="K1783" s="3" t="s">
        <v>23</v>
      </c>
    </row>
    <row r="1784" spans="1:11" ht="42" customHeight="1">
      <c r="A1784" s="2" t="s">
        <v>3982</v>
      </c>
      <c r="B1784" s="2" t="s">
        <v>3982</v>
      </c>
      <c r="C1784" s="2" t="s">
        <v>17</v>
      </c>
      <c r="D1784" s="2" t="s">
        <v>18</v>
      </c>
      <c r="E1784" s="5">
        <v>-28862</v>
      </c>
      <c r="F1784" s="3" t="s">
        <v>1905</v>
      </c>
      <c r="G1784" s="3" t="s">
        <v>43</v>
      </c>
      <c r="H1784" s="2" t="s">
        <v>21</v>
      </c>
      <c r="I1784" s="2" t="s">
        <v>3983</v>
      </c>
      <c r="J1784" s="3" t="str">
        <f>HYPERLINK("https://www.boe.es/gazeta/dias/1820/12/22/pdfs/GGB-1820-179.pdf#page=2","Abrir facsímil")</f>
        <v>Abrir facsímil</v>
      </c>
      <c r="K1784" s="3" t="s">
        <v>23</v>
      </c>
    </row>
    <row r="1785" spans="1:11" ht="42" customHeight="1">
      <c r="A1785" s="2" t="s">
        <v>3984</v>
      </c>
      <c r="B1785" s="2" t="s">
        <v>3985</v>
      </c>
      <c r="C1785" s="2" t="s">
        <v>17</v>
      </c>
      <c r="D1785" s="2" t="s">
        <v>18</v>
      </c>
      <c r="E1785" s="5">
        <v>-28972</v>
      </c>
      <c r="F1785" s="3" t="s">
        <v>522</v>
      </c>
      <c r="G1785" s="3" t="s">
        <v>43</v>
      </c>
      <c r="H1785" s="2" t="s">
        <v>21</v>
      </c>
      <c r="I1785" s="2" t="s">
        <v>3986</v>
      </c>
      <c r="J1785" s="3" t="str">
        <f>HYPERLINK("https://www.boe.es/gazeta/dias/1820/09/03/pdfs/GGB-1820-67.pdf#page=2","Abrir facsímil")</f>
        <v>Abrir facsímil</v>
      </c>
      <c r="K1785" s="3" t="s">
        <v>23</v>
      </c>
    </row>
    <row r="1786" spans="1:11" ht="42" customHeight="1">
      <c r="A1786" s="2" t="s">
        <v>3987</v>
      </c>
      <c r="B1786" s="2" t="s">
        <v>3988</v>
      </c>
      <c r="C1786" s="2" t="s">
        <v>111</v>
      </c>
      <c r="D1786" s="2" t="s">
        <v>18</v>
      </c>
      <c r="E1786" s="5">
        <v>-28999</v>
      </c>
      <c r="F1786" s="3" t="s">
        <v>342</v>
      </c>
      <c r="G1786" s="3" t="s">
        <v>20</v>
      </c>
      <c r="H1786" s="2" t="s">
        <v>21</v>
      </c>
      <c r="I1786" s="2" t="s">
        <v>3989</v>
      </c>
      <c r="J1786" s="3" t="str">
        <f>HYPERLINK("https://www.boe.es/gazeta/dias/1820/08/07/pdfs/GGB-1820-40.pdf#page=4","Abrir facsímil")</f>
        <v>Abrir facsímil</v>
      </c>
      <c r="K1786" s="3" t="s">
        <v>23</v>
      </c>
    </row>
    <row r="1787" spans="1:11" ht="42" customHeight="1">
      <c r="A1787" s="2" t="s">
        <v>3990</v>
      </c>
      <c r="B1787" s="2" t="s">
        <v>3990</v>
      </c>
      <c r="C1787" s="2" t="s">
        <v>26</v>
      </c>
      <c r="D1787" s="2" t="s">
        <v>27</v>
      </c>
      <c r="E1787" s="5">
        <v>-29131</v>
      </c>
      <c r="F1787" s="3" t="s">
        <v>1193</v>
      </c>
      <c r="G1787" s="3" t="s">
        <v>43</v>
      </c>
      <c r="H1787" s="2" t="s">
        <v>21</v>
      </c>
      <c r="I1787" s="2" t="s">
        <v>3991</v>
      </c>
      <c r="J1787" s="3" t="str">
        <f>HYPERLINK("https://www.boe.es/gazeta/dias/1820/03/28/pdfs/GMD-1820-56.pdf#page=2","Abrir facsímil")</f>
        <v>Abrir facsímil</v>
      </c>
      <c r="K1787" s="3" t="s">
        <v>23</v>
      </c>
    </row>
    <row r="1788" spans="1:11" ht="42" customHeight="1">
      <c r="A1788" s="2" t="s">
        <v>3992</v>
      </c>
      <c r="B1788" s="2" t="s">
        <v>3992</v>
      </c>
      <c r="C1788" s="2" t="s">
        <v>26</v>
      </c>
      <c r="D1788" s="2" t="s">
        <v>27</v>
      </c>
      <c r="E1788" s="5">
        <v>-29169</v>
      </c>
      <c r="F1788" s="3" t="s">
        <v>962</v>
      </c>
      <c r="G1788" s="3" t="s">
        <v>20</v>
      </c>
      <c r="H1788" s="2" t="s">
        <v>21</v>
      </c>
      <c r="I1788" s="2" t="s">
        <v>3993</v>
      </c>
      <c r="J1788" s="3" t="str">
        <f>HYPERLINK("https://www.boe.es/gazeta/dias/1820/02/19/pdfs/GMD-1820-22.pdf#page=4","Abrir facsímil")</f>
        <v>Abrir facsímil</v>
      </c>
      <c r="K1788" s="3" t="s">
        <v>23</v>
      </c>
    </row>
    <row r="1789" spans="1:11" ht="42" customHeight="1">
      <c r="A1789" s="2" t="s">
        <v>3994</v>
      </c>
      <c r="B1789" s="2" t="s">
        <v>3995</v>
      </c>
      <c r="C1789" s="2" t="s">
        <v>26</v>
      </c>
      <c r="D1789" s="2" t="s">
        <v>27</v>
      </c>
      <c r="E1789" s="5">
        <v>-29017</v>
      </c>
      <c r="F1789" s="3" t="s">
        <v>274</v>
      </c>
      <c r="G1789" s="3" t="s">
        <v>62</v>
      </c>
      <c r="H1789" s="2" t="s">
        <v>21</v>
      </c>
      <c r="I1789" s="2" t="s">
        <v>3996</v>
      </c>
      <c r="J1789" s="3" t="str">
        <f>HYPERLINK("https://www.boe.es/gazeta/dias/1820/07/20/pdfs/GGB-1820-22.pdf#page=3","Abrir facsímil")</f>
        <v>Abrir facsímil</v>
      </c>
      <c r="K1789" s="3" t="s">
        <v>23</v>
      </c>
    </row>
    <row r="1790" spans="1:11" ht="42" customHeight="1">
      <c r="A1790" s="2" t="s">
        <v>3997</v>
      </c>
      <c r="B1790" s="2" t="s">
        <v>3998</v>
      </c>
      <c r="C1790" s="2" t="s">
        <v>26</v>
      </c>
      <c r="D1790" s="2" t="s">
        <v>27</v>
      </c>
      <c r="E1790" s="5">
        <v>-28958</v>
      </c>
      <c r="F1790" s="3" t="s">
        <v>706</v>
      </c>
      <c r="G1790" s="3" t="s">
        <v>20</v>
      </c>
      <c r="H1790" s="2" t="s">
        <v>21</v>
      </c>
      <c r="I1790" s="2" t="s">
        <v>3999</v>
      </c>
      <c r="J1790" s="3" t="str">
        <f>HYPERLINK("https://www.boe.es/gazeta/dias/1820/09/17/pdfs/GGB-1820-81.pdf#page=4","Abrir facsímil")</f>
        <v>Abrir facsímil</v>
      </c>
      <c r="K1790" s="3" t="s">
        <v>23</v>
      </c>
    </row>
    <row r="1791" spans="1:11" ht="42" customHeight="1">
      <c r="A1791" s="2" t="s">
        <v>4000</v>
      </c>
      <c r="B1791" s="2" t="s">
        <v>4000</v>
      </c>
      <c r="C1791" s="2" t="s">
        <v>74</v>
      </c>
      <c r="D1791" s="2" t="s">
        <v>18</v>
      </c>
      <c r="E1791" s="5">
        <v>-28954</v>
      </c>
      <c r="F1791" s="3" t="s">
        <v>28</v>
      </c>
      <c r="G1791" s="3" t="s">
        <v>29</v>
      </c>
      <c r="H1791" s="2" t="s">
        <v>21</v>
      </c>
      <c r="I1791" s="2" t="s">
        <v>4001</v>
      </c>
      <c r="J1791" s="3" t="str">
        <f>HYPERLINK("https://www.boe.es/gazeta/dias/1820/09/21/pdfs/GGB-1820-85.pdf#page=2","Abrir facsímil")</f>
        <v>Abrir facsímil</v>
      </c>
      <c r="K1791" s="3" t="s">
        <v>23</v>
      </c>
    </row>
    <row r="1792" spans="1:11" ht="42" customHeight="1">
      <c r="A1792" s="2" t="s">
        <v>4002</v>
      </c>
      <c r="B1792" s="2" t="s">
        <v>4003</v>
      </c>
      <c r="C1792" s="2" t="s">
        <v>35</v>
      </c>
      <c r="D1792" s="2" t="s">
        <v>36</v>
      </c>
      <c r="E1792" s="5">
        <v>-28954</v>
      </c>
      <c r="F1792" s="3" t="s">
        <v>28</v>
      </c>
      <c r="G1792" s="3" t="s">
        <v>29</v>
      </c>
      <c r="H1792" s="2" t="s">
        <v>21</v>
      </c>
      <c r="I1792" s="2" t="s">
        <v>4004</v>
      </c>
      <c r="J1792" s="3" t="str">
        <f>HYPERLINK("https://www.boe.es/gazeta/dias/1820/09/21/pdfs/GGB-1820-85.pdf#page=2","Abrir facsímil")</f>
        <v>Abrir facsímil</v>
      </c>
      <c r="K1792" s="3" t="s">
        <v>23</v>
      </c>
    </row>
    <row r="1793" spans="1:11" ht="42" customHeight="1">
      <c r="A1793" s="2" t="s">
        <v>4002</v>
      </c>
      <c r="B1793" s="2" t="s">
        <v>4003</v>
      </c>
      <c r="C1793" s="2" t="s">
        <v>35</v>
      </c>
      <c r="D1793" s="2" t="s">
        <v>36</v>
      </c>
      <c r="E1793" s="5">
        <v>-28942</v>
      </c>
      <c r="F1793" s="3" t="s">
        <v>244</v>
      </c>
      <c r="G1793" s="3" t="s">
        <v>20</v>
      </c>
      <c r="H1793" s="2" t="s">
        <v>21</v>
      </c>
      <c r="I1793" s="2" t="s">
        <v>4005</v>
      </c>
      <c r="J1793" s="3" t="str">
        <f>HYPERLINK("https://www.boe.es/gazeta/dias/1820/10/03/pdfs/GGB-1820-97.pdf#page=4","Abrir facsímil")</f>
        <v>Abrir facsímil</v>
      </c>
      <c r="K1793" s="3" t="s">
        <v>23</v>
      </c>
    </row>
    <row r="1794" spans="1:11" ht="42" customHeight="1">
      <c r="A1794" s="2" t="s">
        <v>4006</v>
      </c>
      <c r="B1794" s="2" t="s">
        <v>4006</v>
      </c>
      <c r="C1794" s="2" t="s">
        <v>26</v>
      </c>
      <c r="D1794" s="2" t="s">
        <v>27</v>
      </c>
      <c r="E1794" s="5">
        <v>-29190</v>
      </c>
      <c r="F1794" s="3" t="s">
        <v>537</v>
      </c>
      <c r="G1794" s="3" t="s">
        <v>43</v>
      </c>
      <c r="H1794" s="2" t="s">
        <v>21</v>
      </c>
      <c r="I1794" s="2" t="s">
        <v>4007</v>
      </c>
      <c r="J1794" s="3" t="str">
        <f>HYPERLINK("https://www.boe.es/gazeta/dias/1820/01/29/pdfs/GMD-1820-13.pdf#page=2","Abrir facsímil")</f>
        <v>Abrir facsímil</v>
      </c>
      <c r="K1794" s="3" t="s">
        <v>23</v>
      </c>
    </row>
    <row r="1795" spans="1:11" ht="42" customHeight="1">
      <c r="A1795" s="2" t="s">
        <v>4008</v>
      </c>
      <c r="B1795" s="2" t="s">
        <v>4009</v>
      </c>
      <c r="C1795" s="2" t="s">
        <v>35</v>
      </c>
      <c r="D1795" s="2" t="s">
        <v>36</v>
      </c>
      <c r="E1795" s="5">
        <v>-29022</v>
      </c>
      <c r="F1795" s="3" t="s">
        <v>1310</v>
      </c>
      <c r="G1795" s="3" t="s">
        <v>62</v>
      </c>
      <c r="H1795" s="2" t="s">
        <v>21</v>
      </c>
      <c r="I1795" s="2" t="s">
        <v>4010</v>
      </c>
      <c r="J1795" s="3" t="str">
        <f>HYPERLINK("https://www.boe.es/gazeta/dias/1820/07/15/pdfs/GGB-1820-17.pdf#page=3","Abrir facsímil")</f>
        <v>Abrir facsímil</v>
      </c>
      <c r="K1795" s="3" t="s">
        <v>23</v>
      </c>
    </row>
    <row r="1796" spans="1:11" ht="42" customHeight="1">
      <c r="A1796" s="2" t="s">
        <v>4011</v>
      </c>
      <c r="B1796" s="2" t="s">
        <v>4012</v>
      </c>
      <c r="C1796" s="2" t="s">
        <v>26</v>
      </c>
      <c r="D1796" s="2" t="s">
        <v>27</v>
      </c>
      <c r="E1796" s="5">
        <v>-29032</v>
      </c>
      <c r="F1796" s="3" t="s">
        <v>3052</v>
      </c>
      <c r="G1796" s="3" t="s">
        <v>821</v>
      </c>
      <c r="H1796" s="2" t="s">
        <v>21</v>
      </c>
      <c r="I1796" s="2" t="s">
        <v>4013</v>
      </c>
      <c r="J1796" s="3" t="str">
        <f>HYPERLINK("https://www.boe.es/gazeta/dias/1820/07/05/pdfs/GGB-1820-5.pdf#page=2","Abrir facsímil")</f>
        <v>Abrir facsímil</v>
      </c>
      <c r="K1796" s="3" t="s">
        <v>23</v>
      </c>
    </row>
    <row r="1797" spans="1:11" ht="42" customHeight="1">
      <c r="A1797" s="2" t="s">
        <v>4014</v>
      </c>
      <c r="B1797" s="2" t="s">
        <v>4015</v>
      </c>
      <c r="C1797" s="2" t="s">
        <v>17</v>
      </c>
      <c r="D1797" s="2" t="s">
        <v>18</v>
      </c>
      <c r="E1797" s="5">
        <v>-28969</v>
      </c>
      <c r="F1797" s="3" t="s">
        <v>225</v>
      </c>
      <c r="G1797" s="3" t="s">
        <v>226</v>
      </c>
      <c r="H1797" s="2" t="s">
        <v>21</v>
      </c>
      <c r="I1797" s="2" t="s">
        <v>4016</v>
      </c>
      <c r="J1797" s="3" t="str">
        <f>HYPERLINK("https://www.boe.es/gazeta/dias/1820/09/06/pdfs/GGB-1820-70.pdf#page=3","Abrir facsímil")</f>
        <v>Abrir facsímil</v>
      </c>
      <c r="K1797" s="3" t="s">
        <v>23</v>
      </c>
    </row>
    <row r="1798" spans="1:11" ht="42" customHeight="1">
      <c r="A1798" s="2" t="s">
        <v>4017</v>
      </c>
      <c r="B1798" s="2" t="s">
        <v>4018</v>
      </c>
      <c r="C1798" s="2" t="s">
        <v>26</v>
      </c>
      <c r="D1798" s="2" t="s">
        <v>310</v>
      </c>
      <c r="E1798" s="5">
        <v>-29138</v>
      </c>
      <c r="F1798" s="3" t="s">
        <v>4019</v>
      </c>
      <c r="G1798" s="3" t="s">
        <v>128</v>
      </c>
      <c r="H1798" s="2" t="s">
        <v>21</v>
      </c>
      <c r="I1798" s="2" t="s">
        <v>4020</v>
      </c>
      <c r="J1798" s="3" t="str">
        <f>HYPERLINK("https://www.boe.es/gazeta/dias/1820/03/21/pdfs/GMD-1820-49E.pdf#page=1","Abrir facsímil")</f>
        <v>Abrir facsímil</v>
      </c>
      <c r="K1798" s="3" t="s">
        <v>23</v>
      </c>
    </row>
    <row r="1799" spans="1:11" ht="42" customHeight="1">
      <c r="A1799" s="2" t="s">
        <v>4017</v>
      </c>
      <c r="B1799" s="2" t="s">
        <v>4018</v>
      </c>
      <c r="C1799" s="2" t="s">
        <v>26</v>
      </c>
      <c r="D1799" s="2" t="s">
        <v>27</v>
      </c>
      <c r="E1799" s="5">
        <v>-29131</v>
      </c>
      <c r="F1799" s="3" t="s">
        <v>1193</v>
      </c>
      <c r="G1799" s="3" t="s">
        <v>201</v>
      </c>
      <c r="H1799" s="2" t="s">
        <v>21</v>
      </c>
      <c r="I1799" s="2" t="s">
        <v>4021</v>
      </c>
      <c r="J1799" s="3" t="str">
        <f>HYPERLINK("https://www.boe.es/gazeta/dias/1820/03/28/pdfs/GMD-1820-56.pdf#page=7","Abrir facsímil")</f>
        <v>Abrir facsímil</v>
      </c>
      <c r="K1799" s="3" t="s">
        <v>23</v>
      </c>
    </row>
    <row r="1800" spans="1:11" ht="42" customHeight="1">
      <c r="A1800" s="2" t="s">
        <v>4017</v>
      </c>
      <c r="B1800" s="2" t="s">
        <v>4018</v>
      </c>
      <c r="C1800" s="2" t="s">
        <v>26</v>
      </c>
      <c r="D1800" s="2" t="s">
        <v>27</v>
      </c>
      <c r="E1800" s="5">
        <v>-29075</v>
      </c>
      <c r="F1800" s="3" t="s">
        <v>1186</v>
      </c>
      <c r="G1800" s="3" t="s">
        <v>20</v>
      </c>
      <c r="H1800" s="2" t="s">
        <v>21</v>
      </c>
      <c r="I1800" s="2" t="s">
        <v>4022</v>
      </c>
      <c r="J1800" s="3" t="str">
        <f>HYPERLINK("https://www.boe.es/gazeta/dias/1820/05/23/pdfs/GMD-1820-84.pdf#page=4","Abrir facsímil")</f>
        <v>Abrir facsímil</v>
      </c>
      <c r="K1800" s="3" t="s">
        <v>23</v>
      </c>
    </row>
    <row r="1801" spans="1:11" ht="42" customHeight="1">
      <c r="A1801" s="2" t="s">
        <v>4017</v>
      </c>
      <c r="B1801" s="2" t="s">
        <v>4018</v>
      </c>
      <c r="C1801" s="2" t="s">
        <v>26</v>
      </c>
      <c r="D1801" s="2" t="s">
        <v>27</v>
      </c>
      <c r="E1801" s="5">
        <v>-29064</v>
      </c>
      <c r="F1801" s="3" t="s">
        <v>1264</v>
      </c>
      <c r="G1801" s="3" t="s">
        <v>4023</v>
      </c>
      <c r="H1801" s="2" t="s">
        <v>21</v>
      </c>
      <c r="I1801" s="2" t="s">
        <v>4024</v>
      </c>
      <c r="J1801" s="3" t="str">
        <f>HYPERLINK("https://www.boe.es/gazeta/dias/1820/06/03/pdfs/GMD-1820-89.pdf#page=7","Abrir facsímil")</f>
        <v>Abrir facsímil</v>
      </c>
      <c r="K1801" s="3" t="s">
        <v>23</v>
      </c>
    </row>
    <row r="1802" spans="1:11" ht="42" customHeight="1">
      <c r="A1802" s="2" t="s">
        <v>4017</v>
      </c>
      <c r="B1802" s="2" t="s">
        <v>4018</v>
      </c>
      <c r="C1802" s="2" t="s">
        <v>26</v>
      </c>
      <c r="D1802" s="2" t="s">
        <v>27</v>
      </c>
      <c r="E1802" s="5">
        <v>-29024</v>
      </c>
      <c r="F1802" s="3" t="s">
        <v>1916</v>
      </c>
      <c r="G1802" s="3" t="s">
        <v>62</v>
      </c>
      <c r="H1802" s="2" t="s">
        <v>21</v>
      </c>
      <c r="I1802" s="2" t="s">
        <v>4025</v>
      </c>
      <c r="J1802" s="3" t="str">
        <f>HYPERLINK("https://www.boe.es/gazeta/dias/1820/07/13/pdfs/GGB-1820-15.pdf#page=3","Abrir facsímil")</f>
        <v>Abrir facsímil</v>
      </c>
      <c r="K1802" s="3" t="s">
        <v>23</v>
      </c>
    </row>
    <row r="1803" spans="1:11" ht="42" customHeight="1">
      <c r="A1803" s="2" t="s">
        <v>4017</v>
      </c>
      <c r="B1803" s="2" t="s">
        <v>4018</v>
      </c>
      <c r="C1803" s="2" t="s">
        <v>35</v>
      </c>
      <c r="D1803" s="2" t="s">
        <v>36</v>
      </c>
      <c r="E1803" s="5">
        <v>-29005</v>
      </c>
      <c r="F1803" s="3" t="s">
        <v>1656</v>
      </c>
      <c r="G1803" s="3" t="s">
        <v>1657</v>
      </c>
      <c r="H1803" s="2" t="s">
        <v>21</v>
      </c>
      <c r="I1803" s="2" t="s">
        <v>4026</v>
      </c>
      <c r="J1803" s="3" t="str">
        <f>HYPERLINK("https://www.boe.es/gazeta/dias/1820/08/01/pdfs/GGB-1820-34.pdf#page=4","Abrir facsímil")</f>
        <v>Abrir facsímil</v>
      </c>
      <c r="K1803" s="3" t="s">
        <v>23</v>
      </c>
    </row>
    <row r="1804" spans="1:11" ht="42" customHeight="1">
      <c r="A1804" s="2" t="s">
        <v>4027</v>
      </c>
      <c r="B1804" s="2" t="s">
        <v>4028</v>
      </c>
      <c r="C1804" s="2" t="s">
        <v>26</v>
      </c>
      <c r="D1804" s="2" t="s">
        <v>27</v>
      </c>
      <c r="E1804" s="5">
        <v>-28972</v>
      </c>
      <c r="F1804" s="3" t="s">
        <v>522</v>
      </c>
      <c r="G1804" s="3" t="s">
        <v>20</v>
      </c>
      <c r="H1804" s="2" t="s">
        <v>21</v>
      </c>
      <c r="I1804" s="2" t="s">
        <v>4029</v>
      </c>
      <c r="J1804" s="3" t="str">
        <f>HYPERLINK("https://www.boe.es/gazeta/dias/1820/09/03/pdfs/GGB-1820-67.pdf#page=4","Abrir facsímil")</f>
        <v>Abrir facsímil</v>
      </c>
      <c r="K1804" s="3" t="s">
        <v>23</v>
      </c>
    </row>
    <row r="1805" spans="1:11" ht="42" customHeight="1">
      <c r="A1805" s="2" t="s">
        <v>4030</v>
      </c>
      <c r="B1805" s="2" t="s">
        <v>4030</v>
      </c>
      <c r="C1805" s="2" t="s">
        <v>35</v>
      </c>
      <c r="D1805" s="2" t="s">
        <v>36</v>
      </c>
      <c r="E1805" s="5">
        <v>-28949</v>
      </c>
      <c r="F1805" s="3" t="s">
        <v>178</v>
      </c>
      <c r="G1805" s="3" t="s">
        <v>43</v>
      </c>
      <c r="H1805" s="2" t="s">
        <v>21</v>
      </c>
      <c r="I1805" s="2" t="s">
        <v>4031</v>
      </c>
      <c r="J1805" s="3" t="str">
        <f>HYPERLINK("https://www.boe.es/gazeta/dias/1820/09/26/pdfs/GGB-1820-90.pdf#page=2","Abrir facsímil")</f>
        <v>Abrir facsímil</v>
      </c>
      <c r="K1805" s="3" t="s">
        <v>23</v>
      </c>
    </row>
    <row r="1806" spans="1:11" ht="42" customHeight="1">
      <c r="A1806" s="2" t="s">
        <v>4030</v>
      </c>
      <c r="B1806" s="2" t="s">
        <v>4030</v>
      </c>
      <c r="C1806" s="2" t="s">
        <v>35</v>
      </c>
      <c r="D1806" s="2" t="s">
        <v>36</v>
      </c>
      <c r="E1806" s="5">
        <v>-28948</v>
      </c>
      <c r="F1806" s="3" t="s">
        <v>1069</v>
      </c>
      <c r="G1806" s="3" t="s">
        <v>62</v>
      </c>
      <c r="H1806" s="2" t="s">
        <v>21</v>
      </c>
      <c r="I1806" s="2" t="s">
        <v>4032</v>
      </c>
      <c r="J1806" s="3" t="str">
        <f>HYPERLINK("https://www.boe.es/gazeta/dias/1820/09/27/pdfs/GGB-1820-91.pdf#page=3","Abrir facsímil")</f>
        <v>Abrir facsímil</v>
      </c>
      <c r="K1806" s="3" t="s">
        <v>23</v>
      </c>
    </row>
    <row r="1807" spans="1:11" ht="42" customHeight="1">
      <c r="A1807" s="2" t="s">
        <v>4030</v>
      </c>
      <c r="B1807" s="2" t="s">
        <v>4030</v>
      </c>
      <c r="C1807" s="2" t="s">
        <v>35</v>
      </c>
      <c r="D1807" s="2" t="s">
        <v>36</v>
      </c>
      <c r="E1807" s="5">
        <v>-28927</v>
      </c>
      <c r="F1807" s="3" t="s">
        <v>345</v>
      </c>
      <c r="G1807" s="3" t="s">
        <v>62</v>
      </c>
      <c r="H1807" s="2" t="s">
        <v>21</v>
      </c>
      <c r="I1807" s="2" t="s">
        <v>4033</v>
      </c>
      <c r="J1807" s="3" t="str">
        <f>HYPERLINK("https://www.boe.es/gazeta/dias/1820/10/18/pdfs/GGB-1820-112.pdf#page=3","Abrir facsímil")</f>
        <v>Abrir facsímil</v>
      </c>
      <c r="K1807" s="3" t="s">
        <v>23</v>
      </c>
    </row>
    <row r="1808" spans="1:11" ht="42" customHeight="1">
      <c r="A1808" s="2" t="s">
        <v>4030</v>
      </c>
      <c r="B1808" s="2" t="s">
        <v>4030</v>
      </c>
      <c r="C1808" s="2" t="s">
        <v>17</v>
      </c>
      <c r="D1808" s="2" t="s">
        <v>18</v>
      </c>
      <c r="E1808" s="5">
        <v>-28922</v>
      </c>
      <c r="F1808" s="3" t="s">
        <v>735</v>
      </c>
      <c r="G1808" s="3" t="s">
        <v>43</v>
      </c>
      <c r="H1808" s="2" t="s">
        <v>21</v>
      </c>
      <c r="I1808" s="2" t="s">
        <v>4034</v>
      </c>
      <c r="J1808" s="3" t="str">
        <f>HYPERLINK("https://www.boe.es/gazeta/dias/1820/10/23/pdfs/GGB-1820-117.pdf#page=2","Abrir facsímil")</f>
        <v>Abrir facsímil</v>
      </c>
      <c r="K1808" s="3" t="s">
        <v>23</v>
      </c>
    </row>
    <row r="1809" spans="1:11" ht="42" customHeight="1">
      <c r="A1809" s="2" t="s">
        <v>4035</v>
      </c>
      <c r="B1809" s="2" t="s">
        <v>4035</v>
      </c>
      <c r="C1809" s="2" t="s">
        <v>35</v>
      </c>
      <c r="D1809" s="2" t="s">
        <v>36</v>
      </c>
      <c r="E1809" s="5">
        <v>-28926</v>
      </c>
      <c r="F1809" s="3" t="s">
        <v>597</v>
      </c>
      <c r="G1809" s="3" t="s">
        <v>43</v>
      </c>
      <c r="H1809" s="2" t="s">
        <v>21</v>
      </c>
      <c r="I1809" s="2" t="s">
        <v>4036</v>
      </c>
      <c r="J1809" s="3" t="str">
        <f>HYPERLINK("https://www.boe.es/gazeta/dias/1820/10/19/pdfs/GGB-1820-113.pdf#page=2","Abrir facsímil")</f>
        <v>Abrir facsímil</v>
      </c>
      <c r="K1809" s="3" t="s">
        <v>23</v>
      </c>
    </row>
    <row r="1810" spans="1:11" ht="42" customHeight="1">
      <c r="A1810" s="2" t="s">
        <v>4035</v>
      </c>
      <c r="B1810" s="2" t="s">
        <v>4035</v>
      </c>
      <c r="C1810" s="2" t="s">
        <v>74</v>
      </c>
      <c r="D1810" s="2" t="s">
        <v>18</v>
      </c>
      <c r="E1810" s="5">
        <v>-28869</v>
      </c>
      <c r="F1810" s="3" t="s">
        <v>449</v>
      </c>
      <c r="G1810" s="3" t="s">
        <v>450</v>
      </c>
      <c r="H1810" s="2" t="s">
        <v>21</v>
      </c>
      <c r="I1810" s="2" t="s">
        <v>4037</v>
      </c>
      <c r="J1810" s="3" t="str">
        <f>HYPERLINK("https://www.boe.es/gazeta/dias/1820/12/15/pdfs/GGB-1820-172.pdf#page=4","Abrir facsímil")</f>
        <v>Abrir facsímil</v>
      </c>
      <c r="K1810" s="3" t="s">
        <v>23</v>
      </c>
    </row>
    <row r="1811" spans="1:11" ht="42" customHeight="1">
      <c r="A1811" s="2" t="s">
        <v>4038</v>
      </c>
      <c r="B1811" s="2" t="s">
        <v>4039</v>
      </c>
      <c r="C1811" s="2" t="s">
        <v>35</v>
      </c>
      <c r="D1811" s="2" t="s">
        <v>36</v>
      </c>
      <c r="E1811" s="5">
        <v>-29000</v>
      </c>
      <c r="F1811" s="3" t="s">
        <v>670</v>
      </c>
      <c r="G1811" s="3" t="s">
        <v>62</v>
      </c>
      <c r="H1811" s="2" t="s">
        <v>21</v>
      </c>
      <c r="I1811" s="2" t="s">
        <v>4040</v>
      </c>
      <c r="J1811" s="3" t="str">
        <f>HYPERLINK("https://www.boe.es/gazeta/dias/1820/08/06/pdfs/GGB-1820-39.pdf#page=3","Abrir facsímil")</f>
        <v>Abrir facsímil</v>
      </c>
      <c r="K1811" s="3" t="s">
        <v>23</v>
      </c>
    </row>
    <row r="1812" spans="1:11" ht="42" customHeight="1">
      <c r="A1812" s="2" t="s">
        <v>4041</v>
      </c>
      <c r="B1812" s="2" t="s">
        <v>4042</v>
      </c>
      <c r="C1812" s="2" t="s">
        <v>35</v>
      </c>
      <c r="D1812" s="2" t="s">
        <v>36</v>
      </c>
      <c r="E1812" s="5">
        <v>-28998</v>
      </c>
      <c r="F1812" s="3" t="s">
        <v>629</v>
      </c>
      <c r="G1812" s="3" t="s">
        <v>62</v>
      </c>
      <c r="H1812" s="2" t="s">
        <v>21</v>
      </c>
      <c r="I1812" s="2" t="s">
        <v>4043</v>
      </c>
      <c r="J1812" s="3" t="str">
        <f>HYPERLINK("https://www.boe.es/gazeta/dias/1820/08/08/pdfs/GGB-1820-41.pdf#page=3","Abrir facsímil")</f>
        <v>Abrir facsímil</v>
      </c>
      <c r="K1812" s="3" t="s">
        <v>23</v>
      </c>
    </row>
    <row r="1813" spans="1:11" ht="42" customHeight="1">
      <c r="A1813" s="2" t="s">
        <v>4044</v>
      </c>
      <c r="B1813" s="2" t="s">
        <v>4045</v>
      </c>
      <c r="C1813" s="2" t="s">
        <v>26</v>
      </c>
      <c r="D1813" s="2" t="s">
        <v>27</v>
      </c>
      <c r="E1813" s="5">
        <v>-29136</v>
      </c>
      <c r="F1813" s="3" t="s">
        <v>2972</v>
      </c>
      <c r="G1813" s="3" t="s">
        <v>256</v>
      </c>
      <c r="H1813" s="2" t="s">
        <v>21</v>
      </c>
      <c r="I1813" s="2" t="s">
        <v>4046</v>
      </c>
      <c r="J1813" s="3" t="str">
        <f>HYPERLINK("https://www.boe.es/gazeta/dias/1820/03/23/pdfs/GMD-1820-51.pdf#page=5","Abrir facsímil")</f>
        <v>Abrir facsímil</v>
      </c>
      <c r="K1813" s="3" t="s">
        <v>23</v>
      </c>
    </row>
    <row r="1814" spans="1:11" ht="42" customHeight="1">
      <c r="A1814" s="2" t="s">
        <v>4047</v>
      </c>
      <c r="B1814" s="2" t="s">
        <v>4047</v>
      </c>
      <c r="C1814" s="2" t="s">
        <v>26</v>
      </c>
      <c r="D1814" s="2" t="s">
        <v>27</v>
      </c>
      <c r="E1814" s="5">
        <v>-28903</v>
      </c>
      <c r="F1814" s="3" t="s">
        <v>2163</v>
      </c>
      <c r="G1814" s="3" t="s">
        <v>128</v>
      </c>
      <c r="H1814" s="2" t="s">
        <v>21</v>
      </c>
      <c r="I1814" s="2" t="s">
        <v>4048</v>
      </c>
      <c r="J1814" s="3" t="str">
        <f>HYPERLINK("https://www.boe.es/gazeta/dias/1820/11/11/pdfs/GGB-1820-137.pdf#page=1","Abrir facsímil")</f>
        <v>Abrir facsímil</v>
      </c>
      <c r="K1814" s="3" t="s">
        <v>23</v>
      </c>
    </row>
    <row r="1815" spans="1:11" ht="42" customHeight="1">
      <c r="A1815" s="2" t="s">
        <v>4049</v>
      </c>
      <c r="B1815" s="2" t="s">
        <v>4049</v>
      </c>
      <c r="C1815" s="2" t="s">
        <v>26</v>
      </c>
      <c r="D1815" s="2" t="s">
        <v>27</v>
      </c>
      <c r="E1815" s="5">
        <v>-28926</v>
      </c>
      <c r="F1815" s="3" t="s">
        <v>597</v>
      </c>
      <c r="G1815" s="3" t="s">
        <v>128</v>
      </c>
      <c r="H1815" s="2" t="s">
        <v>21</v>
      </c>
      <c r="I1815" s="2" t="s">
        <v>4050</v>
      </c>
      <c r="J1815" s="3" t="str">
        <f>HYPERLINK("https://www.boe.es/gazeta/dias/1820/10/19/pdfs/GGB-1820-113.pdf#page=1","Abrir facsímil")</f>
        <v>Abrir facsímil</v>
      </c>
      <c r="K1815" s="3" t="s">
        <v>23</v>
      </c>
    </row>
    <row r="1816" spans="1:11" ht="42" customHeight="1">
      <c r="A1816" s="2" t="s">
        <v>4051</v>
      </c>
      <c r="B1816" s="2" t="s">
        <v>4051</v>
      </c>
      <c r="C1816" s="2" t="s">
        <v>74</v>
      </c>
      <c r="D1816" s="2" t="s">
        <v>18</v>
      </c>
      <c r="E1816" s="5">
        <v>-28918</v>
      </c>
      <c r="F1816" s="3" t="s">
        <v>160</v>
      </c>
      <c r="G1816" s="3" t="s">
        <v>62</v>
      </c>
      <c r="H1816" s="2" t="s">
        <v>21</v>
      </c>
      <c r="I1816" s="2" t="s">
        <v>4052</v>
      </c>
      <c r="J1816" s="3" t="str">
        <f>HYPERLINK("https://www.boe.es/gazeta/dias/1820/10/27/pdfs/GGB-1820-121.pdf#page=3","Abrir facsímil")</f>
        <v>Abrir facsímil</v>
      </c>
      <c r="K1816" s="3" t="s">
        <v>23</v>
      </c>
    </row>
    <row r="1817" spans="1:11" ht="42" customHeight="1">
      <c r="A1817" s="2" t="s">
        <v>4053</v>
      </c>
      <c r="B1817" s="2" t="s">
        <v>4053</v>
      </c>
      <c r="C1817" s="2" t="s">
        <v>26</v>
      </c>
      <c r="D1817" s="2" t="s">
        <v>27</v>
      </c>
      <c r="E1817" s="5">
        <v>-28976</v>
      </c>
      <c r="F1817" s="3" t="s">
        <v>689</v>
      </c>
      <c r="G1817" s="3" t="s">
        <v>62</v>
      </c>
      <c r="H1817" s="2" t="s">
        <v>21</v>
      </c>
      <c r="I1817" s="2" t="s">
        <v>4054</v>
      </c>
      <c r="J1817" s="3" t="str">
        <f>HYPERLINK("https://www.boe.es/gazeta/dias/1820/08/30/pdfs/GGB-1820-63.pdf#page=3","Abrir facsímil")</f>
        <v>Abrir facsímil</v>
      </c>
      <c r="K1817" s="3" t="s">
        <v>23</v>
      </c>
    </row>
    <row r="1818" spans="1:11" ht="42" customHeight="1">
      <c r="A1818" s="2" t="s">
        <v>4055</v>
      </c>
      <c r="B1818" s="2" t="s">
        <v>4055</v>
      </c>
      <c r="C1818" s="2" t="s">
        <v>111</v>
      </c>
      <c r="D1818" s="2" t="s">
        <v>18</v>
      </c>
      <c r="E1818" s="5">
        <v>-28988</v>
      </c>
      <c r="F1818" s="3" t="s">
        <v>618</v>
      </c>
      <c r="G1818" s="3" t="s">
        <v>20</v>
      </c>
      <c r="H1818" s="2" t="s">
        <v>21</v>
      </c>
      <c r="I1818" s="2" t="s">
        <v>4056</v>
      </c>
      <c r="J1818" s="3" t="str">
        <f>HYPERLINK("https://www.boe.es/gazeta/dias/1820/08/18/pdfs/GGB-1820-51.pdf#page=4","Abrir facsímil")</f>
        <v>Abrir facsímil</v>
      </c>
      <c r="K1818" s="3" t="s">
        <v>23</v>
      </c>
    </row>
    <row r="1819" spans="1:11" ht="42" customHeight="1">
      <c r="A1819" s="2" t="s">
        <v>4055</v>
      </c>
      <c r="B1819" s="2" t="s">
        <v>4055</v>
      </c>
      <c r="C1819" s="2" t="s">
        <v>35</v>
      </c>
      <c r="D1819" s="2" t="s">
        <v>36</v>
      </c>
      <c r="E1819" s="5">
        <v>-28935</v>
      </c>
      <c r="F1819" s="3" t="s">
        <v>2464</v>
      </c>
      <c r="G1819" s="3" t="s">
        <v>20</v>
      </c>
      <c r="H1819" s="2" t="s">
        <v>21</v>
      </c>
      <c r="I1819" s="2" t="s">
        <v>4057</v>
      </c>
      <c r="J1819" s="3" t="str">
        <f>HYPERLINK("https://www.boe.es/gazeta/dias/1820/10/10/pdfs/GGB-1820-104.pdf#page=4","Abrir facsímil")</f>
        <v>Abrir facsímil</v>
      </c>
      <c r="K1819" s="3" t="s">
        <v>23</v>
      </c>
    </row>
    <row r="1820" spans="1:11" ht="42" customHeight="1">
      <c r="A1820" s="2" t="s">
        <v>4055</v>
      </c>
      <c r="B1820" s="2" t="s">
        <v>4055</v>
      </c>
      <c r="C1820" s="2" t="s">
        <v>26</v>
      </c>
      <c r="D1820" s="2" t="s">
        <v>27</v>
      </c>
      <c r="E1820" s="5">
        <v>-28924</v>
      </c>
      <c r="F1820" s="3" t="s">
        <v>78</v>
      </c>
      <c r="G1820" s="3" t="s">
        <v>43</v>
      </c>
      <c r="H1820" s="2" t="s">
        <v>21</v>
      </c>
      <c r="I1820" s="2" t="s">
        <v>4058</v>
      </c>
      <c r="J1820" s="3" t="str">
        <f>HYPERLINK("https://www.boe.es/gazeta/dias/1820/10/21/pdfs/GGB-1820-115.pdf#page=2","Abrir facsímil")</f>
        <v>Abrir facsímil</v>
      </c>
      <c r="K1820" s="3" t="s">
        <v>23</v>
      </c>
    </row>
    <row r="1821" spans="1:11" ht="42" customHeight="1">
      <c r="A1821" s="2" t="s">
        <v>4055</v>
      </c>
      <c r="B1821" s="2" t="s">
        <v>4055</v>
      </c>
      <c r="C1821" s="2" t="s">
        <v>26</v>
      </c>
      <c r="D1821" s="2" t="s">
        <v>27</v>
      </c>
      <c r="E1821" s="5">
        <v>-28917</v>
      </c>
      <c r="F1821" s="3" t="s">
        <v>19</v>
      </c>
      <c r="G1821" s="3" t="s">
        <v>62</v>
      </c>
      <c r="H1821" s="2" t="s">
        <v>21</v>
      </c>
      <c r="I1821" s="2" t="s">
        <v>4059</v>
      </c>
      <c r="J1821" s="3" t="str">
        <f>HYPERLINK("https://www.boe.es/gazeta/dias/1820/10/28/pdfs/GGB-1820-122.pdf#page=3","Abrir facsímil")</f>
        <v>Abrir facsímil</v>
      </c>
      <c r="K1821" s="3" t="s">
        <v>23</v>
      </c>
    </row>
    <row r="1822" spans="1:11" ht="42" customHeight="1">
      <c r="A1822" s="2" t="s">
        <v>4055</v>
      </c>
      <c r="B1822" s="2" t="s">
        <v>4055</v>
      </c>
      <c r="C1822" s="2" t="s">
        <v>26</v>
      </c>
      <c r="D1822" s="2" t="s">
        <v>27</v>
      </c>
      <c r="E1822" s="5">
        <v>-28905</v>
      </c>
      <c r="F1822" s="3" t="s">
        <v>749</v>
      </c>
      <c r="G1822" s="3" t="s">
        <v>43</v>
      </c>
      <c r="H1822" s="2" t="s">
        <v>21</v>
      </c>
      <c r="I1822" s="2" t="s">
        <v>4060</v>
      </c>
      <c r="J1822" s="3" t="str">
        <f>HYPERLINK("https://www.boe.es/gazeta/dias/1820/11/09/pdfs/GGB-1820-134.pdf#page=2","Abrir facsímil")</f>
        <v>Abrir facsímil</v>
      </c>
      <c r="K1822" s="3" t="s">
        <v>23</v>
      </c>
    </row>
    <row r="1823" spans="1:11" ht="42" customHeight="1">
      <c r="A1823" s="2" t="s">
        <v>4061</v>
      </c>
      <c r="B1823" s="2" t="s">
        <v>4062</v>
      </c>
      <c r="C1823" s="2" t="s">
        <v>35</v>
      </c>
      <c r="D1823" s="2" t="s">
        <v>36</v>
      </c>
      <c r="E1823" s="5">
        <v>-28900</v>
      </c>
      <c r="F1823" s="3" t="s">
        <v>878</v>
      </c>
      <c r="G1823" s="3" t="s">
        <v>20</v>
      </c>
      <c r="H1823" s="2" t="s">
        <v>21</v>
      </c>
      <c r="I1823" s="2" t="s">
        <v>4063</v>
      </c>
      <c r="J1823" s="3" t="str">
        <f>HYPERLINK("https://www.boe.es/gazeta/dias/1820/11/14/pdfs/GGB-1820-140.pdf#page=4","Abrir facsímil")</f>
        <v>Abrir facsímil</v>
      </c>
      <c r="K1823" s="3" t="s">
        <v>23</v>
      </c>
    </row>
    <row r="1824" spans="1:11" ht="42" customHeight="1">
      <c r="A1824" s="2" t="s">
        <v>4064</v>
      </c>
      <c r="B1824" s="2" t="s">
        <v>4065</v>
      </c>
      <c r="C1824" s="2" t="s">
        <v>17</v>
      </c>
      <c r="D1824" s="2" t="s">
        <v>18</v>
      </c>
      <c r="E1824" s="5">
        <v>-28884</v>
      </c>
      <c r="F1824" s="3" t="s">
        <v>882</v>
      </c>
      <c r="G1824" s="3" t="s">
        <v>38</v>
      </c>
      <c r="H1824" s="2" t="s">
        <v>21</v>
      </c>
      <c r="I1824" s="2" t="s">
        <v>4066</v>
      </c>
      <c r="J1824" s="3" t="str">
        <f>HYPERLINK("https://www.boe.es/gazeta/dias/1820/11/30/pdfs/GGB-1820-157.pdf#page=6","Abrir facsímil")</f>
        <v>Abrir facsímil</v>
      </c>
      <c r="K1824" s="3" t="s">
        <v>23</v>
      </c>
    </row>
    <row r="1825" spans="1:11" ht="42" customHeight="1">
      <c r="A1825" s="2" t="s">
        <v>4067</v>
      </c>
      <c r="B1825" s="2" t="s">
        <v>4068</v>
      </c>
      <c r="C1825" s="2" t="s">
        <v>17</v>
      </c>
      <c r="D1825" s="2" t="s">
        <v>18</v>
      </c>
      <c r="E1825" s="5">
        <v>-28909</v>
      </c>
      <c r="F1825" s="3" t="s">
        <v>278</v>
      </c>
      <c r="G1825" s="3" t="s">
        <v>20</v>
      </c>
      <c r="H1825" s="2" t="s">
        <v>30</v>
      </c>
      <c r="I1825" s="2" t="s">
        <v>4069</v>
      </c>
      <c r="J1825" s="3" t="str">
        <f>HYPERLINK("https://www.boe.es/gazeta/dias/1820/11/05/pdfs/GGB-1820-130.pdf#page=4","Abrir facsímil")</f>
        <v>Abrir facsímil</v>
      </c>
      <c r="K1825" s="3" t="s">
        <v>32</v>
      </c>
    </row>
    <row r="1826" spans="1:11" ht="42" customHeight="1">
      <c r="A1826" s="2" t="s">
        <v>4070</v>
      </c>
      <c r="B1826" s="2" t="s">
        <v>4071</v>
      </c>
      <c r="C1826" s="2" t="s">
        <v>35</v>
      </c>
      <c r="D1826" s="2" t="s">
        <v>36</v>
      </c>
      <c r="E1826" s="5">
        <v>-28960</v>
      </c>
      <c r="F1826" s="3" t="s">
        <v>704</v>
      </c>
      <c r="G1826" s="3" t="s">
        <v>20</v>
      </c>
      <c r="H1826" s="2" t="s">
        <v>21</v>
      </c>
      <c r="I1826" s="2" t="s">
        <v>4072</v>
      </c>
      <c r="J1826" s="3" t="str">
        <f>HYPERLINK("https://www.boe.es/gazeta/dias/1820/09/15/pdfs/GGB-1820-79.pdf#page=4","Abrir facsímil")</f>
        <v>Abrir facsímil</v>
      </c>
      <c r="K1826" s="3" t="s">
        <v>23</v>
      </c>
    </row>
    <row r="1827" spans="1:11" ht="42" customHeight="1">
      <c r="A1827" s="2" t="s">
        <v>4073</v>
      </c>
      <c r="B1827" s="2" t="s">
        <v>4074</v>
      </c>
      <c r="C1827" s="2" t="s">
        <v>35</v>
      </c>
      <c r="D1827" s="2" t="s">
        <v>36</v>
      </c>
      <c r="E1827" s="5">
        <v>-28912</v>
      </c>
      <c r="F1827" s="3" t="s">
        <v>1329</v>
      </c>
      <c r="G1827" s="3" t="s">
        <v>20</v>
      </c>
      <c r="H1827" s="2" t="s">
        <v>21</v>
      </c>
      <c r="I1827" s="2" t="s">
        <v>4075</v>
      </c>
      <c r="J1827" s="3" t="str">
        <f>HYPERLINK("https://www.boe.es/gazeta/dias/1820/11/02/pdfs/GGB-1820-127.pdf#page=4","Abrir facsímil")</f>
        <v>Abrir facsímil</v>
      </c>
      <c r="K1827" s="3" t="s">
        <v>23</v>
      </c>
    </row>
    <row r="1828" spans="1:11" ht="42" customHeight="1">
      <c r="A1828" s="2" t="s">
        <v>4076</v>
      </c>
      <c r="B1828" s="2" t="s">
        <v>4077</v>
      </c>
      <c r="C1828" s="2" t="s">
        <v>17</v>
      </c>
      <c r="D1828" s="2" t="s">
        <v>18</v>
      </c>
      <c r="E1828" s="5">
        <v>-28858</v>
      </c>
      <c r="F1828" s="3" t="s">
        <v>117</v>
      </c>
      <c r="G1828" s="3" t="s">
        <v>20</v>
      </c>
      <c r="H1828" s="2" t="s">
        <v>21</v>
      </c>
      <c r="I1828" s="2" t="s">
        <v>4078</v>
      </c>
      <c r="J1828" s="3" t="str">
        <f>HYPERLINK("https://www.boe.es/gazeta/dias/1820/12/26/pdfs/GGB-1820-183.pdf#page=4","Abrir facsímil")</f>
        <v>Abrir facsímil</v>
      </c>
      <c r="K1828" s="3" t="s">
        <v>23</v>
      </c>
    </row>
    <row r="1829" spans="1:11" ht="42" customHeight="1">
      <c r="A1829" s="2" t="s">
        <v>4079</v>
      </c>
      <c r="B1829" s="2" t="s">
        <v>4080</v>
      </c>
      <c r="C1829" s="2" t="s">
        <v>26</v>
      </c>
      <c r="D1829" s="2" t="s">
        <v>27</v>
      </c>
      <c r="E1829" s="5">
        <v>-28879</v>
      </c>
      <c r="F1829" s="3" t="s">
        <v>953</v>
      </c>
      <c r="G1829" s="3" t="s">
        <v>62</v>
      </c>
      <c r="H1829" s="2" t="s">
        <v>21</v>
      </c>
      <c r="I1829" s="2" t="s">
        <v>4081</v>
      </c>
      <c r="J1829" s="3" t="str">
        <f>HYPERLINK("https://www.boe.es/gazeta/dias/1820/12/05/pdfs/GGB-1820-162.pdf#page=3","Abrir facsímil")</f>
        <v>Abrir facsímil</v>
      </c>
      <c r="K1829" s="3" t="s">
        <v>23</v>
      </c>
    </row>
    <row r="1830" spans="1:11" ht="42" customHeight="1">
      <c r="A1830" s="2" t="s">
        <v>4082</v>
      </c>
      <c r="B1830" s="2" t="s">
        <v>4083</v>
      </c>
      <c r="C1830" s="2" t="s">
        <v>26</v>
      </c>
      <c r="D1830" s="2" t="s">
        <v>27</v>
      </c>
      <c r="E1830" s="5">
        <v>-28985</v>
      </c>
      <c r="F1830" s="3" t="s">
        <v>905</v>
      </c>
      <c r="G1830" s="3" t="s">
        <v>43</v>
      </c>
      <c r="H1830" s="2" t="s">
        <v>21</v>
      </c>
      <c r="I1830" s="2" t="s">
        <v>4084</v>
      </c>
      <c r="J1830" s="3" t="str">
        <f>HYPERLINK("https://www.boe.es/gazeta/dias/1820/08/21/pdfs/GGB-1820-54.pdf#page=2","Abrir facsímil")</f>
        <v>Abrir facsímil</v>
      </c>
      <c r="K1830" s="3" t="s">
        <v>23</v>
      </c>
    </row>
    <row r="1831" spans="1:11" ht="42" customHeight="1">
      <c r="A1831" s="2" t="s">
        <v>4085</v>
      </c>
      <c r="B1831" s="2" t="s">
        <v>4086</v>
      </c>
      <c r="C1831" s="2" t="s">
        <v>26</v>
      </c>
      <c r="D1831" s="2" t="s">
        <v>27</v>
      </c>
      <c r="E1831" s="5">
        <v>-29215</v>
      </c>
      <c r="F1831" s="3" t="s">
        <v>827</v>
      </c>
      <c r="G1831" s="3" t="s">
        <v>256</v>
      </c>
      <c r="H1831" s="2" t="s">
        <v>21</v>
      </c>
      <c r="I1831" s="2" t="s">
        <v>4087</v>
      </c>
      <c r="J1831" s="3" t="str">
        <f>HYPERLINK("https://www.boe.es/gazeta/dias/1820/01/04/pdfs/GMD-1820-2.pdf#page=5","Abrir facsímil")</f>
        <v>Abrir facsímil</v>
      </c>
      <c r="K1831" s="3" t="s">
        <v>23</v>
      </c>
    </row>
    <row r="1832" spans="1:11" ht="42" customHeight="1">
      <c r="A1832" s="2" t="s">
        <v>4088</v>
      </c>
      <c r="B1832" s="2" t="s">
        <v>4088</v>
      </c>
      <c r="C1832" s="2" t="s">
        <v>17</v>
      </c>
      <c r="D1832" s="2" t="s">
        <v>18</v>
      </c>
      <c r="E1832" s="5">
        <v>-29064</v>
      </c>
      <c r="F1832" s="3" t="s">
        <v>1264</v>
      </c>
      <c r="G1832" s="3" t="s">
        <v>256</v>
      </c>
      <c r="H1832" s="2" t="s">
        <v>21</v>
      </c>
      <c r="I1832" s="2" t="s">
        <v>4089</v>
      </c>
      <c r="J1832" s="3" t="str">
        <f>HYPERLINK("https://www.boe.es/gazeta/dias/1820/06/03/pdfs/GMD-1820-89.pdf#page=5","Abrir facsímil")</f>
        <v>Abrir facsímil</v>
      </c>
      <c r="K1832" s="3" t="s">
        <v>23</v>
      </c>
    </row>
    <row r="1833" spans="1:11" ht="42" customHeight="1">
      <c r="A1833" s="2" t="s">
        <v>4090</v>
      </c>
      <c r="B1833" s="2" t="s">
        <v>4090</v>
      </c>
      <c r="C1833" s="2" t="s">
        <v>74</v>
      </c>
      <c r="D1833" s="2" t="s">
        <v>18</v>
      </c>
      <c r="E1833" s="5">
        <v>-29145</v>
      </c>
      <c r="F1833" s="3" t="s">
        <v>3537</v>
      </c>
      <c r="G1833" s="3" t="s">
        <v>4091</v>
      </c>
      <c r="H1833" s="2" t="s">
        <v>21</v>
      </c>
      <c r="I1833" s="2" t="s">
        <v>4092</v>
      </c>
      <c r="J1833" s="3" t="str">
        <f>HYPERLINK("https://www.boe.es/gazeta/dias/1820/03/14/pdfs/GMD-1820-39.pdf#page=5","Abrir facsímil")</f>
        <v>Abrir facsímil</v>
      </c>
      <c r="K1833" s="3" t="s">
        <v>23</v>
      </c>
    </row>
    <row r="1834" spans="1:11" ht="42" customHeight="1">
      <c r="A1834" s="2" t="s">
        <v>4090</v>
      </c>
      <c r="B1834" s="2" t="s">
        <v>4090</v>
      </c>
      <c r="C1834" s="2" t="s">
        <v>26</v>
      </c>
      <c r="D1834" s="2" t="s">
        <v>27</v>
      </c>
      <c r="E1834" s="5">
        <v>-29027</v>
      </c>
      <c r="F1834" s="3" t="s">
        <v>937</v>
      </c>
      <c r="G1834" s="3" t="s">
        <v>20</v>
      </c>
      <c r="H1834" s="2" t="s">
        <v>21</v>
      </c>
      <c r="I1834" s="2" t="s">
        <v>4093</v>
      </c>
      <c r="J1834" s="3" t="str">
        <f>HYPERLINK("https://www.boe.es/gazeta/dias/1820/07/10/pdfs/GGB-1820-11.pdf#page=4","Abrir facsímil")</f>
        <v>Abrir facsímil</v>
      </c>
      <c r="K1834" s="3" t="s">
        <v>23</v>
      </c>
    </row>
    <row r="1835" spans="1:11" ht="42" customHeight="1">
      <c r="A1835" s="2" t="s">
        <v>4090</v>
      </c>
      <c r="B1835" s="2" t="s">
        <v>4090</v>
      </c>
      <c r="C1835" s="2" t="s">
        <v>35</v>
      </c>
      <c r="D1835" s="2" t="s">
        <v>36</v>
      </c>
      <c r="E1835" s="5">
        <v>-28899</v>
      </c>
      <c r="F1835" s="3" t="s">
        <v>285</v>
      </c>
      <c r="G1835" s="3" t="s">
        <v>20</v>
      </c>
      <c r="H1835" s="2" t="s">
        <v>21</v>
      </c>
      <c r="I1835" s="2" t="s">
        <v>4094</v>
      </c>
      <c r="J1835" s="3" t="str">
        <f>HYPERLINK("https://www.boe.es/gazeta/dias/1820/11/15/pdfs/GGB-1820-141.pdf#page=4","Abrir facsímil")</f>
        <v>Abrir facsímil</v>
      </c>
      <c r="K1835" s="3" t="s">
        <v>23</v>
      </c>
    </row>
    <row r="1836" spans="1:11" ht="42" customHeight="1">
      <c r="A1836" s="2" t="s">
        <v>4095</v>
      </c>
      <c r="B1836" s="2" t="s">
        <v>4096</v>
      </c>
      <c r="C1836" s="2" t="s">
        <v>26</v>
      </c>
      <c r="D1836" s="2" t="s">
        <v>27</v>
      </c>
      <c r="E1836" s="5">
        <v>-29124</v>
      </c>
      <c r="F1836" s="3" t="s">
        <v>4097</v>
      </c>
      <c r="G1836" s="3" t="s">
        <v>201</v>
      </c>
      <c r="H1836" s="2" t="s">
        <v>21</v>
      </c>
      <c r="I1836" s="2" t="s">
        <v>4098</v>
      </c>
      <c r="J1836" s="3" t="str">
        <f>HYPERLINK("https://www.boe.es/gazeta/dias/1820/04/04/pdfs/GMD-1820-60.pdf#page=7","Abrir facsímil")</f>
        <v>Abrir facsímil</v>
      </c>
      <c r="K1836" s="3" t="s">
        <v>23</v>
      </c>
    </row>
    <row r="1837" spans="1:11" ht="42" customHeight="1">
      <c r="A1837" s="2" t="s">
        <v>4099</v>
      </c>
      <c r="B1837" s="2" t="s">
        <v>4100</v>
      </c>
      <c r="C1837" s="2" t="s">
        <v>35</v>
      </c>
      <c r="D1837" s="2" t="s">
        <v>36</v>
      </c>
      <c r="E1837" s="5">
        <v>-29187</v>
      </c>
      <c r="F1837" s="3" t="s">
        <v>859</v>
      </c>
      <c r="G1837" s="3" t="s">
        <v>295</v>
      </c>
      <c r="H1837" s="2" t="s">
        <v>21</v>
      </c>
      <c r="I1837" s="2" t="s">
        <v>4101</v>
      </c>
      <c r="J1837" s="3" t="str">
        <f>HYPERLINK("https://www.boe.es/gazeta/dias/1820/02/01/pdfs/GMD-1820-14.pdf#page=8","Abrir facsímil")</f>
        <v>Abrir facsímil</v>
      </c>
      <c r="K1837" s="3" t="s">
        <v>23</v>
      </c>
    </row>
    <row r="1838" spans="1:11" ht="42" customHeight="1">
      <c r="A1838" s="2" t="s">
        <v>4102</v>
      </c>
      <c r="B1838" s="2" t="s">
        <v>4103</v>
      </c>
      <c r="C1838" s="2" t="s">
        <v>35</v>
      </c>
      <c r="D1838" s="2" t="s">
        <v>36</v>
      </c>
      <c r="E1838" s="5">
        <v>-29045</v>
      </c>
      <c r="F1838" s="3" t="s">
        <v>155</v>
      </c>
      <c r="G1838" s="3" t="s">
        <v>295</v>
      </c>
      <c r="H1838" s="2" t="s">
        <v>21</v>
      </c>
      <c r="I1838" s="2" t="s">
        <v>4104</v>
      </c>
      <c r="J1838" s="3" t="str">
        <f>HYPERLINK("https://www.boe.es/gazeta/dias/1820/06/22/pdfs/GMD-1820-97.pdf#page=8","Abrir facsímil")</f>
        <v>Abrir facsímil</v>
      </c>
      <c r="K1838" s="3" t="s">
        <v>23</v>
      </c>
    </row>
    <row r="1839" spans="1:11" ht="42" customHeight="1">
      <c r="A1839" s="2" t="s">
        <v>4105</v>
      </c>
      <c r="B1839" s="2" t="s">
        <v>4105</v>
      </c>
      <c r="C1839" s="2" t="s">
        <v>26</v>
      </c>
      <c r="D1839" s="2" t="s">
        <v>27</v>
      </c>
      <c r="E1839" s="5">
        <v>-28955</v>
      </c>
      <c r="F1839" s="3" t="s">
        <v>175</v>
      </c>
      <c r="G1839" s="3" t="s">
        <v>43</v>
      </c>
      <c r="H1839" s="2" t="s">
        <v>21</v>
      </c>
      <c r="I1839" s="2" t="s">
        <v>4106</v>
      </c>
      <c r="J1839" s="3" t="str">
        <f>HYPERLINK("https://www.boe.es/gazeta/dias/1820/09/20/pdfs/GGB-1820-84.pdf#page=2","Abrir facsímil")</f>
        <v>Abrir facsímil</v>
      </c>
      <c r="K1839" s="3" t="s">
        <v>23</v>
      </c>
    </row>
    <row r="1840" spans="1:11" ht="42" customHeight="1">
      <c r="A1840" s="2" t="s">
        <v>4107</v>
      </c>
      <c r="B1840" s="2" t="s">
        <v>4108</v>
      </c>
      <c r="C1840" s="2" t="s">
        <v>26</v>
      </c>
      <c r="D1840" s="2" t="s">
        <v>27</v>
      </c>
      <c r="E1840" s="5">
        <v>-28922</v>
      </c>
      <c r="F1840" s="3" t="s">
        <v>735</v>
      </c>
      <c r="G1840" s="3" t="s">
        <v>62</v>
      </c>
      <c r="H1840" s="2" t="s">
        <v>21</v>
      </c>
      <c r="I1840" s="2" t="s">
        <v>4109</v>
      </c>
      <c r="J1840" s="3" t="str">
        <f>HYPERLINK("https://www.boe.es/gazeta/dias/1820/10/23/pdfs/GGB-1820-117.pdf#page=3","Abrir facsímil")</f>
        <v>Abrir facsímil</v>
      </c>
      <c r="K1840" s="3" t="s">
        <v>23</v>
      </c>
    </row>
    <row r="1841" spans="1:11" ht="42" customHeight="1">
      <c r="A1841" s="2" t="s">
        <v>4110</v>
      </c>
      <c r="B1841" s="2" t="s">
        <v>4110</v>
      </c>
      <c r="C1841" s="2" t="s">
        <v>74</v>
      </c>
      <c r="D1841" s="2" t="s">
        <v>18</v>
      </c>
      <c r="E1841" s="5">
        <v>-29008</v>
      </c>
      <c r="F1841" s="3" t="s">
        <v>2250</v>
      </c>
      <c r="G1841" s="3" t="s">
        <v>20</v>
      </c>
      <c r="H1841" s="2" t="s">
        <v>21</v>
      </c>
      <c r="I1841" s="2" t="s">
        <v>4111</v>
      </c>
      <c r="J1841" s="3" t="str">
        <f>HYPERLINK("https://www.boe.es/gazeta/dias/1820/07/29/pdfs/GGB-1820-31.pdf#page=4","Abrir facsímil")</f>
        <v>Abrir facsímil</v>
      </c>
      <c r="K1841" s="3" t="s">
        <v>23</v>
      </c>
    </row>
    <row r="1842" spans="1:11" ht="42" customHeight="1">
      <c r="A1842" s="2" t="s">
        <v>4112</v>
      </c>
      <c r="B1842" s="2" t="s">
        <v>4113</v>
      </c>
      <c r="C1842" s="2" t="s">
        <v>35</v>
      </c>
      <c r="D1842" s="2" t="s">
        <v>36</v>
      </c>
      <c r="E1842" s="5">
        <v>-29092</v>
      </c>
      <c r="F1842" s="3" t="s">
        <v>1261</v>
      </c>
      <c r="G1842" s="3" t="s">
        <v>295</v>
      </c>
      <c r="H1842" s="2" t="s">
        <v>21</v>
      </c>
      <c r="I1842" s="2" t="s">
        <v>4114</v>
      </c>
      <c r="J1842" s="3" t="str">
        <f>HYPERLINK("https://www.boe.es/gazeta/dias/1820/05/06/pdfs/GMD-1820-76.pdf#page=8","Abrir facsímil")</f>
        <v>Abrir facsímil</v>
      </c>
      <c r="K1842" s="3" t="s">
        <v>23</v>
      </c>
    </row>
    <row r="1843" spans="1:11" ht="42" customHeight="1">
      <c r="A1843" s="2" t="s">
        <v>4115</v>
      </c>
      <c r="B1843" s="2" t="s">
        <v>4115</v>
      </c>
      <c r="C1843" s="2" t="s">
        <v>107</v>
      </c>
      <c r="D1843" s="2" t="s">
        <v>18</v>
      </c>
      <c r="E1843" s="5">
        <v>-28961</v>
      </c>
      <c r="F1843" s="3" t="s">
        <v>242</v>
      </c>
      <c r="G1843" s="3" t="s">
        <v>2442</v>
      </c>
      <c r="H1843" s="2" t="s">
        <v>21</v>
      </c>
      <c r="I1843" s="2" t="s">
        <v>4116</v>
      </c>
      <c r="J1843" s="3" t="str">
        <f>HYPERLINK("https://www.boe.es/gazeta/dias/1820/09/14/pdfs/GGB-1820-78.pdf#page=4","Abrir facsímil")</f>
        <v>Abrir facsímil</v>
      </c>
      <c r="K1843" s="3" t="s">
        <v>23</v>
      </c>
    </row>
    <row r="1844" spans="1:11" ht="42" customHeight="1">
      <c r="A1844" s="2" t="s">
        <v>4117</v>
      </c>
      <c r="B1844" s="2" t="s">
        <v>4117</v>
      </c>
      <c r="C1844" s="2" t="s">
        <v>74</v>
      </c>
      <c r="D1844" s="2" t="s">
        <v>18</v>
      </c>
      <c r="E1844" s="5">
        <v>-29023</v>
      </c>
      <c r="F1844" s="3" t="s">
        <v>1662</v>
      </c>
      <c r="G1844" s="3" t="s">
        <v>1663</v>
      </c>
      <c r="H1844" s="2" t="s">
        <v>21</v>
      </c>
      <c r="I1844" s="2" t="s">
        <v>4118</v>
      </c>
      <c r="J1844" s="3" t="str">
        <f>HYPERLINK("https://www.boe.es/gazeta/dias/1820/07/14/pdfs/GGB-1820-16.pdf#page=3","Abrir facsímil")</f>
        <v>Abrir facsímil</v>
      </c>
      <c r="K1844" s="3" t="s">
        <v>23</v>
      </c>
    </row>
    <row r="1845" spans="1:11" ht="42" customHeight="1">
      <c r="A1845" s="2" t="s">
        <v>4117</v>
      </c>
      <c r="B1845" s="2" t="s">
        <v>4117</v>
      </c>
      <c r="C1845" s="2" t="s">
        <v>26</v>
      </c>
      <c r="D1845" s="2" t="s">
        <v>27</v>
      </c>
      <c r="E1845" s="5">
        <v>-28980</v>
      </c>
      <c r="F1845" s="3" t="s">
        <v>614</v>
      </c>
      <c r="G1845" s="3" t="s">
        <v>62</v>
      </c>
      <c r="H1845" s="2" t="s">
        <v>21</v>
      </c>
      <c r="I1845" s="2" t="s">
        <v>4119</v>
      </c>
      <c r="J1845" s="3" t="str">
        <f>HYPERLINK("https://www.boe.es/gazeta/dias/1820/08/26/pdfs/GGB-1820-59.pdf#page=3","Abrir facsímil")</f>
        <v>Abrir facsímil</v>
      </c>
      <c r="K1845" s="3" t="s">
        <v>23</v>
      </c>
    </row>
    <row r="1846" spans="1:11" ht="42" customHeight="1">
      <c r="A1846" s="2" t="s">
        <v>4117</v>
      </c>
      <c r="B1846" s="2" t="s">
        <v>4117</v>
      </c>
      <c r="C1846" s="2" t="s">
        <v>26</v>
      </c>
      <c r="D1846" s="2" t="s">
        <v>27</v>
      </c>
      <c r="E1846" s="5">
        <v>-28979</v>
      </c>
      <c r="F1846" s="3" t="s">
        <v>218</v>
      </c>
      <c r="G1846" s="3" t="s">
        <v>20</v>
      </c>
      <c r="H1846" s="2" t="s">
        <v>21</v>
      </c>
      <c r="I1846" s="2" t="s">
        <v>4120</v>
      </c>
      <c r="J1846" s="3" t="str">
        <f>HYPERLINK("https://www.boe.es/gazeta/dias/1820/08/27/pdfs/GGB-1820-60.pdf#page=4","Abrir facsímil")</f>
        <v>Abrir facsímil</v>
      </c>
      <c r="K1846" s="3" t="s">
        <v>23</v>
      </c>
    </row>
    <row r="1847" spans="1:11" ht="42" customHeight="1">
      <c r="A1847" s="2" t="s">
        <v>4117</v>
      </c>
      <c r="B1847" s="2" t="s">
        <v>4117</v>
      </c>
      <c r="C1847" s="2" t="s">
        <v>26</v>
      </c>
      <c r="D1847" s="2" t="s">
        <v>27</v>
      </c>
      <c r="E1847" s="5">
        <v>-28975</v>
      </c>
      <c r="F1847" s="3" t="s">
        <v>182</v>
      </c>
      <c r="G1847" s="3" t="s">
        <v>43</v>
      </c>
      <c r="H1847" s="2" t="s">
        <v>21</v>
      </c>
      <c r="I1847" s="2" t="s">
        <v>4121</v>
      </c>
      <c r="J1847" s="3" t="str">
        <f>HYPERLINK("https://www.boe.es/gazeta/dias/1820/08/31/pdfs/GGB-1820-64.pdf#page=2","Abrir facsímil")</f>
        <v>Abrir facsímil</v>
      </c>
      <c r="K1847" s="3" t="s">
        <v>23</v>
      </c>
    </row>
    <row r="1848" spans="1:11" ht="42" customHeight="1">
      <c r="A1848" s="2" t="s">
        <v>4117</v>
      </c>
      <c r="B1848" s="2" t="s">
        <v>4117</v>
      </c>
      <c r="C1848" s="2" t="s">
        <v>17</v>
      </c>
      <c r="D1848" s="2" t="s">
        <v>18</v>
      </c>
      <c r="E1848" s="5">
        <v>-28958</v>
      </c>
      <c r="F1848" s="3" t="s">
        <v>706</v>
      </c>
      <c r="G1848" s="3" t="s">
        <v>62</v>
      </c>
      <c r="H1848" s="2" t="s">
        <v>21</v>
      </c>
      <c r="I1848" s="2" t="s">
        <v>4122</v>
      </c>
      <c r="J1848" s="3" t="str">
        <f>HYPERLINK("https://www.boe.es/gazeta/dias/1820/09/17/pdfs/GGB-1820-81.pdf#page=3","Abrir facsímil")</f>
        <v>Abrir facsímil</v>
      </c>
      <c r="K1848" s="3" t="s">
        <v>23</v>
      </c>
    </row>
    <row r="1849" spans="1:11" ht="42" customHeight="1">
      <c r="A1849" s="2" t="s">
        <v>4117</v>
      </c>
      <c r="B1849" s="2" t="s">
        <v>4117</v>
      </c>
      <c r="C1849" s="2" t="s">
        <v>74</v>
      </c>
      <c r="D1849" s="2" t="s">
        <v>18</v>
      </c>
      <c r="E1849" s="5">
        <v>-28956</v>
      </c>
      <c r="F1849" s="3" t="s">
        <v>190</v>
      </c>
      <c r="G1849" s="3" t="s">
        <v>62</v>
      </c>
      <c r="H1849" s="2" t="s">
        <v>21</v>
      </c>
      <c r="I1849" s="2" t="s">
        <v>4123</v>
      </c>
      <c r="J1849" s="3" t="str">
        <f>HYPERLINK("https://www.boe.es/gazeta/dias/1820/09/19/pdfs/GGB-1820-83.pdf#page=3","Abrir facsímil")</f>
        <v>Abrir facsímil</v>
      </c>
      <c r="K1849" s="3" t="s">
        <v>23</v>
      </c>
    </row>
    <row r="1850" spans="1:11" ht="42" customHeight="1">
      <c r="A1850" s="2" t="s">
        <v>4117</v>
      </c>
      <c r="B1850" s="2" t="s">
        <v>4117</v>
      </c>
      <c r="C1850" s="2" t="s">
        <v>111</v>
      </c>
      <c r="D1850" s="2" t="s">
        <v>18</v>
      </c>
      <c r="E1850" s="5">
        <v>-28952</v>
      </c>
      <c r="F1850" s="3" t="s">
        <v>370</v>
      </c>
      <c r="G1850" s="3" t="s">
        <v>62</v>
      </c>
      <c r="H1850" s="2" t="s">
        <v>21</v>
      </c>
      <c r="I1850" s="2" t="s">
        <v>4124</v>
      </c>
      <c r="J1850" s="3" t="str">
        <f>HYPERLINK("https://www.boe.es/gazeta/dias/1820/09/23/pdfs/GGB-1820-87.pdf#page=3","Abrir facsímil")</f>
        <v>Abrir facsímil</v>
      </c>
      <c r="K1850" s="3" t="s">
        <v>23</v>
      </c>
    </row>
    <row r="1851" spans="1:11" ht="42" customHeight="1">
      <c r="A1851" s="2" t="s">
        <v>4117</v>
      </c>
      <c r="B1851" s="2" t="s">
        <v>4117</v>
      </c>
      <c r="C1851" s="2" t="s">
        <v>26</v>
      </c>
      <c r="D1851" s="2" t="s">
        <v>27</v>
      </c>
      <c r="E1851" s="5">
        <v>-28940</v>
      </c>
      <c r="F1851" s="3" t="s">
        <v>141</v>
      </c>
      <c r="G1851" s="3" t="s">
        <v>142</v>
      </c>
      <c r="H1851" s="2" t="s">
        <v>21</v>
      </c>
      <c r="I1851" s="2" t="s">
        <v>4125</v>
      </c>
      <c r="J1851" s="3" t="str">
        <f>HYPERLINK("https://www.boe.es/gazeta/dias/1820/10/05/pdfs/GGB-1820-99.pdf#page=4","Abrir facsímil")</f>
        <v>Abrir facsímil</v>
      </c>
      <c r="K1851" s="3" t="s">
        <v>23</v>
      </c>
    </row>
    <row r="1852" spans="1:11" ht="42" customHeight="1">
      <c r="A1852" s="2" t="s">
        <v>4117</v>
      </c>
      <c r="B1852" s="2" t="s">
        <v>4117</v>
      </c>
      <c r="C1852" s="2" t="s">
        <v>35</v>
      </c>
      <c r="D1852" s="2" t="s">
        <v>36</v>
      </c>
      <c r="E1852" s="5">
        <v>-28932</v>
      </c>
      <c r="F1852" s="3" t="s">
        <v>407</v>
      </c>
      <c r="G1852" s="3" t="s">
        <v>20</v>
      </c>
      <c r="H1852" s="2" t="s">
        <v>21</v>
      </c>
      <c r="I1852" s="2" t="s">
        <v>4126</v>
      </c>
      <c r="J1852" s="3" t="str">
        <f>HYPERLINK("https://www.boe.es/gazeta/dias/1820/10/13/pdfs/GGB-1820-107.pdf#page=4","Abrir facsímil")</f>
        <v>Abrir facsímil</v>
      </c>
      <c r="K1852" s="3" t="s">
        <v>23</v>
      </c>
    </row>
    <row r="1853" spans="1:11" ht="42" customHeight="1">
      <c r="A1853" s="2" t="s">
        <v>4117</v>
      </c>
      <c r="B1853" s="2" t="s">
        <v>4117</v>
      </c>
      <c r="C1853" s="2" t="s">
        <v>35</v>
      </c>
      <c r="D1853" s="2" t="s">
        <v>36</v>
      </c>
      <c r="E1853" s="5">
        <v>-28926</v>
      </c>
      <c r="F1853" s="3" t="s">
        <v>597</v>
      </c>
      <c r="G1853" s="3" t="s">
        <v>43</v>
      </c>
      <c r="H1853" s="2" t="s">
        <v>21</v>
      </c>
      <c r="I1853" s="2" t="s">
        <v>4127</v>
      </c>
      <c r="J1853" s="3" t="str">
        <f>HYPERLINK("https://www.boe.es/gazeta/dias/1820/10/19/pdfs/GGB-1820-113.pdf#page=2","Abrir facsímil")</f>
        <v>Abrir facsímil</v>
      </c>
      <c r="K1853" s="3" t="s">
        <v>23</v>
      </c>
    </row>
    <row r="1854" spans="1:11" ht="42" customHeight="1">
      <c r="A1854" s="2" t="s">
        <v>4128</v>
      </c>
      <c r="B1854" s="2" t="s">
        <v>4129</v>
      </c>
      <c r="C1854" s="2" t="s">
        <v>35</v>
      </c>
      <c r="D1854" s="2" t="s">
        <v>36</v>
      </c>
      <c r="E1854" s="5">
        <v>-29199</v>
      </c>
      <c r="F1854" s="3" t="s">
        <v>1178</v>
      </c>
      <c r="G1854" s="3" t="s">
        <v>38</v>
      </c>
      <c r="H1854" s="2" t="s">
        <v>21</v>
      </c>
      <c r="I1854" s="2" t="s">
        <v>4130</v>
      </c>
      <c r="J1854" s="3" t="str">
        <f>HYPERLINK("https://www.boe.es/gazeta/dias/1820/01/20/pdfs/GMD-1820-9.pdf#page=6","Abrir facsímil")</f>
        <v>Abrir facsímil</v>
      </c>
      <c r="K1854" s="3" t="s">
        <v>23</v>
      </c>
    </row>
    <row r="1855" spans="1:11" ht="42" customHeight="1">
      <c r="A1855" s="2" t="s">
        <v>4131</v>
      </c>
      <c r="B1855" s="2" t="s">
        <v>4131</v>
      </c>
      <c r="C1855" s="2" t="s">
        <v>74</v>
      </c>
      <c r="D1855" s="2" t="s">
        <v>18</v>
      </c>
      <c r="E1855" s="5">
        <v>-28951</v>
      </c>
      <c r="F1855" s="3" t="s">
        <v>622</v>
      </c>
      <c r="G1855" s="3" t="s">
        <v>62</v>
      </c>
      <c r="H1855" s="2" t="s">
        <v>21</v>
      </c>
      <c r="I1855" s="2" t="s">
        <v>4132</v>
      </c>
      <c r="J1855" s="3" t="str">
        <f>HYPERLINK("https://www.boe.es/gazeta/dias/1820/09/24/pdfs/GGB-1820-88.pdf#page=3","Abrir facsímil")</f>
        <v>Abrir facsímil</v>
      </c>
      <c r="K1855" s="3" t="s">
        <v>23</v>
      </c>
    </row>
    <row r="1856" spans="1:11" ht="42" customHeight="1">
      <c r="A1856" s="2" t="s">
        <v>4131</v>
      </c>
      <c r="B1856" s="2" t="s">
        <v>4131</v>
      </c>
      <c r="C1856" s="2" t="s">
        <v>17</v>
      </c>
      <c r="D1856" s="2" t="s">
        <v>18</v>
      </c>
      <c r="E1856" s="5">
        <v>-28927</v>
      </c>
      <c r="F1856" s="3" t="s">
        <v>345</v>
      </c>
      <c r="G1856" s="3" t="s">
        <v>20</v>
      </c>
      <c r="H1856" s="2" t="s">
        <v>21</v>
      </c>
      <c r="I1856" s="2" t="s">
        <v>4133</v>
      </c>
      <c r="J1856" s="3" t="str">
        <f>HYPERLINK("https://www.boe.es/gazeta/dias/1820/10/18/pdfs/GGB-1820-112.pdf#page=4","Abrir facsímil")</f>
        <v>Abrir facsímil</v>
      </c>
      <c r="K1856" s="3" t="s">
        <v>23</v>
      </c>
    </row>
    <row r="1857" spans="1:11" ht="42" customHeight="1">
      <c r="A1857" s="2" t="s">
        <v>4134</v>
      </c>
      <c r="B1857" s="2" t="s">
        <v>4134</v>
      </c>
      <c r="C1857" s="2" t="s">
        <v>35</v>
      </c>
      <c r="D1857" s="2" t="s">
        <v>36</v>
      </c>
      <c r="E1857" s="5">
        <v>-28991</v>
      </c>
      <c r="F1857" s="3" t="s">
        <v>213</v>
      </c>
      <c r="G1857" s="3" t="s">
        <v>62</v>
      </c>
      <c r="H1857" s="2" t="s">
        <v>21</v>
      </c>
      <c r="I1857" s="2" t="s">
        <v>4135</v>
      </c>
      <c r="J1857" s="3" t="str">
        <f>HYPERLINK("https://www.boe.es/gazeta/dias/1820/08/15/pdfs/GGB-1820-48.pdf#page=3","Abrir facsímil")</f>
        <v>Abrir facsímil</v>
      </c>
      <c r="K1857" s="3" t="s">
        <v>23</v>
      </c>
    </row>
    <row r="1858" spans="1:11" ht="42" customHeight="1">
      <c r="A1858" s="2" t="s">
        <v>4136</v>
      </c>
      <c r="B1858" s="2" t="s">
        <v>4137</v>
      </c>
      <c r="C1858" s="2" t="s">
        <v>35</v>
      </c>
      <c r="D1858" s="2" t="s">
        <v>36</v>
      </c>
      <c r="E1858" s="5">
        <v>-28864</v>
      </c>
      <c r="F1858" s="3" t="s">
        <v>1275</v>
      </c>
      <c r="G1858" s="3" t="s">
        <v>20</v>
      </c>
      <c r="H1858" s="2" t="s">
        <v>21</v>
      </c>
      <c r="I1858" s="2" t="s">
        <v>4138</v>
      </c>
      <c r="J1858" s="3" t="str">
        <f>HYPERLINK("https://www.boe.es/gazeta/dias/1820/12/20/pdfs/GGB-1820-177.pdf#page=4","Abrir facsímil")</f>
        <v>Abrir facsímil</v>
      </c>
      <c r="K1858" s="3" t="s">
        <v>23</v>
      </c>
    </row>
    <row r="1859" spans="1:11" ht="42" customHeight="1">
      <c r="A1859" s="2" t="s">
        <v>4139</v>
      </c>
      <c r="B1859" s="2" t="s">
        <v>4139</v>
      </c>
      <c r="C1859" s="2" t="s">
        <v>35</v>
      </c>
      <c r="D1859" s="2" t="s">
        <v>36</v>
      </c>
      <c r="E1859" s="5">
        <v>-29213</v>
      </c>
      <c r="F1859" s="3" t="s">
        <v>195</v>
      </c>
      <c r="G1859" s="3" t="s">
        <v>256</v>
      </c>
      <c r="H1859" s="2" t="s">
        <v>21</v>
      </c>
      <c r="I1859" s="2" t="s">
        <v>4140</v>
      </c>
      <c r="J1859" s="3" t="str">
        <f>HYPERLINK("https://www.boe.es/gazeta/dias/1820/01/06/pdfs/GMD-1820-3.pdf#page=5","Abrir facsímil")</f>
        <v>Abrir facsímil</v>
      </c>
      <c r="K1859" s="3" t="s">
        <v>23</v>
      </c>
    </row>
    <row r="1860" spans="1:11" ht="42" customHeight="1">
      <c r="A1860" s="2" t="s">
        <v>4141</v>
      </c>
      <c r="B1860" s="2" t="s">
        <v>4142</v>
      </c>
      <c r="C1860" s="2" t="s">
        <v>26</v>
      </c>
      <c r="D1860" s="2" t="s">
        <v>27</v>
      </c>
      <c r="E1860" s="5">
        <v>-29045</v>
      </c>
      <c r="F1860" s="3" t="s">
        <v>155</v>
      </c>
      <c r="G1860" s="3" t="s">
        <v>38</v>
      </c>
      <c r="H1860" s="2" t="s">
        <v>21</v>
      </c>
      <c r="I1860" s="2" t="s">
        <v>4143</v>
      </c>
      <c r="J1860" s="3" t="str">
        <f>HYPERLINK("https://www.boe.es/gazeta/dias/1820/06/22/pdfs/GMD-1820-97.pdf#page=6","Abrir facsímil")</f>
        <v>Abrir facsímil</v>
      </c>
      <c r="K1860" s="3" t="s">
        <v>23</v>
      </c>
    </row>
    <row r="1861" spans="1:11" ht="42" customHeight="1">
      <c r="A1861" s="2" t="s">
        <v>4144</v>
      </c>
      <c r="B1861" s="2" t="s">
        <v>4145</v>
      </c>
      <c r="C1861" s="2" t="s">
        <v>26</v>
      </c>
      <c r="D1861" s="2" t="s">
        <v>27</v>
      </c>
      <c r="E1861" s="5">
        <v>-29075</v>
      </c>
      <c r="F1861" s="3" t="s">
        <v>1186</v>
      </c>
      <c r="G1861" s="3" t="s">
        <v>20</v>
      </c>
      <c r="H1861" s="2" t="s">
        <v>21</v>
      </c>
      <c r="I1861" s="2" t="s">
        <v>4146</v>
      </c>
      <c r="J1861" s="3" t="str">
        <f>HYPERLINK("https://www.boe.es/gazeta/dias/1820/05/23/pdfs/GMD-1820-84.pdf#page=4","Abrir facsímil")</f>
        <v>Abrir facsímil</v>
      </c>
      <c r="K1861" s="3" t="s">
        <v>23</v>
      </c>
    </row>
    <row r="1862" spans="1:11" ht="42" customHeight="1">
      <c r="A1862" s="2" t="s">
        <v>4147</v>
      </c>
      <c r="B1862" s="2" t="s">
        <v>4147</v>
      </c>
      <c r="C1862" s="2" t="s">
        <v>26</v>
      </c>
      <c r="D1862" s="2" t="s">
        <v>27</v>
      </c>
      <c r="E1862" s="5">
        <v>-29164</v>
      </c>
      <c r="F1862" s="3" t="s">
        <v>2516</v>
      </c>
      <c r="G1862" s="3" t="s">
        <v>256</v>
      </c>
      <c r="H1862" s="2" t="s">
        <v>21</v>
      </c>
      <c r="I1862" s="2" t="s">
        <v>4148</v>
      </c>
      <c r="J1862" s="3" t="str">
        <f>HYPERLINK("https://www.boe.es/gazeta/dias/1820/02/24/pdfs/GMD-1820-24.pdf#page=5","Abrir facsímil")</f>
        <v>Abrir facsímil</v>
      </c>
      <c r="K1862" s="3" t="s">
        <v>23</v>
      </c>
    </row>
    <row r="1863" spans="1:11" ht="42" customHeight="1">
      <c r="A1863" s="2" t="s">
        <v>4147</v>
      </c>
      <c r="B1863" s="2" t="s">
        <v>4147</v>
      </c>
      <c r="C1863" s="2" t="s">
        <v>26</v>
      </c>
      <c r="D1863" s="2" t="s">
        <v>27</v>
      </c>
      <c r="E1863" s="5">
        <v>-29029</v>
      </c>
      <c r="F1863" s="3" t="s">
        <v>282</v>
      </c>
      <c r="G1863" s="3" t="s">
        <v>62</v>
      </c>
      <c r="H1863" s="2" t="s">
        <v>21</v>
      </c>
      <c r="I1863" s="2" t="s">
        <v>4149</v>
      </c>
      <c r="J1863" s="3" t="str">
        <f>HYPERLINK("https://www.boe.es/gazeta/dias/1820/07/08/pdfs/GGB-1820-9.pdf#page=3","Abrir facsímil")</f>
        <v>Abrir facsímil</v>
      </c>
      <c r="K1863" s="3" t="s">
        <v>23</v>
      </c>
    </row>
    <row r="1864" spans="1:11" ht="42" customHeight="1">
      <c r="A1864" s="2" t="s">
        <v>4147</v>
      </c>
      <c r="B1864" s="2" t="s">
        <v>4147</v>
      </c>
      <c r="C1864" s="2" t="s">
        <v>26</v>
      </c>
      <c r="D1864" s="2" t="s">
        <v>27</v>
      </c>
      <c r="E1864" s="5">
        <v>-29004</v>
      </c>
      <c r="F1864" s="3" t="s">
        <v>75</v>
      </c>
      <c r="G1864" s="3" t="s">
        <v>62</v>
      </c>
      <c r="H1864" s="2" t="s">
        <v>21</v>
      </c>
      <c r="I1864" s="2" t="s">
        <v>4150</v>
      </c>
      <c r="J1864" s="3" t="str">
        <f>HYPERLINK("https://www.boe.es/gazeta/dias/1820/08/02/pdfs/GGB-1820-35.pdf#page=3","Abrir facsímil")</f>
        <v>Abrir facsímil</v>
      </c>
      <c r="K1864" s="3" t="s">
        <v>23</v>
      </c>
    </row>
    <row r="1865" spans="1:11" ht="42" customHeight="1">
      <c r="A1865" s="2" t="s">
        <v>4147</v>
      </c>
      <c r="B1865" s="2" t="s">
        <v>4147</v>
      </c>
      <c r="C1865" s="2" t="s">
        <v>107</v>
      </c>
      <c r="D1865" s="2" t="s">
        <v>18</v>
      </c>
      <c r="E1865" s="5">
        <v>-28996</v>
      </c>
      <c r="F1865" s="3" t="s">
        <v>636</v>
      </c>
      <c r="G1865" s="3" t="s">
        <v>20</v>
      </c>
      <c r="H1865" s="2" t="s">
        <v>21</v>
      </c>
      <c r="I1865" s="2" t="s">
        <v>4151</v>
      </c>
      <c r="J1865" s="3" t="str">
        <f>HYPERLINK("https://www.boe.es/gazeta/dias/1820/08/10/pdfs/GGB-1820-43.pdf#page=4","Abrir facsímil")</f>
        <v>Abrir facsímil</v>
      </c>
      <c r="K1865" s="3" t="s">
        <v>23</v>
      </c>
    </row>
    <row r="1866" spans="1:11" ht="42" customHeight="1">
      <c r="A1866" s="2" t="s">
        <v>4147</v>
      </c>
      <c r="B1866" s="2" t="s">
        <v>4147</v>
      </c>
      <c r="C1866" s="2" t="s">
        <v>26</v>
      </c>
      <c r="D1866" s="2" t="s">
        <v>27</v>
      </c>
      <c r="E1866" s="5">
        <v>-28985</v>
      </c>
      <c r="F1866" s="3" t="s">
        <v>905</v>
      </c>
      <c r="G1866" s="3" t="s">
        <v>928</v>
      </c>
      <c r="H1866" s="2" t="s">
        <v>21</v>
      </c>
      <c r="I1866" s="2" t="s">
        <v>4152</v>
      </c>
      <c r="J1866" s="3" t="str">
        <f>HYPERLINK("https://www.boe.es/gazeta/dias/1820/08/21/pdfs/GGB-1820-54.pdf#page=4","Abrir facsímil")</f>
        <v>Abrir facsímil</v>
      </c>
      <c r="K1866" s="3" t="s">
        <v>23</v>
      </c>
    </row>
    <row r="1867" spans="1:11" ht="42" customHeight="1">
      <c r="A1867" s="2" t="s">
        <v>4147</v>
      </c>
      <c r="B1867" s="2" t="s">
        <v>4147</v>
      </c>
      <c r="C1867" s="2" t="s">
        <v>26</v>
      </c>
      <c r="D1867" s="2" t="s">
        <v>27</v>
      </c>
      <c r="E1867" s="5">
        <v>-28984</v>
      </c>
      <c r="F1867" s="3" t="s">
        <v>520</v>
      </c>
      <c r="G1867" s="3" t="s">
        <v>43</v>
      </c>
      <c r="H1867" s="2" t="s">
        <v>21</v>
      </c>
      <c r="I1867" s="2" t="s">
        <v>4153</v>
      </c>
      <c r="J1867" s="3" t="str">
        <f>HYPERLINK("https://www.boe.es/gazeta/dias/1820/08/22/pdfs/GGB-1820-55.pdf#page=2","Abrir facsímil")</f>
        <v>Abrir facsímil</v>
      </c>
      <c r="K1867" s="3" t="s">
        <v>23</v>
      </c>
    </row>
    <row r="1868" spans="1:11" ht="42" customHeight="1">
      <c r="A1868" s="2" t="s">
        <v>4147</v>
      </c>
      <c r="B1868" s="2" t="s">
        <v>4147</v>
      </c>
      <c r="C1868" s="2" t="s">
        <v>26</v>
      </c>
      <c r="D1868" s="2" t="s">
        <v>27</v>
      </c>
      <c r="E1868" s="5">
        <v>-28927</v>
      </c>
      <c r="F1868" s="3" t="s">
        <v>345</v>
      </c>
      <c r="G1868" s="3" t="s">
        <v>20</v>
      </c>
      <c r="H1868" s="2" t="s">
        <v>21</v>
      </c>
      <c r="I1868" s="2" t="s">
        <v>4154</v>
      </c>
      <c r="J1868" s="3" t="str">
        <f>HYPERLINK("https://www.boe.es/gazeta/dias/1820/10/18/pdfs/GGB-1820-112.pdf#page=4","Abrir facsímil")</f>
        <v>Abrir facsímil</v>
      </c>
      <c r="K1868" s="3" t="s">
        <v>23</v>
      </c>
    </row>
    <row r="1869" spans="1:11" ht="42" customHeight="1">
      <c r="A1869" s="2" t="s">
        <v>4147</v>
      </c>
      <c r="B1869" s="2" t="s">
        <v>4147</v>
      </c>
      <c r="C1869" s="2" t="s">
        <v>26</v>
      </c>
      <c r="D1869" s="2" t="s">
        <v>27</v>
      </c>
      <c r="E1869" s="5">
        <v>-28911</v>
      </c>
      <c r="F1869" s="3" t="s">
        <v>82</v>
      </c>
      <c r="G1869" s="3" t="s">
        <v>20</v>
      </c>
      <c r="H1869" s="2" t="s">
        <v>21</v>
      </c>
      <c r="I1869" s="2" t="s">
        <v>4155</v>
      </c>
      <c r="J1869" s="3" t="str">
        <f>HYPERLINK("https://www.boe.es/gazeta/dias/1820/11/03/pdfs/GGB-1820-128.pdf#page=4","Abrir facsímil")</f>
        <v>Abrir facsímil</v>
      </c>
      <c r="K1869" s="3" t="s">
        <v>23</v>
      </c>
    </row>
    <row r="1870" spans="1:11" ht="42" customHeight="1">
      <c r="A1870" s="2" t="s">
        <v>4147</v>
      </c>
      <c r="B1870" s="2" t="s">
        <v>4147</v>
      </c>
      <c r="C1870" s="2" t="s">
        <v>26</v>
      </c>
      <c r="D1870" s="2" t="s">
        <v>27</v>
      </c>
      <c r="E1870" s="5">
        <v>-28898</v>
      </c>
      <c r="F1870" s="3" t="s">
        <v>1405</v>
      </c>
      <c r="G1870" s="3" t="s">
        <v>128</v>
      </c>
      <c r="H1870" s="2" t="s">
        <v>21</v>
      </c>
      <c r="I1870" s="2" t="s">
        <v>4156</v>
      </c>
      <c r="J1870" s="3" t="str">
        <f>HYPERLINK("https://www.boe.es/gazeta/dias/1820/11/16/pdfs/GGB-1820-142.pdf#page=1","Abrir facsímil")</f>
        <v>Abrir facsímil</v>
      </c>
      <c r="K1870" s="3" t="s">
        <v>23</v>
      </c>
    </row>
    <row r="1871" spans="1:11" ht="42" customHeight="1">
      <c r="A1871" s="2" t="s">
        <v>4147</v>
      </c>
      <c r="B1871" s="2" t="s">
        <v>4147</v>
      </c>
      <c r="C1871" s="2" t="s">
        <v>26</v>
      </c>
      <c r="D1871" s="2" t="s">
        <v>27</v>
      </c>
      <c r="E1871" s="5">
        <v>-28895</v>
      </c>
      <c r="F1871" s="3" t="s">
        <v>347</v>
      </c>
      <c r="G1871" s="3" t="s">
        <v>62</v>
      </c>
      <c r="H1871" s="2" t="s">
        <v>21</v>
      </c>
      <c r="I1871" s="2" t="s">
        <v>4157</v>
      </c>
      <c r="J1871" s="3" t="str">
        <f>HYPERLINK("https://www.boe.es/gazeta/dias/1820/11/19/pdfs/GGB-1820-146.pdf#page=3","Abrir facsímil")</f>
        <v>Abrir facsímil</v>
      </c>
      <c r="K1871" s="3" t="s">
        <v>23</v>
      </c>
    </row>
    <row r="1872" spans="1:11" ht="42" customHeight="1">
      <c r="A1872" s="2" t="s">
        <v>4147</v>
      </c>
      <c r="B1872" s="2" t="s">
        <v>4147</v>
      </c>
      <c r="C1872" s="2" t="s">
        <v>35</v>
      </c>
      <c r="D1872" s="2" t="s">
        <v>36</v>
      </c>
      <c r="E1872" s="5">
        <v>-28894</v>
      </c>
      <c r="F1872" s="3" t="s">
        <v>469</v>
      </c>
      <c r="G1872" s="3" t="s">
        <v>20</v>
      </c>
      <c r="H1872" s="2" t="s">
        <v>21</v>
      </c>
      <c r="I1872" s="2" t="s">
        <v>4158</v>
      </c>
      <c r="J1872" s="3" t="str">
        <f>HYPERLINK("https://www.boe.es/gazeta/dias/1820/11/20/pdfs/GGB-1820-147.pdf#page=4","Abrir facsímil")</f>
        <v>Abrir facsímil</v>
      </c>
      <c r="K1872" s="3" t="s">
        <v>23</v>
      </c>
    </row>
    <row r="1873" spans="1:11" ht="42" customHeight="1">
      <c r="A1873" s="2" t="s">
        <v>4147</v>
      </c>
      <c r="B1873" s="2" t="s">
        <v>4147</v>
      </c>
      <c r="C1873" s="2" t="s">
        <v>26</v>
      </c>
      <c r="D1873" s="2" t="s">
        <v>27</v>
      </c>
      <c r="E1873" s="5">
        <v>-28879</v>
      </c>
      <c r="F1873" s="3" t="s">
        <v>953</v>
      </c>
      <c r="G1873" s="3" t="s">
        <v>62</v>
      </c>
      <c r="H1873" s="2" t="s">
        <v>21</v>
      </c>
      <c r="I1873" s="2" t="s">
        <v>4159</v>
      </c>
      <c r="J1873" s="3" t="str">
        <f>HYPERLINK("https://www.boe.es/gazeta/dias/1820/12/05/pdfs/GGB-1820-162.pdf#page=3","Abrir facsímil")</f>
        <v>Abrir facsímil</v>
      </c>
      <c r="K1873" s="3" t="s">
        <v>23</v>
      </c>
    </row>
    <row r="1874" spans="1:11" ht="42" customHeight="1">
      <c r="A1874" s="2" t="s">
        <v>4160</v>
      </c>
      <c r="B1874" s="2" t="s">
        <v>4161</v>
      </c>
      <c r="C1874" s="2" t="s">
        <v>35</v>
      </c>
      <c r="D1874" s="2" t="s">
        <v>36</v>
      </c>
      <c r="E1874" s="5">
        <v>-28951</v>
      </c>
      <c r="F1874" s="3" t="s">
        <v>622</v>
      </c>
      <c r="G1874" s="3" t="s">
        <v>20</v>
      </c>
      <c r="H1874" s="2" t="s">
        <v>21</v>
      </c>
      <c r="I1874" s="2" t="s">
        <v>4162</v>
      </c>
      <c r="J1874" s="3" t="str">
        <f>HYPERLINK("https://www.boe.es/gazeta/dias/1820/09/24/pdfs/GGB-1820-88.pdf#page=4","Abrir facsímil")</f>
        <v>Abrir facsímil</v>
      </c>
      <c r="K1874" s="3" t="s">
        <v>23</v>
      </c>
    </row>
    <row r="1875" spans="1:11" ht="42" customHeight="1">
      <c r="A1875" s="2" t="s">
        <v>4163</v>
      </c>
      <c r="B1875" s="2" t="s">
        <v>4164</v>
      </c>
      <c r="C1875" s="2" t="s">
        <v>26</v>
      </c>
      <c r="D1875" s="2" t="s">
        <v>310</v>
      </c>
      <c r="E1875" s="5">
        <v>-29102</v>
      </c>
      <c r="F1875" s="3" t="s">
        <v>899</v>
      </c>
      <c r="G1875" s="3" t="s">
        <v>295</v>
      </c>
      <c r="H1875" s="2" t="s">
        <v>30</v>
      </c>
      <c r="I1875" s="2" t="s">
        <v>4165</v>
      </c>
      <c r="J1875" s="3" t="str">
        <f>HYPERLINK("https://www.boe.es/gazeta/dias/1820/04/26/pdfs/GMD-1820-71E.pdf#page=8","Abrir facsímil")</f>
        <v>Abrir facsímil</v>
      </c>
      <c r="K1875" s="3" t="s">
        <v>32</v>
      </c>
    </row>
    <row r="1876" spans="1:11" ht="42" customHeight="1">
      <c r="A1876" s="2" t="s">
        <v>4166</v>
      </c>
      <c r="B1876" s="2" t="s">
        <v>4166</v>
      </c>
      <c r="C1876" s="2" t="s">
        <v>26</v>
      </c>
      <c r="D1876" s="2" t="s">
        <v>27</v>
      </c>
      <c r="E1876" s="5">
        <v>-28912</v>
      </c>
      <c r="F1876" s="3" t="s">
        <v>1329</v>
      </c>
      <c r="G1876" s="3" t="s">
        <v>128</v>
      </c>
      <c r="H1876" s="2" t="s">
        <v>21</v>
      </c>
      <c r="I1876" s="2" t="s">
        <v>4167</v>
      </c>
      <c r="J1876" s="3" t="str">
        <f>HYPERLINK("https://www.boe.es/gazeta/dias/1820/11/02/pdfs/GGB-1820-127.pdf#page=1","Abrir facsímil")</f>
        <v>Abrir facsímil</v>
      </c>
      <c r="K1876" s="3" t="s">
        <v>23</v>
      </c>
    </row>
    <row r="1877" spans="1:11" ht="42" customHeight="1">
      <c r="A1877" s="2" t="s">
        <v>4168</v>
      </c>
      <c r="B1877" s="2" t="s">
        <v>4168</v>
      </c>
      <c r="C1877" s="2" t="s">
        <v>293</v>
      </c>
      <c r="D1877" s="2" t="s">
        <v>18</v>
      </c>
      <c r="E1877" s="5">
        <v>-28892</v>
      </c>
      <c r="F1877" s="3" t="s">
        <v>3036</v>
      </c>
      <c r="G1877" s="3" t="s">
        <v>43</v>
      </c>
      <c r="H1877" s="2" t="s">
        <v>21</v>
      </c>
      <c r="I1877" s="2" t="s">
        <v>4169</v>
      </c>
      <c r="J1877" s="3" t="str">
        <f>HYPERLINK("https://www.boe.es/gazeta/dias/1820/11/22/pdfs/GGB-1820-149.pdf#page=2","Abrir facsímil")</f>
        <v>Abrir facsímil</v>
      </c>
      <c r="K1877" s="3" t="s">
        <v>23</v>
      </c>
    </row>
    <row r="1878" spans="1:11" ht="42" customHeight="1">
      <c r="A1878" s="2" t="s">
        <v>4170</v>
      </c>
      <c r="B1878" s="2" t="s">
        <v>4171</v>
      </c>
      <c r="C1878" s="2" t="s">
        <v>26</v>
      </c>
      <c r="D1878" s="2" t="s">
        <v>27</v>
      </c>
      <c r="E1878" s="5">
        <v>-28934</v>
      </c>
      <c r="F1878" s="3" t="s">
        <v>163</v>
      </c>
      <c r="G1878" s="3" t="s">
        <v>62</v>
      </c>
      <c r="H1878" s="2" t="s">
        <v>21</v>
      </c>
      <c r="I1878" s="2" t="s">
        <v>4172</v>
      </c>
      <c r="J1878" s="3" t="str">
        <f>HYPERLINK("https://www.boe.es/gazeta/dias/1820/10/11/pdfs/GGB-1820-105.pdf#page=3","Abrir facsímil")</f>
        <v>Abrir facsímil</v>
      </c>
      <c r="K1878" s="3" t="s">
        <v>23</v>
      </c>
    </row>
    <row r="1879" spans="1:11" ht="42" customHeight="1">
      <c r="A1879" s="2" t="s">
        <v>4173</v>
      </c>
      <c r="B1879" s="2" t="s">
        <v>4174</v>
      </c>
      <c r="C1879" s="2" t="s">
        <v>26</v>
      </c>
      <c r="D1879" s="2" t="s">
        <v>27</v>
      </c>
      <c r="E1879" s="5">
        <v>-29122</v>
      </c>
      <c r="F1879" s="3" t="s">
        <v>844</v>
      </c>
      <c r="G1879" s="3" t="s">
        <v>1895</v>
      </c>
      <c r="H1879" s="2" t="s">
        <v>21</v>
      </c>
      <c r="I1879" s="2" t="s">
        <v>4175</v>
      </c>
      <c r="J1879" s="3" t="str">
        <f>HYPERLINK("https://www.boe.es/gazeta/dias/1820/04/06/pdfs/GMD-1820-62.pdf#page=4","Abrir facsímil")</f>
        <v>Abrir facsímil</v>
      </c>
      <c r="K1879" s="3" t="s">
        <v>23</v>
      </c>
    </row>
    <row r="1880" spans="1:11" ht="42" customHeight="1">
      <c r="A1880" s="2" t="s">
        <v>4176</v>
      </c>
      <c r="B1880" s="2" t="s">
        <v>4176</v>
      </c>
      <c r="C1880" s="2" t="s">
        <v>26</v>
      </c>
      <c r="D1880" s="2" t="s">
        <v>27</v>
      </c>
      <c r="E1880" s="5">
        <v>-28972</v>
      </c>
      <c r="F1880" s="3" t="s">
        <v>522</v>
      </c>
      <c r="G1880" s="3" t="s">
        <v>128</v>
      </c>
      <c r="H1880" s="2" t="s">
        <v>21</v>
      </c>
      <c r="I1880" s="2" t="s">
        <v>4177</v>
      </c>
      <c r="J1880" s="3" t="str">
        <f>HYPERLINK("https://www.boe.es/gazeta/dias/1820/09/03/pdfs/GGB-1820-67.pdf#page=1","Abrir facsímil")</f>
        <v>Abrir facsímil</v>
      </c>
      <c r="K1880" s="3" t="s">
        <v>23</v>
      </c>
    </row>
    <row r="1881" spans="1:11" ht="42" customHeight="1">
      <c r="A1881" s="2" t="s">
        <v>4178</v>
      </c>
      <c r="B1881" s="2" t="s">
        <v>4178</v>
      </c>
      <c r="C1881" s="2" t="s">
        <v>26</v>
      </c>
      <c r="D1881" s="2" t="s">
        <v>27</v>
      </c>
      <c r="E1881" s="5">
        <v>-28996</v>
      </c>
      <c r="F1881" s="3" t="s">
        <v>636</v>
      </c>
      <c r="G1881" s="3" t="s">
        <v>1039</v>
      </c>
      <c r="H1881" s="2" t="s">
        <v>21</v>
      </c>
      <c r="I1881" s="2" t="s">
        <v>4179</v>
      </c>
      <c r="J1881" s="3" t="str">
        <f>HYPERLINK("https://www.boe.es/gazeta/dias/1820/08/10/pdfs/GGB-1820-43.pdf#page=2","Abrir facsímil")</f>
        <v>Abrir facsímil</v>
      </c>
      <c r="K1881" s="3" t="s">
        <v>23</v>
      </c>
    </row>
    <row r="1882" spans="1:11" ht="42" customHeight="1">
      <c r="A1882" s="2" t="s">
        <v>4178</v>
      </c>
      <c r="B1882" s="2" t="s">
        <v>4178</v>
      </c>
      <c r="C1882" s="2" t="s">
        <v>74</v>
      </c>
      <c r="D1882" s="2" t="s">
        <v>18</v>
      </c>
      <c r="E1882" s="5">
        <v>-28923</v>
      </c>
      <c r="F1882" s="3" t="s">
        <v>648</v>
      </c>
      <c r="G1882" s="3" t="s">
        <v>20</v>
      </c>
      <c r="H1882" s="2" t="s">
        <v>21</v>
      </c>
      <c r="I1882" s="2" t="s">
        <v>4180</v>
      </c>
      <c r="J1882" s="3" t="str">
        <f>HYPERLINK("https://www.boe.es/gazeta/dias/1820/10/22/pdfs/GGB-1820-116.pdf#page=4","Abrir facsímil")</f>
        <v>Abrir facsímil</v>
      </c>
      <c r="K1882" s="3" t="s">
        <v>23</v>
      </c>
    </row>
    <row r="1883" spans="1:11" ht="42" customHeight="1">
      <c r="A1883" s="2" t="s">
        <v>4181</v>
      </c>
      <c r="B1883" s="2" t="s">
        <v>4182</v>
      </c>
      <c r="C1883" s="2" t="s">
        <v>26</v>
      </c>
      <c r="D1883" s="2" t="s">
        <v>27</v>
      </c>
      <c r="E1883" s="5">
        <v>-28923</v>
      </c>
      <c r="F1883" s="3" t="s">
        <v>648</v>
      </c>
      <c r="G1883" s="3" t="s">
        <v>62</v>
      </c>
      <c r="H1883" s="2" t="s">
        <v>21</v>
      </c>
      <c r="I1883" s="2" t="s">
        <v>4183</v>
      </c>
      <c r="J1883" s="3" t="str">
        <f>HYPERLINK("https://www.boe.es/gazeta/dias/1820/10/22/pdfs/GGB-1820-116.pdf#page=3","Abrir facsímil")</f>
        <v>Abrir facsímil</v>
      </c>
      <c r="K1883" s="3" t="s">
        <v>23</v>
      </c>
    </row>
    <row r="1884" spans="1:11" ht="42" customHeight="1">
      <c r="A1884" s="2" t="s">
        <v>4184</v>
      </c>
      <c r="B1884" s="2" t="s">
        <v>4185</v>
      </c>
      <c r="C1884" s="2" t="s">
        <v>26</v>
      </c>
      <c r="D1884" s="2" t="s">
        <v>27</v>
      </c>
      <c r="E1884" s="5">
        <v>-28964</v>
      </c>
      <c r="F1884" s="3" t="s">
        <v>240</v>
      </c>
      <c r="G1884" s="3" t="s">
        <v>20</v>
      </c>
      <c r="H1884" s="2" t="s">
        <v>21</v>
      </c>
      <c r="I1884" s="2" t="s">
        <v>4186</v>
      </c>
      <c r="J1884" s="3" t="str">
        <f>HYPERLINK("https://www.boe.es/gazeta/dias/1820/09/11/pdfs/GGB-1820-75.pdf#page=4","Abrir facsímil")</f>
        <v>Abrir facsímil</v>
      </c>
      <c r="K1884" s="3" t="s">
        <v>23</v>
      </c>
    </row>
    <row r="1885" spans="1:11" ht="42" customHeight="1">
      <c r="A1885" s="2" t="s">
        <v>4187</v>
      </c>
      <c r="B1885" s="2" t="s">
        <v>4187</v>
      </c>
      <c r="C1885" s="2" t="s">
        <v>26</v>
      </c>
      <c r="D1885" s="2" t="s">
        <v>27</v>
      </c>
      <c r="E1885" s="5">
        <v>-29178</v>
      </c>
      <c r="F1885" s="3" t="s">
        <v>782</v>
      </c>
      <c r="G1885" s="3" t="s">
        <v>256</v>
      </c>
      <c r="H1885" s="2" t="s">
        <v>21</v>
      </c>
      <c r="I1885" s="2" t="s">
        <v>4188</v>
      </c>
      <c r="J1885" s="3" t="str">
        <f>HYPERLINK("https://www.boe.es/gazeta/dias/1820/02/10/pdfs/GMD-1820-18.pdf#page=5","Abrir facsímil")</f>
        <v>Abrir facsímil</v>
      </c>
      <c r="K1885" s="3" t="s">
        <v>23</v>
      </c>
    </row>
    <row r="1886" spans="1:11" ht="42" customHeight="1">
      <c r="A1886" s="2" t="s">
        <v>4187</v>
      </c>
      <c r="B1886" s="2" t="s">
        <v>4187</v>
      </c>
      <c r="C1886" s="2" t="s">
        <v>47</v>
      </c>
      <c r="D1886" s="2" t="s">
        <v>18</v>
      </c>
      <c r="E1886" s="5">
        <v>-29122</v>
      </c>
      <c r="F1886" s="3" t="s">
        <v>844</v>
      </c>
      <c r="G1886" s="3" t="s">
        <v>845</v>
      </c>
      <c r="H1886" s="2" t="s">
        <v>21</v>
      </c>
      <c r="I1886" s="2" t="s">
        <v>4189</v>
      </c>
      <c r="J1886" s="3" t="str">
        <f>HYPERLINK("https://www.boe.es/gazeta/dias/1820/04/06/pdfs/GMD-1820-62.pdf#page=8","Abrir facsímil")</f>
        <v>Abrir facsímil</v>
      </c>
      <c r="K1886" s="3" t="s">
        <v>23</v>
      </c>
    </row>
    <row r="1887" spans="1:11" ht="42" customHeight="1">
      <c r="A1887" s="2" t="s">
        <v>4190</v>
      </c>
      <c r="B1887" s="2" t="s">
        <v>4190</v>
      </c>
      <c r="C1887" s="2" t="s">
        <v>26</v>
      </c>
      <c r="D1887" s="2" t="s">
        <v>27</v>
      </c>
      <c r="E1887" s="5">
        <v>-28868</v>
      </c>
      <c r="F1887" s="3" t="s">
        <v>4191</v>
      </c>
      <c r="G1887" s="3" t="s">
        <v>128</v>
      </c>
      <c r="H1887" s="2" t="s">
        <v>21</v>
      </c>
      <c r="I1887" s="2" t="s">
        <v>4192</v>
      </c>
      <c r="J1887" s="3" t="str">
        <f>HYPERLINK("https://www.boe.es/gazeta/dias/1820/12/16/pdfs/GGB-1820-173.pdf#page=1","Abrir facsímil")</f>
        <v>Abrir facsímil</v>
      </c>
      <c r="K1887" s="3" t="s">
        <v>23</v>
      </c>
    </row>
    <row r="1888" spans="1:11" ht="42" customHeight="1">
      <c r="A1888" s="2" t="s">
        <v>4193</v>
      </c>
      <c r="B1888" s="2" t="s">
        <v>4193</v>
      </c>
      <c r="C1888" s="2" t="s">
        <v>35</v>
      </c>
      <c r="D1888" s="2" t="s">
        <v>36</v>
      </c>
      <c r="E1888" s="5">
        <v>-28878</v>
      </c>
      <c r="F1888" s="3" t="s">
        <v>866</v>
      </c>
      <c r="G1888" s="3" t="s">
        <v>128</v>
      </c>
      <c r="H1888" s="2" t="s">
        <v>21</v>
      </c>
      <c r="I1888" s="2" t="s">
        <v>4194</v>
      </c>
      <c r="J1888" s="3" t="str">
        <f>HYPERLINK("https://www.boe.es/gazeta/dias/1820/12/06/pdfs/GGB-1820-163.pdf#page=1","Abrir facsímil")</f>
        <v>Abrir facsímil</v>
      </c>
      <c r="K1888" s="3" t="s">
        <v>23</v>
      </c>
    </row>
    <row r="1889" spans="1:11" ht="42" customHeight="1">
      <c r="A1889" s="2" t="s">
        <v>4195</v>
      </c>
      <c r="B1889" s="2" t="s">
        <v>4195</v>
      </c>
      <c r="C1889" s="2" t="s">
        <v>17</v>
      </c>
      <c r="D1889" s="2" t="s">
        <v>18</v>
      </c>
      <c r="E1889" s="5">
        <v>-28891</v>
      </c>
      <c r="F1889" s="3" t="s">
        <v>965</v>
      </c>
      <c r="G1889" s="3" t="s">
        <v>43</v>
      </c>
      <c r="H1889" s="2" t="s">
        <v>21</v>
      </c>
      <c r="I1889" s="2" t="s">
        <v>4196</v>
      </c>
      <c r="J1889" s="3" t="str">
        <f>HYPERLINK("https://www.boe.es/gazeta/dias/1820/11/23/pdfs/GGB-1820-150.pdf#page=2","Abrir facsímil")</f>
        <v>Abrir facsímil</v>
      </c>
      <c r="K1889" s="3" t="s">
        <v>23</v>
      </c>
    </row>
    <row r="1890" spans="1:11" ht="42" customHeight="1">
      <c r="A1890" s="2" t="s">
        <v>4197</v>
      </c>
      <c r="B1890" s="2" t="s">
        <v>4197</v>
      </c>
      <c r="C1890" s="2" t="s">
        <v>26</v>
      </c>
      <c r="D1890" s="2" t="s">
        <v>27</v>
      </c>
      <c r="E1890" s="5">
        <v>-28898</v>
      </c>
      <c r="F1890" s="3" t="s">
        <v>1405</v>
      </c>
      <c r="G1890" s="3" t="s">
        <v>128</v>
      </c>
      <c r="H1890" s="2" t="s">
        <v>21</v>
      </c>
      <c r="I1890" s="2" t="s">
        <v>4198</v>
      </c>
      <c r="J1890" s="3" t="str">
        <f>HYPERLINK("https://www.boe.es/gazeta/dias/1820/11/16/pdfs/GGB-1820-142.pdf#page=1","Abrir facsímil")</f>
        <v>Abrir facsímil</v>
      </c>
      <c r="K1890" s="3" t="s">
        <v>23</v>
      </c>
    </row>
    <row r="1891" spans="1:11" ht="42" customHeight="1">
      <c r="A1891" s="2" t="s">
        <v>4197</v>
      </c>
      <c r="B1891" s="2" t="s">
        <v>4197</v>
      </c>
      <c r="C1891" s="2" t="s">
        <v>26</v>
      </c>
      <c r="D1891" s="2" t="s">
        <v>27</v>
      </c>
      <c r="E1891" s="5">
        <v>-28889</v>
      </c>
      <c r="F1891" s="3" t="s">
        <v>777</v>
      </c>
      <c r="G1891" s="3" t="s">
        <v>128</v>
      </c>
      <c r="H1891" s="2" t="s">
        <v>21</v>
      </c>
      <c r="I1891" s="2" t="s">
        <v>4199</v>
      </c>
      <c r="J1891" s="3" t="str">
        <f>HYPERLINK("https://www.boe.es/gazeta/dias/1820/11/25/pdfs/GGB-1820-152.pdf#page=1","Abrir facsímil")</f>
        <v>Abrir facsímil</v>
      </c>
      <c r="K1891" s="3" t="s">
        <v>23</v>
      </c>
    </row>
    <row r="1892" spans="1:11" ht="42" customHeight="1">
      <c r="A1892" s="2" t="s">
        <v>4197</v>
      </c>
      <c r="B1892" s="2" t="s">
        <v>4197</v>
      </c>
      <c r="C1892" s="2" t="s">
        <v>26</v>
      </c>
      <c r="D1892" s="2" t="s">
        <v>27</v>
      </c>
      <c r="E1892" s="5">
        <v>-28887</v>
      </c>
      <c r="F1892" s="3" t="s">
        <v>2098</v>
      </c>
      <c r="G1892" s="3" t="s">
        <v>128</v>
      </c>
      <c r="H1892" s="2" t="s">
        <v>21</v>
      </c>
      <c r="I1892" s="2" t="s">
        <v>4200</v>
      </c>
      <c r="J1892" s="3" t="str">
        <f>HYPERLINK("https://www.boe.es/gazeta/dias/1820/11/27/pdfs/GGB-1820-154.pdf#page=1","Abrir facsímil")</f>
        <v>Abrir facsímil</v>
      </c>
      <c r="K1892" s="3" t="s">
        <v>23</v>
      </c>
    </row>
    <row r="1893" spans="1:11" ht="42" customHeight="1">
      <c r="A1893" s="2" t="s">
        <v>4201</v>
      </c>
      <c r="B1893" s="2" t="s">
        <v>4201</v>
      </c>
      <c r="C1893" s="2" t="s">
        <v>26</v>
      </c>
      <c r="D1893" s="2" t="s">
        <v>27</v>
      </c>
      <c r="E1893" s="5">
        <v>-29027</v>
      </c>
      <c r="F1893" s="3" t="s">
        <v>937</v>
      </c>
      <c r="G1893" s="3" t="s">
        <v>43</v>
      </c>
      <c r="H1893" s="2" t="s">
        <v>21</v>
      </c>
      <c r="I1893" s="2" t="s">
        <v>4202</v>
      </c>
      <c r="J1893" s="3" t="str">
        <f>HYPERLINK("https://www.boe.es/gazeta/dias/1820/07/10/pdfs/GGB-1820-11.pdf#page=2","Abrir facsímil")</f>
        <v>Abrir facsímil</v>
      </c>
      <c r="K1893" s="3" t="s">
        <v>23</v>
      </c>
    </row>
    <row r="1894" spans="1:11" ht="42" customHeight="1">
      <c r="A1894" s="2" t="s">
        <v>4203</v>
      </c>
      <c r="B1894" s="2" t="s">
        <v>4204</v>
      </c>
      <c r="C1894" s="2" t="s">
        <v>26</v>
      </c>
      <c r="D1894" s="2" t="s">
        <v>27</v>
      </c>
      <c r="E1894" s="5">
        <v>-28939</v>
      </c>
      <c r="F1894" s="3" t="s">
        <v>992</v>
      </c>
      <c r="G1894" s="3" t="s">
        <v>20</v>
      </c>
      <c r="H1894" s="2" t="s">
        <v>21</v>
      </c>
      <c r="I1894" s="2" t="s">
        <v>4205</v>
      </c>
      <c r="J1894" s="3" t="str">
        <f>HYPERLINK("https://www.boe.es/gazeta/dias/1820/10/06/pdfs/GGB-1820-100.pdf#page=4","Abrir facsímil")</f>
        <v>Abrir facsímil</v>
      </c>
      <c r="K1894" s="3" t="s">
        <v>23</v>
      </c>
    </row>
    <row r="1895" spans="1:11" ht="42" customHeight="1">
      <c r="A1895" s="2" t="s">
        <v>4206</v>
      </c>
      <c r="B1895" s="2" t="s">
        <v>4207</v>
      </c>
      <c r="C1895" s="2" t="s">
        <v>47</v>
      </c>
      <c r="D1895" s="2" t="s">
        <v>18</v>
      </c>
      <c r="E1895" s="5">
        <v>-28965</v>
      </c>
      <c r="F1895" s="3" t="s">
        <v>1520</v>
      </c>
      <c r="G1895" s="3" t="s">
        <v>20</v>
      </c>
      <c r="H1895" s="2" t="s">
        <v>21</v>
      </c>
      <c r="I1895" s="2" t="s">
        <v>4208</v>
      </c>
      <c r="J1895" s="3" t="str">
        <f>HYPERLINK("https://www.boe.es/gazeta/dias/1820/09/10/pdfs/GGB-1820-74.pdf#page=4","Abrir facsímil")</f>
        <v>Abrir facsímil</v>
      </c>
      <c r="K1895" s="3" t="s">
        <v>23</v>
      </c>
    </row>
    <row r="1896" spans="1:11" ht="42" customHeight="1">
      <c r="A1896" s="2" t="s">
        <v>4209</v>
      </c>
      <c r="B1896" s="2" t="s">
        <v>4210</v>
      </c>
      <c r="C1896" s="2" t="s">
        <v>35</v>
      </c>
      <c r="D1896" s="2" t="s">
        <v>36</v>
      </c>
      <c r="E1896" s="5">
        <v>-28946</v>
      </c>
      <c r="F1896" s="3" t="s">
        <v>1055</v>
      </c>
      <c r="G1896" s="3" t="s">
        <v>20</v>
      </c>
      <c r="H1896" s="2" t="s">
        <v>21</v>
      </c>
      <c r="I1896" s="2" t="s">
        <v>4211</v>
      </c>
      <c r="J1896" s="3" t="str">
        <f>HYPERLINK("https://www.boe.es/gazeta/dias/1820/09/29/pdfs/GGB-1820-93.pdf#page=4","Abrir facsímil")</f>
        <v>Abrir facsímil</v>
      </c>
      <c r="K1896" s="3" t="s">
        <v>23</v>
      </c>
    </row>
    <row r="1897" spans="1:11" ht="42" customHeight="1">
      <c r="A1897" s="2" t="s">
        <v>4212</v>
      </c>
      <c r="B1897" s="2" t="s">
        <v>4213</v>
      </c>
      <c r="C1897" s="2" t="s">
        <v>35</v>
      </c>
      <c r="D1897" s="2" t="s">
        <v>36</v>
      </c>
      <c r="E1897" s="5">
        <v>-28942</v>
      </c>
      <c r="F1897" s="3" t="s">
        <v>244</v>
      </c>
      <c r="G1897" s="3" t="s">
        <v>20</v>
      </c>
      <c r="H1897" s="2" t="s">
        <v>21</v>
      </c>
      <c r="I1897" s="2" t="s">
        <v>4214</v>
      </c>
      <c r="J1897" s="3" t="str">
        <f>HYPERLINK("https://www.boe.es/gazeta/dias/1820/10/03/pdfs/GGB-1820-97.pdf#page=4","Abrir facsímil")</f>
        <v>Abrir facsímil</v>
      </c>
      <c r="K1897" s="3" t="s">
        <v>23</v>
      </c>
    </row>
    <row r="1898" spans="1:11" ht="42" customHeight="1">
      <c r="A1898" s="2" t="s">
        <v>4215</v>
      </c>
      <c r="B1898" s="2" t="s">
        <v>4216</v>
      </c>
      <c r="C1898" s="2" t="s">
        <v>17</v>
      </c>
      <c r="D1898" s="2" t="s">
        <v>18</v>
      </c>
      <c r="E1898" s="5">
        <v>-28931</v>
      </c>
      <c r="F1898" s="3" t="s">
        <v>724</v>
      </c>
      <c r="G1898" s="3" t="s">
        <v>20</v>
      </c>
      <c r="H1898" s="2" t="s">
        <v>21</v>
      </c>
      <c r="I1898" s="2" t="s">
        <v>4217</v>
      </c>
      <c r="J1898" s="3" t="str">
        <f>HYPERLINK("https://www.boe.es/gazeta/dias/1820/10/14/pdfs/GGB-1820-108.pdf#page=4","Abrir facsímil")</f>
        <v>Abrir facsímil</v>
      </c>
      <c r="K1898" s="3" t="s">
        <v>23</v>
      </c>
    </row>
    <row r="1899" spans="1:11" ht="42" customHeight="1">
      <c r="A1899" s="2" t="s">
        <v>4218</v>
      </c>
      <c r="B1899" s="2" t="s">
        <v>4218</v>
      </c>
      <c r="C1899" s="2" t="s">
        <v>26</v>
      </c>
      <c r="D1899" s="2" t="s">
        <v>27</v>
      </c>
      <c r="E1899" s="5">
        <v>-29192</v>
      </c>
      <c r="F1899" s="3" t="s">
        <v>497</v>
      </c>
      <c r="G1899" s="3" t="s">
        <v>256</v>
      </c>
      <c r="H1899" s="2" t="s">
        <v>21</v>
      </c>
      <c r="I1899" s="2" t="s">
        <v>4219</v>
      </c>
      <c r="J1899" s="3" t="str">
        <f>HYPERLINK("https://www.boe.es/gazeta/dias/1820/01/27/pdfs/GMD-1820-12.pdf#page=5","Abrir facsímil")</f>
        <v>Abrir facsímil</v>
      </c>
      <c r="K1899" s="3" t="s">
        <v>23</v>
      </c>
    </row>
    <row r="1900" spans="1:11" ht="42" customHeight="1">
      <c r="A1900" s="2" t="s">
        <v>4220</v>
      </c>
      <c r="B1900" s="2" t="s">
        <v>4220</v>
      </c>
      <c r="C1900" s="2" t="s">
        <v>17</v>
      </c>
      <c r="D1900" s="2" t="s">
        <v>18</v>
      </c>
      <c r="E1900" s="5">
        <v>-28945</v>
      </c>
      <c r="F1900" s="3" t="s">
        <v>99</v>
      </c>
      <c r="G1900" s="3" t="s">
        <v>128</v>
      </c>
      <c r="H1900" s="2" t="s">
        <v>21</v>
      </c>
      <c r="I1900" s="2" t="s">
        <v>4221</v>
      </c>
      <c r="J1900" s="3" t="str">
        <f>HYPERLINK("https://www.boe.es/gazeta/dias/1820/09/30/pdfs/GGB-1820-94.pdf#page=1","Abrir facsímil")</f>
        <v>Abrir facsímil</v>
      </c>
      <c r="K1900" s="3" t="s">
        <v>23</v>
      </c>
    </row>
    <row r="1901" spans="1:11" ht="42" customHeight="1">
      <c r="A1901" s="2" t="s">
        <v>4222</v>
      </c>
      <c r="B1901" s="2" t="s">
        <v>4222</v>
      </c>
      <c r="C1901" s="2" t="s">
        <v>17</v>
      </c>
      <c r="D1901" s="2" t="s">
        <v>18</v>
      </c>
      <c r="E1901" s="5">
        <v>-28990</v>
      </c>
      <c r="F1901" s="3" t="s">
        <v>61</v>
      </c>
      <c r="G1901" s="3" t="s">
        <v>2187</v>
      </c>
      <c r="H1901" s="2" t="s">
        <v>21</v>
      </c>
      <c r="I1901" s="2" t="s">
        <v>4223</v>
      </c>
      <c r="J1901" s="3" t="str">
        <f>HYPERLINK("https://www.boe.es/gazeta/dias/1820/08/16/pdfs/GGB-1820-49.pdf#page=2","Abrir facsímil")</f>
        <v>Abrir facsímil</v>
      </c>
      <c r="K1901" s="3" t="s">
        <v>23</v>
      </c>
    </row>
    <row r="1902" spans="1:11" ht="42" customHeight="1">
      <c r="A1902" s="2" t="s">
        <v>4224</v>
      </c>
      <c r="B1902" s="2" t="s">
        <v>4224</v>
      </c>
      <c r="C1902" s="2" t="s">
        <v>17</v>
      </c>
      <c r="D1902" s="2" t="s">
        <v>18</v>
      </c>
      <c r="E1902" s="5">
        <v>-28931</v>
      </c>
      <c r="F1902" s="3" t="s">
        <v>724</v>
      </c>
      <c r="G1902" s="3" t="s">
        <v>20</v>
      </c>
      <c r="H1902" s="2" t="s">
        <v>21</v>
      </c>
      <c r="I1902" s="2" t="s">
        <v>4225</v>
      </c>
      <c r="J1902" s="3" t="str">
        <f>HYPERLINK("https://www.boe.es/gazeta/dias/1820/10/14/pdfs/GGB-1820-108.pdf#page=4","Abrir facsímil")</f>
        <v>Abrir facsímil</v>
      </c>
      <c r="K1902" s="3" t="s">
        <v>23</v>
      </c>
    </row>
    <row r="1903" spans="1:11" ht="42" customHeight="1">
      <c r="A1903" s="2" t="s">
        <v>4226</v>
      </c>
      <c r="B1903" s="2" t="s">
        <v>4227</v>
      </c>
      <c r="C1903" s="2" t="s">
        <v>74</v>
      </c>
      <c r="D1903" s="2" t="s">
        <v>18</v>
      </c>
      <c r="E1903" s="5">
        <v>-28956</v>
      </c>
      <c r="F1903" s="3" t="s">
        <v>190</v>
      </c>
      <c r="G1903" s="3" t="s">
        <v>43</v>
      </c>
      <c r="H1903" s="2" t="s">
        <v>21</v>
      </c>
      <c r="I1903" s="2" t="s">
        <v>4228</v>
      </c>
      <c r="J1903" s="3" t="str">
        <f>HYPERLINK("https://www.boe.es/gazeta/dias/1820/09/19/pdfs/GGB-1820-83.pdf#page=2","Abrir facsímil")</f>
        <v>Abrir facsímil</v>
      </c>
      <c r="K1903" s="3" t="s">
        <v>23</v>
      </c>
    </row>
    <row r="1904" spans="1:11" ht="42" customHeight="1">
      <c r="A1904" s="2" t="s">
        <v>4229</v>
      </c>
      <c r="B1904" s="2" t="s">
        <v>4230</v>
      </c>
      <c r="C1904" s="2" t="s">
        <v>17</v>
      </c>
      <c r="D1904" s="2" t="s">
        <v>18</v>
      </c>
      <c r="E1904" s="5">
        <v>-28901</v>
      </c>
      <c r="F1904" s="3" t="s">
        <v>1492</v>
      </c>
      <c r="G1904" s="3" t="s">
        <v>20</v>
      </c>
      <c r="H1904" s="2" t="s">
        <v>21</v>
      </c>
      <c r="I1904" s="2" t="s">
        <v>4231</v>
      </c>
      <c r="J1904" s="3" t="str">
        <f>HYPERLINK("https://www.boe.es/gazeta/dias/1820/11/13/pdfs/GGB-1820-139.pdf#page=4","Abrir facsímil")</f>
        <v>Abrir facsímil</v>
      </c>
      <c r="K1904" s="3" t="s">
        <v>23</v>
      </c>
    </row>
    <row r="1905" spans="1:11" ht="42" customHeight="1">
      <c r="A1905" s="2" t="s">
        <v>4232</v>
      </c>
      <c r="B1905" s="2" t="s">
        <v>4233</v>
      </c>
      <c r="C1905" s="2" t="s">
        <v>17</v>
      </c>
      <c r="D1905" s="2" t="s">
        <v>18</v>
      </c>
      <c r="E1905" s="5">
        <v>-29157</v>
      </c>
      <c r="F1905" s="3" t="s">
        <v>2658</v>
      </c>
      <c r="G1905" s="3" t="s">
        <v>20</v>
      </c>
      <c r="H1905" s="2" t="s">
        <v>30</v>
      </c>
      <c r="I1905" s="2" t="s">
        <v>4234</v>
      </c>
      <c r="J1905" s="3" t="str">
        <f>HYPERLINK("https://www.boe.es/gazeta/dias/1820/03/02/pdfs/GMD-1820-27.pdf#page=4","Abrir facsímil")</f>
        <v>Abrir facsímil</v>
      </c>
      <c r="K1905" s="3" t="s">
        <v>32</v>
      </c>
    </row>
    <row r="1906" spans="1:11" ht="42" customHeight="1">
      <c r="A1906" s="2" t="s">
        <v>4235</v>
      </c>
      <c r="B1906" s="2" t="s">
        <v>4236</v>
      </c>
      <c r="C1906" s="2" t="s">
        <v>293</v>
      </c>
      <c r="D1906" s="2" t="s">
        <v>18</v>
      </c>
      <c r="E1906" s="5">
        <v>-29010</v>
      </c>
      <c r="F1906" s="3" t="s">
        <v>664</v>
      </c>
      <c r="G1906" s="3" t="s">
        <v>665</v>
      </c>
      <c r="H1906" s="2" t="s">
        <v>30</v>
      </c>
      <c r="I1906" s="2" t="s">
        <v>4237</v>
      </c>
      <c r="J1906" s="3" t="str">
        <f>HYPERLINK("https://www.boe.es/gazeta/dias/1820/07/27/pdfs/GGB-1820-29.pdf#page=2","Abrir facsímil")</f>
        <v>Abrir facsímil</v>
      </c>
      <c r="K1906" s="3" t="s">
        <v>32</v>
      </c>
    </row>
    <row r="1907" spans="1:11" ht="42" customHeight="1">
      <c r="A1907" s="2" t="s">
        <v>4238</v>
      </c>
      <c r="B1907" s="2" t="s">
        <v>4239</v>
      </c>
      <c r="C1907" s="2" t="s">
        <v>26</v>
      </c>
      <c r="D1907" s="2" t="s">
        <v>27</v>
      </c>
      <c r="E1907" s="5">
        <v>-29183</v>
      </c>
      <c r="F1907" s="3" t="s">
        <v>476</v>
      </c>
      <c r="G1907" s="3" t="s">
        <v>4240</v>
      </c>
      <c r="H1907" s="2" t="s">
        <v>21</v>
      </c>
      <c r="I1907" s="2" t="s">
        <v>4241</v>
      </c>
      <c r="J1907" s="3" t="str">
        <f>HYPERLINK("https://www.boe.es/gazeta/dias/1820/02/05/pdfs/GMD-1820-16.pdf#page=6","Abrir facsímil")</f>
        <v>Abrir facsímil</v>
      </c>
      <c r="K1907" s="3" t="s">
        <v>23</v>
      </c>
    </row>
    <row r="1908" spans="1:11" ht="42" customHeight="1">
      <c r="A1908" s="2" t="s">
        <v>4242</v>
      </c>
      <c r="B1908" s="2" t="s">
        <v>4243</v>
      </c>
      <c r="C1908" s="2" t="s">
        <v>26</v>
      </c>
      <c r="D1908" s="2" t="s">
        <v>27</v>
      </c>
      <c r="E1908" s="5">
        <v>-28900</v>
      </c>
      <c r="F1908" s="3" t="s">
        <v>878</v>
      </c>
      <c r="G1908" s="3" t="s">
        <v>20</v>
      </c>
      <c r="H1908" s="2" t="s">
        <v>21</v>
      </c>
      <c r="I1908" s="2" t="s">
        <v>4244</v>
      </c>
      <c r="J1908" s="3" t="str">
        <f>HYPERLINK("https://www.boe.es/gazeta/dias/1820/11/14/pdfs/GGB-1820-140.pdf#page=4","Abrir facsímil")</f>
        <v>Abrir facsímil</v>
      </c>
      <c r="K1908" s="3" t="s">
        <v>23</v>
      </c>
    </row>
    <row r="1909" spans="1:11" ht="42" customHeight="1">
      <c r="A1909" s="2" t="s">
        <v>4245</v>
      </c>
      <c r="B1909" s="2" t="s">
        <v>4246</v>
      </c>
      <c r="C1909" s="2" t="s">
        <v>35</v>
      </c>
      <c r="D1909" s="2" t="s">
        <v>36</v>
      </c>
      <c r="E1909" s="5">
        <v>-29094</v>
      </c>
      <c r="F1909" s="3" t="s">
        <v>560</v>
      </c>
      <c r="G1909" s="3" t="s">
        <v>295</v>
      </c>
      <c r="H1909" s="2" t="s">
        <v>30</v>
      </c>
      <c r="I1909" s="2" t="s">
        <v>4247</v>
      </c>
      <c r="J1909" s="3" t="str">
        <f>HYPERLINK("https://www.boe.es/gazeta/dias/1820/05/04/pdfs/GMD-1820-75.pdf#page=8","Abrir facsímil")</f>
        <v>Abrir facsímil</v>
      </c>
      <c r="K1909" s="3" t="s">
        <v>32</v>
      </c>
    </row>
    <row r="1910" spans="1:11" ht="42" customHeight="1">
      <c r="A1910" s="2" t="s">
        <v>4248</v>
      </c>
      <c r="B1910" s="2" t="s">
        <v>4249</v>
      </c>
      <c r="C1910" s="2" t="s">
        <v>17</v>
      </c>
      <c r="D1910" s="2" t="s">
        <v>18</v>
      </c>
      <c r="E1910" s="5">
        <v>-29199</v>
      </c>
      <c r="F1910" s="3" t="s">
        <v>1178</v>
      </c>
      <c r="G1910" s="3" t="s">
        <v>38</v>
      </c>
      <c r="H1910" s="2" t="s">
        <v>21</v>
      </c>
      <c r="I1910" s="2" t="s">
        <v>4250</v>
      </c>
      <c r="J1910" s="3" t="str">
        <f>HYPERLINK("https://www.boe.es/gazeta/dias/1820/01/20/pdfs/GMD-1820-9.pdf#page=6","Abrir facsímil")</f>
        <v>Abrir facsímil</v>
      </c>
      <c r="K1910" s="3" t="s">
        <v>23</v>
      </c>
    </row>
    <row r="1911" spans="1:11" ht="42" customHeight="1">
      <c r="A1911" s="2" t="s">
        <v>4251</v>
      </c>
      <c r="B1911" s="2" t="s">
        <v>4251</v>
      </c>
      <c r="C1911" s="2" t="s">
        <v>74</v>
      </c>
      <c r="D1911" s="2" t="s">
        <v>18</v>
      </c>
      <c r="E1911" s="5">
        <v>-28947</v>
      </c>
      <c r="F1911" s="3" t="s">
        <v>127</v>
      </c>
      <c r="G1911" s="3" t="s">
        <v>62</v>
      </c>
      <c r="H1911" s="2" t="s">
        <v>21</v>
      </c>
      <c r="I1911" s="2" t="s">
        <v>4252</v>
      </c>
      <c r="J1911" s="3" t="str">
        <f>HYPERLINK("https://www.boe.es/gazeta/dias/1820/09/28/pdfs/GGB-1820-92.pdf#page=3","Abrir facsímil")</f>
        <v>Abrir facsímil</v>
      </c>
      <c r="K1911" s="3" t="s">
        <v>23</v>
      </c>
    </row>
    <row r="1912" spans="1:11" ht="42" customHeight="1">
      <c r="A1912" s="2" t="s">
        <v>4253</v>
      </c>
      <c r="B1912" s="2" t="s">
        <v>4253</v>
      </c>
      <c r="C1912" s="2" t="s">
        <v>35</v>
      </c>
      <c r="D1912" s="2" t="s">
        <v>36</v>
      </c>
      <c r="E1912" s="5">
        <v>-28937</v>
      </c>
      <c r="F1912" s="3" t="s">
        <v>4254</v>
      </c>
      <c r="G1912" s="3" t="s">
        <v>20</v>
      </c>
      <c r="H1912" s="2" t="s">
        <v>21</v>
      </c>
      <c r="I1912" s="2" t="s">
        <v>4255</v>
      </c>
      <c r="J1912" s="3" t="str">
        <f>HYPERLINK("https://www.boe.es/gazeta/dias/1820/10/08/pdfs/GGB-1820-102.pdf#page=4","Abrir facsímil")</f>
        <v>Abrir facsímil</v>
      </c>
      <c r="K1912" s="3" t="s">
        <v>23</v>
      </c>
    </row>
    <row r="1913" spans="1:11" ht="42" customHeight="1">
      <c r="A1913" s="2" t="s">
        <v>4253</v>
      </c>
      <c r="B1913" s="2" t="s">
        <v>4253</v>
      </c>
      <c r="C1913" s="2" t="s">
        <v>17</v>
      </c>
      <c r="D1913" s="2" t="s">
        <v>18</v>
      </c>
      <c r="E1913" s="5">
        <v>-28934</v>
      </c>
      <c r="F1913" s="3" t="s">
        <v>163</v>
      </c>
      <c r="G1913" s="3" t="s">
        <v>62</v>
      </c>
      <c r="H1913" s="2" t="s">
        <v>21</v>
      </c>
      <c r="I1913" s="2" t="s">
        <v>4256</v>
      </c>
      <c r="J1913" s="3" t="str">
        <f>HYPERLINK("https://www.boe.es/gazeta/dias/1820/10/11/pdfs/GGB-1820-105.pdf#page=3","Abrir facsímil")</f>
        <v>Abrir facsímil</v>
      </c>
      <c r="K1913" s="3" t="s">
        <v>23</v>
      </c>
    </row>
    <row r="1914" spans="1:11" ht="42" customHeight="1">
      <c r="A1914" s="2" t="s">
        <v>4253</v>
      </c>
      <c r="B1914" s="2" t="s">
        <v>4253</v>
      </c>
      <c r="C1914" s="2" t="s">
        <v>17</v>
      </c>
      <c r="D1914" s="2" t="s">
        <v>18</v>
      </c>
      <c r="E1914" s="5">
        <v>-28907</v>
      </c>
      <c r="F1914" s="3" t="s">
        <v>374</v>
      </c>
      <c r="G1914" s="3" t="s">
        <v>62</v>
      </c>
      <c r="H1914" s="2" t="s">
        <v>21</v>
      </c>
      <c r="I1914" s="2" t="s">
        <v>4257</v>
      </c>
      <c r="J1914" s="3" t="str">
        <f>HYPERLINK("https://www.boe.es/gazeta/dias/1820/11/07/pdfs/GGB-1820-132.pdf#page=3","Abrir facsímil")</f>
        <v>Abrir facsímil</v>
      </c>
      <c r="K1914" s="3" t="s">
        <v>23</v>
      </c>
    </row>
    <row r="1915" spans="1:11" ht="42" customHeight="1">
      <c r="A1915" s="2" t="s">
        <v>4258</v>
      </c>
      <c r="B1915" s="2" t="s">
        <v>4259</v>
      </c>
      <c r="C1915" s="2" t="s">
        <v>26</v>
      </c>
      <c r="D1915" s="2" t="s">
        <v>27</v>
      </c>
      <c r="E1915" s="5">
        <v>-28905</v>
      </c>
      <c r="F1915" s="3" t="s">
        <v>749</v>
      </c>
      <c r="G1915" s="3" t="s">
        <v>43</v>
      </c>
      <c r="H1915" s="2" t="s">
        <v>21</v>
      </c>
      <c r="I1915" s="2" t="s">
        <v>4260</v>
      </c>
      <c r="J1915" s="3" t="str">
        <f>HYPERLINK("https://www.boe.es/gazeta/dias/1820/11/09/pdfs/GGB-1820-134.pdf#page=2","Abrir facsímil")</f>
        <v>Abrir facsímil</v>
      </c>
      <c r="K1915" s="3" t="s">
        <v>23</v>
      </c>
    </row>
    <row r="1916" spans="1:11" ht="42" customHeight="1">
      <c r="A1916" s="2" t="s">
        <v>4261</v>
      </c>
      <c r="B1916" s="2" t="s">
        <v>4261</v>
      </c>
      <c r="C1916" s="2" t="s">
        <v>17</v>
      </c>
      <c r="D1916" s="2" t="s">
        <v>18</v>
      </c>
      <c r="E1916" s="5">
        <v>-28908</v>
      </c>
      <c r="F1916" s="3" t="s">
        <v>1060</v>
      </c>
      <c r="G1916" s="3" t="s">
        <v>43</v>
      </c>
      <c r="H1916" s="2" t="s">
        <v>21</v>
      </c>
      <c r="I1916" s="2" t="s">
        <v>4262</v>
      </c>
      <c r="J1916" s="3" t="str">
        <f>HYPERLINK("https://www.boe.es/gazeta/dias/1820/11/06/pdfs/GGB-1820-131.pdf#page=2","Abrir facsímil")</f>
        <v>Abrir facsímil</v>
      </c>
      <c r="K1916" s="3" t="s">
        <v>23</v>
      </c>
    </row>
    <row r="1917" spans="1:11" ht="42" customHeight="1">
      <c r="A1917" s="2" t="s">
        <v>4261</v>
      </c>
      <c r="B1917" s="2" t="s">
        <v>4261</v>
      </c>
      <c r="C1917" s="2" t="s">
        <v>35</v>
      </c>
      <c r="D1917" s="2" t="s">
        <v>36</v>
      </c>
      <c r="E1917" s="5">
        <v>-28907</v>
      </c>
      <c r="F1917" s="3" t="s">
        <v>374</v>
      </c>
      <c r="G1917" s="3" t="s">
        <v>43</v>
      </c>
      <c r="H1917" s="2" t="s">
        <v>21</v>
      </c>
      <c r="I1917" s="2" t="s">
        <v>4263</v>
      </c>
      <c r="J1917" s="3" t="str">
        <f>HYPERLINK("https://www.boe.es/gazeta/dias/1820/11/07/pdfs/GGB-1820-132.pdf#page=2","Abrir facsímil")</f>
        <v>Abrir facsímil</v>
      </c>
      <c r="K1917" s="3" t="s">
        <v>23</v>
      </c>
    </row>
    <row r="1918" spans="1:11" ht="42" customHeight="1">
      <c r="A1918" s="2" t="s">
        <v>4264</v>
      </c>
      <c r="B1918" s="2" t="s">
        <v>4264</v>
      </c>
      <c r="C1918" s="2" t="s">
        <v>47</v>
      </c>
      <c r="D1918" s="2" t="s">
        <v>18</v>
      </c>
      <c r="E1918" s="5">
        <v>-29162</v>
      </c>
      <c r="F1918" s="3" t="s">
        <v>2134</v>
      </c>
      <c r="G1918" s="3" t="s">
        <v>295</v>
      </c>
      <c r="H1918" s="2" t="s">
        <v>21</v>
      </c>
      <c r="I1918" s="2" t="s">
        <v>4265</v>
      </c>
      <c r="J1918" s="3" t="str">
        <f>HYPERLINK("https://www.boe.es/gazeta/dias/1820/02/26/pdfs/GMD-1820-25.pdf#page=8","Abrir facsímil")</f>
        <v>Abrir facsímil</v>
      </c>
      <c r="K1918" s="3" t="s">
        <v>23</v>
      </c>
    </row>
    <row r="1919" spans="1:11" ht="42" customHeight="1">
      <c r="A1919" s="2" t="s">
        <v>4266</v>
      </c>
      <c r="B1919" s="2" t="s">
        <v>4267</v>
      </c>
      <c r="C1919" s="2" t="s">
        <v>35</v>
      </c>
      <c r="D1919" s="2" t="s">
        <v>36</v>
      </c>
      <c r="E1919" s="5">
        <v>-28985</v>
      </c>
      <c r="F1919" s="3" t="s">
        <v>905</v>
      </c>
      <c r="G1919" s="3" t="s">
        <v>43</v>
      </c>
      <c r="H1919" s="2" t="s">
        <v>21</v>
      </c>
      <c r="I1919" s="2" t="s">
        <v>4268</v>
      </c>
      <c r="J1919" s="3" t="str">
        <f>HYPERLINK("https://www.boe.es/gazeta/dias/1820/08/21/pdfs/GGB-1820-54.pdf#page=2","Abrir facsímil")</f>
        <v>Abrir facsímil</v>
      </c>
      <c r="K1919" s="3" t="s">
        <v>23</v>
      </c>
    </row>
    <row r="1920" spans="1:11" ht="42" customHeight="1">
      <c r="A1920" s="2" t="s">
        <v>4269</v>
      </c>
      <c r="B1920" s="2" t="s">
        <v>4269</v>
      </c>
      <c r="C1920" s="2" t="s">
        <v>26</v>
      </c>
      <c r="D1920" s="2" t="s">
        <v>27</v>
      </c>
      <c r="E1920" s="5">
        <v>-28892</v>
      </c>
      <c r="F1920" s="3" t="s">
        <v>3036</v>
      </c>
      <c r="G1920" s="3" t="s">
        <v>128</v>
      </c>
      <c r="H1920" s="2" t="s">
        <v>21</v>
      </c>
      <c r="I1920" s="2" t="s">
        <v>4270</v>
      </c>
      <c r="J1920" s="3" t="str">
        <f>HYPERLINK("https://www.boe.es/gazeta/dias/1820/11/22/pdfs/GGB-1820-149.pdf#page=1","Abrir facsímil")</f>
        <v>Abrir facsímil</v>
      </c>
      <c r="K1920" s="3" t="s">
        <v>23</v>
      </c>
    </row>
    <row r="1921" spans="1:11" ht="42" customHeight="1">
      <c r="A1921" s="2" t="s">
        <v>4271</v>
      </c>
      <c r="B1921" s="2" t="s">
        <v>4272</v>
      </c>
      <c r="C1921" s="2" t="s">
        <v>26</v>
      </c>
      <c r="D1921" s="2" t="s">
        <v>310</v>
      </c>
      <c r="E1921" s="5">
        <v>-29144</v>
      </c>
      <c r="F1921" s="3" t="s">
        <v>4273</v>
      </c>
      <c r="G1921" s="3" t="s">
        <v>128</v>
      </c>
      <c r="H1921" s="2" t="s">
        <v>21</v>
      </c>
      <c r="I1921" s="2" t="s">
        <v>4274</v>
      </c>
      <c r="J1921" s="3" t="str">
        <f>HYPERLINK("https://www.boe.es/gazeta/dias/1820/03/15/pdfs/GMD-1820-41E.pdf#page=1","Abrir facsímil")</f>
        <v>Abrir facsímil</v>
      </c>
      <c r="K1921" s="3" t="s">
        <v>23</v>
      </c>
    </row>
    <row r="1922" spans="1:11" ht="42" customHeight="1">
      <c r="A1922" s="2" t="s">
        <v>4275</v>
      </c>
      <c r="B1922" s="2" t="s">
        <v>4276</v>
      </c>
      <c r="C1922" s="2" t="s">
        <v>26</v>
      </c>
      <c r="D1922" s="2" t="s">
        <v>27</v>
      </c>
      <c r="E1922" s="5">
        <v>-28985</v>
      </c>
      <c r="F1922" s="3" t="s">
        <v>905</v>
      </c>
      <c r="G1922" s="3" t="s">
        <v>43</v>
      </c>
      <c r="H1922" s="2" t="s">
        <v>21</v>
      </c>
      <c r="I1922" s="2" t="s">
        <v>4277</v>
      </c>
      <c r="J1922" s="3" t="str">
        <f>HYPERLINK("https://www.boe.es/gazeta/dias/1820/08/21/pdfs/GGB-1820-54.pdf#page=2","Abrir facsímil")</f>
        <v>Abrir facsímil</v>
      </c>
      <c r="K1922" s="3" t="s">
        <v>23</v>
      </c>
    </row>
    <row r="1923" spans="1:11" ht="42" customHeight="1">
      <c r="A1923" s="2" t="s">
        <v>4278</v>
      </c>
      <c r="B1923" s="2" t="s">
        <v>4279</v>
      </c>
      <c r="C1923" s="2" t="s">
        <v>26</v>
      </c>
      <c r="D1923" s="2" t="s">
        <v>27</v>
      </c>
      <c r="E1923" s="5">
        <v>-28951</v>
      </c>
      <c r="F1923" s="3" t="s">
        <v>622</v>
      </c>
      <c r="G1923" s="3" t="s">
        <v>1370</v>
      </c>
      <c r="H1923" s="2" t="s">
        <v>30</v>
      </c>
      <c r="I1923" s="2" t="s">
        <v>4280</v>
      </c>
      <c r="J1923" s="3" t="str">
        <f>HYPERLINK("https://www.boe.es/gazeta/dias/1820/09/24/pdfs/GGB-1820-88.pdf#page=2","Abrir facsímil")</f>
        <v>Abrir facsímil</v>
      </c>
      <c r="K1923" s="3" t="s">
        <v>32</v>
      </c>
    </row>
    <row r="1924" spans="1:11" ht="42" customHeight="1">
      <c r="A1924" s="2" t="s">
        <v>4281</v>
      </c>
      <c r="B1924" s="2" t="s">
        <v>4281</v>
      </c>
      <c r="C1924" s="2" t="s">
        <v>26</v>
      </c>
      <c r="D1924" s="2" t="s">
        <v>27</v>
      </c>
      <c r="E1924" s="5">
        <v>-29208</v>
      </c>
      <c r="F1924" s="3" t="s">
        <v>770</v>
      </c>
      <c r="G1924" s="3" t="s">
        <v>256</v>
      </c>
      <c r="H1924" s="2" t="s">
        <v>21</v>
      </c>
      <c r="I1924" s="2" t="s">
        <v>4282</v>
      </c>
      <c r="J1924" s="3" t="str">
        <f>HYPERLINK("https://www.boe.es/gazeta/dias/1820/01/11/pdfs/GMD-1820-5.pdf#page=5","Abrir facsímil")</f>
        <v>Abrir facsímil</v>
      </c>
      <c r="K1924" s="3" t="s">
        <v>23</v>
      </c>
    </row>
    <row r="1925" spans="1:11" ht="42" customHeight="1">
      <c r="A1925" s="2" t="s">
        <v>4283</v>
      </c>
      <c r="B1925" s="2" t="s">
        <v>4284</v>
      </c>
      <c r="C1925" s="2" t="s">
        <v>35</v>
      </c>
      <c r="D1925" s="2" t="s">
        <v>36</v>
      </c>
      <c r="E1925" s="5">
        <v>-28990</v>
      </c>
      <c r="F1925" s="3" t="s">
        <v>61</v>
      </c>
      <c r="G1925" s="3" t="s">
        <v>2187</v>
      </c>
      <c r="H1925" s="2" t="s">
        <v>21</v>
      </c>
      <c r="I1925" s="2" t="s">
        <v>4285</v>
      </c>
      <c r="J1925" s="3" t="str">
        <f>HYPERLINK("https://www.boe.es/gazeta/dias/1820/08/16/pdfs/GGB-1820-49.pdf#page=2","Abrir facsímil")</f>
        <v>Abrir facsímil</v>
      </c>
      <c r="K1925" s="3" t="s">
        <v>23</v>
      </c>
    </row>
    <row r="1926" spans="1:11" ht="42" customHeight="1">
      <c r="A1926" s="2" t="s">
        <v>4286</v>
      </c>
      <c r="B1926" s="2" t="s">
        <v>4287</v>
      </c>
      <c r="C1926" s="2" t="s">
        <v>47</v>
      </c>
      <c r="D1926" s="2" t="s">
        <v>18</v>
      </c>
      <c r="E1926" s="5">
        <v>-29082</v>
      </c>
      <c r="F1926" s="3" t="s">
        <v>478</v>
      </c>
      <c r="G1926" s="3" t="s">
        <v>553</v>
      </c>
      <c r="H1926" s="2" t="s">
        <v>21</v>
      </c>
      <c r="I1926" s="2" t="s">
        <v>4288</v>
      </c>
      <c r="J1926" s="3" t="str">
        <f>HYPERLINK("https://www.boe.es/gazeta/dias/1820/05/16/pdfs/GMD-1820-80.pdf#page=10","Abrir facsímil")</f>
        <v>Abrir facsímil</v>
      </c>
      <c r="K1926" s="3" t="s">
        <v>23</v>
      </c>
    </row>
    <row r="1927" spans="1:11" ht="42" customHeight="1">
      <c r="A1927" s="2" t="s">
        <v>4289</v>
      </c>
      <c r="B1927" s="2" t="s">
        <v>4289</v>
      </c>
      <c r="C1927" s="2" t="s">
        <v>26</v>
      </c>
      <c r="D1927" s="2" t="s">
        <v>27</v>
      </c>
      <c r="E1927" s="5">
        <v>-29197</v>
      </c>
      <c r="F1927" s="3" t="s">
        <v>48</v>
      </c>
      <c r="G1927" s="3" t="s">
        <v>62</v>
      </c>
      <c r="H1927" s="2" t="s">
        <v>21</v>
      </c>
      <c r="I1927" s="2" t="s">
        <v>4290</v>
      </c>
      <c r="J1927" s="3" t="str">
        <f>HYPERLINK("https://www.boe.es/gazeta/dias/1820/01/22/pdfs/GMD-1820-10.pdf#page=3","Abrir facsímil")</f>
        <v>Abrir facsímil</v>
      </c>
      <c r="K1927" s="3" t="s">
        <v>23</v>
      </c>
    </row>
    <row r="1928" spans="1:11" ht="42" customHeight="1">
      <c r="A1928" s="2" t="s">
        <v>4289</v>
      </c>
      <c r="B1928" s="2" t="s">
        <v>4289</v>
      </c>
      <c r="C1928" s="2" t="s">
        <v>74</v>
      </c>
      <c r="D1928" s="2" t="s">
        <v>18</v>
      </c>
      <c r="E1928" s="5">
        <v>-28857</v>
      </c>
      <c r="F1928" s="3" t="s">
        <v>889</v>
      </c>
      <c r="G1928" s="3" t="s">
        <v>128</v>
      </c>
      <c r="H1928" s="2" t="s">
        <v>21</v>
      </c>
      <c r="I1928" s="2" t="s">
        <v>4291</v>
      </c>
      <c r="J1928" s="3" t="str">
        <f>HYPERLINK("https://www.boe.es/gazeta/dias/1820/12/27/pdfs/GGB-1820-184.pdf#page=1","Abrir facsímil")</f>
        <v>Abrir facsímil</v>
      </c>
      <c r="K1928" s="3" t="s">
        <v>23</v>
      </c>
    </row>
    <row r="1929" spans="1:11" ht="42" customHeight="1">
      <c r="A1929" s="2" t="s">
        <v>4292</v>
      </c>
      <c r="B1929" s="2" t="s">
        <v>4292</v>
      </c>
      <c r="C1929" s="2" t="s">
        <v>26</v>
      </c>
      <c r="D1929" s="2" t="s">
        <v>27</v>
      </c>
      <c r="E1929" s="5">
        <v>-28982</v>
      </c>
      <c r="F1929" s="3" t="s">
        <v>173</v>
      </c>
      <c r="G1929" s="3" t="s">
        <v>43</v>
      </c>
      <c r="H1929" s="2" t="s">
        <v>21</v>
      </c>
      <c r="I1929" s="2" t="s">
        <v>4293</v>
      </c>
      <c r="J1929" s="3" t="str">
        <f>HYPERLINK("https://www.boe.es/gazeta/dias/1820/08/24/pdfs/GGB-1820-57.pdf#page=2","Abrir facsímil")</f>
        <v>Abrir facsímil</v>
      </c>
      <c r="K1929" s="3" t="s">
        <v>23</v>
      </c>
    </row>
    <row r="1930" spans="1:11" ht="42" customHeight="1">
      <c r="A1930" s="2" t="s">
        <v>4292</v>
      </c>
      <c r="B1930" s="2" t="s">
        <v>4292</v>
      </c>
      <c r="C1930" s="2" t="s">
        <v>26</v>
      </c>
      <c r="D1930" s="2" t="s">
        <v>27</v>
      </c>
      <c r="E1930" s="5">
        <v>-28968</v>
      </c>
      <c r="F1930" s="3" t="s">
        <v>66</v>
      </c>
      <c r="G1930" s="3" t="s">
        <v>403</v>
      </c>
      <c r="H1930" s="2" t="s">
        <v>21</v>
      </c>
      <c r="I1930" s="2" t="s">
        <v>4294</v>
      </c>
      <c r="J1930" s="3" t="str">
        <f>HYPERLINK("https://www.boe.es/gazeta/dias/1820/09/07/pdfs/GGB-1820-71.pdf#page=4","Abrir facsímil")</f>
        <v>Abrir facsímil</v>
      </c>
      <c r="K1930" s="3" t="s">
        <v>23</v>
      </c>
    </row>
    <row r="1931" spans="1:11" ht="42" customHeight="1">
      <c r="A1931" s="2" t="s">
        <v>4292</v>
      </c>
      <c r="B1931" s="2" t="s">
        <v>4292</v>
      </c>
      <c r="C1931" s="2" t="s">
        <v>26</v>
      </c>
      <c r="D1931" s="2" t="s">
        <v>27</v>
      </c>
      <c r="E1931" s="5">
        <v>-28968</v>
      </c>
      <c r="F1931" s="3" t="s">
        <v>66</v>
      </c>
      <c r="G1931" s="3" t="s">
        <v>62</v>
      </c>
      <c r="H1931" s="2" t="s">
        <v>21</v>
      </c>
      <c r="I1931" s="2" t="s">
        <v>4295</v>
      </c>
      <c r="J1931" s="3" t="str">
        <f>HYPERLINK("https://www.boe.es/gazeta/dias/1820/09/07/pdfs/GGB-1820-71.pdf#page=3","Abrir facsímil")</f>
        <v>Abrir facsímil</v>
      </c>
      <c r="K1931" s="3" t="s">
        <v>23</v>
      </c>
    </row>
    <row r="1932" spans="1:11" ht="42" customHeight="1">
      <c r="A1932" s="2" t="s">
        <v>4292</v>
      </c>
      <c r="B1932" s="2" t="s">
        <v>4292</v>
      </c>
      <c r="C1932" s="2" t="s">
        <v>26</v>
      </c>
      <c r="D1932" s="2" t="s">
        <v>27</v>
      </c>
      <c r="E1932" s="5">
        <v>-28904</v>
      </c>
      <c r="F1932" s="3" t="s">
        <v>541</v>
      </c>
      <c r="G1932" s="3" t="s">
        <v>43</v>
      </c>
      <c r="H1932" s="2" t="s">
        <v>21</v>
      </c>
      <c r="I1932" s="2" t="s">
        <v>4296</v>
      </c>
      <c r="J1932" s="3" t="str">
        <f>HYPERLINK("https://www.boe.es/gazeta/dias/1820/11/10/pdfs/GGB-1820-136.pdf#page=2","Abrir facsímil")</f>
        <v>Abrir facsímil</v>
      </c>
      <c r="K1932" s="3" t="s">
        <v>23</v>
      </c>
    </row>
    <row r="1933" spans="1:11" ht="42" customHeight="1">
      <c r="A1933" s="2" t="s">
        <v>4297</v>
      </c>
      <c r="B1933" s="2" t="s">
        <v>4298</v>
      </c>
      <c r="C1933" s="2" t="s">
        <v>26</v>
      </c>
      <c r="D1933" s="2" t="s">
        <v>310</v>
      </c>
      <c r="E1933" s="5">
        <v>-29142</v>
      </c>
      <c r="F1933" s="3" t="s">
        <v>2712</v>
      </c>
      <c r="G1933" s="3" t="s">
        <v>62</v>
      </c>
      <c r="H1933" s="2" t="s">
        <v>21</v>
      </c>
      <c r="I1933" s="2" t="s">
        <v>4299</v>
      </c>
      <c r="J1933" s="3" t="str">
        <f>HYPERLINK("https://www.boe.es/gazeta/dias/1820/03/17/pdfs/GMD-1820-43E.pdf#page=3","Abrir facsímil")</f>
        <v>Abrir facsímil</v>
      </c>
      <c r="K1933" s="3" t="s">
        <v>23</v>
      </c>
    </row>
    <row r="1934" spans="1:11" ht="42" customHeight="1">
      <c r="A1934" s="2" t="s">
        <v>4300</v>
      </c>
      <c r="B1934" s="2" t="s">
        <v>4300</v>
      </c>
      <c r="C1934" s="2" t="s">
        <v>26</v>
      </c>
      <c r="D1934" s="2" t="s">
        <v>27</v>
      </c>
      <c r="E1934" s="5">
        <v>-28890</v>
      </c>
      <c r="F1934" s="3" t="s">
        <v>248</v>
      </c>
      <c r="G1934" s="3" t="s">
        <v>43</v>
      </c>
      <c r="H1934" s="2" t="s">
        <v>21</v>
      </c>
      <c r="I1934" s="2" t="s">
        <v>4301</v>
      </c>
      <c r="J1934" s="3" t="str">
        <f>HYPERLINK("https://www.boe.es/gazeta/dias/1820/11/24/pdfs/GGB-1820-151.pdf#page=2","Abrir facsímil")</f>
        <v>Abrir facsímil</v>
      </c>
      <c r="K1934" s="3" t="s">
        <v>23</v>
      </c>
    </row>
    <row r="1935" spans="1:11" ht="42" customHeight="1">
      <c r="A1935" s="2" t="s">
        <v>4302</v>
      </c>
      <c r="B1935" s="2" t="s">
        <v>4302</v>
      </c>
      <c r="C1935" s="2" t="s">
        <v>17</v>
      </c>
      <c r="D1935" s="2" t="s">
        <v>18</v>
      </c>
      <c r="E1935" s="5">
        <v>-28890</v>
      </c>
      <c r="F1935" s="3" t="s">
        <v>248</v>
      </c>
      <c r="G1935" s="3" t="s">
        <v>43</v>
      </c>
      <c r="H1935" s="2" t="s">
        <v>21</v>
      </c>
      <c r="I1935" s="2" t="s">
        <v>4303</v>
      </c>
      <c r="J1935" s="3" t="str">
        <f>HYPERLINK("https://www.boe.es/gazeta/dias/1820/11/24/pdfs/GGB-1820-151.pdf#page=2","Abrir facsímil")</f>
        <v>Abrir facsímil</v>
      </c>
      <c r="K1935" s="3" t="s">
        <v>23</v>
      </c>
    </row>
    <row r="1936" spans="1:11" ht="42" customHeight="1">
      <c r="A1936" s="2" t="s">
        <v>4304</v>
      </c>
      <c r="B1936" s="2" t="s">
        <v>4304</v>
      </c>
      <c r="C1936" s="2" t="s">
        <v>74</v>
      </c>
      <c r="D1936" s="2" t="s">
        <v>18</v>
      </c>
      <c r="E1936" s="5">
        <v>-28883</v>
      </c>
      <c r="F1936" s="3" t="s">
        <v>306</v>
      </c>
      <c r="G1936" s="3" t="s">
        <v>43</v>
      </c>
      <c r="H1936" s="2" t="s">
        <v>21</v>
      </c>
      <c r="I1936" s="2" t="s">
        <v>4305</v>
      </c>
      <c r="J1936" s="3" t="str">
        <f>HYPERLINK("https://www.boe.es/gazeta/dias/1820/12/01/pdfs/GGB-1820-158.pdf#page=2","Abrir facsímil")</f>
        <v>Abrir facsímil</v>
      </c>
      <c r="K1936" s="3" t="s">
        <v>23</v>
      </c>
    </row>
    <row r="1937" spans="1:11" ht="42" customHeight="1">
      <c r="A1937" s="2" t="s">
        <v>4306</v>
      </c>
      <c r="B1937" s="2" t="s">
        <v>4306</v>
      </c>
      <c r="C1937" s="2" t="s">
        <v>26</v>
      </c>
      <c r="D1937" s="2" t="s">
        <v>27</v>
      </c>
      <c r="E1937" s="5">
        <v>-28960</v>
      </c>
      <c r="F1937" s="3" t="s">
        <v>704</v>
      </c>
      <c r="G1937" s="3" t="s">
        <v>43</v>
      </c>
      <c r="H1937" s="2" t="s">
        <v>21</v>
      </c>
      <c r="I1937" s="2" t="s">
        <v>4307</v>
      </c>
      <c r="J1937" s="3" t="str">
        <f>HYPERLINK("https://www.boe.es/gazeta/dias/1820/09/15/pdfs/GGB-1820-79.pdf#page=2","Abrir facsímil")</f>
        <v>Abrir facsímil</v>
      </c>
      <c r="K1937" s="3" t="s">
        <v>23</v>
      </c>
    </row>
    <row r="1938" spans="1:11" ht="42" customHeight="1">
      <c r="A1938" s="2" t="s">
        <v>4308</v>
      </c>
      <c r="B1938" s="2" t="s">
        <v>4309</v>
      </c>
      <c r="C1938" s="2" t="s">
        <v>293</v>
      </c>
      <c r="D1938" s="2" t="s">
        <v>18</v>
      </c>
      <c r="E1938" s="5">
        <v>-28979</v>
      </c>
      <c r="F1938" s="3" t="s">
        <v>218</v>
      </c>
      <c r="G1938" s="3" t="s">
        <v>43</v>
      </c>
      <c r="H1938" s="2" t="s">
        <v>21</v>
      </c>
      <c r="I1938" s="2" t="s">
        <v>4310</v>
      </c>
      <c r="J1938" s="3" t="str">
        <f>HYPERLINK("https://www.boe.es/gazeta/dias/1820/08/27/pdfs/GGB-1820-60.pdf#page=2","Abrir facsímil")</f>
        <v>Abrir facsímil</v>
      </c>
      <c r="K1938" s="3" t="s">
        <v>23</v>
      </c>
    </row>
    <row r="1939" spans="1:11" ht="42" customHeight="1">
      <c r="A1939" s="2" t="s">
        <v>4311</v>
      </c>
      <c r="B1939" s="2" t="s">
        <v>4311</v>
      </c>
      <c r="C1939" s="2" t="s">
        <v>17</v>
      </c>
      <c r="D1939" s="2" t="s">
        <v>18</v>
      </c>
      <c r="E1939" s="5">
        <v>-28963</v>
      </c>
      <c r="F1939" s="3" t="s">
        <v>94</v>
      </c>
      <c r="G1939" s="3" t="s">
        <v>43</v>
      </c>
      <c r="H1939" s="2" t="s">
        <v>21</v>
      </c>
      <c r="I1939" s="2" t="s">
        <v>4312</v>
      </c>
      <c r="J1939" s="3" t="str">
        <f>HYPERLINK("https://www.boe.es/gazeta/dias/1820/09/12/pdfs/GGB-1820-76.pdf#page=2","Abrir facsímil")</f>
        <v>Abrir facsímil</v>
      </c>
      <c r="K1939" s="3" t="s">
        <v>23</v>
      </c>
    </row>
    <row r="1940" spans="1:11" ht="42" customHeight="1">
      <c r="A1940" s="2" t="s">
        <v>4313</v>
      </c>
      <c r="B1940" s="2" t="s">
        <v>4313</v>
      </c>
      <c r="C1940" s="2" t="s">
        <v>26</v>
      </c>
      <c r="D1940" s="2" t="s">
        <v>27</v>
      </c>
      <c r="E1940" s="5">
        <v>-28858</v>
      </c>
      <c r="F1940" s="3" t="s">
        <v>117</v>
      </c>
      <c r="G1940" s="3" t="s">
        <v>128</v>
      </c>
      <c r="H1940" s="2" t="s">
        <v>21</v>
      </c>
      <c r="I1940" s="2" t="s">
        <v>4314</v>
      </c>
      <c r="J1940" s="3" t="str">
        <f>HYPERLINK("https://www.boe.es/gazeta/dias/1820/12/26/pdfs/GGB-1820-183.pdf#page=1","Abrir facsímil")</f>
        <v>Abrir facsímil</v>
      </c>
      <c r="K1940" s="3" t="s">
        <v>23</v>
      </c>
    </row>
    <row r="1941" spans="1:11" ht="42" customHeight="1">
      <c r="A1941" s="2" t="s">
        <v>4315</v>
      </c>
      <c r="B1941" s="2" t="s">
        <v>4316</v>
      </c>
      <c r="C1941" s="2" t="s">
        <v>17</v>
      </c>
      <c r="D1941" s="2" t="s">
        <v>18</v>
      </c>
      <c r="E1941" s="5">
        <v>-28864</v>
      </c>
      <c r="F1941" s="3" t="s">
        <v>1275</v>
      </c>
      <c r="G1941" s="3" t="s">
        <v>38</v>
      </c>
      <c r="H1941" s="2" t="s">
        <v>21</v>
      </c>
      <c r="I1941" s="2" t="s">
        <v>4317</v>
      </c>
      <c r="J1941" s="3" t="str">
        <f>HYPERLINK("https://www.boe.es/gazeta/dias/1820/12/20/pdfs/GGB-1820-177.pdf#page=6","Abrir facsímil")</f>
        <v>Abrir facsímil</v>
      </c>
      <c r="K1941" s="3" t="s">
        <v>23</v>
      </c>
    </row>
    <row r="1942" spans="1:11" ht="42" customHeight="1">
      <c r="A1942" s="2" t="s">
        <v>4318</v>
      </c>
      <c r="B1942" s="2" t="s">
        <v>4318</v>
      </c>
      <c r="C1942" s="2" t="s">
        <v>35</v>
      </c>
      <c r="D1942" s="2" t="s">
        <v>36</v>
      </c>
      <c r="E1942" s="5">
        <v>-29004</v>
      </c>
      <c r="F1942" s="3" t="s">
        <v>75</v>
      </c>
      <c r="G1942" s="3" t="s">
        <v>128</v>
      </c>
      <c r="H1942" s="2" t="s">
        <v>21</v>
      </c>
      <c r="I1942" s="2" t="s">
        <v>4319</v>
      </c>
      <c r="J1942" s="3" t="str">
        <f>HYPERLINK("https://www.boe.es/gazeta/dias/1820/08/02/pdfs/GGB-1820-35.pdf#page=1","Abrir facsímil")</f>
        <v>Abrir facsímil</v>
      </c>
      <c r="K1942" s="3" t="s">
        <v>23</v>
      </c>
    </row>
    <row r="1943" spans="1:11" ht="42" customHeight="1">
      <c r="A1943" s="2" t="s">
        <v>4320</v>
      </c>
      <c r="B1943" s="2" t="s">
        <v>4321</v>
      </c>
      <c r="C1943" s="2" t="s">
        <v>111</v>
      </c>
      <c r="D1943" s="2" t="s">
        <v>18</v>
      </c>
      <c r="E1943" s="5">
        <v>-29192</v>
      </c>
      <c r="F1943" s="3" t="s">
        <v>497</v>
      </c>
      <c r="G1943" s="3" t="s">
        <v>295</v>
      </c>
      <c r="H1943" s="2" t="s">
        <v>21</v>
      </c>
      <c r="I1943" s="2" t="s">
        <v>4322</v>
      </c>
      <c r="J1943" s="3" t="str">
        <f>HYPERLINK("https://www.boe.es/gazeta/dias/1820/01/27/pdfs/GMD-1820-12.pdf#page=8","Abrir facsímil")</f>
        <v>Abrir facsímil</v>
      </c>
      <c r="K1943" s="3" t="s">
        <v>23</v>
      </c>
    </row>
    <row r="1944" spans="1:11" ht="42" customHeight="1">
      <c r="A1944" s="2" t="s">
        <v>4323</v>
      </c>
      <c r="B1944" s="2" t="s">
        <v>4323</v>
      </c>
      <c r="C1944" s="2" t="s">
        <v>74</v>
      </c>
      <c r="D1944" s="2" t="s">
        <v>18</v>
      </c>
      <c r="E1944" s="5">
        <v>-28891</v>
      </c>
      <c r="F1944" s="3" t="s">
        <v>965</v>
      </c>
      <c r="G1944" s="3" t="s">
        <v>43</v>
      </c>
      <c r="H1944" s="2" t="s">
        <v>21</v>
      </c>
      <c r="I1944" s="2" t="s">
        <v>4324</v>
      </c>
      <c r="J1944" s="3" t="str">
        <f>HYPERLINK("https://www.boe.es/gazeta/dias/1820/11/23/pdfs/GGB-1820-150.pdf#page=2","Abrir facsímil")</f>
        <v>Abrir facsímil</v>
      </c>
      <c r="K1944" s="3" t="s">
        <v>23</v>
      </c>
    </row>
    <row r="1945" spans="1:11" ht="42" customHeight="1">
      <c r="A1945" s="2" t="s">
        <v>4325</v>
      </c>
      <c r="B1945" s="2" t="s">
        <v>4326</v>
      </c>
      <c r="C1945" s="2" t="s">
        <v>26</v>
      </c>
      <c r="D1945" s="2" t="s">
        <v>27</v>
      </c>
      <c r="E1945" s="5">
        <v>-28904</v>
      </c>
      <c r="F1945" s="3" t="s">
        <v>541</v>
      </c>
      <c r="G1945" s="3" t="s">
        <v>43</v>
      </c>
      <c r="H1945" s="2" t="s">
        <v>21</v>
      </c>
      <c r="I1945" s="2" t="s">
        <v>4327</v>
      </c>
      <c r="J1945" s="3" t="str">
        <f>HYPERLINK("https://www.boe.es/gazeta/dias/1820/11/10/pdfs/GGB-1820-136.pdf#page=2","Abrir facsímil")</f>
        <v>Abrir facsímil</v>
      </c>
      <c r="K1945" s="3" t="s">
        <v>23</v>
      </c>
    </row>
    <row r="1946" spans="1:11" ht="42" customHeight="1">
      <c r="A1946" s="2" t="s">
        <v>4328</v>
      </c>
      <c r="B1946" s="2" t="s">
        <v>4329</v>
      </c>
      <c r="C1946" s="2" t="s">
        <v>35</v>
      </c>
      <c r="D1946" s="2" t="s">
        <v>36</v>
      </c>
      <c r="E1946" s="5">
        <v>-28858</v>
      </c>
      <c r="F1946" s="3" t="s">
        <v>117</v>
      </c>
      <c r="G1946" s="3" t="s">
        <v>20</v>
      </c>
      <c r="H1946" s="2" t="s">
        <v>21</v>
      </c>
      <c r="I1946" s="2" t="s">
        <v>4330</v>
      </c>
      <c r="J1946" s="3" t="str">
        <f>HYPERLINK("https://www.boe.es/gazeta/dias/1820/12/26/pdfs/GGB-1820-183.pdf#page=4","Abrir facsímil")</f>
        <v>Abrir facsímil</v>
      </c>
      <c r="K1946" s="3" t="s">
        <v>23</v>
      </c>
    </row>
    <row r="1947" spans="1:11" ht="42" customHeight="1">
      <c r="A1947" s="2" t="s">
        <v>4331</v>
      </c>
      <c r="B1947" s="2" t="s">
        <v>4332</v>
      </c>
      <c r="C1947" s="2" t="s">
        <v>26</v>
      </c>
      <c r="D1947" s="2" t="s">
        <v>27</v>
      </c>
      <c r="E1947" s="5">
        <v>-28908</v>
      </c>
      <c r="F1947" s="3" t="s">
        <v>1060</v>
      </c>
      <c r="G1947" s="3" t="s">
        <v>62</v>
      </c>
      <c r="H1947" s="2" t="s">
        <v>21</v>
      </c>
      <c r="I1947" s="2" t="s">
        <v>4333</v>
      </c>
      <c r="J1947" s="3" t="str">
        <f>HYPERLINK("https://www.boe.es/gazeta/dias/1820/11/06/pdfs/GGB-1820-131.pdf#page=3","Abrir facsímil")</f>
        <v>Abrir facsímil</v>
      </c>
      <c r="K1947" s="3" t="s">
        <v>23</v>
      </c>
    </row>
    <row r="1948" spans="1:11" ht="42" customHeight="1">
      <c r="A1948" s="2" t="s">
        <v>4334</v>
      </c>
      <c r="B1948" s="2" t="s">
        <v>4334</v>
      </c>
      <c r="C1948" s="2" t="s">
        <v>17</v>
      </c>
      <c r="D1948" s="2" t="s">
        <v>18</v>
      </c>
      <c r="E1948" s="5">
        <v>-28926</v>
      </c>
      <c r="F1948" s="3" t="s">
        <v>597</v>
      </c>
      <c r="G1948" s="3" t="s">
        <v>43</v>
      </c>
      <c r="H1948" s="2" t="s">
        <v>21</v>
      </c>
      <c r="I1948" s="2" t="s">
        <v>4335</v>
      </c>
      <c r="J1948" s="3" t="str">
        <f>HYPERLINK("https://www.boe.es/gazeta/dias/1820/10/19/pdfs/GGB-1820-113.pdf#page=2","Abrir facsímil")</f>
        <v>Abrir facsímil</v>
      </c>
      <c r="K1948" s="3" t="s">
        <v>23</v>
      </c>
    </row>
    <row r="1949" spans="1:11" ht="42" customHeight="1">
      <c r="A1949" s="2" t="s">
        <v>4336</v>
      </c>
      <c r="B1949" s="2" t="s">
        <v>4336</v>
      </c>
      <c r="C1949" s="2" t="s">
        <v>26</v>
      </c>
      <c r="D1949" s="2" t="s">
        <v>27</v>
      </c>
      <c r="E1949" s="5">
        <v>-28928</v>
      </c>
      <c r="F1949" s="3" t="s">
        <v>86</v>
      </c>
      <c r="G1949" s="3" t="s">
        <v>20</v>
      </c>
      <c r="H1949" s="2" t="s">
        <v>21</v>
      </c>
      <c r="I1949" s="2" t="s">
        <v>4337</v>
      </c>
      <c r="J1949" s="3" t="str">
        <f>HYPERLINK("https://www.boe.es/gazeta/dias/1820/10/17/pdfs/GGB-1820-111.pdf#page=4","Abrir facsímil")</f>
        <v>Abrir facsímil</v>
      </c>
      <c r="K1949" s="3" t="s">
        <v>23</v>
      </c>
    </row>
    <row r="1950" spans="1:11" ht="42" customHeight="1">
      <c r="A1950" s="2" t="s">
        <v>4338</v>
      </c>
      <c r="B1950" s="2" t="s">
        <v>4339</v>
      </c>
      <c r="C1950" s="2" t="s">
        <v>35</v>
      </c>
      <c r="D1950" s="2" t="s">
        <v>36</v>
      </c>
      <c r="E1950" s="5">
        <v>-28858</v>
      </c>
      <c r="F1950" s="3" t="s">
        <v>117</v>
      </c>
      <c r="G1950" s="3" t="s">
        <v>20</v>
      </c>
      <c r="H1950" s="2" t="s">
        <v>21</v>
      </c>
      <c r="I1950" s="2" t="s">
        <v>4340</v>
      </c>
      <c r="J1950" s="3" t="str">
        <f>HYPERLINK("https://www.boe.es/gazeta/dias/1820/12/26/pdfs/GGB-1820-183.pdf#page=4","Abrir facsímil")</f>
        <v>Abrir facsímil</v>
      </c>
      <c r="K1950" s="3" t="s">
        <v>23</v>
      </c>
    </row>
    <row r="1951" spans="1:11" ht="42" customHeight="1">
      <c r="A1951" s="2" t="s">
        <v>4341</v>
      </c>
      <c r="B1951" s="2" t="s">
        <v>4342</v>
      </c>
      <c r="C1951" s="2" t="s">
        <v>35</v>
      </c>
      <c r="D1951" s="2" t="s">
        <v>36</v>
      </c>
      <c r="E1951" s="5">
        <v>-29031</v>
      </c>
      <c r="F1951" s="3" t="s">
        <v>1036</v>
      </c>
      <c r="G1951" s="3" t="s">
        <v>43</v>
      </c>
      <c r="H1951" s="2" t="s">
        <v>21</v>
      </c>
      <c r="I1951" s="2" t="s">
        <v>4343</v>
      </c>
      <c r="J1951" s="3" t="str">
        <f>HYPERLINK("https://www.boe.es/gazeta/dias/1820/07/06/pdfs/GGB-1820-6.pdf#page=2","Abrir facsímil")</f>
        <v>Abrir facsímil</v>
      </c>
      <c r="K1951" s="3" t="s">
        <v>23</v>
      </c>
    </row>
    <row r="1952" spans="1:11" ht="42" customHeight="1">
      <c r="A1952" s="2" t="s">
        <v>4344</v>
      </c>
      <c r="B1952" s="2" t="s">
        <v>4344</v>
      </c>
      <c r="C1952" s="2" t="s">
        <v>35</v>
      </c>
      <c r="D1952" s="2" t="s">
        <v>36</v>
      </c>
      <c r="E1952" s="5">
        <v>-29011</v>
      </c>
      <c r="F1952" s="3" t="s">
        <v>338</v>
      </c>
      <c r="G1952" s="3" t="s">
        <v>43</v>
      </c>
      <c r="H1952" s="2" t="s">
        <v>21</v>
      </c>
      <c r="I1952" s="2" t="s">
        <v>4345</v>
      </c>
      <c r="J1952" s="3" t="str">
        <f>HYPERLINK("https://www.boe.es/gazeta/dias/1820/07/26/pdfs/GGB-1820-28.pdf#page=2","Abrir facsímil")</f>
        <v>Abrir facsímil</v>
      </c>
      <c r="K1952" s="3" t="s">
        <v>23</v>
      </c>
    </row>
    <row r="1953" spans="1:11" ht="42" customHeight="1">
      <c r="A1953" s="2" t="s">
        <v>4346</v>
      </c>
      <c r="B1953" s="2" t="s">
        <v>4347</v>
      </c>
      <c r="C1953" s="2" t="s">
        <v>35</v>
      </c>
      <c r="D1953" s="2" t="s">
        <v>36</v>
      </c>
      <c r="E1953" s="5">
        <v>-28855</v>
      </c>
      <c r="F1953" s="3" t="s">
        <v>2055</v>
      </c>
      <c r="G1953" s="3" t="s">
        <v>20</v>
      </c>
      <c r="H1953" s="2" t="s">
        <v>21</v>
      </c>
      <c r="I1953" s="2" t="s">
        <v>4348</v>
      </c>
      <c r="J1953" s="3" t="str">
        <f>HYPERLINK("https://www.boe.es/gazeta/dias/1820/12/29/pdfs/GGB-1820-186.pdf#page=4","Abrir facsímil")</f>
        <v>Abrir facsímil</v>
      </c>
      <c r="K1953" s="3" t="s">
        <v>23</v>
      </c>
    </row>
    <row r="1954" spans="1:11" ht="42" customHeight="1">
      <c r="A1954" s="2" t="s">
        <v>4349</v>
      </c>
      <c r="B1954" s="2" t="s">
        <v>4350</v>
      </c>
      <c r="C1954" s="2" t="s">
        <v>17</v>
      </c>
      <c r="D1954" s="2" t="s">
        <v>18</v>
      </c>
      <c r="E1954" s="5">
        <v>-28866</v>
      </c>
      <c r="F1954" s="3" t="s">
        <v>507</v>
      </c>
      <c r="G1954" s="3" t="s">
        <v>62</v>
      </c>
      <c r="H1954" s="2" t="s">
        <v>21</v>
      </c>
      <c r="I1954" s="2" t="s">
        <v>4351</v>
      </c>
      <c r="J1954" s="3" t="str">
        <f>HYPERLINK("https://www.boe.es/gazeta/dias/1820/12/18/pdfs/GGB-1820-175.pdf#page=3","Abrir facsímil")</f>
        <v>Abrir facsímil</v>
      </c>
      <c r="K1954" s="3" t="s">
        <v>23</v>
      </c>
    </row>
    <row r="1955" spans="1:11" ht="42" customHeight="1">
      <c r="A1955" s="2" t="s">
        <v>4352</v>
      </c>
      <c r="B1955" s="2" t="s">
        <v>4352</v>
      </c>
      <c r="C1955" s="2" t="s">
        <v>17</v>
      </c>
      <c r="D1955" s="2" t="s">
        <v>18</v>
      </c>
      <c r="E1955" s="5">
        <v>-28890</v>
      </c>
      <c r="F1955" s="3" t="s">
        <v>248</v>
      </c>
      <c r="G1955" s="3" t="s">
        <v>43</v>
      </c>
      <c r="H1955" s="2" t="s">
        <v>21</v>
      </c>
      <c r="I1955" s="2" t="s">
        <v>4353</v>
      </c>
      <c r="J1955" s="3" t="str">
        <f>HYPERLINK("https://www.boe.es/gazeta/dias/1820/11/24/pdfs/GGB-1820-151.pdf#page=2","Abrir facsímil")</f>
        <v>Abrir facsímil</v>
      </c>
      <c r="K1955" s="3" t="s">
        <v>23</v>
      </c>
    </row>
    <row r="1956" spans="1:11" ht="42" customHeight="1">
      <c r="A1956" s="2" t="s">
        <v>4354</v>
      </c>
      <c r="B1956" s="2" t="s">
        <v>4354</v>
      </c>
      <c r="C1956" s="2" t="s">
        <v>74</v>
      </c>
      <c r="D1956" s="2" t="s">
        <v>18</v>
      </c>
      <c r="E1956" s="5">
        <v>-28996</v>
      </c>
      <c r="F1956" s="3" t="s">
        <v>636</v>
      </c>
      <c r="G1956" s="3" t="s">
        <v>128</v>
      </c>
      <c r="H1956" s="2" t="s">
        <v>21</v>
      </c>
      <c r="I1956" s="2" t="s">
        <v>4355</v>
      </c>
      <c r="J1956" s="3" t="str">
        <f>HYPERLINK("https://www.boe.es/gazeta/dias/1820/08/10/pdfs/GGB-1820-43.pdf#page=1","Abrir facsímil")</f>
        <v>Abrir facsímil</v>
      </c>
      <c r="K1956" s="3" t="s">
        <v>23</v>
      </c>
    </row>
    <row r="1957" spans="1:11" ht="42" customHeight="1">
      <c r="A1957" s="2" t="s">
        <v>4354</v>
      </c>
      <c r="B1957" s="2" t="s">
        <v>4354</v>
      </c>
      <c r="C1957" s="2" t="s">
        <v>17</v>
      </c>
      <c r="D1957" s="2" t="s">
        <v>18</v>
      </c>
      <c r="E1957" s="5">
        <v>-28892</v>
      </c>
      <c r="F1957" s="3" t="s">
        <v>3036</v>
      </c>
      <c r="G1957" s="3" t="s">
        <v>43</v>
      </c>
      <c r="H1957" s="2" t="s">
        <v>21</v>
      </c>
      <c r="I1957" s="2" t="s">
        <v>4356</v>
      </c>
      <c r="J1957" s="3" t="str">
        <f>HYPERLINK("https://www.boe.es/gazeta/dias/1820/11/22/pdfs/GGB-1820-149.pdf#page=2","Abrir facsímil")</f>
        <v>Abrir facsímil</v>
      </c>
      <c r="K1957" s="3" t="s">
        <v>23</v>
      </c>
    </row>
    <row r="1958" spans="1:11" ht="42" customHeight="1">
      <c r="A1958" s="2" t="s">
        <v>4357</v>
      </c>
      <c r="B1958" s="2" t="s">
        <v>4358</v>
      </c>
      <c r="C1958" s="2" t="s">
        <v>17</v>
      </c>
      <c r="D1958" s="2" t="s">
        <v>18</v>
      </c>
      <c r="E1958" s="5">
        <v>-28995</v>
      </c>
      <c r="F1958" s="3" t="s">
        <v>672</v>
      </c>
      <c r="G1958" s="3" t="s">
        <v>62</v>
      </c>
      <c r="H1958" s="2" t="s">
        <v>21</v>
      </c>
      <c r="I1958" s="2" t="s">
        <v>4359</v>
      </c>
      <c r="J1958" s="3" t="str">
        <f>HYPERLINK("https://www.boe.es/gazeta/dias/1820/08/11/pdfs/GGB-1820-44.pdf#page=3","Abrir facsímil")</f>
        <v>Abrir facsímil</v>
      </c>
      <c r="K1958" s="3" t="s">
        <v>23</v>
      </c>
    </row>
    <row r="1959" spans="1:11" ht="42" customHeight="1">
      <c r="A1959" s="2" t="s">
        <v>4360</v>
      </c>
      <c r="B1959" s="2" t="s">
        <v>4361</v>
      </c>
      <c r="C1959" s="2" t="s">
        <v>26</v>
      </c>
      <c r="D1959" s="2" t="s">
        <v>27</v>
      </c>
      <c r="E1959" s="5">
        <v>-29129</v>
      </c>
      <c r="F1959" s="3" t="s">
        <v>269</v>
      </c>
      <c r="G1959" s="3" t="s">
        <v>553</v>
      </c>
      <c r="H1959" s="2" t="s">
        <v>21</v>
      </c>
      <c r="I1959" s="2" t="s">
        <v>4362</v>
      </c>
      <c r="J1959" s="3" t="str">
        <f>HYPERLINK("https://www.boe.es/gazeta/dias/1820/03/30/pdfs/GMD-1820-58.pdf#page=10","Abrir facsímil")</f>
        <v>Abrir facsímil</v>
      </c>
      <c r="K1959" s="3" t="s">
        <v>23</v>
      </c>
    </row>
    <row r="1960" spans="1:11" ht="42" customHeight="1">
      <c r="A1960" s="2" t="s">
        <v>4363</v>
      </c>
      <c r="B1960" s="2" t="s">
        <v>4364</v>
      </c>
      <c r="C1960" s="2" t="s">
        <v>26</v>
      </c>
      <c r="D1960" s="2" t="s">
        <v>27</v>
      </c>
      <c r="E1960" s="5">
        <v>-28900</v>
      </c>
      <c r="F1960" s="3" t="s">
        <v>878</v>
      </c>
      <c r="G1960" s="3" t="s">
        <v>20</v>
      </c>
      <c r="H1960" s="2" t="s">
        <v>21</v>
      </c>
      <c r="I1960" s="2" t="s">
        <v>4365</v>
      </c>
      <c r="J1960" s="3" t="str">
        <f>HYPERLINK("https://www.boe.es/gazeta/dias/1820/11/14/pdfs/GGB-1820-140.pdf#page=4","Abrir facsímil")</f>
        <v>Abrir facsímil</v>
      </c>
      <c r="K1960" s="3" t="s">
        <v>23</v>
      </c>
    </row>
    <row r="1961" spans="1:11" ht="42" customHeight="1">
      <c r="A1961" s="2" t="s">
        <v>4366</v>
      </c>
      <c r="B1961" s="2" t="s">
        <v>4367</v>
      </c>
      <c r="C1961" s="2" t="s">
        <v>26</v>
      </c>
      <c r="D1961" s="2" t="s">
        <v>27</v>
      </c>
      <c r="E1961" s="5">
        <v>-28963</v>
      </c>
      <c r="F1961" s="3" t="s">
        <v>94</v>
      </c>
      <c r="G1961" s="3" t="s">
        <v>62</v>
      </c>
      <c r="H1961" s="2" t="s">
        <v>21</v>
      </c>
      <c r="I1961" s="2" t="s">
        <v>4368</v>
      </c>
      <c r="J1961" s="3" t="str">
        <f>HYPERLINK("https://www.boe.es/gazeta/dias/1820/09/12/pdfs/GGB-1820-76.pdf#page=3","Abrir facsímil")</f>
        <v>Abrir facsímil</v>
      </c>
      <c r="K1961" s="3" t="s">
        <v>23</v>
      </c>
    </row>
    <row r="1962" spans="1:11" ht="42" customHeight="1">
      <c r="A1962" s="2" t="s">
        <v>4369</v>
      </c>
      <c r="B1962" s="2" t="s">
        <v>4370</v>
      </c>
      <c r="C1962" s="2" t="s">
        <v>26</v>
      </c>
      <c r="D1962" s="2" t="s">
        <v>27</v>
      </c>
      <c r="E1962" s="5">
        <v>-28951</v>
      </c>
      <c r="F1962" s="3" t="s">
        <v>622</v>
      </c>
      <c r="G1962" s="3" t="s">
        <v>62</v>
      </c>
      <c r="H1962" s="2" t="s">
        <v>21</v>
      </c>
      <c r="I1962" s="2" t="s">
        <v>4371</v>
      </c>
      <c r="J1962" s="3" t="str">
        <f>HYPERLINK("https://www.boe.es/gazeta/dias/1820/09/24/pdfs/GGB-1820-88.pdf#page=3","Abrir facsímil")</f>
        <v>Abrir facsímil</v>
      </c>
      <c r="K1962" s="3" t="s">
        <v>23</v>
      </c>
    </row>
    <row r="1963" spans="1:11" ht="42" customHeight="1">
      <c r="A1963" s="2" t="s">
        <v>4372</v>
      </c>
      <c r="B1963" s="2" t="s">
        <v>4373</v>
      </c>
      <c r="C1963" s="2" t="s">
        <v>26</v>
      </c>
      <c r="D1963" s="2" t="s">
        <v>27</v>
      </c>
      <c r="E1963" s="5">
        <v>-28931</v>
      </c>
      <c r="F1963" s="3" t="s">
        <v>724</v>
      </c>
      <c r="G1963" s="3" t="s">
        <v>20</v>
      </c>
      <c r="H1963" s="2" t="s">
        <v>21</v>
      </c>
      <c r="I1963" s="2" t="s">
        <v>4374</v>
      </c>
      <c r="J1963" s="3" t="str">
        <f>HYPERLINK("https://www.boe.es/gazeta/dias/1820/10/14/pdfs/GGB-1820-108.pdf#page=4","Abrir facsímil")</f>
        <v>Abrir facsímil</v>
      </c>
      <c r="K1963" s="3" t="s">
        <v>23</v>
      </c>
    </row>
    <row r="1964" spans="1:11" ht="42" customHeight="1">
      <c r="A1964" s="2" t="s">
        <v>4375</v>
      </c>
      <c r="B1964" s="2" t="s">
        <v>4375</v>
      </c>
      <c r="C1964" s="2" t="s">
        <v>26</v>
      </c>
      <c r="D1964" s="2" t="s">
        <v>27</v>
      </c>
      <c r="E1964" s="5">
        <v>-28898</v>
      </c>
      <c r="F1964" s="3" t="s">
        <v>1405</v>
      </c>
      <c r="G1964" s="3" t="s">
        <v>20</v>
      </c>
      <c r="H1964" s="2" t="s">
        <v>21</v>
      </c>
      <c r="I1964" s="2" t="s">
        <v>4376</v>
      </c>
      <c r="J1964" s="3" t="str">
        <f>HYPERLINK("https://www.boe.es/gazeta/dias/1820/11/16/pdfs/GGB-1820-142.pdf#page=4","Abrir facsímil")</f>
        <v>Abrir facsímil</v>
      </c>
      <c r="K1964" s="3" t="s">
        <v>23</v>
      </c>
    </row>
    <row r="1965" spans="1:11" ht="42" customHeight="1">
      <c r="A1965" s="2" t="s">
        <v>4377</v>
      </c>
      <c r="B1965" s="2" t="s">
        <v>4378</v>
      </c>
      <c r="C1965" s="2" t="s">
        <v>293</v>
      </c>
      <c r="D1965" s="2" t="s">
        <v>18</v>
      </c>
      <c r="E1965" s="5">
        <v>-29101</v>
      </c>
      <c r="F1965" s="3" t="s">
        <v>999</v>
      </c>
      <c r="G1965" s="3" t="s">
        <v>196</v>
      </c>
      <c r="H1965" s="2" t="s">
        <v>21</v>
      </c>
      <c r="I1965" s="2" t="s">
        <v>4379</v>
      </c>
      <c r="J1965" s="3" t="str">
        <f>HYPERLINK("https://www.boe.es/gazeta/dias/1820/04/27/pdfs/GMD-1820-72.pdf#page=11","Abrir facsímil")</f>
        <v>Abrir facsímil</v>
      </c>
      <c r="K1965" s="3" t="s">
        <v>23</v>
      </c>
    </row>
    <row r="1966" spans="1:11" ht="42" customHeight="1">
      <c r="A1966" s="2" t="s">
        <v>4380</v>
      </c>
      <c r="B1966" s="2" t="s">
        <v>4381</v>
      </c>
      <c r="C1966" s="2" t="s">
        <v>35</v>
      </c>
      <c r="D1966" s="2" t="s">
        <v>36</v>
      </c>
      <c r="E1966" s="5">
        <v>-28981</v>
      </c>
      <c r="F1966" s="3" t="s">
        <v>42</v>
      </c>
      <c r="G1966" s="3" t="s">
        <v>43</v>
      </c>
      <c r="H1966" s="2" t="s">
        <v>21</v>
      </c>
      <c r="I1966" s="2" t="s">
        <v>4382</v>
      </c>
      <c r="J1966" s="3" t="str">
        <f>HYPERLINK("https://www.boe.es/gazeta/dias/1820/08/25/pdfs/GGB-1820-58.pdf#page=2","Abrir facsímil")</f>
        <v>Abrir facsímil</v>
      </c>
      <c r="K1966" s="3" t="s">
        <v>23</v>
      </c>
    </row>
    <row r="1967" spans="1:11" ht="42" customHeight="1">
      <c r="A1967" s="2" t="s">
        <v>4383</v>
      </c>
      <c r="B1967" s="2" t="s">
        <v>4384</v>
      </c>
      <c r="C1967" s="2" t="s">
        <v>17</v>
      </c>
      <c r="D1967" s="2" t="s">
        <v>18</v>
      </c>
      <c r="E1967" s="5">
        <v>-29190</v>
      </c>
      <c r="F1967" s="3" t="s">
        <v>537</v>
      </c>
      <c r="G1967" s="3" t="s">
        <v>38</v>
      </c>
      <c r="H1967" s="2" t="s">
        <v>21</v>
      </c>
      <c r="I1967" s="2" t="s">
        <v>4385</v>
      </c>
      <c r="J1967" s="3" t="str">
        <f>HYPERLINK("https://www.boe.es/gazeta/dias/1820/01/29/pdfs/GMD-1820-13.pdf#page=6","Abrir facsímil")</f>
        <v>Abrir facsímil</v>
      </c>
      <c r="K1967" s="3" t="s">
        <v>23</v>
      </c>
    </row>
    <row r="1968" spans="1:11" ht="42" customHeight="1">
      <c r="A1968" s="2" t="s">
        <v>4386</v>
      </c>
      <c r="B1968" s="2" t="s">
        <v>4387</v>
      </c>
      <c r="C1968" s="2" t="s">
        <v>26</v>
      </c>
      <c r="D1968" s="2" t="s">
        <v>27</v>
      </c>
      <c r="E1968" s="5">
        <v>-28854</v>
      </c>
      <c r="F1968" s="3" t="s">
        <v>147</v>
      </c>
      <c r="G1968" s="3" t="s">
        <v>43</v>
      </c>
      <c r="H1968" s="2" t="s">
        <v>21</v>
      </c>
      <c r="I1968" s="2" t="s">
        <v>4388</v>
      </c>
      <c r="J1968" s="3" t="str">
        <f>HYPERLINK("https://www.boe.es/gazeta/dias/1820/12/30/pdfs/GGB-1820-187.pdf#page=2","Abrir facsímil")</f>
        <v>Abrir facsímil</v>
      </c>
      <c r="K1968" s="3" t="s">
        <v>23</v>
      </c>
    </row>
    <row r="1969" spans="1:11" ht="42" customHeight="1">
      <c r="A1969" s="2" t="s">
        <v>4389</v>
      </c>
      <c r="B1969" s="2" t="s">
        <v>4390</v>
      </c>
      <c r="C1969" s="2" t="s">
        <v>26</v>
      </c>
      <c r="D1969" s="2" t="s">
        <v>27</v>
      </c>
      <c r="E1969" s="5">
        <v>-29045</v>
      </c>
      <c r="F1969" s="3" t="s">
        <v>155</v>
      </c>
      <c r="G1969" s="3" t="s">
        <v>38</v>
      </c>
      <c r="H1969" s="2" t="s">
        <v>21</v>
      </c>
      <c r="I1969" s="2" t="s">
        <v>4391</v>
      </c>
      <c r="J1969" s="3" t="str">
        <f>HYPERLINK("https://www.boe.es/gazeta/dias/1820/06/22/pdfs/GMD-1820-97.pdf#page=6","Abrir facsímil")</f>
        <v>Abrir facsímil</v>
      </c>
      <c r="K1969" s="3" t="s">
        <v>23</v>
      </c>
    </row>
    <row r="1970" spans="1:11" ht="42" customHeight="1">
      <c r="A1970" s="2" t="s">
        <v>4392</v>
      </c>
      <c r="B1970" s="2" t="s">
        <v>4393</v>
      </c>
      <c r="C1970" s="2" t="s">
        <v>26</v>
      </c>
      <c r="D1970" s="2" t="s">
        <v>27</v>
      </c>
      <c r="E1970" s="5">
        <v>-28881</v>
      </c>
      <c r="F1970" s="3" t="s">
        <v>57</v>
      </c>
      <c r="G1970" s="3" t="s">
        <v>43</v>
      </c>
      <c r="H1970" s="2" t="s">
        <v>30</v>
      </c>
      <c r="I1970" s="2" t="s">
        <v>4394</v>
      </c>
      <c r="J1970" s="3" t="str">
        <f>HYPERLINK("https://www.boe.es/gazeta/dias/1820/12/03/pdfs/GGB-1820-160.pdf#page=2","Abrir facsímil")</f>
        <v>Abrir facsímil</v>
      </c>
      <c r="K1970" s="3" t="s">
        <v>32</v>
      </c>
    </row>
    <row r="1971" spans="1:11" ht="42" customHeight="1">
      <c r="A1971" s="2" t="s">
        <v>4395</v>
      </c>
      <c r="B1971" s="2" t="s">
        <v>4396</v>
      </c>
      <c r="C1971" s="2" t="s">
        <v>47</v>
      </c>
      <c r="D1971" s="2" t="s">
        <v>18</v>
      </c>
      <c r="E1971" s="5">
        <v>-28932</v>
      </c>
      <c r="F1971" s="3" t="s">
        <v>407</v>
      </c>
      <c r="G1971" s="3" t="s">
        <v>62</v>
      </c>
      <c r="H1971" s="2" t="s">
        <v>21</v>
      </c>
      <c r="I1971" s="2" t="s">
        <v>4397</v>
      </c>
      <c r="J1971" s="3" t="str">
        <f>HYPERLINK("https://www.boe.es/gazeta/dias/1820/10/13/pdfs/GGB-1820-107.pdf#page=3","Abrir facsímil")</f>
        <v>Abrir facsímil</v>
      </c>
      <c r="K1971" s="3" t="s">
        <v>23</v>
      </c>
    </row>
    <row r="1972" spans="1:11" ht="42" customHeight="1">
      <c r="A1972" s="2" t="s">
        <v>4398</v>
      </c>
      <c r="B1972" s="2" t="s">
        <v>4398</v>
      </c>
      <c r="C1972" s="2" t="s">
        <v>26</v>
      </c>
      <c r="D1972" s="2" t="s">
        <v>27</v>
      </c>
      <c r="E1972" s="5">
        <v>-28987</v>
      </c>
      <c r="F1972" s="3" t="s">
        <v>680</v>
      </c>
      <c r="G1972" s="3" t="s">
        <v>62</v>
      </c>
      <c r="H1972" s="2" t="s">
        <v>21</v>
      </c>
      <c r="I1972" s="2" t="s">
        <v>4399</v>
      </c>
      <c r="J1972" s="3" t="str">
        <f>HYPERLINK("https://www.boe.es/gazeta/dias/1820/08/19/pdfs/GGB-1820-52.pdf#page=3","Abrir facsímil")</f>
        <v>Abrir facsímil</v>
      </c>
      <c r="K1972" s="3" t="s">
        <v>23</v>
      </c>
    </row>
    <row r="1973" spans="1:11" ht="42" customHeight="1">
      <c r="A1973" s="2" t="s">
        <v>4398</v>
      </c>
      <c r="B1973" s="2" t="s">
        <v>4398</v>
      </c>
      <c r="C1973" s="2" t="s">
        <v>74</v>
      </c>
      <c r="D1973" s="2" t="s">
        <v>18</v>
      </c>
      <c r="E1973" s="5">
        <v>-28977</v>
      </c>
      <c r="F1973" s="3" t="s">
        <v>687</v>
      </c>
      <c r="G1973" s="3" t="s">
        <v>62</v>
      </c>
      <c r="H1973" s="2" t="s">
        <v>21</v>
      </c>
      <c r="I1973" s="2" t="s">
        <v>4400</v>
      </c>
      <c r="J1973" s="3" t="str">
        <f>HYPERLINK("https://www.boe.es/gazeta/dias/1820/08/29/pdfs/GGB-1820-62.pdf#page=3","Abrir facsímil")</f>
        <v>Abrir facsímil</v>
      </c>
      <c r="K1973" s="3" t="s">
        <v>23</v>
      </c>
    </row>
    <row r="1974" spans="1:11" ht="42" customHeight="1">
      <c r="A1974" s="2" t="s">
        <v>4401</v>
      </c>
      <c r="B1974" s="2" t="s">
        <v>4402</v>
      </c>
      <c r="C1974" s="2" t="s">
        <v>74</v>
      </c>
      <c r="D1974" s="2" t="s">
        <v>310</v>
      </c>
      <c r="E1974" s="5">
        <v>-29027</v>
      </c>
      <c r="F1974" s="3" t="s">
        <v>4403</v>
      </c>
      <c r="G1974" s="3" t="s">
        <v>128</v>
      </c>
      <c r="H1974" s="2" t="s">
        <v>21</v>
      </c>
      <c r="I1974" s="2" t="s">
        <v>4404</v>
      </c>
      <c r="J1974" s="3" t="str">
        <f>HYPERLINK("https://www.boe.es/gazeta/dias/1820/07/10/pdfs/GGB-1820-12E.pdf#page=1","Abrir facsímil")</f>
        <v>Abrir facsímil</v>
      </c>
      <c r="K1974" s="3" t="s">
        <v>23</v>
      </c>
    </row>
    <row r="1975" spans="1:11" ht="42" customHeight="1">
      <c r="A1975" s="2" t="s">
        <v>4405</v>
      </c>
      <c r="B1975" s="2" t="s">
        <v>4406</v>
      </c>
      <c r="C1975" s="2" t="s">
        <v>26</v>
      </c>
      <c r="D1975" s="2" t="s">
        <v>27</v>
      </c>
      <c r="E1975" s="5">
        <v>-29115</v>
      </c>
      <c r="F1975" s="3" t="s">
        <v>289</v>
      </c>
      <c r="G1975" s="3" t="s">
        <v>20</v>
      </c>
      <c r="H1975" s="2" t="s">
        <v>30</v>
      </c>
      <c r="I1975" s="2" t="s">
        <v>4407</v>
      </c>
      <c r="J1975" s="3" t="str">
        <f>HYPERLINK("https://www.boe.es/gazeta/dias/1820/04/13/pdfs/GMD-1820-65.pdf#page=4","Abrir facsímil")</f>
        <v>Abrir facsímil</v>
      </c>
      <c r="K1975" s="3" t="s">
        <v>32</v>
      </c>
    </row>
    <row r="1976" spans="1:11" ht="42" customHeight="1">
      <c r="A1976" s="2" t="s">
        <v>4408</v>
      </c>
      <c r="B1976" s="2" t="s">
        <v>4408</v>
      </c>
      <c r="C1976" s="2" t="s">
        <v>26</v>
      </c>
      <c r="D1976" s="2" t="s">
        <v>27</v>
      </c>
      <c r="E1976" s="5">
        <v>-28972</v>
      </c>
      <c r="F1976" s="3" t="s">
        <v>522</v>
      </c>
      <c r="G1976" s="3" t="s">
        <v>43</v>
      </c>
      <c r="H1976" s="2" t="s">
        <v>21</v>
      </c>
      <c r="I1976" s="2" t="s">
        <v>4409</v>
      </c>
      <c r="J1976" s="3" t="str">
        <f>HYPERLINK("https://www.boe.es/gazeta/dias/1820/09/03/pdfs/GGB-1820-67.pdf#page=2","Abrir facsímil")</f>
        <v>Abrir facsímil</v>
      </c>
      <c r="K1976" s="3" t="s">
        <v>23</v>
      </c>
    </row>
    <row r="1977" spans="1:11" ht="42" customHeight="1">
      <c r="A1977" s="2" t="s">
        <v>4410</v>
      </c>
      <c r="B1977" s="2" t="s">
        <v>4411</v>
      </c>
      <c r="C1977" s="2" t="s">
        <v>26</v>
      </c>
      <c r="D1977" s="2" t="s">
        <v>27</v>
      </c>
      <c r="E1977" s="5">
        <v>-28995</v>
      </c>
      <c r="F1977" s="3" t="s">
        <v>672</v>
      </c>
      <c r="G1977" s="3" t="s">
        <v>20</v>
      </c>
      <c r="H1977" s="2" t="s">
        <v>21</v>
      </c>
      <c r="I1977" s="2" t="s">
        <v>4412</v>
      </c>
      <c r="J1977" s="3" t="str">
        <f>HYPERLINK("https://www.boe.es/gazeta/dias/1820/08/11/pdfs/GGB-1820-44.pdf#page=4","Abrir facsímil")</f>
        <v>Abrir facsímil</v>
      </c>
      <c r="K1977" s="3" t="s">
        <v>23</v>
      </c>
    </row>
    <row r="1978" spans="1:11" ht="42" customHeight="1">
      <c r="A1978" s="2" t="s">
        <v>4410</v>
      </c>
      <c r="B1978" s="2" t="s">
        <v>4411</v>
      </c>
      <c r="C1978" s="2" t="s">
        <v>26</v>
      </c>
      <c r="D1978" s="2" t="s">
        <v>27</v>
      </c>
      <c r="E1978" s="5">
        <v>-28972</v>
      </c>
      <c r="F1978" s="3" t="s">
        <v>522</v>
      </c>
      <c r="G1978" s="3" t="s">
        <v>43</v>
      </c>
      <c r="H1978" s="2" t="s">
        <v>21</v>
      </c>
      <c r="I1978" s="2" t="s">
        <v>4413</v>
      </c>
      <c r="J1978" s="3" t="str">
        <f>HYPERLINK("https://www.boe.es/gazeta/dias/1820/09/03/pdfs/GGB-1820-67.pdf#page=2","Abrir facsímil")</f>
        <v>Abrir facsímil</v>
      </c>
      <c r="K1978" s="3" t="s">
        <v>23</v>
      </c>
    </row>
    <row r="1979" spans="1:11" ht="42" customHeight="1">
      <c r="A1979" s="2" t="s">
        <v>4410</v>
      </c>
      <c r="B1979" s="2" t="s">
        <v>4411</v>
      </c>
      <c r="C1979" s="2" t="s">
        <v>26</v>
      </c>
      <c r="D1979" s="2" t="s">
        <v>27</v>
      </c>
      <c r="E1979" s="5">
        <v>-28969</v>
      </c>
      <c r="F1979" s="3" t="s">
        <v>225</v>
      </c>
      <c r="G1979" s="3" t="s">
        <v>20</v>
      </c>
      <c r="H1979" s="2" t="s">
        <v>21</v>
      </c>
      <c r="I1979" s="2" t="s">
        <v>4414</v>
      </c>
      <c r="J1979" s="3" t="str">
        <f>HYPERLINK("https://www.boe.es/gazeta/dias/1820/09/06/pdfs/GGB-1820-70.pdf#page=4","Abrir facsímil")</f>
        <v>Abrir facsímil</v>
      </c>
      <c r="K1979" s="3" t="s">
        <v>23</v>
      </c>
    </row>
    <row r="1980" spans="1:11" ht="42" customHeight="1">
      <c r="A1980" s="2" t="s">
        <v>4415</v>
      </c>
      <c r="B1980" s="2" t="s">
        <v>4416</v>
      </c>
      <c r="C1980" s="2" t="s">
        <v>26</v>
      </c>
      <c r="D1980" s="2" t="s">
        <v>27</v>
      </c>
      <c r="E1980" s="5">
        <v>-28904</v>
      </c>
      <c r="F1980" s="3" t="s">
        <v>541</v>
      </c>
      <c r="G1980" s="3" t="s">
        <v>43</v>
      </c>
      <c r="H1980" s="2" t="s">
        <v>21</v>
      </c>
      <c r="I1980" s="2" t="s">
        <v>4417</v>
      </c>
      <c r="J1980" s="3" t="str">
        <f>HYPERLINK("https://www.boe.es/gazeta/dias/1820/11/10/pdfs/GGB-1820-136.pdf#page=2","Abrir facsímil")</f>
        <v>Abrir facsímil</v>
      </c>
      <c r="K1980" s="3" t="s">
        <v>23</v>
      </c>
    </row>
    <row r="1981" spans="1:11" ht="42" customHeight="1">
      <c r="A1981" s="2" t="s">
        <v>4418</v>
      </c>
      <c r="B1981" s="2" t="s">
        <v>4419</v>
      </c>
      <c r="C1981" s="2" t="s">
        <v>35</v>
      </c>
      <c r="D1981" s="2" t="s">
        <v>36</v>
      </c>
      <c r="E1981" s="5">
        <v>-28958</v>
      </c>
      <c r="F1981" s="3" t="s">
        <v>706</v>
      </c>
      <c r="G1981" s="3" t="s">
        <v>20</v>
      </c>
      <c r="H1981" s="2" t="s">
        <v>30</v>
      </c>
      <c r="I1981" s="2" t="s">
        <v>4420</v>
      </c>
      <c r="J1981" s="3" t="str">
        <f>HYPERLINK("https://www.boe.es/gazeta/dias/1820/09/17/pdfs/GGB-1820-81.pdf#page=4","Abrir facsímil")</f>
        <v>Abrir facsímil</v>
      </c>
      <c r="K1981" s="3" t="s">
        <v>32</v>
      </c>
    </row>
    <row r="1982" spans="1:11" ht="42" customHeight="1">
      <c r="A1982" s="2" t="s">
        <v>4421</v>
      </c>
      <c r="B1982" s="2" t="s">
        <v>4422</v>
      </c>
      <c r="C1982" s="2" t="s">
        <v>74</v>
      </c>
      <c r="D1982" s="2" t="s">
        <v>18</v>
      </c>
      <c r="E1982" s="5">
        <v>-28967</v>
      </c>
      <c r="F1982" s="3" t="s">
        <v>238</v>
      </c>
      <c r="G1982" s="3" t="s">
        <v>38</v>
      </c>
      <c r="H1982" s="2" t="s">
        <v>21</v>
      </c>
      <c r="I1982" s="2" t="s">
        <v>4423</v>
      </c>
      <c r="J1982" s="3" t="str">
        <f>HYPERLINK("https://www.boe.es/gazeta/dias/1820/09/08/pdfs/GGB-1820-72.pdf#page=6","Abrir facsímil")</f>
        <v>Abrir facsímil</v>
      </c>
      <c r="K1982" s="3" t="s">
        <v>23</v>
      </c>
    </row>
    <row r="1983" spans="1:11" ht="42" customHeight="1">
      <c r="A1983" s="2" t="s">
        <v>4424</v>
      </c>
      <c r="B1983" s="2" t="s">
        <v>4425</v>
      </c>
      <c r="C1983" s="2" t="s">
        <v>26</v>
      </c>
      <c r="D1983" s="2" t="s">
        <v>27</v>
      </c>
      <c r="E1983" s="5">
        <v>-28976</v>
      </c>
      <c r="F1983" s="3" t="s">
        <v>689</v>
      </c>
      <c r="G1983" s="3" t="s">
        <v>62</v>
      </c>
      <c r="H1983" s="2" t="s">
        <v>21</v>
      </c>
      <c r="I1983" s="2" t="s">
        <v>4426</v>
      </c>
      <c r="J1983" s="3" t="str">
        <f>HYPERLINK("https://www.boe.es/gazeta/dias/1820/08/30/pdfs/GGB-1820-63.pdf#page=3","Abrir facsímil")</f>
        <v>Abrir facsímil</v>
      </c>
      <c r="K1983" s="3" t="s">
        <v>23</v>
      </c>
    </row>
    <row r="1984" spans="1:11" ht="42" customHeight="1">
      <c r="A1984" s="2" t="s">
        <v>4427</v>
      </c>
      <c r="B1984" s="2" t="s">
        <v>4428</v>
      </c>
      <c r="C1984" s="2" t="s">
        <v>74</v>
      </c>
      <c r="D1984" s="2" t="s">
        <v>18</v>
      </c>
      <c r="E1984" s="5">
        <v>-28878</v>
      </c>
      <c r="F1984" s="3" t="s">
        <v>866</v>
      </c>
      <c r="G1984" s="3" t="s">
        <v>20</v>
      </c>
      <c r="H1984" s="2" t="s">
        <v>30</v>
      </c>
      <c r="I1984" s="2" t="s">
        <v>4429</v>
      </c>
      <c r="J1984" s="3" t="str">
        <f>HYPERLINK("https://www.boe.es/gazeta/dias/1820/12/06/pdfs/GGB-1820-163.pdf#page=4","Abrir facsímil")</f>
        <v>Abrir facsímil</v>
      </c>
      <c r="K1984" s="3" t="s">
        <v>32</v>
      </c>
    </row>
    <row r="1985" spans="1:11" ht="42" customHeight="1">
      <c r="A1985" s="2" t="s">
        <v>4430</v>
      </c>
      <c r="B1985" s="2" t="s">
        <v>4431</v>
      </c>
      <c r="C1985" s="2" t="s">
        <v>74</v>
      </c>
      <c r="D1985" s="2" t="s">
        <v>18</v>
      </c>
      <c r="E1985" s="5">
        <v>-29023</v>
      </c>
      <c r="F1985" s="3" t="s">
        <v>1662</v>
      </c>
      <c r="G1985" s="3" t="s">
        <v>20</v>
      </c>
      <c r="H1985" s="2" t="s">
        <v>21</v>
      </c>
      <c r="I1985" s="2" t="s">
        <v>4432</v>
      </c>
      <c r="J1985" s="3" t="str">
        <f>HYPERLINK("https://www.boe.es/gazeta/dias/1820/07/14/pdfs/GGB-1820-16.pdf#page=4","Abrir facsímil")</f>
        <v>Abrir facsímil</v>
      </c>
      <c r="K1985" s="3" t="s">
        <v>23</v>
      </c>
    </row>
    <row r="1986" spans="1:11" ht="42" customHeight="1">
      <c r="A1986" s="2" t="s">
        <v>4433</v>
      </c>
      <c r="B1986" s="2" t="s">
        <v>4434</v>
      </c>
      <c r="C1986" s="2" t="s">
        <v>26</v>
      </c>
      <c r="D1986" s="2" t="s">
        <v>27</v>
      </c>
      <c r="E1986" s="5">
        <v>-29129</v>
      </c>
      <c r="F1986" s="3" t="s">
        <v>269</v>
      </c>
      <c r="G1986" s="3" t="s">
        <v>553</v>
      </c>
      <c r="H1986" s="2" t="s">
        <v>21</v>
      </c>
      <c r="I1986" s="2" t="s">
        <v>4435</v>
      </c>
      <c r="J1986" s="3" t="str">
        <f>HYPERLINK("https://www.boe.es/gazeta/dias/1820/03/30/pdfs/GMD-1820-58.pdf#page=10","Abrir facsímil")</f>
        <v>Abrir facsímil</v>
      </c>
      <c r="K1986" s="3" t="s">
        <v>23</v>
      </c>
    </row>
    <row r="1987" spans="1:11" ht="42" customHeight="1">
      <c r="A1987" s="2" t="s">
        <v>4436</v>
      </c>
      <c r="B1987" s="2" t="s">
        <v>4437</v>
      </c>
      <c r="C1987" s="2" t="s">
        <v>26</v>
      </c>
      <c r="D1987" s="2" t="s">
        <v>27</v>
      </c>
      <c r="E1987" s="5">
        <v>-29206</v>
      </c>
      <c r="F1987" s="3" t="s">
        <v>897</v>
      </c>
      <c r="G1987" s="3" t="s">
        <v>20</v>
      </c>
      <c r="H1987" s="2" t="s">
        <v>21</v>
      </c>
      <c r="I1987" s="2" t="s">
        <v>4438</v>
      </c>
      <c r="J1987" s="3" t="str">
        <f>HYPERLINK("https://www.boe.es/gazeta/dias/1820/01/13/pdfs/GMD-1820-6.pdf#page=4","Abrir facsímil")</f>
        <v>Abrir facsímil</v>
      </c>
      <c r="K1987" s="3" t="s">
        <v>23</v>
      </c>
    </row>
    <row r="1988" spans="1:11" ht="42" customHeight="1">
      <c r="A1988" s="2" t="s">
        <v>4436</v>
      </c>
      <c r="B1988" s="2" t="s">
        <v>4437</v>
      </c>
      <c r="C1988" s="2" t="s">
        <v>26</v>
      </c>
      <c r="D1988" s="2" t="s">
        <v>310</v>
      </c>
      <c r="E1988" s="5">
        <v>-29150</v>
      </c>
      <c r="F1988" s="3" t="s">
        <v>4439</v>
      </c>
      <c r="G1988" s="3" t="s">
        <v>128</v>
      </c>
      <c r="H1988" s="2" t="s">
        <v>21</v>
      </c>
      <c r="I1988" s="2" t="s">
        <v>4440</v>
      </c>
      <c r="J1988" s="3" t="str">
        <f>HYPERLINK("https://www.boe.es/gazeta/dias/1820/03/09/pdfs/GMD-1820-33E.pdf#page=1","Abrir facsímil")</f>
        <v>Abrir facsímil</v>
      </c>
      <c r="K1988" s="3" t="s">
        <v>23</v>
      </c>
    </row>
    <row r="1989" spans="1:11" ht="42" customHeight="1">
      <c r="A1989" s="2" t="s">
        <v>4436</v>
      </c>
      <c r="B1989" s="2" t="s">
        <v>4437</v>
      </c>
      <c r="C1989" s="2" t="s">
        <v>35</v>
      </c>
      <c r="D1989" s="2" t="s">
        <v>310</v>
      </c>
      <c r="E1989" s="5">
        <v>-29140</v>
      </c>
      <c r="F1989" s="3" t="s">
        <v>533</v>
      </c>
      <c r="G1989" s="3" t="s">
        <v>128</v>
      </c>
      <c r="H1989" s="2" t="s">
        <v>21</v>
      </c>
      <c r="I1989" s="2" t="s">
        <v>4441</v>
      </c>
      <c r="J1989" s="3" t="str">
        <f>HYPERLINK("https://www.boe.es/gazeta/dias/1820/03/19/pdfs/GMD-1820-45E.pdf#page=1","Abrir facsímil")</f>
        <v>Abrir facsímil</v>
      </c>
      <c r="K1989" s="3" t="s">
        <v>23</v>
      </c>
    </row>
    <row r="1990" spans="1:11" ht="42" customHeight="1">
      <c r="A1990" s="2" t="s">
        <v>4436</v>
      </c>
      <c r="B1990" s="2" t="s">
        <v>4437</v>
      </c>
      <c r="C1990" s="2" t="s">
        <v>26</v>
      </c>
      <c r="D1990" s="2" t="s">
        <v>27</v>
      </c>
      <c r="E1990" s="5">
        <v>-29138</v>
      </c>
      <c r="F1990" s="3" t="s">
        <v>200</v>
      </c>
      <c r="G1990" s="3" t="s">
        <v>295</v>
      </c>
      <c r="H1990" s="2" t="s">
        <v>21</v>
      </c>
      <c r="I1990" s="2" t="s">
        <v>4442</v>
      </c>
      <c r="J1990" s="3" t="str">
        <f>HYPERLINK("https://www.boe.es/gazeta/dias/1820/03/21/pdfs/GMD-1820-46.pdf#page=8","Abrir facsímil")</f>
        <v>Abrir facsímil</v>
      </c>
      <c r="K1990" s="3" t="s">
        <v>23</v>
      </c>
    </row>
    <row r="1991" spans="1:11" ht="42" customHeight="1">
      <c r="A1991" s="2" t="s">
        <v>4436</v>
      </c>
      <c r="B1991" s="2" t="s">
        <v>4437</v>
      </c>
      <c r="C1991" s="2" t="s">
        <v>35</v>
      </c>
      <c r="D1991" s="2" t="s">
        <v>310</v>
      </c>
      <c r="E1991" s="5">
        <v>-29138</v>
      </c>
      <c r="F1991" s="3" t="s">
        <v>2523</v>
      </c>
      <c r="G1991" s="3" t="s">
        <v>553</v>
      </c>
      <c r="H1991" s="2" t="s">
        <v>21</v>
      </c>
      <c r="I1991" s="2" t="s">
        <v>4443</v>
      </c>
      <c r="J1991" s="3" t="str">
        <f>HYPERLINK("https://www.boe.es/gazeta/dias/1820/03/21/pdfs/GMD-1820-48E.pdf#page=10","Abrir facsímil")</f>
        <v>Abrir facsímil</v>
      </c>
      <c r="K1991" s="3" t="s">
        <v>23</v>
      </c>
    </row>
    <row r="1992" spans="1:11" ht="42" customHeight="1">
      <c r="A1992" s="2" t="s">
        <v>4436</v>
      </c>
      <c r="B1992" s="2" t="s">
        <v>4437</v>
      </c>
      <c r="C1992" s="2" t="s">
        <v>26</v>
      </c>
      <c r="D1992" s="2" t="s">
        <v>27</v>
      </c>
      <c r="E1992" s="5">
        <v>-29136</v>
      </c>
      <c r="F1992" s="3" t="s">
        <v>2972</v>
      </c>
      <c r="G1992" s="3" t="s">
        <v>38</v>
      </c>
      <c r="H1992" s="2" t="s">
        <v>21</v>
      </c>
      <c r="I1992" s="2" t="s">
        <v>4444</v>
      </c>
      <c r="J1992" s="3" t="str">
        <f>HYPERLINK("https://www.boe.es/gazeta/dias/1820/03/23/pdfs/GMD-1820-51.pdf#page=6","Abrir facsímil")</f>
        <v>Abrir facsímil</v>
      </c>
      <c r="K1992" s="3" t="s">
        <v>23</v>
      </c>
    </row>
    <row r="1993" spans="1:11" ht="42" customHeight="1">
      <c r="A1993" s="2" t="s">
        <v>4436</v>
      </c>
      <c r="B1993" s="2" t="s">
        <v>4437</v>
      </c>
      <c r="C1993" s="2" t="s">
        <v>26</v>
      </c>
      <c r="D1993" s="2" t="s">
        <v>27</v>
      </c>
      <c r="E1993" s="5">
        <v>-29134</v>
      </c>
      <c r="F1993" s="3" t="s">
        <v>255</v>
      </c>
      <c r="G1993" s="3" t="s">
        <v>4445</v>
      </c>
      <c r="H1993" s="2" t="s">
        <v>21</v>
      </c>
      <c r="I1993" s="2" t="s">
        <v>4446</v>
      </c>
      <c r="J1993" s="3" t="str">
        <f>HYPERLINK("https://www.boe.es/gazeta/dias/1820/03/25/pdfs/GMD-1820-53.pdf#page=7","Abrir facsímil")</f>
        <v>Abrir facsímil</v>
      </c>
      <c r="K1993" s="3" t="s">
        <v>23</v>
      </c>
    </row>
    <row r="1994" spans="1:11" ht="42" customHeight="1">
      <c r="A1994" s="2" t="s">
        <v>4436</v>
      </c>
      <c r="B1994" s="2" t="s">
        <v>4437</v>
      </c>
      <c r="C1994" s="2" t="s">
        <v>26</v>
      </c>
      <c r="D1994" s="2" t="s">
        <v>27</v>
      </c>
      <c r="E1994" s="5">
        <v>-29131</v>
      </c>
      <c r="F1994" s="3" t="s">
        <v>1193</v>
      </c>
      <c r="G1994" s="3" t="s">
        <v>295</v>
      </c>
      <c r="H1994" s="2" t="s">
        <v>21</v>
      </c>
      <c r="I1994" s="2" t="s">
        <v>4447</v>
      </c>
      <c r="J1994" s="3" t="str">
        <f>HYPERLINK("https://www.boe.es/gazeta/dias/1820/03/28/pdfs/GMD-1820-56.pdf#page=8","Abrir facsímil")</f>
        <v>Abrir facsímil</v>
      </c>
      <c r="K1994" s="3" t="s">
        <v>23</v>
      </c>
    </row>
    <row r="1995" spans="1:11" ht="42" customHeight="1">
      <c r="A1995" s="2" t="s">
        <v>4436</v>
      </c>
      <c r="B1995" s="2" t="s">
        <v>4437</v>
      </c>
      <c r="C1995" s="2" t="s">
        <v>35</v>
      </c>
      <c r="D1995" s="2" t="s">
        <v>36</v>
      </c>
      <c r="E1995" s="5">
        <v>-29129</v>
      </c>
      <c r="F1995" s="3" t="s">
        <v>269</v>
      </c>
      <c r="G1995" s="3" t="s">
        <v>553</v>
      </c>
      <c r="H1995" s="2" t="s">
        <v>21</v>
      </c>
      <c r="I1995" s="2" t="s">
        <v>4448</v>
      </c>
      <c r="J1995" s="3" t="str">
        <f>HYPERLINK("https://www.boe.es/gazeta/dias/1820/03/30/pdfs/GMD-1820-58.pdf#page=10","Abrir facsímil")</f>
        <v>Abrir facsímil</v>
      </c>
      <c r="K1995" s="3" t="s">
        <v>23</v>
      </c>
    </row>
    <row r="1996" spans="1:11" ht="42" customHeight="1">
      <c r="A1996" s="2" t="s">
        <v>4436</v>
      </c>
      <c r="B1996" s="2" t="s">
        <v>4437</v>
      </c>
      <c r="C1996" s="2" t="s">
        <v>26</v>
      </c>
      <c r="D1996" s="2" t="s">
        <v>27</v>
      </c>
      <c r="E1996" s="5">
        <v>-29127</v>
      </c>
      <c r="F1996" s="3" t="s">
        <v>583</v>
      </c>
      <c r="G1996" s="3" t="s">
        <v>201</v>
      </c>
      <c r="H1996" s="2" t="s">
        <v>21</v>
      </c>
      <c r="I1996" s="2" t="s">
        <v>4449</v>
      </c>
      <c r="J1996" s="3" t="str">
        <f>HYPERLINK("https://www.boe.es/gazeta/dias/1820/04/01/pdfs/GMD-1820-59.pdf#page=7","Abrir facsímil")</f>
        <v>Abrir facsímil</v>
      </c>
      <c r="K1996" s="3" t="s">
        <v>23</v>
      </c>
    </row>
    <row r="1997" spans="1:11" ht="42" customHeight="1">
      <c r="A1997" s="2" t="s">
        <v>4436</v>
      </c>
      <c r="B1997" s="2" t="s">
        <v>4437</v>
      </c>
      <c r="C1997" s="2" t="s">
        <v>26</v>
      </c>
      <c r="D1997" s="2" t="s">
        <v>27</v>
      </c>
      <c r="E1997" s="5">
        <v>-29124</v>
      </c>
      <c r="F1997" s="3" t="s">
        <v>4097</v>
      </c>
      <c r="G1997" s="3" t="s">
        <v>4450</v>
      </c>
      <c r="H1997" s="2" t="s">
        <v>21</v>
      </c>
      <c r="I1997" s="2" t="s">
        <v>4451</v>
      </c>
      <c r="J1997" s="3" t="str">
        <f>HYPERLINK("https://www.boe.es/gazeta/dias/1820/04/04/pdfs/GMD-1820-60.pdf#page=6","Abrir facsímil")</f>
        <v>Abrir facsímil</v>
      </c>
      <c r="K1997" s="3" t="s">
        <v>23</v>
      </c>
    </row>
    <row r="1998" spans="1:11" ht="42" customHeight="1">
      <c r="A1998" s="2" t="s">
        <v>4436</v>
      </c>
      <c r="B1998" s="2" t="s">
        <v>4437</v>
      </c>
      <c r="C1998" s="2" t="s">
        <v>26</v>
      </c>
      <c r="D1998" s="2" t="s">
        <v>27</v>
      </c>
      <c r="E1998" s="5">
        <v>-29113</v>
      </c>
      <c r="F1998" s="3" t="s">
        <v>501</v>
      </c>
      <c r="G1998" s="3" t="s">
        <v>38</v>
      </c>
      <c r="H1998" s="2" t="s">
        <v>21</v>
      </c>
      <c r="I1998" s="2" t="s">
        <v>4452</v>
      </c>
      <c r="J1998" s="3" t="str">
        <f>HYPERLINK("https://www.boe.es/gazeta/dias/1820/04/15/pdfs/GMD-1820-66.pdf#page=6","Abrir facsímil")</f>
        <v>Abrir facsímil</v>
      </c>
      <c r="K1998" s="3" t="s">
        <v>23</v>
      </c>
    </row>
    <row r="1999" spans="1:11" ht="42" customHeight="1">
      <c r="A1999" s="2" t="s">
        <v>4436</v>
      </c>
      <c r="B1999" s="2" t="s">
        <v>4437</v>
      </c>
      <c r="C1999" s="2" t="s">
        <v>35</v>
      </c>
      <c r="D1999" s="2" t="s">
        <v>36</v>
      </c>
      <c r="E1999" s="5">
        <v>-29085</v>
      </c>
      <c r="F1999" s="3" t="s">
        <v>1502</v>
      </c>
      <c r="G1999" s="3" t="s">
        <v>196</v>
      </c>
      <c r="H1999" s="2" t="s">
        <v>21</v>
      </c>
      <c r="I1999" s="2" t="s">
        <v>4453</v>
      </c>
      <c r="J1999" s="3" t="str">
        <f>HYPERLINK("https://www.boe.es/gazeta/dias/1820/05/13/pdfs/GMD-1820-79.pdf#page=11","Abrir facsímil")</f>
        <v>Abrir facsímil</v>
      </c>
      <c r="K1999" s="3" t="s">
        <v>23</v>
      </c>
    </row>
    <row r="2000" spans="1:11" ht="42" customHeight="1">
      <c r="A2000" s="2" t="s">
        <v>4436</v>
      </c>
      <c r="B2000" s="2" t="s">
        <v>4437</v>
      </c>
      <c r="C2000" s="2" t="s">
        <v>26</v>
      </c>
      <c r="D2000" s="2" t="s">
        <v>27</v>
      </c>
      <c r="E2000" s="5">
        <v>-29082</v>
      </c>
      <c r="F2000" s="3" t="s">
        <v>478</v>
      </c>
      <c r="G2000" s="3" t="s">
        <v>295</v>
      </c>
      <c r="H2000" s="2" t="s">
        <v>21</v>
      </c>
      <c r="I2000" s="2" t="s">
        <v>4454</v>
      </c>
      <c r="J2000" s="3" t="str">
        <f>HYPERLINK("https://www.boe.es/gazeta/dias/1820/05/16/pdfs/GMD-1820-80.pdf#page=8","Abrir facsímil")</f>
        <v>Abrir facsímil</v>
      </c>
      <c r="K2000" s="3" t="s">
        <v>23</v>
      </c>
    </row>
    <row r="2001" spans="1:11" ht="42" customHeight="1">
      <c r="A2001" s="2" t="s">
        <v>4436</v>
      </c>
      <c r="B2001" s="2" t="s">
        <v>4437</v>
      </c>
      <c r="C2001" s="2" t="s">
        <v>26</v>
      </c>
      <c r="D2001" s="2" t="s">
        <v>27</v>
      </c>
      <c r="E2001" s="5">
        <v>-29028</v>
      </c>
      <c r="F2001" s="3" t="s">
        <v>132</v>
      </c>
      <c r="G2001" s="3" t="s">
        <v>62</v>
      </c>
      <c r="H2001" s="2" t="s">
        <v>21</v>
      </c>
      <c r="I2001" s="2" t="s">
        <v>4455</v>
      </c>
      <c r="J2001" s="3" t="str">
        <f>HYPERLINK("https://www.boe.es/gazeta/dias/1820/07/09/pdfs/GGB-1820-10.pdf#page=3","Abrir facsímil")</f>
        <v>Abrir facsímil</v>
      </c>
      <c r="K2001" s="3" t="s">
        <v>23</v>
      </c>
    </row>
    <row r="2002" spans="1:11" ht="42" customHeight="1">
      <c r="A2002" s="2" t="s">
        <v>4456</v>
      </c>
      <c r="B2002" s="2" t="s">
        <v>4457</v>
      </c>
      <c r="C2002" s="2" t="s">
        <v>35</v>
      </c>
      <c r="D2002" s="2" t="s">
        <v>36</v>
      </c>
      <c r="E2002" s="5">
        <v>-29012</v>
      </c>
      <c r="F2002" s="3" t="s">
        <v>72</v>
      </c>
      <c r="G2002" s="3" t="s">
        <v>20</v>
      </c>
      <c r="H2002" s="2" t="s">
        <v>21</v>
      </c>
      <c r="I2002" s="2" t="s">
        <v>4458</v>
      </c>
      <c r="J2002" s="3" t="str">
        <f>HYPERLINK("https://www.boe.es/gazeta/dias/1820/07/25/pdfs/GGB-1820-27.pdf#page=4","Abrir facsímil")</f>
        <v>Abrir facsímil</v>
      </c>
      <c r="K2002" s="3" t="s">
        <v>23</v>
      </c>
    </row>
    <row r="2003" spans="1:11" ht="42" customHeight="1">
      <c r="A2003" s="2" t="s">
        <v>4456</v>
      </c>
      <c r="B2003" s="2" t="s">
        <v>4457</v>
      </c>
      <c r="C2003" s="2" t="s">
        <v>35</v>
      </c>
      <c r="D2003" s="2" t="s">
        <v>36</v>
      </c>
      <c r="E2003" s="5">
        <v>-29011</v>
      </c>
      <c r="F2003" s="3" t="s">
        <v>338</v>
      </c>
      <c r="G2003" s="3" t="s">
        <v>62</v>
      </c>
      <c r="H2003" s="2" t="s">
        <v>21</v>
      </c>
      <c r="I2003" s="2" t="s">
        <v>4459</v>
      </c>
      <c r="J2003" s="3" t="str">
        <f>HYPERLINK("https://www.boe.es/gazeta/dias/1820/07/26/pdfs/GGB-1820-28.pdf#page=3","Abrir facsímil")</f>
        <v>Abrir facsímil</v>
      </c>
      <c r="K2003" s="3" t="s">
        <v>23</v>
      </c>
    </row>
    <row r="2004" spans="1:11" ht="42" customHeight="1">
      <c r="A2004" s="2" t="s">
        <v>4456</v>
      </c>
      <c r="B2004" s="2" t="s">
        <v>4457</v>
      </c>
      <c r="C2004" s="2" t="s">
        <v>35</v>
      </c>
      <c r="D2004" s="2" t="s">
        <v>36</v>
      </c>
      <c r="E2004" s="5">
        <v>-29010</v>
      </c>
      <c r="F2004" s="3" t="s">
        <v>664</v>
      </c>
      <c r="G2004" s="3" t="s">
        <v>773</v>
      </c>
      <c r="H2004" s="2" t="s">
        <v>21</v>
      </c>
      <c r="I2004" s="2" t="s">
        <v>4460</v>
      </c>
      <c r="J2004" s="3" t="str">
        <f>HYPERLINK("https://www.boe.es/gazeta/dias/1820/07/27/pdfs/GGB-1820-29.pdf#page=4","Abrir facsímil")</f>
        <v>Abrir facsímil</v>
      </c>
      <c r="K2004" s="3" t="s">
        <v>23</v>
      </c>
    </row>
    <row r="2005" spans="1:11" ht="42" customHeight="1">
      <c r="A2005" s="2" t="s">
        <v>4456</v>
      </c>
      <c r="B2005" s="2" t="s">
        <v>4457</v>
      </c>
      <c r="C2005" s="2" t="s">
        <v>35</v>
      </c>
      <c r="D2005" s="2" t="s">
        <v>36</v>
      </c>
      <c r="E2005" s="5">
        <v>-29008</v>
      </c>
      <c r="F2005" s="3" t="s">
        <v>2250</v>
      </c>
      <c r="G2005" s="3" t="s">
        <v>20</v>
      </c>
      <c r="H2005" s="2" t="s">
        <v>21</v>
      </c>
      <c r="I2005" s="2" t="s">
        <v>4461</v>
      </c>
      <c r="J2005" s="3" t="str">
        <f>HYPERLINK("https://www.boe.es/gazeta/dias/1820/07/29/pdfs/GGB-1820-31.pdf#page=4","Abrir facsímil")</f>
        <v>Abrir facsímil</v>
      </c>
      <c r="K2005" s="3" t="s">
        <v>23</v>
      </c>
    </row>
    <row r="2006" spans="1:11" ht="42" customHeight="1">
      <c r="A2006" s="2" t="s">
        <v>4456</v>
      </c>
      <c r="B2006" s="2" t="s">
        <v>4457</v>
      </c>
      <c r="C2006" s="2" t="s">
        <v>35</v>
      </c>
      <c r="D2006" s="2" t="s">
        <v>36</v>
      </c>
      <c r="E2006" s="5">
        <v>-29007</v>
      </c>
      <c r="F2006" s="3" t="s">
        <v>251</v>
      </c>
      <c r="G2006" s="3" t="s">
        <v>20</v>
      </c>
      <c r="H2006" s="2" t="s">
        <v>21</v>
      </c>
      <c r="I2006" s="2" t="s">
        <v>4462</v>
      </c>
      <c r="J2006" s="3" t="str">
        <f>HYPERLINK("https://www.boe.es/gazeta/dias/1820/07/30/pdfs/GGB-1820-32.pdf#page=4","Abrir facsímil")</f>
        <v>Abrir facsímil</v>
      </c>
      <c r="K2006" s="3" t="s">
        <v>23</v>
      </c>
    </row>
    <row r="2007" spans="1:11" ht="42" customHeight="1">
      <c r="A2007" s="2" t="s">
        <v>4456</v>
      </c>
      <c r="B2007" s="2" t="s">
        <v>4457</v>
      </c>
      <c r="C2007" s="2" t="s">
        <v>35</v>
      </c>
      <c r="D2007" s="2" t="s">
        <v>36</v>
      </c>
      <c r="E2007" s="5">
        <v>-29006</v>
      </c>
      <c r="F2007" s="3" t="s">
        <v>609</v>
      </c>
      <c r="G2007" s="3" t="s">
        <v>62</v>
      </c>
      <c r="H2007" s="2" t="s">
        <v>21</v>
      </c>
      <c r="I2007" s="2" t="s">
        <v>4463</v>
      </c>
      <c r="J2007" s="3" t="str">
        <f>HYPERLINK("https://www.boe.es/gazeta/dias/1820/07/31/pdfs/GGB-1820-33.pdf#page=3","Abrir facsímil")</f>
        <v>Abrir facsímil</v>
      </c>
      <c r="K2007" s="3" t="s">
        <v>23</v>
      </c>
    </row>
    <row r="2008" spans="1:11" ht="42" customHeight="1">
      <c r="A2008" s="2" t="s">
        <v>4456</v>
      </c>
      <c r="B2008" s="2" t="s">
        <v>4457</v>
      </c>
      <c r="C2008" s="2" t="s">
        <v>35</v>
      </c>
      <c r="D2008" s="2" t="s">
        <v>36</v>
      </c>
      <c r="E2008" s="5">
        <v>-29004</v>
      </c>
      <c r="F2008" s="3" t="s">
        <v>75</v>
      </c>
      <c r="G2008" s="3" t="s">
        <v>62</v>
      </c>
      <c r="H2008" s="2" t="s">
        <v>21</v>
      </c>
      <c r="I2008" s="2" t="s">
        <v>4464</v>
      </c>
      <c r="J2008" s="3" t="str">
        <f>HYPERLINK("https://www.boe.es/gazeta/dias/1820/08/02/pdfs/GGB-1820-35.pdf#page=3","Abrir facsímil")</f>
        <v>Abrir facsímil</v>
      </c>
      <c r="K2008" s="3" t="s">
        <v>23</v>
      </c>
    </row>
    <row r="2009" spans="1:11" ht="42" customHeight="1">
      <c r="A2009" s="2" t="s">
        <v>4465</v>
      </c>
      <c r="B2009" s="2" t="s">
        <v>4466</v>
      </c>
      <c r="C2009" s="2" t="s">
        <v>26</v>
      </c>
      <c r="D2009" s="2" t="s">
        <v>27</v>
      </c>
      <c r="E2009" s="5">
        <v>-29061</v>
      </c>
      <c r="F2009" s="3" t="s">
        <v>4467</v>
      </c>
      <c r="G2009" s="3" t="s">
        <v>20</v>
      </c>
      <c r="H2009" s="2" t="s">
        <v>21</v>
      </c>
      <c r="I2009" s="2" t="s">
        <v>4468</v>
      </c>
      <c r="J2009" s="3" t="str">
        <f>HYPERLINK("https://www.boe.es/gazeta/dias/1820/06/06/pdfs/GMD-1820-90.pdf#page=4","Abrir facsímil")</f>
        <v>Abrir facsímil</v>
      </c>
      <c r="K2009" s="3" t="s">
        <v>23</v>
      </c>
    </row>
    <row r="2010" spans="1:11" ht="42" customHeight="1">
      <c r="A2010" s="2" t="s">
        <v>4469</v>
      </c>
      <c r="B2010" s="2" t="s">
        <v>4470</v>
      </c>
      <c r="C2010" s="2" t="s">
        <v>35</v>
      </c>
      <c r="D2010" s="2" t="s">
        <v>36</v>
      </c>
      <c r="E2010" s="5">
        <v>-29009</v>
      </c>
      <c r="F2010" s="3" t="s">
        <v>605</v>
      </c>
      <c r="G2010" s="3" t="s">
        <v>20</v>
      </c>
      <c r="H2010" s="2" t="s">
        <v>21</v>
      </c>
      <c r="I2010" s="2" t="s">
        <v>4471</v>
      </c>
      <c r="J2010" s="3" t="str">
        <f>HYPERLINK("https://www.boe.es/gazeta/dias/1820/07/28/pdfs/GGB-1820-30.pdf#page=4","Abrir facsímil")</f>
        <v>Abrir facsímil</v>
      </c>
      <c r="K2010" s="3" t="s">
        <v>23</v>
      </c>
    </row>
    <row r="2011" spans="1:11" ht="42" customHeight="1">
      <c r="A2011" s="2" t="s">
        <v>4472</v>
      </c>
      <c r="B2011" s="2" t="s">
        <v>4473</v>
      </c>
      <c r="C2011" s="2" t="s">
        <v>111</v>
      </c>
      <c r="D2011" s="2" t="s">
        <v>18</v>
      </c>
      <c r="E2011" s="5">
        <v>-28915</v>
      </c>
      <c r="F2011" s="3" t="s">
        <v>525</v>
      </c>
      <c r="G2011" s="3" t="s">
        <v>20</v>
      </c>
      <c r="H2011" s="2" t="s">
        <v>21</v>
      </c>
      <c r="I2011" s="2" t="s">
        <v>4474</v>
      </c>
      <c r="J2011" s="3" t="str">
        <f>HYPERLINK("https://www.boe.es/gazeta/dias/1820/10/30/pdfs/GGB-1820-124.pdf#page=4","Abrir facsímil")</f>
        <v>Abrir facsímil</v>
      </c>
      <c r="K2011" s="3" t="s">
        <v>23</v>
      </c>
    </row>
    <row r="2012" spans="1:11" ht="42" customHeight="1">
      <c r="A2012" s="2" t="s">
        <v>4475</v>
      </c>
      <c r="B2012" s="2" t="s">
        <v>4475</v>
      </c>
      <c r="C2012" s="2" t="s">
        <v>26</v>
      </c>
      <c r="D2012" s="2" t="s">
        <v>27</v>
      </c>
      <c r="E2012" s="5">
        <v>-28945</v>
      </c>
      <c r="F2012" s="3" t="s">
        <v>99</v>
      </c>
      <c r="G2012" s="3" t="s">
        <v>20</v>
      </c>
      <c r="H2012" s="2" t="s">
        <v>21</v>
      </c>
      <c r="I2012" s="2" t="s">
        <v>4476</v>
      </c>
      <c r="J2012" s="3" t="str">
        <f>HYPERLINK("https://www.boe.es/gazeta/dias/1820/09/30/pdfs/GGB-1820-94.pdf#page=4","Abrir facsímil")</f>
        <v>Abrir facsímil</v>
      </c>
      <c r="K2012" s="3" t="s">
        <v>23</v>
      </c>
    </row>
    <row r="2013" spans="1:11" ht="42" customHeight="1">
      <c r="A2013" s="2" t="s">
        <v>4477</v>
      </c>
      <c r="B2013" s="2" t="s">
        <v>4478</v>
      </c>
      <c r="C2013" s="2" t="s">
        <v>111</v>
      </c>
      <c r="D2013" s="2" t="s">
        <v>18</v>
      </c>
      <c r="E2013" s="5">
        <v>-28980</v>
      </c>
      <c r="F2013" s="3" t="s">
        <v>614</v>
      </c>
      <c r="G2013" s="3" t="s">
        <v>3062</v>
      </c>
      <c r="H2013" s="2" t="s">
        <v>21</v>
      </c>
      <c r="I2013" s="2" t="s">
        <v>4479</v>
      </c>
      <c r="J2013" s="3" t="str">
        <f>HYPERLINK("https://www.boe.es/gazeta/dias/1820/08/26/pdfs/GGB-1820-59.pdf#page=2","Abrir facsímil")</f>
        <v>Abrir facsímil</v>
      </c>
      <c r="K2013" s="3" t="s">
        <v>23</v>
      </c>
    </row>
    <row r="2014" spans="1:11" ht="42" customHeight="1">
      <c r="A2014" s="2" t="s">
        <v>4480</v>
      </c>
      <c r="B2014" s="2" t="s">
        <v>4481</v>
      </c>
      <c r="C2014" s="2" t="s">
        <v>17</v>
      </c>
      <c r="D2014" s="2" t="s">
        <v>18</v>
      </c>
      <c r="E2014" s="5">
        <v>-28883</v>
      </c>
      <c r="F2014" s="3" t="s">
        <v>306</v>
      </c>
      <c r="G2014" s="3" t="s">
        <v>20</v>
      </c>
      <c r="H2014" s="2" t="s">
        <v>21</v>
      </c>
      <c r="I2014" s="2" t="s">
        <v>4482</v>
      </c>
      <c r="J2014" s="3" t="str">
        <f>HYPERLINK("https://www.boe.es/gazeta/dias/1820/12/01/pdfs/GGB-1820-158.pdf#page=4","Abrir facsímil")</f>
        <v>Abrir facsímil</v>
      </c>
      <c r="K2014" s="3" t="s">
        <v>23</v>
      </c>
    </row>
    <row r="2015" spans="1:11" ht="42" customHeight="1">
      <c r="A2015" s="2" t="s">
        <v>4483</v>
      </c>
      <c r="B2015" s="2" t="s">
        <v>4484</v>
      </c>
      <c r="C2015" s="2" t="s">
        <v>26</v>
      </c>
      <c r="D2015" s="2" t="s">
        <v>27</v>
      </c>
      <c r="E2015" s="5">
        <v>-28982</v>
      </c>
      <c r="F2015" s="3" t="s">
        <v>173</v>
      </c>
      <c r="G2015" s="3" t="s">
        <v>43</v>
      </c>
      <c r="H2015" s="2" t="s">
        <v>21</v>
      </c>
      <c r="I2015" s="2" t="s">
        <v>4485</v>
      </c>
      <c r="J2015" s="3" t="str">
        <f>HYPERLINK("https://www.boe.es/gazeta/dias/1820/08/24/pdfs/GGB-1820-57.pdf#page=2","Abrir facsímil")</f>
        <v>Abrir facsímil</v>
      </c>
      <c r="K2015" s="3" t="s">
        <v>23</v>
      </c>
    </row>
    <row r="2016" spans="1:11" ht="42" customHeight="1">
      <c r="A2016" s="2" t="s">
        <v>4486</v>
      </c>
      <c r="B2016" s="2" t="s">
        <v>4486</v>
      </c>
      <c r="C2016" s="2" t="s">
        <v>35</v>
      </c>
      <c r="D2016" s="2" t="s">
        <v>36</v>
      </c>
      <c r="E2016" s="5">
        <v>-28860</v>
      </c>
      <c r="F2016" s="3" t="s">
        <v>4487</v>
      </c>
      <c r="G2016" s="3" t="s">
        <v>62</v>
      </c>
      <c r="H2016" s="2" t="s">
        <v>21</v>
      </c>
      <c r="I2016" s="2" t="s">
        <v>4488</v>
      </c>
      <c r="J2016" s="3" t="str">
        <f>HYPERLINK("https://www.boe.es/gazeta/dias/1820/12/24/pdfs/GGB-1820-181.pdf#page=3","Abrir facsímil")</f>
        <v>Abrir facsímil</v>
      </c>
      <c r="K2016" s="3" t="s">
        <v>23</v>
      </c>
    </row>
    <row r="2017" spans="1:11" ht="42" customHeight="1">
      <c r="A2017" s="2" t="s">
        <v>4486</v>
      </c>
      <c r="B2017" s="2" t="s">
        <v>4486</v>
      </c>
      <c r="C2017" s="2" t="s">
        <v>17</v>
      </c>
      <c r="D2017" s="2" t="s">
        <v>18</v>
      </c>
      <c r="E2017" s="5">
        <v>-28860</v>
      </c>
      <c r="F2017" s="3" t="s">
        <v>4487</v>
      </c>
      <c r="G2017" s="3" t="s">
        <v>20</v>
      </c>
      <c r="H2017" s="2" t="s">
        <v>21</v>
      </c>
      <c r="I2017" s="2" t="s">
        <v>4489</v>
      </c>
      <c r="J2017" s="3" t="str">
        <f>HYPERLINK("https://www.boe.es/gazeta/dias/1820/12/24/pdfs/GGB-1820-181.pdf#page=4","Abrir facsímil")</f>
        <v>Abrir facsímil</v>
      </c>
      <c r="K2017" s="3" t="s">
        <v>23</v>
      </c>
    </row>
    <row r="2018" spans="1:11" ht="42" customHeight="1">
      <c r="A2018" s="2" t="s">
        <v>4490</v>
      </c>
      <c r="B2018" s="2" t="s">
        <v>4491</v>
      </c>
      <c r="C2018" s="2" t="s">
        <v>26</v>
      </c>
      <c r="D2018" s="2" t="s">
        <v>27</v>
      </c>
      <c r="E2018" s="5">
        <v>-28860</v>
      </c>
      <c r="F2018" s="3" t="s">
        <v>4487</v>
      </c>
      <c r="G2018" s="3" t="s">
        <v>62</v>
      </c>
      <c r="H2018" s="2" t="s">
        <v>21</v>
      </c>
      <c r="I2018" s="2" t="s">
        <v>4492</v>
      </c>
      <c r="J2018" s="3" t="str">
        <f>HYPERLINK("https://www.boe.es/gazeta/dias/1820/12/24/pdfs/GGB-1820-181.pdf#page=3","Abrir facsímil")</f>
        <v>Abrir facsímil</v>
      </c>
      <c r="K2018" s="3" t="s">
        <v>23</v>
      </c>
    </row>
    <row r="2019" spans="1:11" ht="42" customHeight="1">
      <c r="A2019" s="2" t="s">
        <v>4493</v>
      </c>
      <c r="B2019" s="2" t="s">
        <v>4493</v>
      </c>
      <c r="C2019" s="2" t="s">
        <v>74</v>
      </c>
      <c r="D2019" s="2" t="s">
        <v>18</v>
      </c>
      <c r="E2019" s="5">
        <v>-29159</v>
      </c>
      <c r="F2019" s="3" t="s">
        <v>1022</v>
      </c>
      <c r="G2019" s="3" t="s">
        <v>43</v>
      </c>
      <c r="H2019" s="2" t="s">
        <v>21</v>
      </c>
      <c r="I2019" s="2" t="s">
        <v>4494</v>
      </c>
      <c r="J2019" s="3" t="str">
        <f>HYPERLINK("https://www.boe.es/gazeta/dias/1820/02/29/pdfs/GMD-1820-26.pdf#page=2","Abrir facsímil")</f>
        <v>Abrir facsímil</v>
      </c>
      <c r="K2019" s="3" t="s">
        <v>23</v>
      </c>
    </row>
    <row r="2020" spans="1:11" ht="42" customHeight="1">
      <c r="A2020" s="2" t="s">
        <v>4495</v>
      </c>
      <c r="B2020" s="2" t="s">
        <v>4495</v>
      </c>
      <c r="C2020" s="2" t="s">
        <v>74</v>
      </c>
      <c r="D2020" s="2" t="s">
        <v>18</v>
      </c>
      <c r="E2020" s="5">
        <v>-28870</v>
      </c>
      <c r="F2020" s="3" t="s">
        <v>1014</v>
      </c>
      <c r="G2020" s="3" t="s">
        <v>3007</v>
      </c>
      <c r="H2020" s="2" t="s">
        <v>21</v>
      </c>
      <c r="I2020" s="2" t="s">
        <v>4496</v>
      </c>
      <c r="J2020" s="3" t="str">
        <f>HYPERLINK("https://www.boe.es/gazeta/dias/1820/12/14/pdfs/GGB-1820-171.pdf#page=2","Abrir facsímil")</f>
        <v>Abrir facsímil</v>
      </c>
      <c r="K2020" s="3" t="s">
        <v>23</v>
      </c>
    </row>
    <row r="2021" spans="1:11" ht="42" customHeight="1">
      <c r="A2021" s="2" t="s">
        <v>4497</v>
      </c>
      <c r="B2021" s="2" t="s">
        <v>4498</v>
      </c>
      <c r="C2021" s="2" t="s">
        <v>26</v>
      </c>
      <c r="D2021" s="2" t="s">
        <v>27</v>
      </c>
      <c r="E2021" s="5">
        <v>-29122</v>
      </c>
      <c r="F2021" s="3" t="s">
        <v>844</v>
      </c>
      <c r="G2021" s="3" t="s">
        <v>256</v>
      </c>
      <c r="H2021" s="2" t="s">
        <v>21</v>
      </c>
      <c r="I2021" s="2" t="s">
        <v>4499</v>
      </c>
      <c r="J2021" s="3" t="str">
        <f>HYPERLINK("https://www.boe.es/gazeta/dias/1820/04/06/pdfs/GMD-1820-62.pdf#page=5","Abrir facsímil")</f>
        <v>Abrir facsímil</v>
      </c>
      <c r="K2021" s="3" t="s">
        <v>23</v>
      </c>
    </row>
    <row r="2022" spans="1:11" ht="42" customHeight="1">
      <c r="A2022" s="2" t="s">
        <v>4500</v>
      </c>
      <c r="B2022" s="2" t="s">
        <v>4501</v>
      </c>
      <c r="C2022" s="2" t="s">
        <v>35</v>
      </c>
      <c r="D2022" s="2" t="s">
        <v>36</v>
      </c>
      <c r="E2022" s="5">
        <v>-29120</v>
      </c>
      <c r="F2022" s="3" t="s">
        <v>852</v>
      </c>
      <c r="G2022" s="3" t="s">
        <v>201</v>
      </c>
      <c r="H2022" s="2" t="s">
        <v>21</v>
      </c>
      <c r="I2022" s="2" t="s">
        <v>4502</v>
      </c>
      <c r="J2022" s="3" t="str">
        <f>HYPERLINK("https://www.boe.es/gazeta/dias/1820/04/08/pdfs/GMD-1820-63.pdf#page=7","Abrir facsímil")</f>
        <v>Abrir facsímil</v>
      </c>
      <c r="K2022" s="3" t="s">
        <v>23</v>
      </c>
    </row>
    <row r="2023" spans="1:11" ht="42" customHeight="1">
      <c r="A2023" s="2" t="s">
        <v>4503</v>
      </c>
      <c r="B2023" s="2" t="s">
        <v>4504</v>
      </c>
      <c r="C2023" s="2" t="s">
        <v>111</v>
      </c>
      <c r="D2023" s="2" t="s">
        <v>18</v>
      </c>
      <c r="E2023" s="5">
        <v>-28883</v>
      </c>
      <c r="F2023" s="3" t="s">
        <v>306</v>
      </c>
      <c r="G2023" s="3" t="s">
        <v>62</v>
      </c>
      <c r="H2023" s="2" t="s">
        <v>21</v>
      </c>
      <c r="I2023" s="2" t="s">
        <v>4505</v>
      </c>
      <c r="J2023" s="3" t="str">
        <f>HYPERLINK("https://www.boe.es/gazeta/dias/1820/12/01/pdfs/GGB-1820-158.pdf#page=3","Abrir facsímil")</f>
        <v>Abrir facsímil</v>
      </c>
      <c r="K2023" s="3" t="s">
        <v>23</v>
      </c>
    </row>
    <row r="2024" spans="1:11" ht="42" customHeight="1">
      <c r="A2024" s="2" t="s">
        <v>4506</v>
      </c>
      <c r="B2024" s="2" t="s">
        <v>4506</v>
      </c>
      <c r="C2024" s="2" t="s">
        <v>26</v>
      </c>
      <c r="D2024" s="2" t="s">
        <v>27</v>
      </c>
      <c r="E2024" s="5">
        <v>-28982</v>
      </c>
      <c r="F2024" s="3" t="s">
        <v>173</v>
      </c>
      <c r="G2024" s="3" t="s">
        <v>62</v>
      </c>
      <c r="H2024" s="2" t="s">
        <v>21</v>
      </c>
      <c r="I2024" s="2" t="s">
        <v>4507</v>
      </c>
      <c r="J2024" s="3" t="str">
        <f>HYPERLINK("https://www.boe.es/gazeta/dias/1820/08/24/pdfs/GGB-1820-57.pdf#page=3","Abrir facsímil")</f>
        <v>Abrir facsímil</v>
      </c>
      <c r="K2024" s="3" t="s">
        <v>23</v>
      </c>
    </row>
    <row r="2025" spans="1:11" ht="42" customHeight="1">
      <c r="A2025" s="2" t="s">
        <v>4508</v>
      </c>
      <c r="B2025" s="2" t="s">
        <v>4509</v>
      </c>
      <c r="C2025" s="2" t="s">
        <v>74</v>
      </c>
      <c r="D2025" s="2" t="s">
        <v>18</v>
      </c>
      <c r="E2025" s="5">
        <v>-28970</v>
      </c>
      <c r="F2025" s="3" t="s">
        <v>693</v>
      </c>
      <c r="G2025" s="3" t="s">
        <v>1678</v>
      </c>
      <c r="H2025" s="2" t="s">
        <v>21</v>
      </c>
      <c r="I2025" s="2" t="s">
        <v>4510</v>
      </c>
      <c r="J2025" s="3" t="str">
        <f>HYPERLINK("https://www.boe.es/gazeta/dias/1820/09/05/pdfs/GGB-1820-69.pdf#page=4","Abrir facsímil")</f>
        <v>Abrir facsímil</v>
      </c>
      <c r="K2025" s="3" t="s">
        <v>23</v>
      </c>
    </row>
    <row r="2026" spans="1:11" ht="42" customHeight="1">
      <c r="A2026" s="2" t="s">
        <v>4511</v>
      </c>
      <c r="B2026" s="2" t="s">
        <v>4512</v>
      </c>
      <c r="C2026" s="2" t="s">
        <v>293</v>
      </c>
      <c r="D2026" s="2" t="s">
        <v>18</v>
      </c>
      <c r="E2026" s="5">
        <v>-28929</v>
      </c>
      <c r="F2026" s="3" t="s">
        <v>728</v>
      </c>
      <c r="G2026" s="3" t="s">
        <v>62</v>
      </c>
      <c r="H2026" s="2" t="s">
        <v>21</v>
      </c>
      <c r="I2026" s="2" t="s">
        <v>4513</v>
      </c>
      <c r="J2026" s="3" t="str">
        <f>HYPERLINK("https://www.boe.es/gazeta/dias/1820/10/16/pdfs/GGB-1820-110.pdf#page=3","Abrir facsímil")</f>
        <v>Abrir facsímil</v>
      </c>
      <c r="K2026" s="3" t="s">
        <v>23</v>
      </c>
    </row>
    <row r="2027" spans="1:11" ht="42" customHeight="1">
      <c r="A2027" s="2" t="s">
        <v>4514</v>
      </c>
      <c r="B2027" s="2" t="s">
        <v>4515</v>
      </c>
      <c r="C2027" s="2" t="s">
        <v>17</v>
      </c>
      <c r="D2027" s="2" t="s">
        <v>18</v>
      </c>
      <c r="E2027" s="5">
        <v>-29115</v>
      </c>
      <c r="F2027" s="3" t="s">
        <v>289</v>
      </c>
      <c r="G2027" s="3" t="s">
        <v>20</v>
      </c>
      <c r="H2027" s="2" t="s">
        <v>21</v>
      </c>
      <c r="I2027" s="2" t="s">
        <v>4516</v>
      </c>
      <c r="J2027" s="3" t="str">
        <f>HYPERLINK("https://www.boe.es/gazeta/dias/1820/04/13/pdfs/GMD-1820-65.pdf#page=4","Abrir facsímil")</f>
        <v>Abrir facsímil</v>
      </c>
      <c r="K2027" s="3" t="s">
        <v>23</v>
      </c>
    </row>
    <row r="2028" spans="1:11" ht="42" customHeight="1">
      <c r="A2028" s="2" t="s">
        <v>4517</v>
      </c>
      <c r="B2028" s="2" t="s">
        <v>4517</v>
      </c>
      <c r="C2028" s="2" t="s">
        <v>35</v>
      </c>
      <c r="D2028" s="2" t="s">
        <v>36</v>
      </c>
      <c r="E2028" s="5">
        <v>-29031</v>
      </c>
      <c r="F2028" s="3" t="s">
        <v>1036</v>
      </c>
      <c r="G2028" s="3" t="s">
        <v>20</v>
      </c>
      <c r="H2028" s="2" t="s">
        <v>21</v>
      </c>
      <c r="I2028" s="2" t="s">
        <v>4518</v>
      </c>
      <c r="J2028" s="3" t="str">
        <f>HYPERLINK("https://www.boe.es/gazeta/dias/1820/07/06/pdfs/GGB-1820-6.pdf#page=4","Abrir facsímil")</f>
        <v>Abrir facsímil</v>
      </c>
      <c r="K2028" s="3" t="s">
        <v>23</v>
      </c>
    </row>
    <row r="2029" spans="1:11" ht="42" customHeight="1">
      <c r="A2029" s="2" t="s">
        <v>4517</v>
      </c>
      <c r="B2029" s="2" t="s">
        <v>4517</v>
      </c>
      <c r="C2029" s="2" t="s">
        <v>17</v>
      </c>
      <c r="D2029" s="2" t="s">
        <v>18</v>
      </c>
      <c r="E2029" s="5">
        <v>-28985</v>
      </c>
      <c r="F2029" s="3" t="s">
        <v>905</v>
      </c>
      <c r="G2029" s="3" t="s">
        <v>62</v>
      </c>
      <c r="H2029" s="2" t="s">
        <v>21</v>
      </c>
      <c r="I2029" s="2" t="s">
        <v>4519</v>
      </c>
      <c r="J2029" s="3" t="str">
        <f>HYPERLINK("https://www.boe.es/gazeta/dias/1820/08/21/pdfs/GGB-1820-54.pdf#page=3","Abrir facsímil")</f>
        <v>Abrir facsímil</v>
      </c>
      <c r="K2029" s="3" t="s">
        <v>23</v>
      </c>
    </row>
    <row r="2030" spans="1:11" ht="42" customHeight="1">
      <c r="A2030" s="2" t="s">
        <v>4517</v>
      </c>
      <c r="B2030" s="2" t="s">
        <v>4517</v>
      </c>
      <c r="C2030" s="2" t="s">
        <v>74</v>
      </c>
      <c r="D2030" s="2" t="s">
        <v>18</v>
      </c>
      <c r="E2030" s="5">
        <v>-28932</v>
      </c>
      <c r="F2030" s="3" t="s">
        <v>407</v>
      </c>
      <c r="G2030" s="3" t="s">
        <v>62</v>
      </c>
      <c r="H2030" s="2" t="s">
        <v>21</v>
      </c>
      <c r="I2030" s="2" t="s">
        <v>4520</v>
      </c>
      <c r="J2030" s="3" t="str">
        <f>HYPERLINK("https://www.boe.es/gazeta/dias/1820/10/13/pdfs/GGB-1820-107.pdf#page=3","Abrir facsímil")</f>
        <v>Abrir facsímil</v>
      </c>
      <c r="K2030" s="3" t="s">
        <v>23</v>
      </c>
    </row>
    <row r="2031" spans="1:11" ht="42" customHeight="1">
      <c r="A2031" s="2" t="s">
        <v>4521</v>
      </c>
      <c r="B2031" s="2" t="s">
        <v>4522</v>
      </c>
      <c r="C2031" s="2" t="s">
        <v>26</v>
      </c>
      <c r="D2031" s="2" t="s">
        <v>27</v>
      </c>
      <c r="E2031" s="5">
        <v>-29045</v>
      </c>
      <c r="F2031" s="3" t="s">
        <v>155</v>
      </c>
      <c r="G2031" s="3" t="s">
        <v>38</v>
      </c>
      <c r="H2031" s="2" t="s">
        <v>21</v>
      </c>
      <c r="I2031" s="2" t="s">
        <v>4523</v>
      </c>
      <c r="J2031" s="3" t="str">
        <f>HYPERLINK("https://www.boe.es/gazeta/dias/1820/06/22/pdfs/GMD-1820-97.pdf#page=6","Abrir facsímil")</f>
        <v>Abrir facsímil</v>
      </c>
      <c r="K2031" s="3" t="s">
        <v>23</v>
      </c>
    </row>
    <row r="2032" spans="1:11" ht="42" customHeight="1">
      <c r="A2032" s="2" t="s">
        <v>4524</v>
      </c>
      <c r="B2032" s="2" t="s">
        <v>4525</v>
      </c>
      <c r="C2032" s="2" t="s">
        <v>74</v>
      </c>
      <c r="D2032" s="2" t="s">
        <v>18</v>
      </c>
      <c r="E2032" s="5">
        <v>-29106</v>
      </c>
      <c r="F2032" s="3" t="s">
        <v>430</v>
      </c>
      <c r="G2032" s="3" t="s">
        <v>295</v>
      </c>
      <c r="H2032" s="2" t="s">
        <v>21</v>
      </c>
      <c r="I2032" s="2" t="s">
        <v>4526</v>
      </c>
      <c r="J2032" s="3" t="str">
        <f>HYPERLINK("https://www.boe.es/gazeta/dias/1820/04/22/pdfs/GMD-1820-69.pdf#page=8","Abrir facsímil")</f>
        <v>Abrir facsímil</v>
      </c>
      <c r="K2032" s="3" t="s">
        <v>23</v>
      </c>
    </row>
    <row r="2033" spans="1:11" ht="42" customHeight="1">
      <c r="A2033" s="2" t="s">
        <v>4527</v>
      </c>
      <c r="B2033" s="2" t="s">
        <v>4528</v>
      </c>
      <c r="C2033" s="2" t="s">
        <v>35</v>
      </c>
      <c r="D2033" s="2" t="s">
        <v>36</v>
      </c>
      <c r="E2033" s="5">
        <v>-28920</v>
      </c>
      <c r="F2033" s="3" t="s">
        <v>399</v>
      </c>
      <c r="G2033" s="3" t="s">
        <v>62</v>
      </c>
      <c r="H2033" s="2" t="s">
        <v>21</v>
      </c>
      <c r="I2033" s="2" t="s">
        <v>4529</v>
      </c>
      <c r="J2033" s="3" t="str">
        <f>HYPERLINK("https://www.boe.es/gazeta/dias/1820/10/25/pdfs/GGB-1820-119.pdf#page=3","Abrir facsímil")</f>
        <v>Abrir facsímil</v>
      </c>
      <c r="K2033" s="3" t="s">
        <v>23</v>
      </c>
    </row>
    <row r="2034" spans="1:11" ht="42" customHeight="1">
      <c r="A2034" s="2" t="s">
        <v>4530</v>
      </c>
      <c r="B2034" s="2" t="s">
        <v>4531</v>
      </c>
      <c r="C2034" s="2" t="s">
        <v>35</v>
      </c>
      <c r="D2034" s="2" t="s">
        <v>36</v>
      </c>
      <c r="E2034" s="5">
        <v>-29012</v>
      </c>
      <c r="F2034" s="3" t="s">
        <v>72</v>
      </c>
      <c r="G2034" s="3" t="s">
        <v>661</v>
      </c>
      <c r="H2034" s="2" t="s">
        <v>21</v>
      </c>
      <c r="I2034" s="2" t="s">
        <v>4532</v>
      </c>
      <c r="J2034" s="3" t="str">
        <f>HYPERLINK("https://www.boe.es/gazeta/dias/1820/07/25/pdfs/GGB-1820-27.pdf#page=2","Abrir facsímil")</f>
        <v>Abrir facsímil</v>
      </c>
      <c r="K2034" s="3" t="s">
        <v>23</v>
      </c>
    </row>
    <row r="2035" spans="1:11" ht="42" customHeight="1">
      <c r="A2035" s="2" t="s">
        <v>4533</v>
      </c>
      <c r="B2035" s="2" t="s">
        <v>4534</v>
      </c>
      <c r="C2035" s="2" t="s">
        <v>293</v>
      </c>
      <c r="D2035" s="2" t="s">
        <v>18</v>
      </c>
      <c r="E2035" s="5">
        <v>-29020</v>
      </c>
      <c r="F2035" s="3" t="s">
        <v>756</v>
      </c>
      <c r="G2035" s="3" t="s">
        <v>20</v>
      </c>
      <c r="H2035" s="2" t="s">
        <v>21</v>
      </c>
      <c r="I2035" s="2" t="s">
        <v>4535</v>
      </c>
      <c r="J2035" s="3" t="str">
        <f>HYPERLINK("https://www.boe.es/gazeta/dias/1820/07/17/pdfs/GGB-1820-19.pdf#page=4","Abrir facsímil")</f>
        <v>Abrir facsímil</v>
      </c>
      <c r="K2035" s="3" t="s">
        <v>23</v>
      </c>
    </row>
    <row r="2036" spans="1:11" ht="42" customHeight="1">
      <c r="A2036" s="2" t="s">
        <v>4533</v>
      </c>
      <c r="B2036" s="2" t="s">
        <v>4534</v>
      </c>
      <c r="C2036" s="2" t="s">
        <v>293</v>
      </c>
      <c r="D2036" s="2" t="s">
        <v>18</v>
      </c>
      <c r="E2036" s="5">
        <v>-29012</v>
      </c>
      <c r="F2036" s="3" t="s">
        <v>72</v>
      </c>
      <c r="G2036" s="3" t="s">
        <v>62</v>
      </c>
      <c r="H2036" s="2" t="s">
        <v>21</v>
      </c>
      <c r="I2036" s="2" t="s">
        <v>4536</v>
      </c>
      <c r="J2036" s="3" t="str">
        <f>HYPERLINK("https://www.boe.es/gazeta/dias/1820/07/25/pdfs/GGB-1820-27.pdf#page=3","Abrir facsímil")</f>
        <v>Abrir facsímil</v>
      </c>
      <c r="K2036" s="3" t="s">
        <v>23</v>
      </c>
    </row>
    <row r="2037" spans="1:11" ht="42" customHeight="1">
      <c r="A2037" s="2" t="s">
        <v>4533</v>
      </c>
      <c r="B2037" s="2" t="s">
        <v>4534</v>
      </c>
      <c r="C2037" s="2" t="s">
        <v>35</v>
      </c>
      <c r="D2037" s="2" t="s">
        <v>36</v>
      </c>
      <c r="E2037" s="5">
        <v>-29012</v>
      </c>
      <c r="F2037" s="3" t="s">
        <v>72</v>
      </c>
      <c r="G2037" s="3" t="s">
        <v>20</v>
      </c>
      <c r="H2037" s="2" t="s">
        <v>21</v>
      </c>
      <c r="I2037" s="2" t="s">
        <v>4537</v>
      </c>
      <c r="J2037" s="3" t="str">
        <f>HYPERLINK("https://www.boe.es/gazeta/dias/1820/07/25/pdfs/GGB-1820-27.pdf#page=4","Abrir facsímil")</f>
        <v>Abrir facsímil</v>
      </c>
      <c r="K2037" s="3" t="s">
        <v>23</v>
      </c>
    </row>
    <row r="2038" spans="1:11" ht="42" customHeight="1">
      <c r="A2038" s="2" t="s">
        <v>4533</v>
      </c>
      <c r="B2038" s="2" t="s">
        <v>4534</v>
      </c>
      <c r="C2038" s="2" t="s">
        <v>17</v>
      </c>
      <c r="D2038" s="2" t="s">
        <v>18</v>
      </c>
      <c r="E2038" s="5">
        <v>-29010</v>
      </c>
      <c r="F2038" s="3" t="s">
        <v>664</v>
      </c>
      <c r="G2038" s="3" t="s">
        <v>62</v>
      </c>
      <c r="H2038" s="2" t="s">
        <v>21</v>
      </c>
      <c r="I2038" s="2" t="s">
        <v>4538</v>
      </c>
      <c r="J2038" s="3" t="str">
        <f>HYPERLINK("https://www.boe.es/gazeta/dias/1820/07/27/pdfs/GGB-1820-29.pdf#page=3","Abrir facsímil")</f>
        <v>Abrir facsímil</v>
      </c>
      <c r="K2038" s="3" t="s">
        <v>23</v>
      </c>
    </row>
    <row r="2039" spans="1:11" ht="42" customHeight="1">
      <c r="A2039" s="2" t="s">
        <v>4533</v>
      </c>
      <c r="B2039" s="2" t="s">
        <v>4534</v>
      </c>
      <c r="C2039" s="2" t="s">
        <v>17</v>
      </c>
      <c r="D2039" s="2" t="s">
        <v>18</v>
      </c>
      <c r="E2039" s="5">
        <v>-29008</v>
      </c>
      <c r="F2039" s="3" t="s">
        <v>2250</v>
      </c>
      <c r="G2039" s="3" t="s">
        <v>62</v>
      </c>
      <c r="H2039" s="2" t="s">
        <v>21</v>
      </c>
      <c r="I2039" s="2" t="s">
        <v>4539</v>
      </c>
      <c r="J2039" s="3" t="str">
        <f>HYPERLINK("https://www.boe.es/gazeta/dias/1820/07/29/pdfs/GGB-1820-31.pdf#page=3","Abrir facsímil")</f>
        <v>Abrir facsímil</v>
      </c>
      <c r="K2039" s="3" t="s">
        <v>23</v>
      </c>
    </row>
    <row r="2040" spans="1:11" ht="42" customHeight="1">
      <c r="A2040" s="2" t="s">
        <v>4533</v>
      </c>
      <c r="B2040" s="2" t="s">
        <v>4534</v>
      </c>
      <c r="C2040" s="2" t="s">
        <v>293</v>
      </c>
      <c r="D2040" s="2" t="s">
        <v>18</v>
      </c>
      <c r="E2040" s="5">
        <v>-29005</v>
      </c>
      <c r="F2040" s="3" t="s">
        <v>1656</v>
      </c>
      <c r="G2040" s="3" t="s">
        <v>43</v>
      </c>
      <c r="H2040" s="2" t="s">
        <v>21</v>
      </c>
      <c r="I2040" s="2" t="s">
        <v>4540</v>
      </c>
      <c r="J2040" s="3" t="str">
        <f>HYPERLINK("https://www.boe.es/gazeta/dias/1820/08/01/pdfs/GGB-1820-34.pdf#page=2","Abrir facsímil")</f>
        <v>Abrir facsímil</v>
      </c>
      <c r="K2040" s="3" t="s">
        <v>23</v>
      </c>
    </row>
    <row r="2041" spans="1:11" ht="42" customHeight="1">
      <c r="A2041" s="2" t="s">
        <v>4533</v>
      </c>
      <c r="B2041" s="2" t="s">
        <v>4534</v>
      </c>
      <c r="C2041" s="2" t="s">
        <v>293</v>
      </c>
      <c r="D2041" s="2" t="s">
        <v>18</v>
      </c>
      <c r="E2041" s="5">
        <v>-29000</v>
      </c>
      <c r="F2041" s="3" t="s">
        <v>670</v>
      </c>
      <c r="G2041" s="3" t="s">
        <v>43</v>
      </c>
      <c r="H2041" s="2" t="s">
        <v>21</v>
      </c>
      <c r="I2041" s="2" t="s">
        <v>4541</v>
      </c>
      <c r="J2041" s="3" t="str">
        <f>HYPERLINK("https://www.boe.es/gazeta/dias/1820/08/06/pdfs/GGB-1820-39.pdf#page=2","Abrir facsímil")</f>
        <v>Abrir facsímil</v>
      </c>
      <c r="K2041" s="3" t="s">
        <v>23</v>
      </c>
    </row>
    <row r="2042" spans="1:11" ht="42" customHeight="1">
      <c r="A2042" s="2" t="s">
        <v>4533</v>
      </c>
      <c r="B2042" s="2" t="s">
        <v>4534</v>
      </c>
      <c r="C2042" s="2" t="s">
        <v>35</v>
      </c>
      <c r="D2042" s="2" t="s">
        <v>36</v>
      </c>
      <c r="E2042" s="5">
        <v>-28999</v>
      </c>
      <c r="F2042" s="3" t="s">
        <v>342</v>
      </c>
      <c r="G2042" s="3" t="s">
        <v>343</v>
      </c>
      <c r="H2042" s="2" t="s">
        <v>21</v>
      </c>
      <c r="I2042" s="2" t="s">
        <v>4542</v>
      </c>
      <c r="J2042" s="3" t="str">
        <f>HYPERLINK("https://www.boe.es/gazeta/dias/1820/08/07/pdfs/GGB-1820-40.pdf#page=2","Abrir facsímil")</f>
        <v>Abrir facsímil</v>
      </c>
      <c r="K2042" s="3" t="s">
        <v>23</v>
      </c>
    </row>
    <row r="2043" spans="1:11" ht="42" customHeight="1">
      <c r="A2043" s="2" t="s">
        <v>4533</v>
      </c>
      <c r="B2043" s="2" t="s">
        <v>4534</v>
      </c>
      <c r="C2043" s="2" t="s">
        <v>26</v>
      </c>
      <c r="D2043" s="2" t="s">
        <v>27</v>
      </c>
      <c r="E2043" s="5">
        <v>-28988</v>
      </c>
      <c r="F2043" s="3" t="s">
        <v>618</v>
      </c>
      <c r="G2043" s="3" t="s">
        <v>62</v>
      </c>
      <c r="H2043" s="2" t="s">
        <v>21</v>
      </c>
      <c r="I2043" s="2" t="s">
        <v>4543</v>
      </c>
      <c r="J2043" s="3" t="str">
        <f>HYPERLINK("https://www.boe.es/gazeta/dias/1820/08/18/pdfs/GGB-1820-51.pdf#page=3","Abrir facsímil")</f>
        <v>Abrir facsímil</v>
      </c>
      <c r="K2043" s="3" t="s">
        <v>23</v>
      </c>
    </row>
    <row r="2044" spans="1:11" ht="42" customHeight="1">
      <c r="A2044" s="2" t="s">
        <v>4533</v>
      </c>
      <c r="B2044" s="2" t="s">
        <v>4534</v>
      </c>
      <c r="C2044" s="2" t="s">
        <v>17</v>
      </c>
      <c r="D2044" s="2" t="s">
        <v>18</v>
      </c>
      <c r="E2044" s="5">
        <v>-28982</v>
      </c>
      <c r="F2044" s="3" t="s">
        <v>173</v>
      </c>
      <c r="G2044" s="3" t="s">
        <v>529</v>
      </c>
      <c r="H2044" s="2" t="s">
        <v>21</v>
      </c>
      <c r="I2044" s="2" t="s">
        <v>4544</v>
      </c>
      <c r="J2044" s="3" t="str">
        <f>HYPERLINK("https://www.boe.es/gazeta/dias/1820/08/24/pdfs/GGB-1820-57.pdf#page=4","Abrir facsímil")</f>
        <v>Abrir facsímil</v>
      </c>
      <c r="K2044" s="3" t="s">
        <v>23</v>
      </c>
    </row>
    <row r="2045" spans="1:11" ht="42" customHeight="1">
      <c r="A2045" s="2" t="s">
        <v>4533</v>
      </c>
      <c r="B2045" s="2" t="s">
        <v>4534</v>
      </c>
      <c r="C2045" s="2" t="s">
        <v>26</v>
      </c>
      <c r="D2045" s="2" t="s">
        <v>27</v>
      </c>
      <c r="E2045" s="5">
        <v>-28971</v>
      </c>
      <c r="F2045" s="3" t="s">
        <v>691</v>
      </c>
      <c r="G2045" s="3" t="s">
        <v>43</v>
      </c>
      <c r="H2045" s="2" t="s">
        <v>21</v>
      </c>
      <c r="I2045" s="2" t="s">
        <v>4545</v>
      </c>
      <c r="J2045" s="3" t="str">
        <f>HYPERLINK("https://www.boe.es/gazeta/dias/1820/09/04/pdfs/GGB-1820-68.pdf#page=2","Abrir facsímil")</f>
        <v>Abrir facsímil</v>
      </c>
      <c r="K2045" s="3" t="s">
        <v>23</v>
      </c>
    </row>
    <row r="2046" spans="1:11" ht="42" customHeight="1">
      <c r="A2046" s="2" t="s">
        <v>4533</v>
      </c>
      <c r="B2046" s="2" t="s">
        <v>4534</v>
      </c>
      <c r="C2046" s="2" t="s">
        <v>111</v>
      </c>
      <c r="D2046" s="2" t="s">
        <v>18</v>
      </c>
      <c r="E2046" s="5">
        <v>-28971</v>
      </c>
      <c r="F2046" s="3" t="s">
        <v>691</v>
      </c>
      <c r="G2046" s="3" t="s">
        <v>62</v>
      </c>
      <c r="H2046" s="2" t="s">
        <v>21</v>
      </c>
      <c r="I2046" s="2" t="s">
        <v>4546</v>
      </c>
      <c r="J2046" s="3" t="str">
        <f>HYPERLINK("https://www.boe.es/gazeta/dias/1820/09/04/pdfs/GGB-1820-68.pdf#page=3","Abrir facsímil")</f>
        <v>Abrir facsímil</v>
      </c>
      <c r="K2046" s="3" t="s">
        <v>23</v>
      </c>
    </row>
    <row r="2047" spans="1:11" ht="42" customHeight="1">
      <c r="A2047" s="2" t="s">
        <v>4533</v>
      </c>
      <c r="B2047" s="2" t="s">
        <v>4534</v>
      </c>
      <c r="C2047" s="2" t="s">
        <v>26</v>
      </c>
      <c r="D2047" s="2" t="s">
        <v>27</v>
      </c>
      <c r="E2047" s="5">
        <v>-28969</v>
      </c>
      <c r="F2047" s="3" t="s">
        <v>225</v>
      </c>
      <c r="G2047" s="3" t="s">
        <v>20</v>
      </c>
      <c r="H2047" s="2" t="s">
        <v>21</v>
      </c>
      <c r="I2047" s="2" t="s">
        <v>4547</v>
      </c>
      <c r="J2047" s="3" t="str">
        <f>HYPERLINK("https://www.boe.es/gazeta/dias/1820/09/06/pdfs/GGB-1820-70.pdf#page=4","Abrir facsímil")</f>
        <v>Abrir facsímil</v>
      </c>
      <c r="K2047" s="3" t="s">
        <v>23</v>
      </c>
    </row>
    <row r="2048" spans="1:11" ht="42" customHeight="1">
      <c r="A2048" s="2" t="s">
        <v>4533</v>
      </c>
      <c r="B2048" s="2" t="s">
        <v>4534</v>
      </c>
      <c r="C2048" s="2" t="s">
        <v>17</v>
      </c>
      <c r="D2048" s="2" t="s">
        <v>18</v>
      </c>
      <c r="E2048" s="5">
        <v>-28963</v>
      </c>
      <c r="F2048" s="3" t="s">
        <v>94</v>
      </c>
      <c r="G2048" s="3" t="s">
        <v>62</v>
      </c>
      <c r="H2048" s="2" t="s">
        <v>21</v>
      </c>
      <c r="I2048" s="2" t="s">
        <v>4548</v>
      </c>
      <c r="J2048" s="3" t="str">
        <f>HYPERLINK("https://www.boe.es/gazeta/dias/1820/09/12/pdfs/GGB-1820-76.pdf#page=3","Abrir facsímil")</f>
        <v>Abrir facsímil</v>
      </c>
      <c r="K2048" s="3" t="s">
        <v>23</v>
      </c>
    </row>
    <row r="2049" spans="1:11" ht="42" customHeight="1">
      <c r="A2049" s="2" t="s">
        <v>4533</v>
      </c>
      <c r="B2049" s="2" t="s">
        <v>4534</v>
      </c>
      <c r="C2049" s="2" t="s">
        <v>47</v>
      </c>
      <c r="D2049" s="2" t="s">
        <v>18</v>
      </c>
      <c r="E2049" s="5">
        <v>-28962</v>
      </c>
      <c r="F2049" s="3" t="s">
        <v>90</v>
      </c>
      <c r="G2049" s="3" t="s">
        <v>62</v>
      </c>
      <c r="H2049" s="2" t="s">
        <v>21</v>
      </c>
      <c r="I2049" s="2" t="s">
        <v>4549</v>
      </c>
      <c r="J2049" s="3" t="str">
        <f>HYPERLINK("https://www.boe.es/gazeta/dias/1820/09/13/pdfs/GGB-1820-77.pdf#page=3","Abrir facsímil")</f>
        <v>Abrir facsímil</v>
      </c>
      <c r="K2049" s="3" t="s">
        <v>23</v>
      </c>
    </row>
    <row r="2050" spans="1:11" ht="42" customHeight="1">
      <c r="A2050" s="2" t="s">
        <v>4533</v>
      </c>
      <c r="B2050" s="2" t="s">
        <v>4534</v>
      </c>
      <c r="C2050" s="2" t="s">
        <v>17</v>
      </c>
      <c r="D2050" s="2" t="s">
        <v>18</v>
      </c>
      <c r="E2050" s="5">
        <v>-28960</v>
      </c>
      <c r="F2050" s="3" t="s">
        <v>704</v>
      </c>
      <c r="G2050" s="3" t="s">
        <v>20</v>
      </c>
      <c r="H2050" s="2" t="s">
        <v>21</v>
      </c>
      <c r="I2050" s="2" t="s">
        <v>4550</v>
      </c>
      <c r="J2050" s="3" t="str">
        <f>HYPERLINK("https://www.boe.es/gazeta/dias/1820/09/15/pdfs/GGB-1820-79.pdf#page=4","Abrir facsímil")</f>
        <v>Abrir facsímil</v>
      </c>
      <c r="K2050" s="3" t="s">
        <v>23</v>
      </c>
    </row>
    <row r="2051" spans="1:11" ht="42" customHeight="1">
      <c r="A2051" s="2" t="s">
        <v>4533</v>
      </c>
      <c r="B2051" s="2" t="s">
        <v>4534</v>
      </c>
      <c r="C2051" s="2" t="s">
        <v>35</v>
      </c>
      <c r="D2051" s="2" t="s">
        <v>36</v>
      </c>
      <c r="E2051" s="5">
        <v>-28959</v>
      </c>
      <c r="F2051" s="3" t="s">
        <v>37</v>
      </c>
      <c r="G2051" s="3" t="s">
        <v>20</v>
      </c>
      <c r="H2051" s="2" t="s">
        <v>21</v>
      </c>
      <c r="I2051" s="2" t="s">
        <v>4551</v>
      </c>
      <c r="J2051" s="3" t="str">
        <f>HYPERLINK("https://www.boe.es/gazeta/dias/1820/09/16/pdfs/GGB-1820-80.pdf#page=4","Abrir facsímil")</f>
        <v>Abrir facsímil</v>
      </c>
      <c r="K2051" s="3" t="s">
        <v>23</v>
      </c>
    </row>
    <row r="2052" spans="1:11" ht="42" customHeight="1">
      <c r="A2052" s="2" t="s">
        <v>4533</v>
      </c>
      <c r="B2052" s="2" t="s">
        <v>4534</v>
      </c>
      <c r="C2052" s="2" t="s">
        <v>35</v>
      </c>
      <c r="D2052" s="2" t="s">
        <v>36</v>
      </c>
      <c r="E2052" s="5">
        <v>-28956</v>
      </c>
      <c r="F2052" s="3" t="s">
        <v>190</v>
      </c>
      <c r="G2052" s="3" t="s">
        <v>62</v>
      </c>
      <c r="H2052" s="2" t="s">
        <v>21</v>
      </c>
      <c r="I2052" s="2" t="s">
        <v>4552</v>
      </c>
      <c r="J2052" s="3" t="str">
        <f>HYPERLINK("https://www.boe.es/gazeta/dias/1820/09/19/pdfs/GGB-1820-83.pdf#page=3","Abrir facsímil")</f>
        <v>Abrir facsímil</v>
      </c>
      <c r="K2052" s="3" t="s">
        <v>23</v>
      </c>
    </row>
    <row r="2053" spans="1:11" ht="42" customHeight="1">
      <c r="A2053" s="2" t="s">
        <v>4533</v>
      </c>
      <c r="B2053" s="2" t="s">
        <v>4534</v>
      </c>
      <c r="C2053" s="2" t="s">
        <v>74</v>
      </c>
      <c r="D2053" s="2" t="s">
        <v>18</v>
      </c>
      <c r="E2053" s="5">
        <v>-28952</v>
      </c>
      <c r="F2053" s="3" t="s">
        <v>370</v>
      </c>
      <c r="G2053" s="3" t="s">
        <v>62</v>
      </c>
      <c r="H2053" s="2" t="s">
        <v>21</v>
      </c>
      <c r="I2053" s="2" t="s">
        <v>4553</v>
      </c>
      <c r="J2053" s="3" t="str">
        <f>HYPERLINK("https://www.boe.es/gazeta/dias/1820/09/23/pdfs/GGB-1820-87.pdf#page=3","Abrir facsímil")</f>
        <v>Abrir facsímil</v>
      </c>
      <c r="K2053" s="3" t="s">
        <v>23</v>
      </c>
    </row>
    <row r="2054" spans="1:11" ht="42" customHeight="1">
      <c r="A2054" s="2" t="s">
        <v>4533</v>
      </c>
      <c r="B2054" s="2" t="s">
        <v>4534</v>
      </c>
      <c r="C2054" s="2" t="s">
        <v>35</v>
      </c>
      <c r="D2054" s="2" t="s">
        <v>36</v>
      </c>
      <c r="E2054" s="5">
        <v>-28948</v>
      </c>
      <c r="F2054" s="3" t="s">
        <v>1069</v>
      </c>
      <c r="G2054" s="3" t="s">
        <v>43</v>
      </c>
      <c r="H2054" s="2" t="s">
        <v>21</v>
      </c>
      <c r="I2054" s="2" t="s">
        <v>4554</v>
      </c>
      <c r="J2054" s="3" t="str">
        <f>HYPERLINK("https://www.boe.es/gazeta/dias/1820/09/27/pdfs/GGB-1820-91.pdf#page=2","Abrir facsímil")</f>
        <v>Abrir facsímil</v>
      </c>
      <c r="K2054" s="3" t="s">
        <v>23</v>
      </c>
    </row>
    <row r="2055" spans="1:11" ht="42" customHeight="1">
      <c r="A2055" s="2" t="s">
        <v>4533</v>
      </c>
      <c r="B2055" s="2" t="s">
        <v>4534</v>
      </c>
      <c r="C2055" s="2" t="s">
        <v>17</v>
      </c>
      <c r="D2055" s="2" t="s">
        <v>18</v>
      </c>
      <c r="E2055" s="5">
        <v>-28948</v>
      </c>
      <c r="F2055" s="3" t="s">
        <v>1069</v>
      </c>
      <c r="G2055" s="3" t="s">
        <v>62</v>
      </c>
      <c r="H2055" s="2" t="s">
        <v>21</v>
      </c>
      <c r="I2055" s="2" t="s">
        <v>4555</v>
      </c>
      <c r="J2055" s="3" t="str">
        <f>HYPERLINK("https://www.boe.es/gazeta/dias/1820/09/27/pdfs/GGB-1820-91.pdf#page=3","Abrir facsímil")</f>
        <v>Abrir facsímil</v>
      </c>
      <c r="K2055" s="3" t="s">
        <v>23</v>
      </c>
    </row>
    <row r="2056" spans="1:11" ht="42" customHeight="1">
      <c r="A2056" s="2" t="s">
        <v>4533</v>
      </c>
      <c r="B2056" s="2" t="s">
        <v>4534</v>
      </c>
      <c r="C2056" s="2" t="s">
        <v>17</v>
      </c>
      <c r="D2056" s="2" t="s">
        <v>18</v>
      </c>
      <c r="E2056" s="5">
        <v>-28947</v>
      </c>
      <c r="F2056" s="3" t="s">
        <v>127</v>
      </c>
      <c r="G2056" s="3" t="s">
        <v>62</v>
      </c>
      <c r="H2056" s="2" t="s">
        <v>21</v>
      </c>
      <c r="I2056" s="2" t="s">
        <v>4556</v>
      </c>
      <c r="J2056" s="3" t="str">
        <f>HYPERLINK("https://www.boe.es/gazeta/dias/1820/09/28/pdfs/GGB-1820-92.pdf#page=3","Abrir facsímil")</f>
        <v>Abrir facsímil</v>
      </c>
      <c r="K2056" s="3" t="s">
        <v>23</v>
      </c>
    </row>
    <row r="2057" spans="1:11" ht="42" customHeight="1">
      <c r="A2057" s="2" t="s">
        <v>4533</v>
      </c>
      <c r="B2057" s="2" t="s">
        <v>4534</v>
      </c>
      <c r="C2057" s="2" t="s">
        <v>74</v>
      </c>
      <c r="D2057" s="2" t="s">
        <v>18</v>
      </c>
      <c r="E2057" s="5">
        <v>-28947</v>
      </c>
      <c r="F2057" s="3" t="s">
        <v>127</v>
      </c>
      <c r="G2057" s="3" t="s">
        <v>20</v>
      </c>
      <c r="H2057" s="2" t="s">
        <v>21</v>
      </c>
      <c r="I2057" s="2" t="s">
        <v>4557</v>
      </c>
      <c r="J2057" s="3" t="str">
        <f>HYPERLINK("https://www.boe.es/gazeta/dias/1820/09/28/pdfs/GGB-1820-92.pdf#page=4","Abrir facsímil")</f>
        <v>Abrir facsímil</v>
      </c>
      <c r="K2057" s="3" t="s">
        <v>23</v>
      </c>
    </row>
    <row r="2058" spans="1:11" ht="42" customHeight="1">
      <c r="A2058" s="2" t="s">
        <v>4533</v>
      </c>
      <c r="B2058" s="2" t="s">
        <v>4534</v>
      </c>
      <c r="C2058" s="2" t="s">
        <v>35</v>
      </c>
      <c r="D2058" s="2" t="s">
        <v>36</v>
      </c>
      <c r="E2058" s="5">
        <v>-28946</v>
      </c>
      <c r="F2058" s="3" t="s">
        <v>1055</v>
      </c>
      <c r="G2058" s="3" t="s">
        <v>4558</v>
      </c>
      <c r="H2058" s="2" t="s">
        <v>21</v>
      </c>
      <c r="I2058" s="2" t="s">
        <v>4559</v>
      </c>
      <c r="J2058" s="3" t="str">
        <f>HYPERLINK("https://www.boe.es/gazeta/dias/1820/09/29/pdfs/GGB-1820-93.pdf#page=3","Abrir facsímil")</f>
        <v>Abrir facsímil</v>
      </c>
      <c r="K2058" s="3" t="s">
        <v>23</v>
      </c>
    </row>
    <row r="2059" spans="1:11" ht="42" customHeight="1">
      <c r="A2059" s="2" t="s">
        <v>4533</v>
      </c>
      <c r="B2059" s="2" t="s">
        <v>4534</v>
      </c>
      <c r="C2059" s="2" t="s">
        <v>35</v>
      </c>
      <c r="D2059" s="2" t="s">
        <v>36</v>
      </c>
      <c r="E2059" s="5">
        <v>-28945</v>
      </c>
      <c r="F2059" s="3" t="s">
        <v>99</v>
      </c>
      <c r="G2059" s="3" t="s">
        <v>62</v>
      </c>
      <c r="H2059" s="2" t="s">
        <v>21</v>
      </c>
      <c r="I2059" s="2" t="s">
        <v>4560</v>
      </c>
      <c r="J2059" s="3" t="str">
        <f>HYPERLINK("https://www.boe.es/gazeta/dias/1820/09/30/pdfs/GGB-1820-94.pdf#page=3","Abrir facsímil")</f>
        <v>Abrir facsímil</v>
      </c>
      <c r="K2059" s="3" t="s">
        <v>23</v>
      </c>
    </row>
    <row r="2060" spans="1:11" ht="42" customHeight="1">
      <c r="A2060" s="2" t="s">
        <v>4533</v>
      </c>
      <c r="B2060" s="2" t="s">
        <v>4534</v>
      </c>
      <c r="C2060" s="2" t="s">
        <v>35</v>
      </c>
      <c r="D2060" s="2" t="s">
        <v>36</v>
      </c>
      <c r="E2060" s="5">
        <v>-28938</v>
      </c>
      <c r="F2060" s="3" t="s">
        <v>716</v>
      </c>
      <c r="G2060" s="3" t="s">
        <v>717</v>
      </c>
      <c r="H2060" s="2" t="s">
        <v>21</v>
      </c>
      <c r="I2060" s="2" t="s">
        <v>4561</v>
      </c>
      <c r="J2060" s="3" t="str">
        <f>HYPERLINK("https://www.boe.es/gazeta/dias/1820/10/07/pdfs/GGB-1820-101.pdf#page=2","Abrir facsímil")</f>
        <v>Abrir facsímil</v>
      </c>
      <c r="K2060" s="3" t="s">
        <v>23</v>
      </c>
    </row>
    <row r="2061" spans="1:11" ht="42" customHeight="1">
      <c r="A2061" s="2" t="s">
        <v>4533</v>
      </c>
      <c r="B2061" s="2" t="s">
        <v>4534</v>
      </c>
      <c r="C2061" s="2" t="s">
        <v>26</v>
      </c>
      <c r="D2061" s="2" t="s">
        <v>27</v>
      </c>
      <c r="E2061" s="5">
        <v>-28929</v>
      </c>
      <c r="F2061" s="3" t="s">
        <v>728</v>
      </c>
      <c r="G2061" s="3" t="s">
        <v>62</v>
      </c>
      <c r="H2061" s="2" t="s">
        <v>21</v>
      </c>
      <c r="I2061" s="2" t="s">
        <v>4562</v>
      </c>
      <c r="J2061" s="3" t="str">
        <f>HYPERLINK("https://www.boe.es/gazeta/dias/1820/10/16/pdfs/GGB-1820-110.pdf#page=3","Abrir facsímil")</f>
        <v>Abrir facsímil</v>
      </c>
      <c r="K2061" s="3" t="s">
        <v>23</v>
      </c>
    </row>
    <row r="2062" spans="1:11" ht="42" customHeight="1">
      <c r="A2062" s="2" t="s">
        <v>4533</v>
      </c>
      <c r="B2062" s="2" t="s">
        <v>4534</v>
      </c>
      <c r="C2062" s="2" t="s">
        <v>26</v>
      </c>
      <c r="D2062" s="2" t="s">
        <v>27</v>
      </c>
      <c r="E2062" s="5">
        <v>-28927</v>
      </c>
      <c r="F2062" s="3" t="s">
        <v>345</v>
      </c>
      <c r="G2062" s="3" t="s">
        <v>62</v>
      </c>
      <c r="H2062" s="2" t="s">
        <v>21</v>
      </c>
      <c r="I2062" s="2" t="s">
        <v>4563</v>
      </c>
      <c r="J2062" s="3" t="str">
        <f>HYPERLINK("https://www.boe.es/gazeta/dias/1820/10/18/pdfs/GGB-1820-112.pdf#page=3","Abrir facsímil")</f>
        <v>Abrir facsímil</v>
      </c>
      <c r="K2062" s="3" t="s">
        <v>23</v>
      </c>
    </row>
    <row r="2063" spans="1:11" ht="42" customHeight="1">
      <c r="A2063" s="2" t="s">
        <v>4533</v>
      </c>
      <c r="B2063" s="2" t="s">
        <v>4534</v>
      </c>
      <c r="C2063" s="2" t="s">
        <v>17</v>
      </c>
      <c r="D2063" s="2" t="s">
        <v>18</v>
      </c>
      <c r="E2063" s="5">
        <v>-28926</v>
      </c>
      <c r="F2063" s="3" t="s">
        <v>597</v>
      </c>
      <c r="G2063" s="3" t="s">
        <v>43</v>
      </c>
      <c r="H2063" s="2" t="s">
        <v>21</v>
      </c>
      <c r="I2063" s="2" t="s">
        <v>4564</v>
      </c>
      <c r="J2063" s="3" t="str">
        <f>HYPERLINK("https://www.boe.es/gazeta/dias/1820/10/19/pdfs/GGB-1820-113.pdf#page=2","Abrir facsímil")</f>
        <v>Abrir facsímil</v>
      </c>
      <c r="K2063" s="3" t="s">
        <v>23</v>
      </c>
    </row>
    <row r="2064" spans="1:11" ht="42" customHeight="1">
      <c r="A2064" s="2" t="s">
        <v>4533</v>
      </c>
      <c r="B2064" s="2" t="s">
        <v>4534</v>
      </c>
      <c r="C2064" s="2" t="s">
        <v>107</v>
      </c>
      <c r="D2064" s="2" t="s">
        <v>18</v>
      </c>
      <c r="E2064" s="5">
        <v>-28917</v>
      </c>
      <c r="F2064" s="3" t="s">
        <v>19</v>
      </c>
      <c r="G2064" s="3" t="s">
        <v>43</v>
      </c>
      <c r="H2064" s="2" t="s">
        <v>21</v>
      </c>
      <c r="I2064" s="2" t="s">
        <v>4565</v>
      </c>
      <c r="J2064" s="3" t="str">
        <f>HYPERLINK("https://www.boe.es/gazeta/dias/1820/10/28/pdfs/GGB-1820-122.pdf#page=2","Abrir facsímil")</f>
        <v>Abrir facsímil</v>
      </c>
      <c r="K2064" s="3" t="s">
        <v>23</v>
      </c>
    </row>
    <row r="2065" spans="1:11" ht="42" customHeight="1">
      <c r="A2065" s="2" t="s">
        <v>4533</v>
      </c>
      <c r="B2065" s="2" t="s">
        <v>4534</v>
      </c>
      <c r="C2065" s="2" t="s">
        <v>35</v>
      </c>
      <c r="D2065" s="2" t="s">
        <v>36</v>
      </c>
      <c r="E2065" s="5">
        <v>-28914</v>
      </c>
      <c r="F2065" s="3" t="s">
        <v>434</v>
      </c>
      <c r="G2065" s="3" t="s">
        <v>43</v>
      </c>
      <c r="H2065" s="2" t="s">
        <v>21</v>
      </c>
      <c r="I2065" s="2" t="s">
        <v>4566</v>
      </c>
      <c r="J2065" s="3" t="str">
        <f>HYPERLINK("https://www.boe.es/gazeta/dias/1820/10/31/pdfs/GGB-1820-125.pdf#page=2","Abrir facsímil")</f>
        <v>Abrir facsímil</v>
      </c>
      <c r="K2065" s="3" t="s">
        <v>23</v>
      </c>
    </row>
    <row r="2066" spans="1:11" ht="42" customHeight="1">
      <c r="A2066" s="2" t="s">
        <v>4533</v>
      </c>
      <c r="B2066" s="2" t="s">
        <v>4534</v>
      </c>
      <c r="C2066" s="2" t="s">
        <v>74</v>
      </c>
      <c r="D2066" s="2" t="s">
        <v>18</v>
      </c>
      <c r="E2066" s="5">
        <v>-28910</v>
      </c>
      <c r="F2066" s="3" t="s">
        <v>746</v>
      </c>
      <c r="G2066" s="3" t="s">
        <v>20</v>
      </c>
      <c r="H2066" s="2" t="s">
        <v>21</v>
      </c>
      <c r="I2066" s="2" t="s">
        <v>4567</v>
      </c>
      <c r="J2066" s="3" t="str">
        <f>HYPERLINK("https://www.boe.es/gazeta/dias/1820/11/04/pdfs/GGB-1820-129.pdf#page=4","Abrir facsímil")</f>
        <v>Abrir facsímil</v>
      </c>
      <c r="K2066" s="3" t="s">
        <v>23</v>
      </c>
    </row>
    <row r="2067" spans="1:11" ht="42" customHeight="1">
      <c r="A2067" s="2" t="s">
        <v>4568</v>
      </c>
      <c r="B2067" s="2" t="s">
        <v>4569</v>
      </c>
      <c r="C2067" s="2" t="s">
        <v>35</v>
      </c>
      <c r="D2067" s="2" t="s">
        <v>36</v>
      </c>
      <c r="E2067" s="5">
        <v>-28926</v>
      </c>
      <c r="F2067" s="3" t="s">
        <v>597</v>
      </c>
      <c r="G2067" s="3" t="s">
        <v>43</v>
      </c>
      <c r="H2067" s="2" t="s">
        <v>21</v>
      </c>
      <c r="I2067" s="2" t="s">
        <v>4570</v>
      </c>
      <c r="J2067" s="3" t="str">
        <f>HYPERLINK("https://www.boe.es/gazeta/dias/1820/10/19/pdfs/GGB-1820-113.pdf#page=2","Abrir facsímil")</f>
        <v>Abrir facsímil</v>
      </c>
      <c r="K2067" s="3" t="s">
        <v>23</v>
      </c>
    </row>
    <row r="2068" spans="1:11" ht="42" customHeight="1">
      <c r="A2068" s="2" t="s">
        <v>4571</v>
      </c>
      <c r="B2068" s="2" t="s">
        <v>4572</v>
      </c>
      <c r="C2068" s="2" t="s">
        <v>35</v>
      </c>
      <c r="D2068" s="2" t="s">
        <v>36</v>
      </c>
      <c r="E2068" s="5">
        <v>-29192</v>
      </c>
      <c r="F2068" s="3" t="s">
        <v>497</v>
      </c>
      <c r="G2068" s="3" t="s">
        <v>295</v>
      </c>
      <c r="H2068" s="2" t="s">
        <v>30</v>
      </c>
      <c r="I2068" s="2" t="s">
        <v>4573</v>
      </c>
      <c r="J2068" s="3" t="str">
        <f>HYPERLINK("https://www.boe.es/gazeta/dias/1820/01/27/pdfs/GMD-1820-12.pdf#page=8","Abrir facsímil")</f>
        <v>Abrir facsímil</v>
      </c>
      <c r="K2068" s="3" t="s">
        <v>32</v>
      </c>
    </row>
    <row r="2069" spans="1:11" ht="42" customHeight="1">
      <c r="A2069" s="2" t="s">
        <v>4571</v>
      </c>
      <c r="B2069" s="2" t="s">
        <v>4572</v>
      </c>
      <c r="C2069" s="2" t="s">
        <v>35</v>
      </c>
      <c r="D2069" s="2" t="s">
        <v>36</v>
      </c>
      <c r="E2069" s="5">
        <v>-29117</v>
      </c>
      <c r="F2069" s="3" t="s">
        <v>1451</v>
      </c>
      <c r="G2069" s="3" t="s">
        <v>1452</v>
      </c>
      <c r="H2069" s="2" t="s">
        <v>30</v>
      </c>
      <c r="I2069" s="2" t="s">
        <v>4574</v>
      </c>
      <c r="J2069" s="3" t="str">
        <f>HYPERLINK("https://www.boe.es/gazeta/dias/1820/04/11/pdfs/GMD-1820-64.pdf#page=8","Abrir facsímil")</f>
        <v>Abrir facsímil</v>
      </c>
      <c r="K2069" s="3" t="s">
        <v>32</v>
      </c>
    </row>
    <row r="2070" spans="1:11" ht="42" customHeight="1">
      <c r="A2070" s="2" t="s">
        <v>4571</v>
      </c>
      <c r="B2070" s="2" t="s">
        <v>4572</v>
      </c>
      <c r="C2070" s="2" t="s">
        <v>107</v>
      </c>
      <c r="D2070" s="2" t="s">
        <v>18</v>
      </c>
      <c r="E2070" s="5">
        <v>-28991</v>
      </c>
      <c r="F2070" s="3" t="s">
        <v>213</v>
      </c>
      <c r="G2070" s="3" t="s">
        <v>675</v>
      </c>
      <c r="H2070" s="2" t="s">
        <v>30</v>
      </c>
      <c r="I2070" s="2" t="s">
        <v>4575</v>
      </c>
      <c r="J2070" s="3" t="str">
        <f>HYPERLINK("https://www.boe.es/gazeta/dias/1820/08/15/pdfs/GGB-1820-48.pdf#page=4","Abrir facsímil")</f>
        <v>Abrir facsímil</v>
      </c>
      <c r="K2070" s="3" t="s">
        <v>32</v>
      </c>
    </row>
    <row r="2071" spans="1:11" ht="42" customHeight="1">
      <c r="A2071" s="2" t="s">
        <v>4571</v>
      </c>
      <c r="B2071" s="2" t="s">
        <v>4572</v>
      </c>
      <c r="C2071" s="2" t="s">
        <v>107</v>
      </c>
      <c r="D2071" s="2" t="s">
        <v>18</v>
      </c>
      <c r="E2071" s="5">
        <v>-28917</v>
      </c>
      <c r="F2071" s="3" t="s">
        <v>19</v>
      </c>
      <c r="G2071" s="3" t="s">
        <v>20</v>
      </c>
      <c r="H2071" s="2" t="s">
        <v>30</v>
      </c>
      <c r="I2071" s="2" t="s">
        <v>4576</v>
      </c>
      <c r="J2071" s="3" t="str">
        <f>HYPERLINK("https://www.boe.es/gazeta/dias/1820/10/28/pdfs/GGB-1820-122.pdf#page=4","Abrir facsímil")</f>
        <v>Abrir facsímil</v>
      </c>
      <c r="K2071" s="3" t="s">
        <v>32</v>
      </c>
    </row>
    <row r="2072" spans="1:11" ht="42" customHeight="1">
      <c r="A2072" s="2" t="s">
        <v>4577</v>
      </c>
      <c r="B2072" s="2" t="s">
        <v>4578</v>
      </c>
      <c r="C2072" s="2" t="s">
        <v>35</v>
      </c>
      <c r="D2072" s="2" t="s">
        <v>36</v>
      </c>
      <c r="E2072" s="5">
        <v>-29015</v>
      </c>
      <c r="F2072" s="3" t="s">
        <v>359</v>
      </c>
      <c r="G2072" s="3" t="s">
        <v>20</v>
      </c>
      <c r="H2072" s="2" t="s">
        <v>21</v>
      </c>
      <c r="I2072" s="2" t="s">
        <v>4579</v>
      </c>
      <c r="J2072" s="3" t="str">
        <f>HYPERLINK("https://www.boe.es/gazeta/dias/1820/07/22/pdfs/GGB-1820-24.pdf#page=4","Abrir facsímil")</f>
        <v>Abrir facsímil</v>
      </c>
      <c r="K2072" s="3" t="s">
        <v>23</v>
      </c>
    </row>
    <row r="2073" spans="1:11" ht="42" customHeight="1">
      <c r="A2073" s="2" t="s">
        <v>4580</v>
      </c>
      <c r="B2073" s="2" t="s">
        <v>4581</v>
      </c>
      <c r="C2073" s="2" t="s">
        <v>26</v>
      </c>
      <c r="D2073" s="2" t="s">
        <v>27</v>
      </c>
      <c r="E2073" s="5">
        <v>-28907</v>
      </c>
      <c r="F2073" s="3" t="s">
        <v>374</v>
      </c>
      <c r="G2073" s="3" t="s">
        <v>43</v>
      </c>
      <c r="H2073" s="2" t="s">
        <v>30</v>
      </c>
      <c r="I2073" s="2" t="s">
        <v>4582</v>
      </c>
      <c r="J2073" s="3" t="str">
        <f>HYPERLINK("https://www.boe.es/gazeta/dias/1820/11/07/pdfs/GGB-1820-132.pdf#page=2","Abrir facsímil")</f>
        <v>Abrir facsímil</v>
      </c>
      <c r="K2073" s="3" t="s">
        <v>32</v>
      </c>
    </row>
    <row r="2074" spans="1:11" ht="42" customHeight="1">
      <c r="A2074" s="2" t="s">
        <v>4583</v>
      </c>
      <c r="B2074" s="2" t="s">
        <v>4584</v>
      </c>
      <c r="C2074" s="2" t="s">
        <v>26</v>
      </c>
      <c r="D2074" s="2" t="s">
        <v>27</v>
      </c>
      <c r="E2074" s="5">
        <v>-29148</v>
      </c>
      <c r="F2074" s="3" t="s">
        <v>493</v>
      </c>
      <c r="G2074" s="3" t="s">
        <v>295</v>
      </c>
      <c r="H2074" s="2" t="s">
        <v>21</v>
      </c>
      <c r="I2074" s="2" t="s">
        <v>4585</v>
      </c>
      <c r="J2074" s="3" t="str">
        <f>HYPERLINK("https://www.boe.es/gazeta/dias/1820/03/11/pdfs/GMD-1820-36.pdf#page=8","Abrir facsímil")</f>
        <v>Abrir facsímil</v>
      </c>
      <c r="K2074" s="3" t="s">
        <v>23</v>
      </c>
    </row>
    <row r="2075" spans="1:11" ht="42" customHeight="1">
      <c r="A2075" s="2" t="s">
        <v>4586</v>
      </c>
      <c r="B2075" s="2" t="s">
        <v>4586</v>
      </c>
      <c r="C2075" s="2" t="s">
        <v>17</v>
      </c>
      <c r="D2075" s="2" t="s">
        <v>18</v>
      </c>
      <c r="E2075" s="5">
        <v>-28862</v>
      </c>
      <c r="F2075" s="3" t="s">
        <v>1905</v>
      </c>
      <c r="G2075" s="3" t="s">
        <v>43</v>
      </c>
      <c r="H2075" s="2" t="s">
        <v>21</v>
      </c>
      <c r="I2075" s="2" t="s">
        <v>4587</v>
      </c>
      <c r="J2075" s="3" t="str">
        <f>HYPERLINK("https://www.boe.es/gazeta/dias/1820/12/22/pdfs/GGB-1820-179.pdf#page=2","Abrir facsímil")</f>
        <v>Abrir facsímil</v>
      </c>
      <c r="K2075" s="3" t="s">
        <v>23</v>
      </c>
    </row>
    <row r="2076" spans="1:11" ht="42" customHeight="1">
      <c r="A2076" s="2" t="s">
        <v>4588</v>
      </c>
      <c r="B2076" s="2" t="s">
        <v>4588</v>
      </c>
      <c r="C2076" s="2" t="s">
        <v>74</v>
      </c>
      <c r="D2076" s="2" t="s">
        <v>18</v>
      </c>
      <c r="E2076" s="5">
        <v>-28884</v>
      </c>
      <c r="F2076" s="3" t="s">
        <v>882</v>
      </c>
      <c r="G2076" s="3" t="s">
        <v>256</v>
      </c>
      <c r="H2076" s="2" t="s">
        <v>21</v>
      </c>
      <c r="I2076" s="2" t="s">
        <v>4589</v>
      </c>
      <c r="J2076" s="3" t="str">
        <f>HYPERLINK("https://www.boe.es/gazeta/dias/1820/11/30/pdfs/GGB-1820-157.pdf#page=5","Abrir facsímil")</f>
        <v>Abrir facsímil</v>
      </c>
      <c r="K2076" s="3" t="s">
        <v>23</v>
      </c>
    </row>
    <row r="2077" spans="1:11" ht="42" customHeight="1">
      <c r="A2077" s="2" t="s">
        <v>4590</v>
      </c>
      <c r="B2077" s="2" t="s">
        <v>4590</v>
      </c>
      <c r="C2077" s="2" t="s">
        <v>26</v>
      </c>
      <c r="D2077" s="2" t="s">
        <v>310</v>
      </c>
      <c r="E2077" s="5">
        <v>-29138</v>
      </c>
      <c r="F2077" s="3" t="s">
        <v>2523</v>
      </c>
      <c r="G2077" s="3" t="s">
        <v>201</v>
      </c>
      <c r="H2077" s="2" t="s">
        <v>21</v>
      </c>
      <c r="I2077" s="2" t="s">
        <v>4591</v>
      </c>
      <c r="J2077" s="3" t="str">
        <f>HYPERLINK("https://www.boe.es/gazeta/dias/1820/03/21/pdfs/GMD-1820-48E.pdf#page=7","Abrir facsímil")</f>
        <v>Abrir facsímil</v>
      </c>
      <c r="K2077" s="3" t="s">
        <v>23</v>
      </c>
    </row>
    <row r="2078" spans="1:11" ht="42" customHeight="1">
      <c r="A2078" s="2" t="s">
        <v>4592</v>
      </c>
      <c r="B2078" s="2" t="s">
        <v>4593</v>
      </c>
      <c r="C2078" s="2" t="s">
        <v>293</v>
      </c>
      <c r="D2078" s="2" t="s">
        <v>18</v>
      </c>
      <c r="E2078" s="5">
        <v>-28953</v>
      </c>
      <c r="F2078" s="3" t="s">
        <v>367</v>
      </c>
      <c r="G2078" s="3" t="s">
        <v>2925</v>
      </c>
      <c r="H2078" s="2" t="s">
        <v>21</v>
      </c>
      <c r="I2078" s="2" t="s">
        <v>4594</v>
      </c>
      <c r="J2078" s="3" t="str">
        <f>HYPERLINK("https://www.boe.es/gazeta/dias/1820/09/22/pdfs/GGB-1820-86.pdf#page=2","Abrir facsímil")</f>
        <v>Abrir facsímil</v>
      </c>
      <c r="K2078" s="3" t="s">
        <v>23</v>
      </c>
    </row>
    <row r="2079" spans="1:11" ht="42" customHeight="1">
      <c r="A2079" s="2" t="s">
        <v>4595</v>
      </c>
      <c r="B2079" s="2" t="s">
        <v>4595</v>
      </c>
      <c r="C2079" s="2" t="s">
        <v>17</v>
      </c>
      <c r="D2079" s="2" t="s">
        <v>18</v>
      </c>
      <c r="E2079" s="5">
        <v>-28860</v>
      </c>
      <c r="F2079" s="3" t="s">
        <v>4487</v>
      </c>
      <c r="G2079" s="3" t="s">
        <v>20</v>
      </c>
      <c r="H2079" s="2" t="s">
        <v>21</v>
      </c>
      <c r="I2079" s="2" t="s">
        <v>4596</v>
      </c>
      <c r="J2079" s="3" t="str">
        <f>HYPERLINK("https://www.boe.es/gazeta/dias/1820/12/24/pdfs/GGB-1820-181.pdf#page=4","Abrir facsímil")</f>
        <v>Abrir facsímil</v>
      </c>
      <c r="K2079" s="3" t="s">
        <v>23</v>
      </c>
    </row>
    <row r="2080" spans="1:11" ht="42" customHeight="1">
      <c r="A2080" s="2" t="s">
        <v>4597</v>
      </c>
      <c r="B2080" s="2" t="s">
        <v>4597</v>
      </c>
      <c r="C2080" s="2" t="s">
        <v>35</v>
      </c>
      <c r="D2080" s="2" t="s">
        <v>36</v>
      </c>
      <c r="E2080" s="5">
        <v>-29023</v>
      </c>
      <c r="F2080" s="3" t="s">
        <v>1662</v>
      </c>
      <c r="G2080" s="3" t="s">
        <v>1663</v>
      </c>
      <c r="H2080" s="2" t="s">
        <v>21</v>
      </c>
      <c r="I2080" s="2" t="s">
        <v>4598</v>
      </c>
      <c r="J2080" s="3" t="str">
        <f>HYPERLINK("https://www.boe.es/gazeta/dias/1820/07/14/pdfs/GGB-1820-16.pdf#page=3","Abrir facsímil")</f>
        <v>Abrir facsímil</v>
      </c>
      <c r="K2080" s="3" t="s">
        <v>23</v>
      </c>
    </row>
    <row r="2081" spans="1:11" ht="42" customHeight="1">
      <c r="A2081" s="2" t="s">
        <v>4599</v>
      </c>
      <c r="B2081" s="2" t="s">
        <v>4599</v>
      </c>
      <c r="C2081" s="2" t="s">
        <v>111</v>
      </c>
      <c r="D2081" s="2" t="s">
        <v>18</v>
      </c>
      <c r="E2081" s="5">
        <v>-28933</v>
      </c>
      <c r="F2081" s="3" t="s">
        <v>720</v>
      </c>
      <c r="G2081" s="3" t="s">
        <v>20</v>
      </c>
      <c r="H2081" s="2" t="s">
        <v>21</v>
      </c>
      <c r="I2081" s="2" t="s">
        <v>4600</v>
      </c>
      <c r="J2081" s="3" t="str">
        <f>HYPERLINK("https://www.boe.es/gazeta/dias/1820/10/12/pdfs/GGB-1820-106.pdf#page=4","Abrir facsímil")</f>
        <v>Abrir facsímil</v>
      </c>
      <c r="K2081" s="3" t="s">
        <v>23</v>
      </c>
    </row>
    <row r="2082" spans="1:11" ht="42" customHeight="1">
      <c r="A2082" s="2" t="s">
        <v>4601</v>
      </c>
      <c r="B2082" s="2" t="s">
        <v>4601</v>
      </c>
      <c r="C2082" s="2" t="s">
        <v>17</v>
      </c>
      <c r="D2082" s="2" t="s">
        <v>18</v>
      </c>
      <c r="E2082" s="5">
        <v>-28958</v>
      </c>
      <c r="F2082" s="3" t="s">
        <v>706</v>
      </c>
      <c r="G2082" s="3" t="s">
        <v>62</v>
      </c>
      <c r="H2082" s="2" t="s">
        <v>21</v>
      </c>
      <c r="I2082" s="2" t="s">
        <v>4602</v>
      </c>
      <c r="J2082" s="3" t="str">
        <f>HYPERLINK("https://www.boe.es/gazeta/dias/1820/09/17/pdfs/GGB-1820-81.pdf#page=3","Abrir facsímil")</f>
        <v>Abrir facsímil</v>
      </c>
      <c r="K2082" s="3" t="s">
        <v>23</v>
      </c>
    </row>
    <row r="2083" spans="1:11" ht="42" customHeight="1">
      <c r="A2083" s="2" t="s">
        <v>4603</v>
      </c>
      <c r="B2083" s="2" t="s">
        <v>4603</v>
      </c>
      <c r="C2083" s="2" t="s">
        <v>47</v>
      </c>
      <c r="D2083" s="2" t="s">
        <v>18</v>
      </c>
      <c r="E2083" s="5">
        <v>-28918</v>
      </c>
      <c r="F2083" s="3" t="s">
        <v>160</v>
      </c>
      <c r="G2083" s="3" t="s">
        <v>62</v>
      </c>
      <c r="H2083" s="2" t="s">
        <v>21</v>
      </c>
      <c r="I2083" s="2" t="s">
        <v>4604</v>
      </c>
      <c r="J2083" s="3" t="str">
        <f>HYPERLINK("https://www.boe.es/gazeta/dias/1820/10/27/pdfs/GGB-1820-121.pdf#page=3","Abrir facsímil")</f>
        <v>Abrir facsímil</v>
      </c>
      <c r="K2083" s="3" t="s">
        <v>23</v>
      </c>
    </row>
    <row r="2084" spans="1:11" ht="42" customHeight="1">
      <c r="A2084" s="2" t="s">
        <v>4605</v>
      </c>
      <c r="B2084" s="2" t="s">
        <v>4605</v>
      </c>
      <c r="C2084" s="2" t="s">
        <v>17</v>
      </c>
      <c r="D2084" s="2" t="s">
        <v>18</v>
      </c>
      <c r="E2084" s="5">
        <v>-28998</v>
      </c>
      <c r="F2084" s="3" t="s">
        <v>629</v>
      </c>
      <c r="G2084" s="3" t="s">
        <v>20</v>
      </c>
      <c r="H2084" s="2" t="s">
        <v>21</v>
      </c>
      <c r="I2084" s="2" t="s">
        <v>4606</v>
      </c>
      <c r="J2084" s="3" t="str">
        <f>HYPERLINK("https://www.boe.es/gazeta/dias/1820/08/08/pdfs/GGB-1820-41.pdf#page=4","Abrir facsímil")</f>
        <v>Abrir facsímil</v>
      </c>
      <c r="K2084" s="3" t="s">
        <v>23</v>
      </c>
    </row>
    <row r="2085" spans="1:11" ht="42" customHeight="1">
      <c r="A2085" s="2" t="s">
        <v>4607</v>
      </c>
      <c r="B2085" s="2" t="s">
        <v>4607</v>
      </c>
      <c r="C2085" s="2" t="s">
        <v>74</v>
      </c>
      <c r="D2085" s="2" t="s">
        <v>18</v>
      </c>
      <c r="E2085" s="5">
        <v>-28912</v>
      </c>
      <c r="F2085" s="3" t="s">
        <v>1329</v>
      </c>
      <c r="G2085" s="3" t="s">
        <v>20</v>
      </c>
      <c r="H2085" s="2" t="s">
        <v>21</v>
      </c>
      <c r="I2085" s="2" t="s">
        <v>4608</v>
      </c>
      <c r="J2085" s="3" t="str">
        <f>HYPERLINK("https://www.boe.es/gazeta/dias/1820/11/02/pdfs/GGB-1820-127.pdf#page=4","Abrir facsímil")</f>
        <v>Abrir facsímil</v>
      </c>
      <c r="K2085" s="3" t="s">
        <v>23</v>
      </c>
    </row>
    <row r="2086" spans="1:11" ht="42" customHeight="1">
      <c r="A2086" s="2" t="s">
        <v>4609</v>
      </c>
      <c r="B2086" s="2" t="s">
        <v>4609</v>
      </c>
      <c r="C2086" s="2" t="s">
        <v>35</v>
      </c>
      <c r="D2086" s="2" t="s">
        <v>36</v>
      </c>
      <c r="E2086" s="5">
        <v>-28937</v>
      </c>
      <c r="F2086" s="3" t="s">
        <v>4254</v>
      </c>
      <c r="G2086" s="3" t="s">
        <v>62</v>
      </c>
      <c r="H2086" s="2" t="s">
        <v>21</v>
      </c>
      <c r="I2086" s="2" t="s">
        <v>4610</v>
      </c>
      <c r="J2086" s="3" t="str">
        <f>HYPERLINK("https://www.boe.es/gazeta/dias/1820/10/08/pdfs/GGB-1820-102.pdf#page=3","Abrir facsímil")</f>
        <v>Abrir facsímil</v>
      </c>
      <c r="K2086" s="3" t="s">
        <v>23</v>
      </c>
    </row>
    <row r="2087" spans="1:11" ht="42" customHeight="1">
      <c r="A2087" s="2" t="s">
        <v>4611</v>
      </c>
      <c r="B2087" s="2" t="s">
        <v>4611</v>
      </c>
      <c r="C2087" s="2" t="s">
        <v>293</v>
      </c>
      <c r="D2087" s="2" t="s">
        <v>18</v>
      </c>
      <c r="E2087" s="5">
        <v>-29026</v>
      </c>
      <c r="F2087" s="3" t="s">
        <v>1197</v>
      </c>
      <c r="G2087" s="3" t="s">
        <v>62</v>
      </c>
      <c r="H2087" s="2" t="s">
        <v>21</v>
      </c>
      <c r="I2087" s="2" t="s">
        <v>4612</v>
      </c>
      <c r="J2087" s="3" t="str">
        <f>HYPERLINK("https://www.boe.es/gazeta/dias/1820/07/11/pdfs/GGB-1820-13.pdf#page=3","Abrir facsímil")</f>
        <v>Abrir facsímil</v>
      </c>
      <c r="K2087" s="3" t="s">
        <v>23</v>
      </c>
    </row>
    <row r="2088" spans="1:11" ht="42" customHeight="1">
      <c r="A2088" s="2" t="s">
        <v>4611</v>
      </c>
      <c r="B2088" s="2" t="s">
        <v>4611</v>
      </c>
      <c r="C2088" s="2" t="s">
        <v>26</v>
      </c>
      <c r="D2088" s="2" t="s">
        <v>27</v>
      </c>
      <c r="E2088" s="5">
        <v>-29009</v>
      </c>
      <c r="F2088" s="3" t="s">
        <v>605</v>
      </c>
      <c r="G2088" s="3" t="s">
        <v>62</v>
      </c>
      <c r="H2088" s="2" t="s">
        <v>21</v>
      </c>
      <c r="I2088" s="2" t="s">
        <v>4613</v>
      </c>
      <c r="J2088" s="3" t="str">
        <f>HYPERLINK("https://www.boe.es/gazeta/dias/1820/07/28/pdfs/GGB-1820-30.pdf#page=3","Abrir facsímil")</f>
        <v>Abrir facsímil</v>
      </c>
      <c r="K2088" s="3" t="s">
        <v>23</v>
      </c>
    </row>
    <row r="2089" spans="1:11" ht="42" customHeight="1">
      <c r="A2089" s="2" t="s">
        <v>4611</v>
      </c>
      <c r="B2089" s="2" t="s">
        <v>4611</v>
      </c>
      <c r="C2089" s="2" t="s">
        <v>26</v>
      </c>
      <c r="D2089" s="2" t="s">
        <v>27</v>
      </c>
      <c r="E2089" s="5">
        <v>-29003</v>
      </c>
      <c r="F2089" s="3" t="s">
        <v>340</v>
      </c>
      <c r="G2089" s="3" t="s">
        <v>43</v>
      </c>
      <c r="H2089" s="2" t="s">
        <v>21</v>
      </c>
      <c r="I2089" s="2" t="s">
        <v>4614</v>
      </c>
      <c r="J2089" s="3" t="str">
        <f>HYPERLINK("https://www.boe.es/gazeta/dias/1820/08/03/pdfs/GGB-1820-36.pdf#page=2","Abrir facsímil")</f>
        <v>Abrir facsímil</v>
      </c>
      <c r="K2089" s="3" t="s">
        <v>23</v>
      </c>
    </row>
    <row r="2090" spans="1:11" ht="42" customHeight="1">
      <c r="A2090" s="2" t="s">
        <v>4611</v>
      </c>
      <c r="B2090" s="2" t="s">
        <v>4611</v>
      </c>
      <c r="C2090" s="2" t="s">
        <v>35</v>
      </c>
      <c r="D2090" s="2" t="s">
        <v>36</v>
      </c>
      <c r="E2090" s="5">
        <v>-29002</v>
      </c>
      <c r="F2090" s="3" t="s">
        <v>124</v>
      </c>
      <c r="G2090" s="3" t="s">
        <v>62</v>
      </c>
      <c r="H2090" s="2" t="s">
        <v>21</v>
      </c>
      <c r="I2090" s="2" t="s">
        <v>4615</v>
      </c>
      <c r="J2090" s="3" t="str">
        <f>HYPERLINK("https://www.boe.es/gazeta/dias/1820/08/04/pdfs/GGB-1820-37.pdf#page=3","Abrir facsímil")</f>
        <v>Abrir facsímil</v>
      </c>
      <c r="K2090" s="3" t="s">
        <v>23</v>
      </c>
    </row>
    <row r="2091" spans="1:11" ht="42" customHeight="1">
      <c r="A2091" s="2" t="s">
        <v>4611</v>
      </c>
      <c r="B2091" s="2" t="s">
        <v>4611</v>
      </c>
      <c r="C2091" s="2" t="s">
        <v>293</v>
      </c>
      <c r="D2091" s="2" t="s">
        <v>18</v>
      </c>
      <c r="E2091" s="5">
        <v>-28996</v>
      </c>
      <c r="F2091" s="3" t="s">
        <v>636</v>
      </c>
      <c r="G2091" s="3" t="s">
        <v>637</v>
      </c>
      <c r="H2091" s="2" t="s">
        <v>21</v>
      </c>
      <c r="I2091" s="2" t="s">
        <v>4616</v>
      </c>
      <c r="J2091" s="3" t="str">
        <f>HYPERLINK("https://www.boe.es/gazeta/dias/1820/08/10/pdfs/GGB-1820-43.pdf#page=3","Abrir facsímil")</f>
        <v>Abrir facsímil</v>
      </c>
      <c r="K2091" s="3" t="s">
        <v>23</v>
      </c>
    </row>
    <row r="2092" spans="1:11" ht="42" customHeight="1">
      <c r="A2092" s="2" t="s">
        <v>4611</v>
      </c>
      <c r="B2092" s="2" t="s">
        <v>4611</v>
      </c>
      <c r="C2092" s="2" t="s">
        <v>26</v>
      </c>
      <c r="D2092" s="2" t="s">
        <v>27</v>
      </c>
      <c r="E2092" s="5">
        <v>-28994</v>
      </c>
      <c r="F2092" s="3" t="s">
        <v>1612</v>
      </c>
      <c r="G2092" s="3" t="s">
        <v>62</v>
      </c>
      <c r="H2092" s="2" t="s">
        <v>21</v>
      </c>
      <c r="I2092" s="2" t="s">
        <v>4617</v>
      </c>
      <c r="J2092" s="3" t="str">
        <f>HYPERLINK("https://www.boe.es/gazeta/dias/1820/08/12/pdfs/GGB-1820-45.pdf#page=3","Abrir facsímil")</f>
        <v>Abrir facsímil</v>
      </c>
      <c r="K2092" s="3" t="s">
        <v>23</v>
      </c>
    </row>
    <row r="2093" spans="1:11" ht="42" customHeight="1">
      <c r="A2093" s="2" t="s">
        <v>4611</v>
      </c>
      <c r="B2093" s="2" t="s">
        <v>4611</v>
      </c>
      <c r="C2093" s="2" t="s">
        <v>35</v>
      </c>
      <c r="D2093" s="2" t="s">
        <v>36</v>
      </c>
      <c r="E2093" s="5">
        <v>-28982</v>
      </c>
      <c r="F2093" s="3" t="s">
        <v>173</v>
      </c>
      <c r="G2093" s="3" t="s">
        <v>529</v>
      </c>
      <c r="H2093" s="2" t="s">
        <v>21</v>
      </c>
      <c r="I2093" s="2" t="s">
        <v>4618</v>
      </c>
      <c r="J2093" s="3" t="str">
        <f>HYPERLINK("https://www.boe.es/gazeta/dias/1820/08/24/pdfs/GGB-1820-57.pdf#page=4","Abrir facsímil")</f>
        <v>Abrir facsímil</v>
      </c>
      <c r="K2093" s="3" t="s">
        <v>23</v>
      </c>
    </row>
    <row r="2094" spans="1:11" ht="42" customHeight="1">
      <c r="A2094" s="2" t="s">
        <v>4611</v>
      </c>
      <c r="B2094" s="2" t="s">
        <v>4611</v>
      </c>
      <c r="C2094" s="2" t="s">
        <v>17</v>
      </c>
      <c r="D2094" s="2" t="s">
        <v>18</v>
      </c>
      <c r="E2094" s="5">
        <v>-28973</v>
      </c>
      <c r="F2094" s="3" t="s">
        <v>151</v>
      </c>
      <c r="G2094" s="3" t="s">
        <v>62</v>
      </c>
      <c r="H2094" s="2" t="s">
        <v>21</v>
      </c>
      <c r="I2094" s="2" t="s">
        <v>4619</v>
      </c>
      <c r="J2094" s="3" t="str">
        <f>HYPERLINK("https://www.boe.es/gazeta/dias/1820/09/02/pdfs/GGB-1820-66.pdf#page=3","Abrir facsímil")</f>
        <v>Abrir facsímil</v>
      </c>
      <c r="K2094" s="3" t="s">
        <v>23</v>
      </c>
    </row>
    <row r="2095" spans="1:11" ht="42" customHeight="1">
      <c r="A2095" s="2" t="s">
        <v>4611</v>
      </c>
      <c r="B2095" s="2" t="s">
        <v>4611</v>
      </c>
      <c r="C2095" s="2" t="s">
        <v>35</v>
      </c>
      <c r="D2095" s="2" t="s">
        <v>36</v>
      </c>
      <c r="E2095" s="5">
        <v>-28963</v>
      </c>
      <c r="F2095" s="3" t="s">
        <v>94</v>
      </c>
      <c r="G2095" s="3" t="s">
        <v>62</v>
      </c>
      <c r="H2095" s="2" t="s">
        <v>21</v>
      </c>
      <c r="I2095" s="2" t="s">
        <v>4620</v>
      </c>
      <c r="J2095" s="3" t="str">
        <f>HYPERLINK("https://www.boe.es/gazeta/dias/1820/09/12/pdfs/GGB-1820-76.pdf#page=3","Abrir facsímil")</f>
        <v>Abrir facsímil</v>
      </c>
      <c r="K2095" s="3" t="s">
        <v>23</v>
      </c>
    </row>
    <row r="2096" spans="1:11" ht="42" customHeight="1">
      <c r="A2096" s="2" t="s">
        <v>4611</v>
      </c>
      <c r="B2096" s="2" t="s">
        <v>4611</v>
      </c>
      <c r="C2096" s="2" t="s">
        <v>26</v>
      </c>
      <c r="D2096" s="2" t="s">
        <v>27</v>
      </c>
      <c r="E2096" s="5">
        <v>-28961</v>
      </c>
      <c r="F2096" s="3" t="s">
        <v>242</v>
      </c>
      <c r="G2096" s="3" t="s">
        <v>43</v>
      </c>
      <c r="H2096" s="2" t="s">
        <v>21</v>
      </c>
      <c r="I2096" s="2" t="s">
        <v>4621</v>
      </c>
      <c r="J2096" s="3" t="str">
        <f>HYPERLINK("https://www.boe.es/gazeta/dias/1820/09/14/pdfs/GGB-1820-78.pdf#page=2","Abrir facsímil")</f>
        <v>Abrir facsímil</v>
      </c>
      <c r="K2096" s="3" t="s">
        <v>23</v>
      </c>
    </row>
    <row r="2097" spans="1:11" ht="42" customHeight="1">
      <c r="A2097" s="2" t="s">
        <v>4611</v>
      </c>
      <c r="B2097" s="2" t="s">
        <v>4611</v>
      </c>
      <c r="C2097" s="2" t="s">
        <v>17</v>
      </c>
      <c r="D2097" s="2" t="s">
        <v>18</v>
      </c>
      <c r="E2097" s="5">
        <v>-28961</v>
      </c>
      <c r="F2097" s="3" t="s">
        <v>242</v>
      </c>
      <c r="G2097" s="3" t="s">
        <v>62</v>
      </c>
      <c r="H2097" s="2" t="s">
        <v>21</v>
      </c>
      <c r="I2097" s="2" t="s">
        <v>4622</v>
      </c>
      <c r="J2097" s="3" t="str">
        <f>HYPERLINK("https://www.boe.es/gazeta/dias/1820/09/14/pdfs/GGB-1820-78.pdf#page=3","Abrir facsímil")</f>
        <v>Abrir facsímil</v>
      </c>
      <c r="K2097" s="3" t="s">
        <v>23</v>
      </c>
    </row>
    <row r="2098" spans="1:11" ht="42" customHeight="1">
      <c r="A2098" s="2" t="s">
        <v>4611</v>
      </c>
      <c r="B2098" s="2" t="s">
        <v>4611</v>
      </c>
      <c r="C2098" s="2" t="s">
        <v>26</v>
      </c>
      <c r="D2098" s="2" t="s">
        <v>27</v>
      </c>
      <c r="E2098" s="5">
        <v>-28960</v>
      </c>
      <c r="F2098" s="3" t="s">
        <v>704</v>
      </c>
      <c r="G2098" s="3" t="s">
        <v>62</v>
      </c>
      <c r="H2098" s="2" t="s">
        <v>21</v>
      </c>
      <c r="I2098" s="2" t="s">
        <v>4623</v>
      </c>
      <c r="J2098" s="3" t="str">
        <f>HYPERLINK("https://www.boe.es/gazeta/dias/1820/09/15/pdfs/GGB-1820-79.pdf#page=3","Abrir facsímil")</f>
        <v>Abrir facsímil</v>
      </c>
      <c r="K2098" s="3" t="s">
        <v>23</v>
      </c>
    </row>
    <row r="2099" spans="1:11" ht="42" customHeight="1">
      <c r="A2099" s="2" t="s">
        <v>4611</v>
      </c>
      <c r="B2099" s="2" t="s">
        <v>4611</v>
      </c>
      <c r="C2099" s="2" t="s">
        <v>17</v>
      </c>
      <c r="D2099" s="2" t="s">
        <v>18</v>
      </c>
      <c r="E2099" s="5">
        <v>-28959</v>
      </c>
      <c r="F2099" s="3" t="s">
        <v>37</v>
      </c>
      <c r="G2099" s="3" t="s">
        <v>20</v>
      </c>
      <c r="H2099" s="2" t="s">
        <v>21</v>
      </c>
      <c r="I2099" s="2" t="s">
        <v>4624</v>
      </c>
      <c r="J2099" s="3" t="str">
        <f>HYPERLINK("https://www.boe.es/gazeta/dias/1820/09/16/pdfs/GGB-1820-80.pdf#page=4","Abrir facsímil")</f>
        <v>Abrir facsímil</v>
      </c>
      <c r="K2099" s="3" t="s">
        <v>23</v>
      </c>
    </row>
    <row r="2100" spans="1:11" ht="42" customHeight="1">
      <c r="A2100" s="2" t="s">
        <v>4611</v>
      </c>
      <c r="B2100" s="2" t="s">
        <v>4611</v>
      </c>
      <c r="C2100" s="2" t="s">
        <v>47</v>
      </c>
      <c r="D2100" s="2" t="s">
        <v>18</v>
      </c>
      <c r="E2100" s="5">
        <v>-28959</v>
      </c>
      <c r="F2100" s="3" t="s">
        <v>37</v>
      </c>
      <c r="G2100" s="3" t="s">
        <v>38</v>
      </c>
      <c r="H2100" s="2" t="s">
        <v>21</v>
      </c>
      <c r="I2100" s="2" t="s">
        <v>4625</v>
      </c>
      <c r="J2100" s="3" t="str">
        <f>HYPERLINK("https://www.boe.es/gazeta/dias/1820/09/16/pdfs/GGB-1820-80.pdf#page=6","Abrir facsímil")</f>
        <v>Abrir facsímil</v>
      </c>
      <c r="K2100" s="3" t="s">
        <v>23</v>
      </c>
    </row>
    <row r="2101" spans="1:11" ht="42" customHeight="1">
      <c r="A2101" s="2" t="s">
        <v>4611</v>
      </c>
      <c r="B2101" s="2" t="s">
        <v>4611</v>
      </c>
      <c r="C2101" s="2" t="s">
        <v>26</v>
      </c>
      <c r="D2101" s="2" t="s">
        <v>27</v>
      </c>
      <c r="E2101" s="5">
        <v>-28958</v>
      </c>
      <c r="F2101" s="3" t="s">
        <v>706</v>
      </c>
      <c r="G2101" s="3" t="s">
        <v>43</v>
      </c>
      <c r="H2101" s="2" t="s">
        <v>21</v>
      </c>
      <c r="I2101" s="2" t="s">
        <v>4626</v>
      </c>
      <c r="J2101" s="3" t="str">
        <f>HYPERLINK("https://www.boe.es/gazeta/dias/1820/09/17/pdfs/GGB-1820-81.pdf#page=2","Abrir facsímil")</f>
        <v>Abrir facsímil</v>
      </c>
      <c r="K2101" s="3" t="s">
        <v>23</v>
      </c>
    </row>
    <row r="2102" spans="1:11" ht="42" customHeight="1">
      <c r="A2102" s="2" t="s">
        <v>4611</v>
      </c>
      <c r="B2102" s="2" t="s">
        <v>4611</v>
      </c>
      <c r="C2102" s="2" t="s">
        <v>293</v>
      </c>
      <c r="D2102" s="2" t="s">
        <v>18</v>
      </c>
      <c r="E2102" s="5">
        <v>-28957</v>
      </c>
      <c r="F2102" s="3" t="s">
        <v>361</v>
      </c>
      <c r="G2102" s="3" t="s">
        <v>708</v>
      </c>
      <c r="H2102" s="2" t="s">
        <v>21</v>
      </c>
      <c r="I2102" s="2" t="s">
        <v>4627</v>
      </c>
      <c r="J2102" s="3" t="str">
        <f>HYPERLINK("https://www.boe.es/gazeta/dias/1820/09/18/pdfs/GGB-1820-82.pdf#page=4","Abrir facsímil")</f>
        <v>Abrir facsímil</v>
      </c>
      <c r="K2102" s="3" t="s">
        <v>23</v>
      </c>
    </row>
    <row r="2103" spans="1:11" ht="42" customHeight="1">
      <c r="A2103" s="2" t="s">
        <v>4611</v>
      </c>
      <c r="B2103" s="2" t="s">
        <v>4611</v>
      </c>
      <c r="C2103" s="2" t="s">
        <v>35</v>
      </c>
      <c r="D2103" s="2" t="s">
        <v>36</v>
      </c>
      <c r="E2103" s="5">
        <v>-28951</v>
      </c>
      <c r="F2103" s="3" t="s">
        <v>622</v>
      </c>
      <c r="G2103" s="3" t="s">
        <v>20</v>
      </c>
      <c r="H2103" s="2" t="s">
        <v>21</v>
      </c>
      <c r="I2103" s="2" t="s">
        <v>4628</v>
      </c>
      <c r="J2103" s="3" t="str">
        <f>HYPERLINK("https://www.boe.es/gazeta/dias/1820/09/24/pdfs/GGB-1820-88.pdf#page=4","Abrir facsímil")</f>
        <v>Abrir facsímil</v>
      </c>
      <c r="K2103" s="3" t="s">
        <v>23</v>
      </c>
    </row>
    <row r="2104" spans="1:11" ht="42" customHeight="1">
      <c r="A2104" s="2" t="s">
        <v>4611</v>
      </c>
      <c r="B2104" s="2" t="s">
        <v>4611</v>
      </c>
      <c r="C2104" s="2" t="s">
        <v>111</v>
      </c>
      <c r="D2104" s="2" t="s">
        <v>18</v>
      </c>
      <c r="E2104" s="5">
        <v>-28945</v>
      </c>
      <c r="F2104" s="3" t="s">
        <v>99</v>
      </c>
      <c r="G2104" s="3" t="s">
        <v>62</v>
      </c>
      <c r="H2104" s="2" t="s">
        <v>21</v>
      </c>
      <c r="I2104" s="2" t="s">
        <v>4629</v>
      </c>
      <c r="J2104" s="3" t="str">
        <f>HYPERLINK("https://www.boe.es/gazeta/dias/1820/09/30/pdfs/GGB-1820-94.pdf#page=3","Abrir facsímil")</f>
        <v>Abrir facsímil</v>
      </c>
      <c r="K2104" s="3" t="s">
        <v>23</v>
      </c>
    </row>
    <row r="2105" spans="1:11" ht="42" customHeight="1">
      <c r="A2105" s="2" t="s">
        <v>4611</v>
      </c>
      <c r="B2105" s="2" t="s">
        <v>4611</v>
      </c>
      <c r="C2105" s="2" t="s">
        <v>35</v>
      </c>
      <c r="D2105" s="2" t="s">
        <v>36</v>
      </c>
      <c r="E2105" s="5">
        <v>-28937</v>
      </c>
      <c r="F2105" s="3" t="s">
        <v>4254</v>
      </c>
      <c r="G2105" s="3" t="s">
        <v>62</v>
      </c>
      <c r="H2105" s="2" t="s">
        <v>21</v>
      </c>
      <c r="I2105" s="2" t="s">
        <v>4630</v>
      </c>
      <c r="J2105" s="3" t="str">
        <f>HYPERLINK("https://www.boe.es/gazeta/dias/1820/10/08/pdfs/GGB-1820-102.pdf#page=3","Abrir facsímil")</f>
        <v>Abrir facsímil</v>
      </c>
      <c r="K2105" s="3" t="s">
        <v>23</v>
      </c>
    </row>
    <row r="2106" spans="1:11" ht="42" customHeight="1">
      <c r="A2106" s="2" t="s">
        <v>4611</v>
      </c>
      <c r="B2106" s="2" t="s">
        <v>4611</v>
      </c>
      <c r="C2106" s="2" t="s">
        <v>35</v>
      </c>
      <c r="D2106" s="2" t="s">
        <v>36</v>
      </c>
      <c r="E2106" s="5">
        <v>-28935</v>
      </c>
      <c r="F2106" s="3" t="s">
        <v>2464</v>
      </c>
      <c r="G2106" s="3" t="s">
        <v>62</v>
      </c>
      <c r="H2106" s="2" t="s">
        <v>21</v>
      </c>
      <c r="I2106" s="2" t="s">
        <v>4631</v>
      </c>
      <c r="J2106" s="3" t="str">
        <f>HYPERLINK("https://www.boe.es/gazeta/dias/1820/10/10/pdfs/GGB-1820-104.pdf#page=3","Abrir facsímil")</f>
        <v>Abrir facsímil</v>
      </c>
      <c r="K2106" s="3" t="s">
        <v>23</v>
      </c>
    </row>
    <row r="2107" spans="1:11" ht="42" customHeight="1">
      <c r="A2107" s="2" t="s">
        <v>4611</v>
      </c>
      <c r="B2107" s="2" t="s">
        <v>4611</v>
      </c>
      <c r="C2107" s="2" t="s">
        <v>74</v>
      </c>
      <c r="D2107" s="2" t="s">
        <v>18</v>
      </c>
      <c r="E2107" s="5">
        <v>-28934</v>
      </c>
      <c r="F2107" s="3" t="s">
        <v>163</v>
      </c>
      <c r="G2107" s="3" t="s">
        <v>1539</v>
      </c>
      <c r="H2107" s="2" t="s">
        <v>21</v>
      </c>
      <c r="I2107" s="2" t="s">
        <v>4632</v>
      </c>
      <c r="J2107" s="3" t="str">
        <f>HYPERLINK("https://www.boe.es/gazeta/dias/1820/10/11/pdfs/GGB-1820-105.pdf#page=2","Abrir facsímil")</f>
        <v>Abrir facsímil</v>
      </c>
      <c r="K2107" s="3" t="s">
        <v>23</v>
      </c>
    </row>
    <row r="2108" spans="1:11" ht="42" customHeight="1">
      <c r="A2108" s="2" t="s">
        <v>4611</v>
      </c>
      <c r="B2108" s="2" t="s">
        <v>4611</v>
      </c>
      <c r="C2108" s="2" t="s">
        <v>293</v>
      </c>
      <c r="D2108" s="2" t="s">
        <v>18</v>
      </c>
      <c r="E2108" s="5">
        <v>-28933</v>
      </c>
      <c r="F2108" s="3" t="s">
        <v>720</v>
      </c>
      <c r="G2108" s="3" t="s">
        <v>20</v>
      </c>
      <c r="H2108" s="2" t="s">
        <v>21</v>
      </c>
      <c r="I2108" s="2" t="s">
        <v>4633</v>
      </c>
      <c r="J2108" s="3" t="str">
        <f>HYPERLINK("https://www.boe.es/gazeta/dias/1820/10/12/pdfs/GGB-1820-106.pdf#page=4","Abrir facsímil")</f>
        <v>Abrir facsímil</v>
      </c>
      <c r="K2108" s="3" t="s">
        <v>23</v>
      </c>
    </row>
    <row r="2109" spans="1:11" ht="42" customHeight="1">
      <c r="A2109" s="2" t="s">
        <v>4611</v>
      </c>
      <c r="B2109" s="2" t="s">
        <v>4611</v>
      </c>
      <c r="C2109" s="2" t="s">
        <v>17</v>
      </c>
      <c r="D2109" s="2" t="s">
        <v>18</v>
      </c>
      <c r="E2109" s="5">
        <v>-28917</v>
      </c>
      <c r="F2109" s="3" t="s">
        <v>19</v>
      </c>
      <c r="G2109" s="3" t="s">
        <v>20</v>
      </c>
      <c r="H2109" s="2" t="s">
        <v>21</v>
      </c>
      <c r="I2109" s="2" t="s">
        <v>4634</v>
      </c>
      <c r="J2109" s="3" t="str">
        <f>HYPERLINK("https://www.boe.es/gazeta/dias/1820/10/28/pdfs/GGB-1820-122.pdf#page=4","Abrir facsímil")</f>
        <v>Abrir facsímil</v>
      </c>
      <c r="K2109" s="3" t="s">
        <v>23</v>
      </c>
    </row>
    <row r="2110" spans="1:11" ht="42" customHeight="1">
      <c r="A2110" s="2" t="s">
        <v>4611</v>
      </c>
      <c r="B2110" s="2" t="s">
        <v>4611</v>
      </c>
      <c r="C2110" s="2" t="s">
        <v>26</v>
      </c>
      <c r="D2110" s="2" t="s">
        <v>27</v>
      </c>
      <c r="E2110" s="5">
        <v>-28916</v>
      </c>
      <c r="F2110" s="3" t="s">
        <v>2688</v>
      </c>
      <c r="G2110" s="3" t="s">
        <v>62</v>
      </c>
      <c r="H2110" s="2" t="s">
        <v>21</v>
      </c>
      <c r="I2110" s="2" t="s">
        <v>4635</v>
      </c>
      <c r="J2110" s="3" t="str">
        <f>HYPERLINK("https://www.boe.es/gazeta/dias/1820/10/29/pdfs/GGB-1820-123.pdf#page=3","Abrir facsímil")</f>
        <v>Abrir facsímil</v>
      </c>
      <c r="K2110" s="3" t="s">
        <v>23</v>
      </c>
    </row>
    <row r="2111" spans="1:11" ht="42" customHeight="1">
      <c r="A2111" s="2" t="s">
        <v>4636</v>
      </c>
      <c r="B2111" s="2" t="s">
        <v>4637</v>
      </c>
      <c r="C2111" s="2" t="s">
        <v>17</v>
      </c>
      <c r="D2111" s="2" t="s">
        <v>18</v>
      </c>
      <c r="E2111" s="5">
        <v>-29215</v>
      </c>
      <c r="F2111" s="3" t="s">
        <v>827</v>
      </c>
      <c r="G2111" s="3" t="s">
        <v>461</v>
      </c>
      <c r="H2111" s="2" t="s">
        <v>30</v>
      </c>
      <c r="I2111" s="2" t="s">
        <v>4638</v>
      </c>
      <c r="J2111" s="3" t="str">
        <f>HYPERLINK("https://www.boe.es/gazeta/dias/1820/01/04/pdfs/GMD-1820-2.pdf#page=6","Abrir facsímil")</f>
        <v>Abrir facsímil</v>
      </c>
      <c r="K2111" s="3" t="s">
        <v>32</v>
      </c>
    </row>
    <row r="2112" spans="1:11" ht="42" customHeight="1">
      <c r="A2112" s="2" t="s">
        <v>4639</v>
      </c>
      <c r="B2112" s="2" t="s">
        <v>4640</v>
      </c>
      <c r="C2112" s="2" t="s">
        <v>17</v>
      </c>
      <c r="D2112" s="2" t="s">
        <v>18</v>
      </c>
      <c r="E2112" s="5">
        <v>-28986</v>
      </c>
      <c r="F2112" s="3" t="s">
        <v>488</v>
      </c>
      <c r="G2112" s="3" t="s">
        <v>62</v>
      </c>
      <c r="H2112" s="2" t="s">
        <v>21</v>
      </c>
      <c r="I2112" s="2" t="s">
        <v>4641</v>
      </c>
      <c r="J2112" s="3" t="str">
        <f>HYPERLINK("https://www.boe.es/gazeta/dias/1820/08/20/pdfs/GGB-1820-53.pdf#page=3","Abrir facsímil")</f>
        <v>Abrir facsímil</v>
      </c>
      <c r="K2112" s="3" t="s">
        <v>23</v>
      </c>
    </row>
    <row r="2113" spans="1:11" ht="42" customHeight="1">
      <c r="A2113" s="2" t="s">
        <v>4642</v>
      </c>
      <c r="B2113" s="2" t="s">
        <v>4643</v>
      </c>
      <c r="C2113" s="2" t="s">
        <v>26</v>
      </c>
      <c r="D2113" s="2" t="s">
        <v>27</v>
      </c>
      <c r="E2113" s="5">
        <v>-29215</v>
      </c>
      <c r="F2113" s="3" t="s">
        <v>827</v>
      </c>
      <c r="G2113" s="3" t="s">
        <v>201</v>
      </c>
      <c r="H2113" s="2" t="s">
        <v>21</v>
      </c>
      <c r="I2113" s="2" t="s">
        <v>4644</v>
      </c>
      <c r="J2113" s="3" t="str">
        <f>HYPERLINK("https://www.boe.es/gazeta/dias/1820/01/04/pdfs/GMD-1820-2.pdf#page=7","Abrir facsímil")</f>
        <v>Abrir facsímil</v>
      </c>
      <c r="K2113" s="3" t="s">
        <v>23</v>
      </c>
    </row>
    <row r="2114" spans="1:11" ht="42" customHeight="1">
      <c r="A2114" s="2" t="s">
        <v>4645</v>
      </c>
      <c r="B2114" s="2" t="s">
        <v>4645</v>
      </c>
      <c r="C2114" s="2" t="s">
        <v>17</v>
      </c>
      <c r="D2114" s="2" t="s">
        <v>18</v>
      </c>
      <c r="E2114" s="5">
        <v>-29218</v>
      </c>
      <c r="F2114" s="3" t="s">
        <v>834</v>
      </c>
      <c r="G2114" s="3" t="s">
        <v>20</v>
      </c>
      <c r="H2114" s="2" t="s">
        <v>21</v>
      </c>
      <c r="I2114" s="2" t="s">
        <v>4646</v>
      </c>
      <c r="J2114" s="3" t="str">
        <f>HYPERLINK("https://www.boe.es/gazeta/dias/1820/01/01/pdfs/GMD-1820-1.pdf#page=4","Abrir facsímil")</f>
        <v>Abrir facsímil</v>
      </c>
      <c r="K2114" s="3" t="s">
        <v>23</v>
      </c>
    </row>
    <row r="2115" spans="1:11" ht="42" customHeight="1">
      <c r="A2115" s="2" t="s">
        <v>4647</v>
      </c>
      <c r="B2115" s="2" t="s">
        <v>4648</v>
      </c>
      <c r="C2115" s="2" t="s">
        <v>26</v>
      </c>
      <c r="D2115" s="2" t="s">
        <v>27</v>
      </c>
      <c r="E2115" s="5">
        <v>-28987</v>
      </c>
      <c r="F2115" s="3" t="s">
        <v>680</v>
      </c>
      <c r="G2115" s="3" t="s">
        <v>128</v>
      </c>
      <c r="H2115" s="2" t="s">
        <v>21</v>
      </c>
      <c r="I2115" s="2" t="s">
        <v>4649</v>
      </c>
      <c r="J2115" s="3" t="str">
        <f>HYPERLINK("https://www.boe.es/gazeta/dias/1820/08/19/pdfs/GGB-1820-52.pdf#page=1","Abrir facsímil")</f>
        <v>Abrir facsímil</v>
      </c>
      <c r="K2115" s="3" t="s">
        <v>23</v>
      </c>
    </row>
    <row r="2116" spans="1:11" ht="42" customHeight="1">
      <c r="A2116" s="2" t="s">
        <v>4650</v>
      </c>
      <c r="B2116" s="2" t="s">
        <v>4651</v>
      </c>
      <c r="C2116" s="2" t="s">
        <v>1808</v>
      </c>
      <c r="D2116" s="2" t="s">
        <v>36</v>
      </c>
      <c r="E2116" s="5">
        <v>-28983</v>
      </c>
      <c r="F2116" s="3" t="s">
        <v>682</v>
      </c>
      <c r="G2116" s="3" t="s">
        <v>62</v>
      </c>
      <c r="H2116" s="2" t="s">
        <v>21</v>
      </c>
      <c r="I2116" s="2" t="s">
        <v>4652</v>
      </c>
      <c r="J2116" s="3" t="str">
        <f>HYPERLINK("https://www.boe.es/gazeta/dias/1820/08/23/pdfs/GGB-1820-56.pdf#page=3","Abrir facsímil")</f>
        <v>Abrir facsímil</v>
      </c>
      <c r="K2116" s="3" t="s">
        <v>23</v>
      </c>
    </row>
    <row r="2117" spans="1:11" ht="42" customHeight="1">
      <c r="A2117" s="2" t="s">
        <v>4653</v>
      </c>
      <c r="B2117" s="2" t="s">
        <v>4653</v>
      </c>
      <c r="C2117" s="2" t="s">
        <v>26</v>
      </c>
      <c r="D2117" s="2" t="s">
        <v>27</v>
      </c>
      <c r="E2117" s="5">
        <v>-29122</v>
      </c>
      <c r="F2117" s="3" t="s">
        <v>844</v>
      </c>
      <c r="G2117" s="3" t="s">
        <v>62</v>
      </c>
      <c r="H2117" s="2" t="s">
        <v>21</v>
      </c>
      <c r="I2117" s="2" t="s">
        <v>4654</v>
      </c>
      <c r="J2117" s="3" t="str">
        <f>HYPERLINK("https://www.boe.es/gazeta/dias/1820/04/06/pdfs/GMD-1820-62.pdf#page=3","Abrir facsímil")</f>
        <v>Abrir facsímil</v>
      </c>
      <c r="K2117" s="3" t="s">
        <v>23</v>
      </c>
    </row>
    <row r="2118" spans="1:11" ht="42" customHeight="1">
      <c r="A2118" s="2" t="s">
        <v>4655</v>
      </c>
      <c r="B2118" s="2" t="s">
        <v>4655</v>
      </c>
      <c r="C2118" s="2" t="s">
        <v>35</v>
      </c>
      <c r="D2118" s="2" t="s">
        <v>36</v>
      </c>
      <c r="E2118" s="5">
        <v>-28992</v>
      </c>
      <c r="F2118" s="3" t="s">
        <v>587</v>
      </c>
      <c r="G2118" s="3" t="s">
        <v>128</v>
      </c>
      <c r="H2118" s="2" t="s">
        <v>21</v>
      </c>
      <c r="I2118" s="2" t="s">
        <v>4656</v>
      </c>
      <c r="J2118" s="3" t="str">
        <f>HYPERLINK("https://www.boe.es/gazeta/dias/1820/08/14/pdfs/GGB-1820-47.pdf#page=1","Abrir facsímil")</f>
        <v>Abrir facsímil</v>
      </c>
      <c r="K2118" s="3" t="s">
        <v>23</v>
      </c>
    </row>
    <row r="2119" spans="1:11" ht="42" customHeight="1">
      <c r="A2119" s="2" t="s">
        <v>4657</v>
      </c>
      <c r="B2119" s="2" t="s">
        <v>4657</v>
      </c>
      <c r="C2119" s="2" t="s">
        <v>35</v>
      </c>
      <c r="D2119" s="2" t="s">
        <v>36</v>
      </c>
      <c r="E2119" s="5">
        <v>-28964</v>
      </c>
      <c r="F2119" s="3" t="s">
        <v>240</v>
      </c>
      <c r="G2119" s="3" t="s">
        <v>43</v>
      </c>
      <c r="H2119" s="2" t="s">
        <v>21</v>
      </c>
      <c r="I2119" s="2" t="s">
        <v>4658</v>
      </c>
      <c r="J2119" s="3" t="str">
        <f>HYPERLINK("https://www.boe.es/gazeta/dias/1820/09/11/pdfs/GGB-1820-75.pdf#page=2","Abrir facsímil")</f>
        <v>Abrir facsímil</v>
      </c>
      <c r="K2119" s="3" t="s">
        <v>23</v>
      </c>
    </row>
    <row r="2120" spans="1:11" ht="42" customHeight="1">
      <c r="A2120" s="2" t="s">
        <v>4657</v>
      </c>
      <c r="B2120" s="2" t="s">
        <v>4657</v>
      </c>
      <c r="C2120" s="2" t="s">
        <v>74</v>
      </c>
      <c r="D2120" s="2" t="s">
        <v>18</v>
      </c>
      <c r="E2120" s="5">
        <v>-28951</v>
      </c>
      <c r="F2120" s="3" t="s">
        <v>622</v>
      </c>
      <c r="G2120" s="3" t="s">
        <v>62</v>
      </c>
      <c r="H2120" s="2" t="s">
        <v>21</v>
      </c>
      <c r="I2120" s="2" t="s">
        <v>4659</v>
      </c>
      <c r="J2120" s="3" t="str">
        <f>HYPERLINK("https://www.boe.es/gazeta/dias/1820/09/24/pdfs/GGB-1820-88.pdf#page=3","Abrir facsímil")</f>
        <v>Abrir facsímil</v>
      </c>
      <c r="K2120" s="3" t="s">
        <v>23</v>
      </c>
    </row>
    <row r="2121" spans="1:11" ht="42" customHeight="1">
      <c r="A2121" s="2" t="s">
        <v>4657</v>
      </c>
      <c r="B2121" s="2" t="s">
        <v>4657</v>
      </c>
      <c r="C2121" s="2" t="s">
        <v>17</v>
      </c>
      <c r="D2121" s="2" t="s">
        <v>18</v>
      </c>
      <c r="E2121" s="5">
        <v>-28950</v>
      </c>
      <c r="F2121" s="3" t="s">
        <v>1052</v>
      </c>
      <c r="G2121" s="3" t="s">
        <v>1372</v>
      </c>
      <c r="H2121" s="2" t="s">
        <v>21</v>
      </c>
      <c r="I2121" s="2" t="s">
        <v>4660</v>
      </c>
      <c r="J2121" s="3" t="str">
        <f>HYPERLINK("https://www.boe.es/gazeta/dias/1820/09/25/pdfs/GGB-1820-89.pdf#page=2","Abrir facsímil")</f>
        <v>Abrir facsímil</v>
      </c>
      <c r="K2121" s="3" t="s">
        <v>23</v>
      </c>
    </row>
    <row r="2122" spans="1:11" ht="42" customHeight="1">
      <c r="A2122" s="2" t="s">
        <v>4657</v>
      </c>
      <c r="B2122" s="2" t="s">
        <v>4657</v>
      </c>
      <c r="C2122" s="2" t="s">
        <v>26</v>
      </c>
      <c r="D2122" s="2" t="s">
        <v>27</v>
      </c>
      <c r="E2122" s="5">
        <v>-28933</v>
      </c>
      <c r="F2122" s="3" t="s">
        <v>720</v>
      </c>
      <c r="G2122" s="3" t="s">
        <v>20</v>
      </c>
      <c r="H2122" s="2" t="s">
        <v>21</v>
      </c>
      <c r="I2122" s="2" t="s">
        <v>4661</v>
      </c>
      <c r="J2122" s="3" t="str">
        <f>HYPERLINK("https://www.boe.es/gazeta/dias/1820/10/12/pdfs/GGB-1820-106.pdf#page=4","Abrir facsímil")</f>
        <v>Abrir facsímil</v>
      </c>
      <c r="K2122" s="3" t="s">
        <v>23</v>
      </c>
    </row>
    <row r="2123" spans="1:11" ht="42" customHeight="1">
      <c r="A2123" s="2" t="s">
        <v>4657</v>
      </c>
      <c r="B2123" s="2" t="s">
        <v>4657</v>
      </c>
      <c r="C2123" s="2" t="s">
        <v>74</v>
      </c>
      <c r="D2123" s="2" t="s">
        <v>18</v>
      </c>
      <c r="E2123" s="5">
        <v>-28906</v>
      </c>
      <c r="F2123" s="3" t="s">
        <v>232</v>
      </c>
      <c r="G2123" s="3" t="s">
        <v>62</v>
      </c>
      <c r="H2123" s="2" t="s">
        <v>21</v>
      </c>
      <c r="I2123" s="2" t="s">
        <v>4662</v>
      </c>
      <c r="J2123" s="3" t="str">
        <f>HYPERLINK("https://www.boe.es/gazeta/dias/1820/11/08/pdfs/GGB-1820-133.pdf#page=3","Abrir facsímil")</f>
        <v>Abrir facsímil</v>
      </c>
      <c r="K2123" s="3" t="s">
        <v>23</v>
      </c>
    </row>
    <row r="2124" spans="1:11" ht="42" customHeight="1">
      <c r="A2124" s="2" t="s">
        <v>4663</v>
      </c>
      <c r="B2124" s="2" t="s">
        <v>4664</v>
      </c>
      <c r="C2124" s="2" t="s">
        <v>35</v>
      </c>
      <c r="D2124" s="2" t="s">
        <v>36</v>
      </c>
      <c r="E2124" s="5">
        <v>-29015</v>
      </c>
      <c r="F2124" s="3" t="s">
        <v>359</v>
      </c>
      <c r="G2124" s="3" t="s">
        <v>20</v>
      </c>
      <c r="H2124" s="2" t="s">
        <v>21</v>
      </c>
      <c r="I2124" s="2" t="s">
        <v>4665</v>
      </c>
      <c r="J2124" s="3" t="str">
        <f>HYPERLINK("https://www.boe.es/gazeta/dias/1820/07/22/pdfs/GGB-1820-24.pdf#page=4","Abrir facsímil")</f>
        <v>Abrir facsímil</v>
      </c>
      <c r="K2124" s="3" t="s">
        <v>23</v>
      </c>
    </row>
    <row r="2125" spans="1:11" ht="42" customHeight="1">
      <c r="A2125" s="2" t="s">
        <v>4666</v>
      </c>
      <c r="B2125" s="2" t="s">
        <v>4666</v>
      </c>
      <c r="C2125" s="2" t="s">
        <v>26</v>
      </c>
      <c r="D2125" s="2" t="s">
        <v>27</v>
      </c>
      <c r="E2125" s="5">
        <v>-29008</v>
      </c>
      <c r="F2125" s="3" t="s">
        <v>2250</v>
      </c>
      <c r="G2125" s="3" t="s">
        <v>62</v>
      </c>
      <c r="H2125" s="2" t="s">
        <v>21</v>
      </c>
      <c r="I2125" s="2" t="s">
        <v>4667</v>
      </c>
      <c r="J2125" s="3" t="str">
        <f>HYPERLINK("https://www.boe.es/gazeta/dias/1820/07/29/pdfs/GGB-1820-31.pdf#page=3","Abrir facsímil")</f>
        <v>Abrir facsímil</v>
      </c>
      <c r="K2125" s="3" t="s">
        <v>23</v>
      </c>
    </row>
    <row r="2126" spans="1:11" ht="42" customHeight="1">
      <c r="A2126" s="2" t="s">
        <v>4668</v>
      </c>
      <c r="B2126" s="2" t="s">
        <v>4669</v>
      </c>
      <c r="C2126" s="2" t="s">
        <v>35</v>
      </c>
      <c r="D2126" s="2" t="s">
        <v>36</v>
      </c>
      <c r="E2126" s="5">
        <v>-29169</v>
      </c>
      <c r="F2126" s="3" t="s">
        <v>962</v>
      </c>
      <c r="G2126" s="3" t="s">
        <v>295</v>
      </c>
      <c r="H2126" s="2" t="s">
        <v>21</v>
      </c>
      <c r="I2126" s="2" t="s">
        <v>4670</v>
      </c>
      <c r="J2126" s="3" t="str">
        <f>HYPERLINK("https://www.boe.es/gazeta/dias/1820/02/19/pdfs/GMD-1820-22.pdf#page=8","Abrir facsímil")</f>
        <v>Abrir facsímil</v>
      </c>
      <c r="K2126" s="3" t="s">
        <v>23</v>
      </c>
    </row>
    <row r="2127" spans="1:11" ht="42" customHeight="1">
      <c r="A2127" s="2" t="s">
        <v>4671</v>
      </c>
      <c r="B2127" s="2" t="s">
        <v>4671</v>
      </c>
      <c r="C2127" s="2" t="s">
        <v>17</v>
      </c>
      <c r="D2127" s="2" t="s">
        <v>18</v>
      </c>
      <c r="E2127" s="5">
        <v>-28983</v>
      </c>
      <c r="F2127" s="3" t="s">
        <v>682</v>
      </c>
      <c r="G2127" s="3" t="s">
        <v>20</v>
      </c>
      <c r="H2127" s="2" t="s">
        <v>21</v>
      </c>
      <c r="I2127" s="2" t="s">
        <v>4672</v>
      </c>
      <c r="J2127" s="3" t="str">
        <f>HYPERLINK("https://www.boe.es/gazeta/dias/1820/08/23/pdfs/GGB-1820-56.pdf#page=4","Abrir facsímil")</f>
        <v>Abrir facsímil</v>
      </c>
      <c r="K2127" s="3" t="s">
        <v>23</v>
      </c>
    </row>
    <row r="2128" spans="1:11" ht="42" customHeight="1">
      <c r="A2128" s="2" t="s">
        <v>4673</v>
      </c>
      <c r="B2128" s="2" t="s">
        <v>4674</v>
      </c>
      <c r="C2128" s="2" t="s">
        <v>26</v>
      </c>
      <c r="D2128" s="2" t="s">
        <v>27</v>
      </c>
      <c r="E2128" s="5">
        <v>-28973</v>
      </c>
      <c r="F2128" s="3" t="s">
        <v>151</v>
      </c>
      <c r="G2128" s="3" t="s">
        <v>20</v>
      </c>
      <c r="H2128" s="2" t="s">
        <v>21</v>
      </c>
      <c r="I2128" s="2" t="s">
        <v>4675</v>
      </c>
      <c r="J2128" s="3" t="str">
        <f>HYPERLINK("https://www.boe.es/gazeta/dias/1820/09/02/pdfs/GGB-1820-66.pdf#page=4","Abrir facsímil")</f>
        <v>Abrir facsímil</v>
      </c>
      <c r="K2128" s="3" t="s">
        <v>23</v>
      </c>
    </row>
    <row r="2129" spans="1:11" ht="42" customHeight="1">
      <c r="A2129" s="2" t="s">
        <v>4676</v>
      </c>
      <c r="B2129" s="2" t="s">
        <v>4676</v>
      </c>
      <c r="C2129" s="2" t="s">
        <v>17</v>
      </c>
      <c r="D2129" s="2" t="s">
        <v>18</v>
      </c>
      <c r="E2129" s="5">
        <v>-28887</v>
      </c>
      <c r="F2129" s="3" t="s">
        <v>2098</v>
      </c>
      <c r="G2129" s="3" t="s">
        <v>128</v>
      </c>
      <c r="H2129" s="2" t="s">
        <v>21</v>
      </c>
      <c r="I2129" s="2" t="s">
        <v>4677</v>
      </c>
      <c r="J2129" s="3" t="str">
        <f>HYPERLINK("https://www.boe.es/gazeta/dias/1820/11/27/pdfs/GGB-1820-154.pdf#page=1","Abrir facsímil")</f>
        <v>Abrir facsímil</v>
      </c>
      <c r="K2129" s="3" t="s">
        <v>23</v>
      </c>
    </row>
    <row r="2130" spans="1:11" ht="42" customHeight="1">
      <c r="A2130" s="2" t="s">
        <v>4678</v>
      </c>
      <c r="B2130" s="2" t="s">
        <v>4679</v>
      </c>
      <c r="C2130" s="2" t="s">
        <v>26</v>
      </c>
      <c r="D2130" s="2" t="s">
        <v>27</v>
      </c>
      <c r="E2130" s="5">
        <v>-28870</v>
      </c>
      <c r="F2130" s="3" t="s">
        <v>1014</v>
      </c>
      <c r="G2130" s="3" t="s">
        <v>3007</v>
      </c>
      <c r="H2130" s="2" t="s">
        <v>21</v>
      </c>
      <c r="I2130" s="2" t="s">
        <v>4680</v>
      </c>
      <c r="J2130" s="3" t="str">
        <f>HYPERLINK("https://www.boe.es/gazeta/dias/1820/12/14/pdfs/GGB-1820-171.pdf#page=2","Abrir facsímil")</f>
        <v>Abrir facsímil</v>
      </c>
      <c r="K2130" s="3" t="s">
        <v>23</v>
      </c>
    </row>
    <row r="2131" spans="1:11" ht="42" customHeight="1">
      <c r="A2131" s="2" t="s">
        <v>4681</v>
      </c>
      <c r="B2131" s="2" t="s">
        <v>4681</v>
      </c>
      <c r="C2131" s="2" t="s">
        <v>26</v>
      </c>
      <c r="D2131" s="2" t="s">
        <v>27</v>
      </c>
      <c r="E2131" s="5">
        <v>-29002</v>
      </c>
      <c r="F2131" s="3" t="s">
        <v>124</v>
      </c>
      <c r="G2131" s="3" t="s">
        <v>43</v>
      </c>
      <c r="H2131" s="2" t="s">
        <v>21</v>
      </c>
      <c r="I2131" s="2" t="s">
        <v>4682</v>
      </c>
      <c r="J2131" s="3" t="str">
        <f>HYPERLINK("https://www.boe.es/gazeta/dias/1820/08/04/pdfs/GGB-1820-37.pdf#page=2","Abrir facsímil")</f>
        <v>Abrir facsímil</v>
      </c>
      <c r="K2131" s="3" t="s">
        <v>23</v>
      </c>
    </row>
    <row r="2132" spans="1:11" ht="42" customHeight="1">
      <c r="A2132" s="2" t="s">
        <v>4683</v>
      </c>
      <c r="B2132" s="2" t="s">
        <v>4684</v>
      </c>
      <c r="C2132" s="2" t="s">
        <v>26</v>
      </c>
      <c r="D2132" s="2" t="s">
        <v>27</v>
      </c>
      <c r="E2132" s="5">
        <v>-29157</v>
      </c>
      <c r="F2132" s="3" t="s">
        <v>2658</v>
      </c>
      <c r="G2132" s="3" t="s">
        <v>2659</v>
      </c>
      <c r="H2132" s="2" t="s">
        <v>21</v>
      </c>
      <c r="I2132" s="2" t="s">
        <v>4685</v>
      </c>
      <c r="J2132" s="3" t="str">
        <f>HYPERLINK("https://www.boe.es/gazeta/dias/1820/03/02/pdfs/GMD-1820-27.pdf#page=8","Abrir facsímil")</f>
        <v>Abrir facsímil</v>
      </c>
      <c r="K2132" s="3" t="s">
        <v>23</v>
      </c>
    </row>
    <row r="2133" spans="1:11" ht="42" customHeight="1">
      <c r="A2133" s="2" t="s">
        <v>4686</v>
      </c>
      <c r="B2133" s="2" t="s">
        <v>4687</v>
      </c>
      <c r="C2133" s="2" t="s">
        <v>17</v>
      </c>
      <c r="D2133" s="2" t="s">
        <v>18</v>
      </c>
      <c r="E2133" s="5">
        <v>-28887</v>
      </c>
      <c r="F2133" s="3" t="s">
        <v>2098</v>
      </c>
      <c r="G2133" s="3" t="s">
        <v>62</v>
      </c>
      <c r="H2133" s="2" t="s">
        <v>21</v>
      </c>
      <c r="I2133" s="2" t="s">
        <v>4688</v>
      </c>
      <c r="J2133" s="3" t="str">
        <f>HYPERLINK("https://www.boe.es/gazeta/dias/1820/11/27/pdfs/GGB-1820-154.pdf#page=3","Abrir facsímil")</f>
        <v>Abrir facsímil</v>
      </c>
      <c r="K2133" s="3" t="s">
        <v>23</v>
      </c>
    </row>
    <row r="2134" spans="1:11" ht="42" customHeight="1">
      <c r="A2134" s="2" t="s">
        <v>4689</v>
      </c>
      <c r="B2134" s="2" t="s">
        <v>4689</v>
      </c>
      <c r="C2134" s="2" t="s">
        <v>35</v>
      </c>
      <c r="D2134" s="2" t="s">
        <v>36</v>
      </c>
      <c r="E2134" s="5">
        <v>-29136</v>
      </c>
      <c r="F2134" s="3" t="s">
        <v>2972</v>
      </c>
      <c r="G2134" s="3" t="s">
        <v>4690</v>
      </c>
      <c r="H2134" s="2" t="s">
        <v>21</v>
      </c>
      <c r="I2134" s="2" t="s">
        <v>4691</v>
      </c>
      <c r="J2134" s="3" t="str">
        <f>HYPERLINK("https://www.boe.es/gazeta/dias/1820/03/23/pdfs/GMD-1820-51.pdf#page=2","Abrir facsímil")</f>
        <v>Abrir facsímil</v>
      </c>
      <c r="K2134" s="3" t="s">
        <v>23</v>
      </c>
    </row>
    <row r="2135" spans="1:11" ht="42" customHeight="1">
      <c r="A2135" s="2" t="s">
        <v>4689</v>
      </c>
      <c r="B2135" s="2" t="s">
        <v>4689</v>
      </c>
      <c r="C2135" s="2" t="s">
        <v>26</v>
      </c>
      <c r="D2135" s="2" t="s">
        <v>27</v>
      </c>
      <c r="E2135" s="5">
        <v>-28968</v>
      </c>
      <c r="F2135" s="3" t="s">
        <v>66</v>
      </c>
      <c r="G2135" s="3" t="s">
        <v>62</v>
      </c>
      <c r="H2135" s="2" t="s">
        <v>21</v>
      </c>
      <c r="I2135" s="2" t="s">
        <v>4692</v>
      </c>
      <c r="J2135" s="3" t="str">
        <f>HYPERLINK("https://www.boe.es/gazeta/dias/1820/09/07/pdfs/GGB-1820-71.pdf#page=3","Abrir facsímil")</f>
        <v>Abrir facsímil</v>
      </c>
      <c r="K2135" s="3" t="s">
        <v>23</v>
      </c>
    </row>
    <row r="2136" spans="1:11" ht="42" customHeight="1">
      <c r="A2136" s="2" t="s">
        <v>4689</v>
      </c>
      <c r="B2136" s="2" t="s">
        <v>4689</v>
      </c>
      <c r="C2136" s="2" t="s">
        <v>35</v>
      </c>
      <c r="D2136" s="2" t="s">
        <v>36</v>
      </c>
      <c r="E2136" s="5">
        <v>-28944</v>
      </c>
      <c r="F2136" s="3" t="s">
        <v>990</v>
      </c>
      <c r="G2136" s="3" t="s">
        <v>1548</v>
      </c>
      <c r="H2136" s="2" t="s">
        <v>21</v>
      </c>
      <c r="I2136" s="2" t="s">
        <v>4693</v>
      </c>
      <c r="J2136" s="3" t="str">
        <f>HYPERLINK("https://www.boe.es/gazeta/dias/1820/10/01/pdfs/GGB-1820-95.pdf#page=2","Abrir facsímil")</f>
        <v>Abrir facsímil</v>
      </c>
      <c r="K2136" s="3" t="s">
        <v>23</v>
      </c>
    </row>
    <row r="2137" spans="1:11" ht="42" customHeight="1">
      <c r="A2137" s="2" t="s">
        <v>4694</v>
      </c>
      <c r="B2137" s="2" t="s">
        <v>4694</v>
      </c>
      <c r="C2137" s="2" t="s">
        <v>26</v>
      </c>
      <c r="D2137" s="2" t="s">
        <v>27</v>
      </c>
      <c r="E2137" s="5">
        <v>-28933</v>
      </c>
      <c r="F2137" s="3" t="s">
        <v>720</v>
      </c>
      <c r="G2137" s="3" t="s">
        <v>62</v>
      </c>
      <c r="H2137" s="2" t="s">
        <v>21</v>
      </c>
      <c r="I2137" s="2" t="s">
        <v>4695</v>
      </c>
      <c r="J2137" s="3" t="str">
        <f>HYPERLINK("https://www.boe.es/gazeta/dias/1820/10/12/pdfs/GGB-1820-106.pdf#page=3","Abrir facsímil")</f>
        <v>Abrir facsímil</v>
      </c>
      <c r="K2137" s="3" t="s">
        <v>23</v>
      </c>
    </row>
    <row r="2138" spans="1:11" ht="42" customHeight="1">
      <c r="A2138" s="2" t="s">
        <v>4689</v>
      </c>
      <c r="B2138" s="2" t="s">
        <v>4689</v>
      </c>
      <c r="C2138" s="2" t="s">
        <v>74</v>
      </c>
      <c r="D2138" s="2" t="s">
        <v>18</v>
      </c>
      <c r="E2138" s="5">
        <v>-28927</v>
      </c>
      <c r="F2138" s="3" t="s">
        <v>345</v>
      </c>
      <c r="G2138" s="3" t="s">
        <v>62</v>
      </c>
      <c r="H2138" s="2" t="s">
        <v>21</v>
      </c>
      <c r="I2138" s="2" t="s">
        <v>4696</v>
      </c>
      <c r="J2138" s="3" t="str">
        <f>HYPERLINK("https://www.boe.es/gazeta/dias/1820/10/18/pdfs/GGB-1820-112.pdf#page=3","Abrir facsímil")</f>
        <v>Abrir facsímil</v>
      </c>
      <c r="K2138" s="3" t="s">
        <v>23</v>
      </c>
    </row>
    <row r="2139" spans="1:11" ht="42" customHeight="1">
      <c r="A2139" s="2" t="s">
        <v>4697</v>
      </c>
      <c r="B2139" s="2" t="s">
        <v>4698</v>
      </c>
      <c r="C2139" s="2" t="s">
        <v>26</v>
      </c>
      <c r="D2139" s="2" t="s">
        <v>27</v>
      </c>
      <c r="E2139" s="5">
        <v>-29183</v>
      </c>
      <c r="F2139" s="3" t="s">
        <v>476</v>
      </c>
      <c r="G2139" s="3" t="s">
        <v>62</v>
      </c>
      <c r="H2139" s="2" t="s">
        <v>21</v>
      </c>
      <c r="I2139" s="2" t="s">
        <v>4699</v>
      </c>
      <c r="J2139" s="3" t="str">
        <f>HYPERLINK("https://www.boe.es/gazeta/dias/1820/02/05/pdfs/GMD-1820-16.pdf#page=3","Abrir facsímil")</f>
        <v>Abrir facsímil</v>
      </c>
      <c r="K2139" s="3" t="s">
        <v>23</v>
      </c>
    </row>
    <row r="2140" spans="1:11" ht="42" customHeight="1">
      <c r="A2140" s="2" t="s">
        <v>4700</v>
      </c>
      <c r="B2140" s="2" t="s">
        <v>4700</v>
      </c>
      <c r="C2140" s="2" t="s">
        <v>74</v>
      </c>
      <c r="D2140" s="2" t="s">
        <v>18</v>
      </c>
      <c r="E2140" s="5">
        <v>-28980</v>
      </c>
      <c r="F2140" s="3" t="s">
        <v>614</v>
      </c>
      <c r="G2140" s="3" t="s">
        <v>3062</v>
      </c>
      <c r="H2140" s="2" t="s">
        <v>21</v>
      </c>
      <c r="I2140" s="2" t="s">
        <v>4701</v>
      </c>
      <c r="J2140" s="3" t="str">
        <f>HYPERLINK("https://www.boe.es/gazeta/dias/1820/08/26/pdfs/GGB-1820-59.pdf#page=2","Abrir facsímil")</f>
        <v>Abrir facsímil</v>
      </c>
      <c r="K2140" s="3" t="s">
        <v>23</v>
      </c>
    </row>
    <row r="2141" spans="1:11" ht="42" customHeight="1">
      <c r="A2141" s="2" t="s">
        <v>4702</v>
      </c>
      <c r="B2141" s="2" t="s">
        <v>4702</v>
      </c>
      <c r="C2141" s="2" t="s">
        <v>26</v>
      </c>
      <c r="D2141" s="2" t="s">
        <v>27</v>
      </c>
      <c r="E2141" s="5">
        <v>-28964</v>
      </c>
      <c r="F2141" s="3" t="s">
        <v>240</v>
      </c>
      <c r="G2141" s="3" t="s">
        <v>62</v>
      </c>
      <c r="H2141" s="2" t="s">
        <v>21</v>
      </c>
      <c r="I2141" s="2" t="s">
        <v>4703</v>
      </c>
      <c r="J2141" s="3" t="str">
        <f>HYPERLINK("https://www.boe.es/gazeta/dias/1820/09/11/pdfs/GGB-1820-75.pdf#page=3","Abrir facsímil")</f>
        <v>Abrir facsímil</v>
      </c>
      <c r="K2141" s="3" t="s">
        <v>23</v>
      </c>
    </row>
    <row r="2142" spans="1:11" ht="42" customHeight="1">
      <c r="A2142" s="2" t="s">
        <v>4704</v>
      </c>
      <c r="B2142" s="2" t="s">
        <v>4704</v>
      </c>
      <c r="C2142" s="2" t="s">
        <v>74</v>
      </c>
      <c r="D2142" s="2" t="s">
        <v>18</v>
      </c>
      <c r="E2142" s="5">
        <v>-29213</v>
      </c>
      <c r="F2142" s="3" t="s">
        <v>195</v>
      </c>
      <c r="G2142" s="3" t="s">
        <v>2803</v>
      </c>
      <c r="H2142" s="2" t="s">
        <v>21</v>
      </c>
      <c r="I2142" s="2" t="s">
        <v>4705</v>
      </c>
      <c r="J2142" s="3" t="str">
        <f>HYPERLINK("https://www.boe.es/gazeta/dias/1820/01/06/pdfs/GMD-1820-3.pdf#page=7","Abrir facsímil")</f>
        <v>Abrir facsímil</v>
      </c>
      <c r="K2142" s="3" t="s">
        <v>23</v>
      </c>
    </row>
    <row r="2143" spans="1:11" ht="42" customHeight="1">
      <c r="A2143" s="2" t="s">
        <v>4704</v>
      </c>
      <c r="B2143" s="2" t="s">
        <v>4704</v>
      </c>
      <c r="C2143" s="2" t="s">
        <v>26</v>
      </c>
      <c r="D2143" s="2" t="s">
        <v>27</v>
      </c>
      <c r="E2143" s="5">
        <v>-29127</v>
      </c>
      <c r="F2143" s="3" t="s">
        <v>583</v>
      </c>
      <c r="G2143" s="3" t="s">
        <v>20</v>
      </c>
      <c r="H2143" s="2" t="s">
        <v>21</v>
      </c>
      <c r="I2143" s="2" t="s">
        <v>4706</v>
      </c>
      <c r="J2143" s="3" t="str">
        <f>HYPERLINK("https://www.boe.es/gazeta/dias/1820/04/01/pdfs/GMD-1820-59.pdf#page=4","Abrir facsímil")</f>
        <v>Abrir facsímil</v>
      </c>
      <c r="K2143" s="3" t="s">
        <v>23</v>
      </c>
    </row>
    <row r="2144" spans="1:11" ht="42" customHeight="1">
      <c r="A2144" s="2" t="s">
        <v>4704</v>
      </c>
      <c r="B2144" s="2" t="s">
        <v>4704</v>
      </c>
      <c r="C2144" s="2" t="s">
        <v>17</v>
      </c>
      <c r="D2144" s="2" t="s">
        <v>18</v>
      </c>
      <c r="E2144" s="5">
        <v>-29103</v>
      </c>
      <c r="F2144" s="3" t="s">
        <v>313</v>
      </c>
      <c r="G2144" s="3" t="s">
        <v>38</v>
      </c>
      <c r="H2144" s="2" t="s">
        <v>21</v>
      </c>
      <c r="I2144" s="2" t="s">
        <v>4707</v>
      </c>
      <c r="J2144" s="3" t="str">
        <f>HYPERLINK("https://www.boe.es/gazeta/dias/1820/04/25/pdfs/GMD-1820-70.pdf#page=6","Abrir facsímil")</f>
        <v>Abrir facsímil</v>
      </c>
      <c r="K2144" s="3" t="s">
        <v>23</v>
      </c>
    </row>
    <row r="2145" spans="1:11" ht="42" customHeight="1">
      <c r="A2145" s="2" t="s">
        <v>4704</v>
      </c>
      <c r="B2145" s="2" t="s">
        <v>4704</v>
      </c>
      <c r="C2145" s="2" t="s">
        <v>26</v>
      </c>
      <c r="D2145" s="2" t="s">
        <v>27</v>
      </c>
      <c r="E2145" s="5">
        <v>-29022</v>
      </c>
      <c r="F2145" s="3" t="s">
        <v>1310</v>
      </c>
      <c r="G2145" s="3" t="s">
        <v>43</v>
      </c>
      <c r="H2145" s="2" t="s">
        <v>21</v>
      </c>
      <c r="I2145" s="2" t="s">
        <v>4708</v>
      </c>
      <c r="J2145" s="3" t="str">
        <f>HYPERLINK("https://www.boe.es/gazeta/dias/1820/07/15/pdfs/GGB-1820-17.pdf#page=2","Abrir facsímil")</f>
        <v>Abrir facsímil</v>
      </c>
      <c r="K2145" s="3" t="s">
        <v>23</v>
      </c>
    </row>
    <row r="2146" spans="1:11" ht="42" customHeight="1">
      <c r="A2146" s="2" t="s">
        <v>4704</v>
      </c>
      <c r="B2146" s="2" t="s">
        <v>4704</v>
      </c>
      <c r="C2146" s="2" t="s">
        <v>107</v>
      </c>
      <c r="D2146" s="2" t="s">
        <v>18</v>
      </c>
      <c r="E2146" s="5">
        <v>-29021</v>
      </c>
      <c r="F2146" s="3" t="s">
        <v>377</v>
      </c>
      <c r="G2146" s="3" t="s">
        <v>43</v>
      </c>
      <c r="H2146" s="2" t="s">
        <v>21</v>
      </c>
      <c r="I2146" s="2" t="s">
        <v>4709</v>
      </c>
      <c r="J2146" s="3" t="str">
        <f>HYPERLINK("https://www.boe.es/gazeta/dias/1820/07/16/pdfs/GGB-1820-18.pdf#page=2","Abrir facsímil")</f>
        <v>Abrir facsímil</v>
      </c>
      <c r="K2146" s="3" t="s">
        <v>23</v>
      </c>
    </row>
    <row r="2147" spans="1:11" ht="42" customHeight="1">
      <c r="A2147" s="2" t="s">
        <v>4704</v>
      </c>
      <c r="B2147" s="2" t="s">
        <v>4704</v>
      </c>
      <c r="C2147" s="2" t="s">
        <v>111</v>
      </c>
      <c r="D2147" s="2" t="s">
        <v>18</v>
      </c>
      <c r="E2147" s="5">
        <v>-29013</v>
      </c>
      <c r="F2147" s="3" t="s">
        <v>52</v>
      </c>
      <c r="G2147" s="3" t="s">
        <v>53</v>
      </c>
      <c r="H2147" s="2" t="s">
        <v>21</v>
      </c>
      <c r="I2147" s="2" t="s">
        <v>4710</v>
      </c>
      <c r="J2147" s="3" t="str">
        <f>HYPERLINK("https://www.boe.es/gazeta/dias/1820/07/24/pdfs/GGB-1820-26.pdf#page=3","Abrir facsímil")</f>
        <v>Abrir facsímil</v>
      </c>
      <c r="K2147" s="3" t="s">
        <v>23</v>
      </c>
    </row>
    <row r="2148" spans="1:11" ht="42" customHeight="1">
      <c r="A2148" s="2" t="s">
        <v>4704</v>
      </c>
      <c r="B2148" s="2" t="s">
        <v>4704</v>
      </c>
      <c r="C2148" s="2" t="s">
        <v>26</v>
      </c>
      <c r="D2148" s="2" t="s">
        <v>27</v>
      </c>
      <c r="E2148" s="5">
        <v>-29008</v>
      </c>
      <c r="F2148" s="3" t="s">
        <v>2250</v>
      </c>
      <c r="G2148" s="3" t="s">
        <v>43</v>
      </c>
      <c r="H2148" s="2" t="s">
        <v>21</v>
      </c>
      <c r="I2148" s="2" t="s">
        <v>4711</v>
      </c>
      <c r="J2148" s="3" t="str">
        <f>HYPERLINK("https://www.boe.es/gazeta/dias/1820/07/29/pdfs/GGB-1820-31.pdf#page=2","Abrir facsímil")</f>
        <v>Abrir facsímil</v>
      </c>
      <c r="K2148" s="3" t="s">
        <v>23</v>
      </c>
    </row>
    <row r="2149" spans="1:11" ht="42" customHeight="1">
      <c r="A2149" s="2" t="s">
        <v>4704</v>
      </c>
      <c r="B2149" s="2" t="s">
        <v>4704</v>
      </c>
      <c r="C2149" s="2" t="s">
        <v>26</v>
      </c>
      <c r="D2149" s="2" t="s">
        <v>27</v>
      </c>
      <c r="E2149" s="5">
        <v>-28997</v>
      </c>
      <c r="F2149" s="3" t="s">
        <v>1471</v>
      </c>
      <c r="G2149" s="3" t="s">
        <v>62</v>
      </c>
      <c r="H2149" s="2" t="s">
        <v>21</v>
      </c>
      <c r="I2149" s="2" t="s">
        <v>4712</v>
      </c>
      <c r="J2149" s="3" t="str">
        <f>HYPERLINK("https://www.boe.es/gazeta/dias/1820/08/09/pdfs/GGB-1820-42.pdf#page=3","Abrir facsímil")</f>
        <v>Abrir facsímil</v>
      </c>
      <c r="K2149" s="3" t="s">
        <v>23</v>
      </c>
    </row>
    <row r="2150" spans="1:11" ht="42" customHeight="1">
      <c r="A2150" s="2" t="s">
        <v>4704</v>
      </c>
      <c r="B2150" s="2" t="s">
        <v>4704</v>
      </c>
      <c r="C2150" s="2" t="s">
        <v>293</v>
      </c>
      <c r="D2150" s="2" t="s">
        <v>18</v>
      </c>
      <c r="E2150" s="5">
        <v>-28991</v>
      </c>
      <c r="F2150" s="3" t="s">
        <v>213</v>
      </c>
      <c r="G2150" s="3" t="s">
        <v>214</v>
      </c>
      <c r="H2150" s="2" t="s">
        <v>21</v>
      </c>
      <c r="I2150" s="2" t="s">
        <v>4713</v>
      </c>
      <c r="J2150" s="3" t="str">
        <f>HYPERLINK("https://www.boe.es/gazeta/dias/1820/08/15/pdfs/GGB-1820-48.pdf#page=2","Abrir facsímil")</f>
        <v>Abrir facsímil</v>
      </c>
      <c r="K2150" s="3" t="s">
        <v>23</v>
      </c>
    </row>
    <row r="2151" spans="1:11" ht="42" customHeight="1">
      <c r="A2151" s="2" t="s">
        <v>4704</v>
      </c>
      <c r="B2151" s="2" t="s">
        <v>4704</v>
      </c>
      <c r="C2151" s="2" t="s">
        <v>35</v>
      </c>
      <c r="D2151" s="2" t="s">
        <v>36</v>
      </c>
      <c r="E2151" s="5">
        <v>-28983</v>
      </c>
      <c r="F2151" s="3" t="s">
        <v>682</v>
      </c>
      <c r="G2151" s="3" t="s">
        <v>62</v>
      </c>
      <c r="H2151" s="2" t="s">
        <v>21</v>
      </c>
      <c r="I2151" s="2" t="s">
        <v>4714</v>
      </c>
      <c r="J2151" s="3" t="str">
        <f>HYPERLINK("https://www.boe.es/gazeta/dias/1820/08/23/pdfs/GGB-1820-56.pdf#page=3","Abrir facsímil")</f>
        <v>Abrir facsímil</v>
      </c>
      <c r="K2151" s="3" t="s">
        <v>23</v>
      </c>
    </row>
    <row r="2152" spans="1:11" ht="42" customHeight="1">
      <c r="A2152" s="2" t="s">
        <v>4704</v>
      </c>
      <c r="B2152" s="2" t="s">
        <v>4704</v>
      </c>
      <c r="C2152" s="2" t="s">
        <v>26</v>
      </c>
      <c r="D2152" s="2" t="s">
        <v>27</v>
      </c>
      <c r="E2152" s="5">
        <v>-28982</v>
      </c>
      <c r="F2152" s="3" t="s">
        <v>173</v>
      </c>
      <c r="G2152" s="3" t="s">
        <v>62</v>
      </c>
      <c r="H2152" s="2" t="s">
        <v>21</v>
      </c>
      <c r="I2152" s="2" t="s">
        <v>4715</v>
      </c>
      <c r="J2152" s="3" t="str">
        <f>HYPERLINK("https://www.boe.es/gazeta/dias/1820/08/24/pdfs/GGB-1820-57.pdf#page=3","Abrir facsímil")</f>
        <v>Abrir facsímil</v>
      </c>
      <c r="K2152" s="3" t="s">
        <v>23</v>
      </c>
    </row>
    <row r="2153" spans="1:11" ht="42" customHeight="1">
      <c r="A2153" s="2" t="s">
        <v>4704</v>
      </c>
      <c r="B2153" s="2" t="s">
        <v>4704</v>
      </c>
      <c r="C2153" s="2" t="s">
        <v>74</v>
      </c>
      <c r="D2153" s="2" t="s">
        <v>18</v>
      </c>
      <c r="E2153" s="5">
        <v>-28976</v>
      </c>
      <c r="F2153" s="3" t="s">
        <v>689</v>
      </c>
      <c r="G2153" s="3" t="s">
        <v>43</v>
      </c>
      <c r="H2153" s="2" t="s">
        <v>21</v>
      </c>
      <c r="I2153" s="2" t="s">
        <v>4716</v>
      </c>
      <c r="J2153" s="3" t="str">
        <f>HYPERLINK("https://www.boe.es/gazeta/dias/1820/08/30/pdfs/GGB-1820-63.pdf#page=2","Abrir facsímil")</f>
        <v>Abrir facsímil</v>
      </c>
      <c r="K2153" s="3" t="s">
        <v>23</v>
      </c>
    </row>
    <row r="2154" spans="1:11" ht="42" customHeight="1">
      <c r="A2154" s="2" t="s">
        <v>4704</v>
      </c>
      <c r="B2154" s="2" t="s">
        <v>4704</v>
      </c>
      <c r="C2154" s="2" t="s">
        <v>26</v>
      </c>
      <c r="D2154" s="2" t="s">
        <v>27</v>
      </c>
      <c r="E2154" s="5">
        <v>-28972</v>
      </c>
      <c r="F2154" s="3" t="s">
        <v>522</v>
      </c>
      <c r="G2154" s="3" t="s">
        <v>128</v>
      </c>
      <c r="H2154" s="2" t="s">
        <v>21</v>
      </c>
      <c r="I2154" s="2" t="s">
        <v>4717</v>
      </c>
      <c r="J2154" s="3" t="str">
        <f>HYPERLINK("https://www.boe.es/gazeta/dias/1820/09/03/pdfs/GGB-1820-67.pdf#page=1","Abrir facsímil")</f>
        <v>Abrir facsímil</v>
      </c>
      <c r="K2154" s="3" t="s">
        <v>23</v>
      </c>
    </row>
    <row r="2155" spans="1:11" ht="42" customHeight="1">
      <c r="A2155" s="2" t="s">
        <v>4704</v>
      </c>
      <c r="B2155" s="2" t="s">
        <v>4704</v>
      </c>
      <c r="C2155" s="2" t="s">
        <v>17</v>
      </c>
      <c r="D2155" s="2" t="s">
        <v>18</v>
      </c>
      <c r="E2155" s="5">
        <v>-28959</v>
      </c>
      <c r="F2155" s="3" t="s">
        <v>37</v>
      </c>
      <c r="G2155" s="3" t="s">
        <v>38</v>
      </c>
      <c r="H2155" s="2" t="s">
        <v>21</v>
      </c>
      <c r="I2155" s="2" t="s">
        <v>4718</v>
      </c>
      <c r="J2155" s="3" t="str">
        <f>HYPERLINK("https://www.boe.es/gazeta/dias/1820/09/16/pdfs/GGB-1820-80.pdf#page=6","Abrir facsímil")</f>
        <v>Abrir facsímil</v>
      </c>
      <c r="K2155" s="3" t="s">
        <v>23</v>
      </c>
    </row>
    <row r="2156" spans="1:11" ht="42" customHeight="1">
      <c r="A2156" s="2" t="s">
        <v>4704</v>
      </c>
      <c r="B2156" s="2" t="s">
        <v>4704</v>
      </c>
      <c r="C2156" s="2" t="s">
        <v>17</v>
      </c>
      <c r="D2156" s="2" t="s">
        <v>18</v>
      </c>
      <c r="E2156" s="5">
        <v>-28955</v>
      </c>
      <c r="F2156" s="3" t="s">
        <v>175</v>
      </c>
      <c r="G2156" s="3" t="s">
        <v>43</v>
      </c>
      <c r="H2156" s="2" t="s">
        <v>21</v>
      </c>
      <c r="I2156" s="2" t="s">
        <v>4719</v>
      </c>
      <c r="J2156" s="3" t="str">
        <f>HYPERLINK("https://www.boe.es/gazeta/dias/1820/09/20/pdfs/GGB-1820-84.pdf#page=2","Abrir facsímil")</f>
        <v>Abrir facsímil</v>
      </c>
      <c r="K2156" s="3" t="s">
        <v>23</v>
      </c>
    </row>
    <row r="2157" spans="1:11" ht="42" customHeight="1">
      <c r="A2157" s="2" t="s">
        <v>4704</v>
      </c>
      <c r="B2157" s="2" t="s">
        <v>4704</v>
      </c>
      <c r="C2157" s="2" t="s">
        <v>26</v>
      </c>
      <c r="D2157" s="2" t="s">
        <v>27</v>
      </c>
      <c r="E2157" s="5">
        <v>-28955</v>
      </c>
      <c r="F2157" s="3" t="s">
        <v>175</v>
      </c>
      <c r="G2157" s="3" t="s">
        <v>62</v>
      </c>
      <c r="H2157" s="2" t="s">
        <v>21</v>
      </c>
      <c r="I2157" s="2" t="s">
        <v>4720</v>
      </c>
      <c r="J2157" s="3" t="str">
        <f>HYPERLINK("https://www.boe.es/gazeta/dias/1820/09/20/pdfs/GGB-1820-84.pdf#page=3","Abrir facsímil")</f>
        <v>Abrir facsímil</v>
      </c>
      <c r="K2157" s="3" t="s">
        <v>23</v>
      </c>
    </row>
    <row r="2158" spans="1:11" ht="42" customHeight="1">
      <c r="A2158" s="2" t="s">
        <v>4704</v>
      </c>
      <c r="B2158" s="2" t="s">
        <v>4704</v>
      </c>
      <c r="C2158" s="2" t="s">
        <v>26</v>
      </c>
      <c r="D2158" s="2" t="s">
        <v>27</v>
      </c>
      <c r="E2158" s="5">
        <v>-28952</v>
      </c>
      <c r="F2158" s="3" t="s">
        <v>370</v>
      </c>
      <c r="G2158" s="3" t="s">
        <v>20</v>
      </c>
      <c r="H2158" s="2" t="s">
        <v>21</v>
      </c>
      <c r="I2158" s="2" t="s">
        <v>4721</v>
      </c>
      <c r="J2158" s="3" t="str">
        <f>HYPERLINK("https://www.boe.es/gazeta/dias/1820/09/23/pdfs/GGB-1820-87.pdf#page=4","Abrir facsímil")</f>
        <v>Abrir facsímil</v>
      </c>
      <c r="K2158" s="3" t="s">
        <v>23</v>
      </c>
    </row>
    <row r="2159" spans="1:11" ht="42" customHeight="1">
      <c r="A2159" s="2" t="s">
        <v>4704</v>
      </c>
      <c r="B2159" s="2" t="s">
        <v>4704</v>
      </c>
      <c r="C2159" s="2" t="s">
        <v>293</v>
      </c>
      <c r="D2159" s="2" t="s">
        <v>18</v>
      </c>
      <c r="E2159" s="5">
        <v>-28949</v>
      </c>
      <c r="F2159" s="3" t="s">
        <v>178</v>
      </c>
      <c r="G2159" s="3" t="s">
        <v>43</v>
      </c>
      <c r="H2159" s="2" t="s">
        <v>21</v>
      </c>
      <c r="I2159" s="2" t="s">
        <v>4722</v>
      </c>
      <c r="J2159" s="3" t="str">
        <f>HYPERLINK("https://www.boe.es/gazeta/dias/1820/09/26/pdfs/GGB-1820-90.pdf#page=2","Abrir facsímil")</f>
        <v>Abrir facsímil</v>
      </c>
      <c r="K2159" s="3" t="s">
        <v>23</v>
      </c>
    </row>
    <row r="2160" spans="1:11" ht="42" customHeight="1">
      <c r="A2160" s="2" t="s">
        <v>4704</v>
      </c>
      <c r="B2160" s="2" t="s">
        <v>4704</v>
      </c>
      <c r="C2160" s="2" t="s">
        <v>35</v>
      </c>
      <c r="D2160" s="2" t="s">
        <v>36</v>
      </c>
      <c r="E2160" s="5">
        <v>-28947</v>
      </c>
      <c r="F2160" s="3" t="s">
        <v>127</v>
      </c>
      <c r="G2160" s="3" t="s">
        <v>62</v>
      </c>
      <c r="H2160" s="2" t="s">
        <v>21</v>
      </c>
      <c r="I2160" s="2" t="s">
        <v>4723</v>
      </c>
      <c r="J2160" s="3" t="str">
        <f>HYPERLINK("https://www.boe.es/gazeta/dias/1820/09/28/pdfs/GGB-1820-92.pdf#page=3","Abrir facsímil")</f>
        <v>Abrir facsímil</v>
      </c>
      <c r="K2160" s="3" t="s">
        <v>23</v>
      </c>
    </row>
    <row r="2161" spans="1:11" ht="42" customHeight="1">
      <c r="A2161" s="2" t="s">
        <v>4704</v>
      </c>
      <c r="B2161" s="2" t="s">
        <v>4704</v>
      </c>
      <c r="C2161" s="2" t="s">
        <v>26</v>
      </c>
      <c r="D2161" s="2" t="s">
        <v>27</v>
      </c>
      <c r="E2161" s="5">
        <v>-28933</v>
      </c>
      <c r="F2161" s="3" t="s">
        <v>720</v>
      </c>
      <c r="G2161" s="3" t="s">
        <v>62</v>
      </c>
      <c r="H2161" s="2" t="s">
        <v>21</v>
      </c>
      <c r="I2161" s="2" t="s">
        <v>4724</v>
      </c>
      <c r="J2161" s="3" t="str">
        <f>HYPERLINK("https://www.boe.es/gazeta/dias/1820/10/12/pdfs/GGB-1820-106.pdf#page=3","Abrir facsímil")</f>
        <v>Abrir facsímil</v>
      </c>
      <c r="K2161" s="3" t="s">
        <v>23</v>
      </c>
    </row>
    <row r="2162" spans="1:11" ht="42" customHeight="1">
      <c r="A2162" s="2" t="s">
        <v>4704</v>
      </c>
      <c r="B2162" s="2" t="s">
        <v>4704</v>
      </c>
      <c r="C2162" s="2" t="s">
        <v>35</v>
      </c>
      <c r="D2162" s="2" t="s">
        <v>36</v>
      </c>
      <c r="E2162" s="5">
        <v>-28927</v>
      </c>
      <c r="F2162" s="3" t="s">
        <v>345</v>
      </c>
      <c r="G2162" s="3" t="s">
        <v>62</v>
      </c>
      <c r="H2162" s="2" t="s">
        <v>21</v>
      </c>
      <c r="I2162" s="2" t="s">
        <v>4725</v>
      </c>
      <c r="J2162" s="3" t="str">
        <f>HYPERLINK("https://www.boe.es/gazeta/dias/1820/10/18/pdfs/GGB-1820-112.pdf#page=3","Abrir facsímil")</f>
        <v>Abrir facsímil</v>
      </c>
      <c r="K2162" s="3" t="s">
        <v>23</v>
      </c>
    </row>
    <row r="2163" spans="1:11" ht="42" customHeight="1">
      <c r="A2163" s="2" t="s">
        <v>4704</v>
      </c>
      <c r="B2163" s="2" t="s">
        <v>4704</v>
      </c>
      <c r="C2163" s="2" t="s">
        <v>35</v>
      </c>
      <c r="D2163" s="2" t="s">
        <v>36</v>
      </c>
      <c r="E2163" s="5">
        <v>-28924</v>
      </c>
      <c r="F2163" s="3" t="s">
        <v>78</v>
      </c>
      <c r="G2163" s="3" t="s">
        <v>43</v>
      </c>
      <c r="H2163" s="2" t="s">
        <v>21</v>
      </c>
      <c r="I2163" s="2" t="s">
        <v>4726</v>
      </c>
      <c r="J2163" s="3" t="str">
        <f>HYPERLINK("https://www.boe.es/gazeta/dias/1820/10/21/pdfs/GGB-1820-115.pdf#page=2","Abrir facsímil")</f>
        <v>Abrir facsímil</v>
      </c>
      <c r="K2163" s="3" t="s">
        <v>23</v>
      </c>
    </row>
    <row r="2164" spans="1:11" ht="42" customHeight="1">
      <c r="A2164" s="2" t="s">
        <v>4704</v>
      </c>
      <c r="B2164" s="2" t="s">
        <v>4704</v>
      </c>
      <c r="C2164" s="2" t="s">
        <v>26</v>
      </c>
      <c r="D2164" s="2" t="s">
        <v>27</v>
      </c>
      <c r="E2164" s="5">
        <v>-28909</v>
      </c>
      <c r="F2164" s="3" t="s">
        <v>278</v>
      </c>
      <c r="G2164" s="3" t="s">
        <v>62</v>
      </c>
      <c r="H2164" s="2" t="s">
        <v>21</v>
      </c>
      <c r="I2164" s="2" t="s">
        <v>4727</v>
      </c>
      <c r="J2164" s="3" t="str">
        <f>HYPERLINK("https://www.boe.es/gazeta/dias/1820/11/05/pdfs/GGB-1820-130.pdf#page=3","Abrir facsímil")</f>
        <v>Abrir facsímil</v>
      </c>
      <c r="K2164" s="3" t="s">
        <v>23</v>
      </c>
    </row>
    <row r="2165" spans="1:11" ht="42" customHeight="1">
      <c r="A2165" s="2" t="s">
        <v>4704</v>
      </c>
      <c r="B2165" s="2" t="s">
        <v>4704</v>
      </c>
      <c r="C2165" s="2" t="s">
        <v>26</v>
      </c>
      <c r="D2165" s="2" t="s">
        <v>27</v>
      </c>
      <c r="E2165" s="5">
        <v>-28907</v>
      </c>
      <c r="F2165" s="3" t="s">
        <v>374</v>
      </c>
      <c r="G2165" s="3" t="s">
        <v>43</v>
      </c>
      <c r="H2165" s="2" t="s">
        <v>21</v>
      </c>
      <c r="I2165" s="2" t="s">
        <v>4728</v>
      </c>
      <c r="J2165" s="3" t="str">
        <f>HYPERLINK("https://www.boe.es/gazeta/dias/1820/11/07/pdfs/GGB-1820-132.pdf#page=2","Abrir facsímil")</f>
        <v>Abrir facsímil</v>
      </c>
      <c r="K2165" s="3" t="s">
        <v>23</v>
      </c>
    </row>
    <row r="2166" spans="1:11" ht="42" customHeight="1">
      <c r="A2166" s="2" t="s">
        <v>4729</v>
      </c>
      <c r="B2166" s="2" t="s">
        <v>4730</v>
      </c>
      <c r="C2166" s="2" t="s">
        <v>74</v>
      </c>
      <c r="D2166" s="2" t="s">
        <v>18</v>
      </c>
      <c r="E2166" s="5">
        <v>-29213</v>
      </c>
      <c r="F2166" s="3" t="s">
        <v>195</v>
      </c>
      <c r="G2166" s="3" t="s">
        <v>2803</v>
      </c>
      <c r="H2166" s="2" t="s">
        <v>30</v>
      </c>
      <c r="I2166" s="2" t="s">
        <v>4731</v>
      </c>
      <c r="J2166" s="3" t="str">
        <f>HYPERLINK("https://www.boe.es/gazeta/dias/1820/01/06/pdfs/GMD-1820-3.pdf#page=7","Abrir facsímil")</f>
        <v>Abrir facsímil</v>
      </c>
      <c r="K2166" s="3" t="s">
        <v>32</v>
      </c>
    </row>
    <row r="2167" spans="1:11" ht="42" customHeight="1">
      <c r="A2167" s="2" t="s">
        <v>4732</v>
      </c>
      <c r="B2167" s="2" t="s">
        <v>4733</v>
      </c>
      <c r="C2167" s="2" t="s">
        <v>17</v>
      </c>
      <c r="D2167" s="2" t="s">
        <v>18</v>
      </c>
      <c r="E2167" s="5">
        <v>-28931</v>
      </c>
      <c r="F2167" s="3" t="s">
        <v>724</v>
      </c>
      <c r="G2167" s="3" t="s">
        <v>20</v>
      </c>
      <c r="H2167" s="2" t="s">
        <v>21</v>
      </c>
      <c r="I2167" s="2" t="s">
        <v>4734</v>
      </c>
      <c r="J2167" s="3" t="str">
        <f>HYPERLINK("https://www.boe.es/gazeta/dias/1820/10/14/pdfs/GGB-1820-108.pdf#page=4","Abrir facsímil")</f>
        <v>Abrir facsímil</v>
      </c>
      <c r="K2167" s="3" t="s">
        <v>23</v>
      </c>
    </row>
    <row r="2168" spans="1:11" ht="42" customHeight="1">
      <c r="A2168" s="2" t="s">
        <v>4735</v>
      </c>
      <c r="B2168" s="2" t="s">
        <v>4736</v>
      </c>
      <c r="C2168" s="2" t="s">
        <v>26</v>
      </c>
      <c r="D2168" s="2" t="s">
        <v>27</v>
      </c>
      <c r="E2168" s="5">
        <v>-29036</v>
      </c>
      <c r="F2168" s="3" t="s">
        <v>1167</v>
      </c>
      <c r="G2168" s="3" t="s">
        <v>20</v>
      </c>
      <c r="H2168" s="2" t="s">
        <v>21</v>
      </c>
      <c r="I2168" s="2" t="s">
        <v>4737</v>
      </c>
      <c r="J2168" s="3" t="str">
        <f>HYPERLINK("https://www.boe.es/gazeta/dias/1820/07/01/pdfs/GGB-1820-1.pdf#page=4","Abrir facsímil")</f>
        <v>Abrir facsímil</v>
      </c>
      <c r="K2168" s="3" t="s">
        <v>23</v>
      </c>
    </row>
    <row r="2169" spans="1:11" ht="42" customHeight="1">
      <c r="A2169" s="2" t="s">
        <v>4738</v>
      </c>
      <c r="B2169" s="2" t="s">
        <v>4739</v>
      </c>
      <c r="C2169" s="2" t="s">
        <v>35</v>
      </c>
      <c r="D2169" s="2" t="s">
        <v>36</v>
      </c>
      <c r="E2169" s="5">
        <v>-29045</v>
      </c>
      <c r="F2169" s="3" t="s">
        <v>155</v>
      </c>
      <c r="G2169" s="3" t="s">
        <v>156</v>
      </c>
      <c r="H2169" s="2" t="s">
        <v>21</v>
      </c>
      <c r="I2169" s="2" t="s">
        <v>4740</v>
      </c>
      <c r="J2169" s="3" t="str">
        <f>HYPERLINK("https://www.boe.es/gazeta/dias/1820/06/22/pdfs/GMD-1820-97.pdf#page=7","Abrir facsímil")</f>
        <v>Abrir facsímil</v>
      </c>
      <c r="K2169" s="3" t="s">
        <v>23</v>
      </c>
    </row>
    <row r="2170" spans="1:11" ht="42" customHeight="1">
      <c r="A2170" s="2" t="s">
        <v>4741</v>
      </c>
      <c r="B2170" s="2" t="s">
        <v>4741</v>
      </c>
      <c r="C2170" s="2" t="s">
        <v>26</v>
      </c>
      <c r="D2170" s="2" t="s">
        <v>27</v>
      </c>
      <c r="E2170" s="5">
        <v>-29054</v>
      </c>
      <c r="F2170" s="3" t="s">
        <v>481</v>
      </c>
      <c r="G2170" s="3" t="s">
        <v>553</v>
      </c>
      <c r="H2170" s="2" t="s">
        <v>21</v>
      </c>
      <c r="I2170" s="2" t="s">
        <v>4742</v>
      </c>
      <c r="J2170" s="3" t="str">
        <f>HYPERLINK("https://www.boe.es/gazeta/dias/1820/06/13/pdfs/GMD-1820-93.pdf#page=10","Abrir facsímil")</f>
        <v>Abrir facsímil</v>
      </c>
      <c r="K2170" s="3" t="s">
        <v>23</v>
      </c>
    </row>
    <row r="2171" spans="1:11" ht="42" customHeight="1">
      <c r="A2171" s="2" t="s">
        <v>4741</v>
      </c>
      <c r="B2171" s="2" t="s">
        <v>4741</v>
      </c>
      <c r="C2171" s="2" t="s">
        <v>35</v>
      </c>
      <c r="D2171" s="2" t="s">
        <v>36</v>
      </c>
      <c r="E2171" s="5">
        <v>-28975</v>
      </c>
      <c r="F2171" s="3" t="s">
        <v>182</v>
      </c>
      <c r="G2171" s="3" t="s">
        <v>43</v>
      </c>
      <c r="H2171" s="2" t="s">
        <v>21</v>
      </c>
      <c r="I2171" s="2" t="s">
        <v>4743</v>
      </c>
      <c r="J2171" s="3" t="str">
        <f>HYPERLINK("https://www.boe.es/gazeta/dias/1820/08/31/pdfs/GGB-1820-64.pdf#page=2","Abrir facsímil")</f>
        <v>Abrir facsímil</v>
      </c>
      <c r="K2171" s="3" t="s">
        <v>23</v>
      </c>
    </row>
    <row r="2172" spans="1:11" ht="42" customHeight="1">
      <c r="A2172" s="2" t="s">
        <v>4741</v>
      </c>
      <c r="B2172" s="2" t="s">
        <v>4741</v>
      </c>
      <c r="C2172" s="2" t="s">
        <v>26</v>
      </c>
      <c r="D2172" s="2" t="s">
        <v>27</v>
      </c>
      <c r="E2172" s="5">
        <v>-28956</v>
      </c>
      <c r="F2172" s="3" t="s">
        <v>190</v>
      </c>
      <c r="G2172" s="3" t="s">
        <v>20</v>
      </c>
      <c r="H2172" s="2" t="s">
        <v>21</v>
      </c>
      <c r="I2172" s="2" t="s">
        <v>4744</v>
      </c>
      <c r="J2172" s="3" t="str">
        <f>HYPERLINK("https://www.boe.es/gazeta/dias/1820/09/19/pdfs/GGB-1820-83.pdf#page=4","Abrir facsímil")</f>
        <v>Abrir facsímil</v>
      </c>
      <c r="K2172" s="3" t="s">
        <v>23</v>
      </c>
    </row>
    <row r="2173" spans="1:11" ht="42" customHeight="1">
      <c r="A2173" s="2" t="s">
        <v>4745</v>
      </c>
      <c r="B2173" s="2" t="s">
        <v>4745</v>
      </c>
      <c r="C2173" s="2" t="s">
        <v>293</v>
      </c>
      <c r="D2173" s="2" t="s">
        <v>18</v>
      </c>
      <c r="E2173" s="5">
        <v>-28898</v>
      </c>
      <c r="F2173" s="3" t="s">
        <v>1405</v>
      </c>
      <c r="G2173" s="3" t="s">
        <v>62</v>
      </c>
      <c r="H2173" s="2" t="s">
        <v>21</v>
      </c>
      <c r="I2173" s="2" t="s">
        <v>4746</v>
      </c>
      <c r="J2173" s="3" t="str">
        <f>HYPERLINK("https://www.boe.es/gazeta/dias/1820/11/16/pdfs/GGB-1820-142.pdf#page=3","Abrir facsímil")</f>
        <v>Abrir facsímil</v>
      </c>
      <c r="K2173" s="3" t="s">
        <v>23</v>
      </c>
    </row>
    <row r="2174" spans="1:11" ht="42" customHeight="1">
      <c r="A2174" s="2" t="s">
        <v>4747</v>
      </c>
      <c r="B2174" s="2" t="s">
        <v>4747</v>
      </c>
      <c r="C2174" s="2" t="s">
        <v>111</v>
      </c>
      <c r="D2174" s="2" t="s">
        <v>18</v>
      </c>
      <c r="E2174" s="5">
        <v>-29199</v>
      </c>
      <c r="F2174" s="3" t="s">
        <v>1178</v>
      </c>
      <c r="G2174" s="3" t="s">
        <v>256</v>
      </c>
      <c r="H2174" s="2" t="s">
        <v>21</v>
      </c>
      <c r="I2174" s="2" t="s">
        <v>4748</v>
      </c>
      <c r="J2174" s="3" t="str">
        <f>HYPERLINK("https://www.boe.es/gazeta/dias/1820/01/20/pdfs/GMD-1820-9.pdf#page=5","Abrir facsímil")</f>
        <v>Abrir facsímil</v>
      </c>
      <c r="K2174" s="3" t="s">
        <v>23</v>
      </c>
    </row>
    <row r="2175" spans="1:11" ht="42" customHeight="1">
      <c r="A2175" s="2" t="s">
        <v>4747</v>
      </c>
      <c r="B2175" s="2" t="s">
        <v>4747</v>
      </c>
      <c r="C2175" s="2" t="s">
        <v>17</v>
      </c>
      <c r="D2175" s="2" t="s">
        <v>18</v>
      </c>
      <c r="E2175" s="5">
        <v>-29152</v>
      </c>
      <c r="F2175" s="3" t="s">
        <v>1293</v>
      </c>
      <c r="G2175" s="3" t="s">
        <v>38</v>
      </c>
      <c r="H2175" s="2" t="s">
        <v>21</v>
      </c>
      <c r="I2175" s="2" t="s">
        <v>4749</v>
      </c>
      <c r="J2175" s="3" t="str">
        <f>HYPERLINK("https://www.boe.es/gazeta/dias/1820/03/07/pdfs/GMD-1820-29.pdf#page=6","Abrir facsímil")</f>
        <v>Abrir facsímil</v>
      </c>
      <c r="K2175" s="3" t="s">
        <v>23</v>
      </c>
    </row>
    <row r="2176" spans="1:11" ht="42" customHeight="1">
      <c r="A2176" s="2" t="s">
        <v>4747</v>
      </c>
      <c r="B2176" s="2" t="s">
        <v>4747</v>
      </c>
      <c r="C2176" s="2" t="s">
        <v>26</v>
      </c>
      <c r="D2176" s="2" t="s">
        <v>27</v>
      </c>
      <c r="E2176" s="5">
        <v>-29136</v>
      </c>
      <c r="F2176" s="3" t="s">
        <v>2972</v>
      </c>
      <c r="G2176" s="3" t="s">
        <v>256</v>
      </c>
      <c r="H2176" s="2" t="s">
        <v>21</v>
      </c>
      <c r="I2176" s="2" t="s">
        <v>4750</v>
      </c>
      <c r="J2176" s="3" t="str">
        <f>HYPERLINK("https://www.boe.es/gazeta/dias/1820/03/23/pdfs/GMD-1820-51.pdf#page=5","Abrir facsímil")</f>
        <v>Abrir facsímil</v>
      </c>
      <c r="K2176" s="3" t="s">
        <v>23</v>
      </c>
    </row>
    <row r="2177" spans="1:11" ht="42" customHeight="1">
      <c r="A2177" s="2" t="s">
        <v>4747</v>
      </c>
      <c r="B2177" s="2" t="s">
        <v>4747</v>
      </c>
      <c r="C2177" s="2" t="s">
        <v>17</v>
      </c>
      <c r="D2177" s="2" t="s">
        <v>18</v>
      </c>
      <c r="E2177" s="5">
        <v>-29040</v>
      </c>
      <c r="F2177" s="3" t="s">
        <v>1125</v>
      </c>
      <c r="G2177" s="3" t="s">
        <v>196</v>
      </c>
      <c r="H2177" s="2" t="s">
        <v>21</v>
      </c>
      <c r="I2177" s="2" t="s">
        <v>4751</v>
      </c>
      <c r="J2177" s="3" t="str">
        <f>HYPERLINK("https://www.boe.es/gazeta/dias/1820/06/27/pdfs/GMD-1820-99.pdf#page=11","Abrir facsímil")</f>
        <v>Abrir facsímil</v>
      </c>
      <c r="K2177" s="3" t="s">
        <v>23</v>
      </c>
    </row>
    <row r="2178" spans="1:11" ht="42" customHeight="1">
      <c r="A2178" s="2" t="s">
        <v>4747</v>
      </c>
      <c r="B2178" s="2" t="s">
        <v>4747</v>
      </c>
      <c r="C2178" s="2" t="s">
        <v>17</v>
      </c>
      <c r="D2178" s="2" t="s">
        <v>18</v>
      </c>
      <c r="E2178" s="5">
        <v>-29021</v>
      </c>
      <c r="F2178" s="3" t="s">
        <v>377</v>
      </c>
      <c r="G2178" s="3" t="s">
        <v>43</v>
      </c>
      <c r="H2178" s="2" t="s">
        <v>21</v>
      </c>
      <c r="I2178" s="2" t="s">
        <v>4752</v>
      </c>
      <c r="J2178" s="3" t="str">
        <f>HYPERLINK("https://www.boe.es/gazeta/dias/1820/07/16/pdfs/GGB-1820-18.pdf#page=2","Abrir facsímil")</f>
        <v>Abrir facsímil</v>
      </c>
      <c r="K2178" s="3" t="s">
        <v>23</v>
      </c>
    </row>
    <row r="2179" spans="1:11" ht="42" customHeight="1">
      <c r="A2179" s="2" t="s">
        <v>4747</v>
      </c>
      <c r="B2179" s="2" t="s">
        <v>4747</v>
      </c>
      <c r="C2179" s="2" t="s">
        <v>74</v>
      </c>
      <c r="D2179" s="2" t="s">
        <v>18</v>
      </c>
      <c r="E2179" s="5">
        <v>-28986</v>
      </c>
      <c r="F2179" s="3" t="s">
        <v>488</v>
      </c>
      <c r="G2179" s="3" t="s">
        <v>489</v>
      </c>
      <c r="H2179" s="2" t="s">
        <v>21</v>
      </c>
      <c r="I2179" s="2" t="s">
        <v>4753</v>
      </c>
      <c r="J2179" s="3" t="str">
        <f>HYPERLINK("https://www.boe.es/gazeta/dias/1820/08/20/pdfs/GGB-1820-53.pdf#page=2","Abrir facsímil")</f>
        <v>Abrir facsímil</v>
      </c>
      <c r="K2179" s="3" t="s">
        <v>23</v>
      </c>
    </row>
    <row r="2180" spans="1:11" ht="42" customHeight="1">
      <c r="A2180" s="2" t="s">
        <v>4747</v>
      </c>
      <c r="B2180" s="2" t="s">
        <v>4747</v>
      </c>
      <c r="C2180" s="2" t="s">
        <v>17</v>
      </c>
      <c r="D2180" s="2" t="s">
        <v>18</v>
      </c>
      <c r="E2180" s="5">
        <v>-28984</v>
      </c>
      <c r="F2180" s="3" t="s">
        <v>520</v>
      </c>
      <c r="G2180" s="3" t="s">
        <v>62</v>
      </c>
      <c r="H2180" s="2" t="s">
        <v>21</v>
      </c>
      <c r="I2180" s="2" t="s">
        <v>4754</v>
      </c>
      <c r="J2180" s="3" t="str">
        <f>HYPERLINK("https://www.boe.es/gazeta/dias/1820/08/22/pdfs/GGB-1820-55.pdf#page=3","Abrir facsímil")</f>
        <v>Abrir facsímil</v>
      </c>
      <c r="K2180" s="3" t="s">
        <v>23</v>
      </c>
    </row>
    <row r="2181" spans="1:11" ht="42" customHeight="1">
      <c r="A2181" s="2" t="s">
        <v>4755</v>
      </c>
      <c r="B2181" s="2" t="s">
        <v>4756</v>
      </c>
      <c r="C2181" s="2" t="s">
        <v>26</v>
      </c>
      <c r="D2181" s="2" t="s">
        <v>27</v>
      </c>
      <c r="E2181" s="5">
        <v>-28912</v>
      </c>
      <c r="F2181" s="3" t="s">
        <v>1329</v>
      </c>
      <c r="G2181" s="3" t="s">
        <v>20</v>
      </c>
      <c r="H2181" s="2" t="s">
        <v>21</v>
      </c>
      <c r="I2181" s="2" t="s">
        <v>4757</v>
      </c>
      <c r="J2181" s="3" t="str">
        <f>HYPERLINK("https://www.boe.es/gazeta/dias/1820/11/02/pdfs/GGB-1820-127.pdf#page=4","Abrir facsímil")</f>
        <v>Abrir facsímil</v>
      </c>
      <c r="K2181" s="3" t="s">
        <v>23</v>
      </c>
    </row>
    <row r="2182" spans="1:11" ht="42" customHeight="1">
      <c r="A2182" s="2" t="s">
        <v>4758</v>
      </c>
      <c r="B2182" s="2" t="s">
        <v>4759</v>
      </c>
      <c r="C2182" s="2" t="s">
        <v>35</v>
      </c>
      <c r="D2182" s="2" t="s">
        <v>36</v>
      </c>
      <c r="E2182" s="5">
        <v>-28929</v>
      </c>
      <c r="F2182" s="3" t="s">
        <v>728</v>
      </c>
      <c r="G2182" s="3" t="s">
        <v>62</v>
      </c>
      <c r="H2182" s="2" t="s">
        <v>21</v>
      </c>
      <c r="I2182" s="2" t="s">
        <v>4760</v>
      </c>
      <c r="J2182" s="3" t="str">
        <f>HYPERLINK("https://www.boe.es/gazeta/dias/1820/10/16/pdfs/GGB-1820-110.pdf#page=3","Abrir facsímil")</f>
        <v>Abrir facsímil</v>
      </c>
      <c r="K2182" s="3" t="s">
        <v>23</v>
      </c>
    </row>
    <row r="2183" spans="1:11" ht="42" customHeight="1">
      <c r="A2183" s="2" t="s">
        <v>4761</v>
      </c>
      <c r="B2183" s="2" t="s">
        <v>4761</v>
      </c>
      <c r="C2183" s="2" t="s">
        <v>26</v>
      </c>
      <c r="D2183" s="2" t="s">
        <v>27</v>
      </c>
      <c r="E2183" s="5">
        <v>-29008</v>
      </c>
      <c r="F2183" s="3" t="s">
        <v>2250</v>
      </c>
      <c r="G2183" s="3" t="s">
        <v>128</v>
      </c>
      <c r="H2183" s="2" t="s">
        <v>21</v>
      </c>
      <c r="I2183" s="2" t="s">
        <v>4762</v>
      </c>
      <c r="J2183" s="3" t="str">
        <f>HYPERLINK("https://www.boe.es/gazeta/dias/1820/07/29/pdfs/GGB-1820-31.pdf#page=1","Abrir facsímil")</f>
        <v>Abrir facsímil</v>
      </c>
      <c r="K2183" s="3" t="s">
        <v>23</v>
      </c>
    </row>
    <row r="2184" spans="1:11" ht="42" customHeight="1">
      <c r="A2184" s="2" t="s">
        <v>4763</v>
      </c>
      <c r="B2184" s="2" t="s">
        <v>4763</v>
      </c>
      <c r="C2184" s="2" t="s">
        <v>111</v>
      </c>
      <c r="D2184" s="2" t="s">
        <v>18</v>
      </c>
      <c r="E2184" s="5">
        <v>-29099</v>
      </c>
      <c r="F2184" s="3" t="s">
        <v>871</v>
      </c>
      <c r="G2184" s="3" t="s">
        <v>295</v>
      </c>
      <c r="H2184" s="2" t="s">
        <v>21</v>
      </c>
      <c r="I2184" s="2" t="s">
        <v>4764</v>
      </c>
      <c r="J2184" s="3" t="str">
        <f>HYPERLINK("https://www.boe.es/gazeta/dias/1820/04/29/pdfs/GMD-1820-73.pdf#page=8","Abrir facsímil")</f>
        <v>Abrir facsímil</v>
      </c>
      <c r="K2184" s="3" t="s">
        <v>23</v>
      </c>
    </row>
    <row r="2185" spans="1:11" ht="42" customHeight="1">
      <c r="A2185" s="2" t="s">
        <v>4765</v>
      </c>
      <c r="B2185" s="2" t="s">
        <v>4765</v>
      </c>
      <c r="C2185" s="2" t="s">
        <v>47</v>
      </c>
      <c r="D2185" s="2" t="s">
        <v>18</v>
      </c>
      <c r="E2185" s="5">
        <v>-29027</v>
      </c>
      <c r="F2185" s="3" t="s">
        <v>937</v>
      </c>
      <c r="G2185" s="3" t="s">
        <v>62</v>
      </c>
      <c r="H2185" s="2" t="s">
        <v>21</v>
      </c>
      <c r="I2185" s="2" t="s">
        <v>4766</v>
      </c>
      <c r="J2185" s="3" t="str">
        <f>HYPERLINK("https://www.boe.es/gazeta/dias/1820/07/10/pdfs/GGB-1820-11.pdf#page=3","Abrir facsímil")</f>
        <v>Abrir facsímil</v>
      </c>
      <c r="K2185" s="3" t="s">
        <v>23</v>
      </c>
    </row>
    <row r="2186" spans="1:11" ht="42" customHeight="1">
      <c r="A2186" s="2" t="s">
        <v>4765</v>
      </c>
      <c r="B2186" s="2" t="s">
        <v>4765</v>
      </c>
      <c r="C2186" s="2" t="s">
        <v>26</v>
      </c>
      <c r="D2186" s="2" t="s">
        <v>27</v>
      </c>
      <c r="E2186" s="5">
        <v>-28973</v>
      </c>
      <c r="F2186" s="3" t="s">
        <v>151</v>
      </c>
      <c r="G2186" s="3" t="s">
        <v>20</v>
      </c>
      <c r="H2186" s="2" t="s">
        <v>21</v>
      </c>
      <c r="I2186" s="2" t="s">
        <v>4767</v>
      </c>
      <c r="J2186" s="3" t="str">
        <f>HYPERLINK("https://www.boe.es/gazeta/dias/1820/09/02/pdfs/GGB-1820-66.pdf#page=4","Abrir facsímil")</f>
        <v>Abrir facsímil</v>
      </c>
      <c r="K2186" s="3" t="s">
        <v>23</v>
      </c>
    </row>
    <row r="2187" spans="1:11" ht="42" customHeight="1">
      <c r="A2187" s="2" t="s">
        <v>4768</v>
      </c>
      <c r="B2187" s="2" t="s">
        <v>4768</v>
      </c>
      <c r="C2187" s="2" t="s">
        <v>26</v>
      </c>
      <c r="D2187" s="2" t="s">
        <v>27</v>
      </c>
      <c r="E2187" s="5">
        <v>-29002</v>
      </c>
      <c r="F2187" s="3" t="s">
        <v>124</v>
      </c>
      <c r="G2187" s="3" t="s">
        <v>43</v>
      </c>
      <c r="H2187" s="2" t="s">
        <v>21</v>
      </c>
      <c r="I2187" s="2" t="s">
        <v>4769</v>
      </c>
      <c r="J2187" s="3" t="str">
        <f>HYPERLINK("https://www.boe.es/gazeta/dias/1820/08/04/pdfs/GGB-1820-37.pdf#page=2","Abrir facsímil")</f>
        <v>Abrir facsímil</v>
      </c>
      <c r="K2187" s="3" t="s">
        <v>23</v>
      </c>
    </row>
    <row r="2188" spans="1:11" ht="42" customHeight="1">
      <c r="A2188" s="2" t="s">
        <v>4768</v>
      </c>
      <c r="B2188" s="2" t="s">
        <v>4768</v>
      </c>
      <c r="C2188" s="2" t="s">
        <v>35</v>
      </c>
      <c r="D2188" s="2" t="s">
        <v>36</v>
      </c>
      <c r="E2188" s="5">
        <v>-28965</v>
      </c>
      <c r="F2188" s="3" t="s">
        <v>1520</v>
      </c>
      <c r="G2188" s="3" t="s">
        <v>43</v>
      </c>
      <c r="H2188" s="2" t="s">
        <v>21</v>
      </c>
      <c r="I2188" s="2" t="s">
        <v>4770</v>
      </c>
      <c r="J2188" s="3" t="str">
        <f>HYPERLINK("https://www.boe.es/gazeta/dias/1820/09/10/pdfs/GGB-1820-74.pdf#page=2","Abrir facsímil")</f>
        <v>Abrir facsímil</v>
      </c>
      <c r="K2188" s="3" t="s">
        <v>23</v>
      </c>
    </row>
    <row r="2189" spans="1:11" ht="42" customHeight="1">
      <c r="A2189" s="2" t="s">
        <v>4771</v>
      </c>
      <c r="B2189" s="2" t="s">
        <v>4772</v>
      </c>
      <c r="C2189" s="2" t="s">
        <v>35</v>
      </c>
      <c r="D2189" s="2" t="s">
        <v>36</v>
      </c>
      <c r="E2189" s="5">
        <v>-29061</v>
      </c>
      <c r="F2189" s="3" t="s">
        <v>4467</v>
      </c>
      <c r="G2189" s="3" t="s">
        <v>295</v>
      </c>
      <c r="H2189" s="2" t="s">
        <v>21</v>
      </c>
      <c r="I2189" s="2" t="s">
        <v>4773</v>
      </c>
      <c r="J2189" s="3" t="str">
        <f>HYPERLINK("https://www.boe.es/gazeta/dias/1820/06/06/pdfs/GMD-1820-90.pdf#page=8","Abrir facsímil")</f>
        <v>Abrir facsímil</v>
      </c>
      <c r="K2189" s="3" t="s">
        <v>23</v>
      </c>
    </row>
    <row r="2190" spans="1:11" ht="42" customHeight="1">
      <c r="A2190" s="2" t="s">
        <v>4771</v>
      </c>
      <c r="B2190" s="2" t="s">
        <v>4772</v>
      </c>
      <c r="C2190" s="2" t="s">
        <v>35</v>
      </c>
      <c r="D2190" s="2" t="s">
        <v>36</v>
      </c>
      <c r="E2190" s="5">
        <v>-29031</v>
      </c>
      <c r="F2190" s="3" t="s">
        <v>1036</v>
      </c>
      <c r="G2190" s="3" t="s">
        <v>20</v>
      </c>
      <c r="H2190" s="2" t="s">
        <v>21</v>
      </c>
      <c r="I2190" s="2" t="s">
        <v>4774</v>
      </c>
      <c r="J2190" s="3" t="str">
        <f>HYPERLINK("https://www.boe.es/gazeta/dias/1820/07/06/pdfs/GGB-1820-6.pdf#page=4","Abrir facsímil")</f>
        <v>Abrir facsímil</v>
      </c>
      <c r="K2190" s="3" t="s">
        <v>23</v>
      </c>
    </row>
    <row r="2191" spans="1:11" ht="42" customHeight="1">
      <c r="A2191" s="2" t="s">
        <v>4775</v>
      </c>
      <c r="B2191" s="2" t="s">
        <v>4775</v>
      </c>
      <c r="C2191" s="2" t="s">
        <v>17</v>
      </c>
      <c r="D2191" s="2" t="s">
        <v>18</v>
      </c>
      <c r="E2191" s="5">
        <v>-29162</v>
      </c>
      <c r="F2191" s="3" t="s">
        <v>2134</v>
      </c>
      <c r="G2191" s="3" t="s">
        <v>201</v>
      </c>
      <c r="H2191" s="2" t="s">
        <v>21</v>
      </c>
      <c r="I2191" s="2" t="s">
        <v>4776</v>
      </c>
      <c r="J2191" s="3" t="str">
        <f>HYPERLINK("https://www.boe.es/gazeta/dias/1820/02/26/pdfs/GMD-1820-25.pdf#page=7","Abrir facsímil")</f>
        <v>Abrir facsímil</v>
      </c>
      <c r="K2191" s="3" t="s">
        <v>23</v>
      </c>
    </row>
    <row r="2192" spans="1:11" ht="42" customHeight="1">
      <c r="A2192" s="2" t="s">
        <v>4777</v>
      </c>
      <c r="B2192" s="2" t="s">
        <v>4778</v>
      </c>
      <c r="C2192" s="2" t="s">
        <v>35</v>
      </c>
      <c r="D2192" s="2" t="s">
        <v>36</v>
      </c>
      <c r="E2192" s="5">
        <v>-29082</v>
      </c>
      <c r="F2192" s="3" t="s">
        <v>478</v>
      </c>
      <c r="G2192" s="3" t="s">
        <v>479</v>
      </c>
      <c r="H2192" s="2" t="s">
        <v>21</v>
      </c>
      <c r="I2192" s="2" t="s">
        <v>4779</v>
      </c>
      <c r="J2192" s="3" t="str">
        <f>HYPERLINK("https://www.boe.es/gazeta/dias/1820/05/16/pdfs/GMD-1820-80.pdf#page=12","Abrir facsímil")</f>
        <v>Abrir facsímil</v>
      </c>
      <c r="K2192" s="3" t="s">
        <v>23</v>
      </c>
    </row>
    <row r="2193" spans="1:11" ht="42" customHeight="1">
      <c r="A2193" s="2" t="s">
        <v>4780</v>
      </c>
      <c r="B2193" s="2" t="s">
        <v>4781</v>
      </c>
      <c r="C2193" s="2" t="s">
        <v>35</v>
      </c>
      <c r="D2193" s="2" t="s">
        <v>36</v>
      </c>
      <c r="E2193" s="5">
        <v>-28997</v>
      </c>
      <c r="F2193" s="3" t="s">
        <v>1471</v>
      </c>
      <c r="G2193" s="3" t="s">
        <v>4782</v>
      </c>
      <c r="H2193" s="2" t="s">
        <v>21</v>
      </c>
      <c r="I2193" s="2" t="s">
        <v>4783</v>
      </c>
      <c r="J2193" s="3" t="str">
        <f>HYPERLINK("https://www.boe.es/gazeta/dias/1820/08/09/pdfs/GGB-1820-42.pdf#page=4","Abrir facsímil")</f>
        <v>Abrir facsímil</v>
      </c>
      <c r="K2193" s="3" t="s">
        <v>23</v>
      </c>
    </row>
    <row r="2194" spans="1:11" ht="42" customHeight="1">
      <c r="A2194" s="2" t="s">
        <v>4784</v>
      </c>
      <c r="B2194" s="2" t="s">
        <v>4785</v>
      </c>
      <c r="C2194" s="2" t="s">
        <v>35</v>
      </c>
      <c r="D2194" s="2" t="s">
        <v>36</v>
      </c>
      <c r="E2194" s="5">
        <v>-29218</v>
      </c>
      <c r="F2194" s="3" t="s">
        <v>834</v>
      </c>
      <c r="G2194" s="3" t="s">
        <v>286</v>
      </c>
      <c r="H2194" s="2" t="s">
        <v>21</v>
      </c>
      <c r="I2194" s="2" t="s">
        <v>4786</v>
      </c>
      <c r="J2194" s="3" t="str">
        <f>HYPERLINK("https://www.boe.es/gazeta/dias/1820/01/01/pdfs/GMD-1820-1.pdf#page=8","Abrir facsímil")</f>
        <v>Abrir facsímil</v>
      </c>
      <c r="K2194" s="3" t="s">
        <v>23</v>
      </c>
    </row>
    <row r="2195" spans="1:11" ht="42" customHeight="1">
      <c r="A2195" s="2" t="s">
        <v>4784</v>
      </c>
      <c r="B2195" s="2" t="s">
        <v>4785</v>
      </c>
      <c r="C2195" s="2" t="s">
        <v>35</v>
      </c>
      <c r="D2195" s="2" t="s">
        <v>36</v>
      </c>
      <c r="E2195" s="5">
        <v>-29213</v>
      </c>
      <c r="F2195" s="3" t="s">
        <v>195</v>
      </c>
      <c r="G2195" s="3" t="s">
        <v>4787</v>
      </c>
      <c r="H2195" s="2" t="s">
        <v>21</v>
      </c>
      <c r="I2195" s="2" t="s">
        <v>4788</v>
      </c>
      <c r="J2195" s="3" t="str">
        <f>HYPERLINK("https://www.boe.es/gazeta/dias/1820/01/06/pdfs/GMD-1820-3.pdf#page=12","Abrir facsímil")</f>
        <v>Abrir facsímil</v>
      </c>
      <c r="K2195" s="3" t="s">
        <v>23</v>
      </c>
    </row>
    <row r="2196" spans="1:11" ht="42" customHeight="1">
      <c r="A2196" s="2" t="s">
        <v>4784</v>
      </c>
      <c r="B2196" s="2" t="s">
        <v>4785</v>
      </c>
      <c r="C2196" s="2" t="s">
        <v>35</v>
      </c>
      <c r="D2196" s="2" t="s">
        <v>36</v>
      </c>
      <c r="E2196" s="5">
        <v>-29204</v>
      </c>
      <c r="F2196" s="3" t="s">
        <v>753</v>
      </c>
      <c r="G2196" s="3" t="s">
        <v>295</v>
      </c>
      <c r="H2196" s="2" t="s">
        <v>21</v>
      </c>
      <c r="I2196" s="2" t="s">
        <v>4789</v>
      </c>
      <c r="J2196" s="3" t="str">
        <f>HYPERLINK("https://www.boe.es/gazeta/dias/1820/01/15/pdfs/GMD-1820-7.pdf#page=8","Abrir facsímil")</f>
        <v>Abrir facsímil</v>
      </c>
      <c r="K2196" s="3" t="s">
        <v>23</v>
      </c>
    </row>
    <row r="2197" spans="1:11" ht="42" customHeight="1">
      <c r="A2197" s="2" t="s">
        <v>4784</v>
      </c>
      <c r="B2197" s="2" t="s">
        <v>4785</v>
      </c>
      <c r="C2197" s="2" t="s">
        <v>17</v>
      </c>
      <c r="D2197" s="2" t="s">
        <v>18</v>
      </c>
      <c r="E2197" s="5">
        <v>-29201</v>
      </c>
      <c r="F2197" s="3" t="s">
        <v>411</v>
      </c>
      <c r="G2197" s="3" t="s">
        <v>2312</v>
      </c>
      <c r="H2197" s="2" t="s">
        <v>21</v>
      </c>
      <c r="I2197" s="2" t="s">
        <v>4790</v>
      </c>
      <c r="J2197" s="3" t="str">
        <f>HYPERLINK("https://www.boe.es/gazeta/dias/1820/01/18/pdfs/GMD-1820-8.pdf#page=8","Abrir facsímil")</f>
        <v>Abrir facsímil</v>
      </c>
      <c r="K2197" s="3" t="s">
        <v>23</v>
      </c>
    </row>
    <row r="2198" spans="1:11" ht="42" customHeight="1">
      <c r="A2198" s="2" t="s">
        <v>4791</v>
      </c>
      <c r="B2198" s="2" t="s">
        <v>4792</v>
      </c>
      <c r="C2198" s="2" t="s">
        <v>35</v>
      </c>
      <c r="D2198" s="2" t="s">
        <v>36</v>
      </c>
      <c r="E2198" s="5">
        <v>-29199</v>
      </c>
      <c r="F2198" s="3" t="s">
        <v>1178</v>
      </c>
      <c r="G2198" s="3" t="s">
        <v>4793</v>
      </c>
      <c r="H2198" s="2" t="s">
        <v>21</v>
      </c>
      <c r="I2198" s="2" t="s">
        <v>4794</v>
      </c>
      <c r="J2198" s="3" t="str">
        <f>HYPERLINK("https://www.boe.es/gazeta/dias/1820/01/20/pdfs/GMD-1820-9.pdf#page=8","Abrir facsímil")</f>
        <v>Abrir facsímil</v>
      </c>
      <c r="K2198" s="3" t="s">
        <v>23</v>
      </c>
    </row>
    <row r="2199" spans="1:11" ht="42" customHeight="1">
      <c r="A2199" s="2" t="s">
        <v>4784</v>
      </c>
      <c r="B2199" s="2" t="s">
        <v>4785</v>
      </c>
      <c r="C2199" s="2" t="s">
        <v>35</v>
      </c>
      <c r="D2199" s="2" t="s">
        <v>36</v>
      </c>
      <c r="E2199" s="5">
        <v>-29190</v>
      </c>
      <c r="F2199" s="3" t="s">
        <v>537</v>
      </c>
      <c r="G2199" s="3" t="s">
        <v>201</v>
      </c>
      <c r="H2199" s="2" t="s">
        <v>21</v>
      </c>
      <c r="I2199" s="2" t="s">
        <v>4795</v>
      </c>
      <c r="J2199" s="3" t="str">
        <f>HYPERLINK("https://www.boe.es/gazeta/dias/1820/01/29/pdfs/GMD-1820-13.pdf#page=7","Abrir facsímil")</f>
        <v>Abrir facsímil</v>
      </c>
      <c r="K2199" s="3" t="s">
        <v>23</v>
      </c>
    </row>
    <row r="2200" spans="1:11" ht="42" customHeight="1">
      <c r="A2200" s="2" t="s">
        <v>4784</v>
      </c>
      <c r="B2200" s="2" t="s">
        <v>4785</v>
      </c>
      <c r="C2200" s="2" t="s">
        <v>35</v>
      </c>
      <c r="D2200" s="2" t="s">
        <v>36</v>
      </c>
      <c r="E2200" s="5">
        <v>-29187</v>
      </c>
      <c r="F2200" s="3" t="s">
        <v>859</v>
      </c>
      <c r="G2200" s="3" t="s">
        <v>295</v>
      </c>
      <c r="H2200" s="2" t="s">
        <v>21</v>
      </c>
      <c r="I2200" s="2" t="s">
        <v>4796</v>
      </c>
      <c r="J2200" s="3" t="str">
        <f>HYPERLINK("https://www.boe.es/gazeta/dias/1820/02/01/pdfs/GMD-1820-14.pdf#page=8","Abrir facsímil")</f>
        <v>Abrir facsímil</v>
      </c>
      <c r="K2200" s="3" t="s">
        <v>23</v>
      </c>
    </row>
    <row r="2201" spans="1:11" ht="42" customHeight="1">
      <c r="A2201" s="2" t="s">
        <v>4797</v>
      </c>
      <c r="B2201" s="2" t="s">
        <v>4798</v>
      </c>
      <c r="C2201" s="2" t="s">
        <v>17</v>
      </c>
      <c r="D2201" s="2" t="s">
        <v>18</v>
      </c>
      <c r="E2201" s="5">
        <v>-29183</v>
      </c>
      <c r="F2201" s="3" t="s">
        <v>476</v>
      </c>
      <c r="G2201" s="3" t="s">
        <v>295</v>
      </c>
      <c r="H2201" s="2" t="s">
        <v>21</v>
      </c>
      <c r="I2201" s="2" t="s">
        <v>4799</v>
      </c>
      <c r="J2201" s="3" t="str">
        <f>HYPERLINK("https://www.boe.es/gazeta/dias/1820/02/05/pdfs/GMD-1820-16.pdf#page=8","Abrir facsímil")</f>
        <v>Abrir facsímil</v>
      </c>
      <c r="K2201" s="3" t="s">
        <v>23</v>
      </c>
    </row>
    <row r="2202" spans="1:11" ht="42" customHeight="1">
      <c r="A2202" s="2" t="s">
        <v>4784</v>
      </c>
      <c r="B2202" s="2" t="s">
        <v>4785</v>
      </c>
      <c r="C2202" s="2" t="s">
        <v>35</v>
      </c>
      <c r="D2202" s="2" t="s">
        <v>36</v>
      </c>
      <c r="E2202" s="5">
        <v>-29176</v>
      </c>
      <c r="F2202" s="3" t="s">
        <v>797</v>
      </c>
      <c r="G2202" s="3" t="s">
        <v>295</v>
      </c>
      <c r="H2202" s="2" t="s">
        <v>21</v>
      </c>
      <c r="I2202" s="2" t="s">
        <v>4800</v>
      </c>
      <c r="J2202" s="3" t="str">
        <f>HYPERLINK("https://www.boe.es/gazeta/dias/1820/02/12/pdfs/GMD-1820-19.pdf#page=8","Abrir facsímil")</f>
        <v>Abrir facsímil</v>
      </c>
      <c r="K2202" s="3" t="s">
        <v>23</v>
      </c>
    </row>
    <row r="2203" spans="1:11" ht="42" customHeight="1">
      <c r="A2203" s="2" t="s">
        <v>4784</v>
      </c>
      <c r="B2203" s="2" t="s">
        <v>4785</v>
      </c>
      <c r="C2203" s="2" t="s">
        <v>35</v>
      </c>
      <c r="D2203" s="2" t="s">
        <v>36</v>
      </c>
      <c r="E2203" s="5">
        <v>-29171</v>
      </c>
      <c r="F2203" s="3" t="s">
        <v>764</v>
      </c>
      <c r="G2203" s="3" t="s">
        <v>295</v>
      </c>
      <c r="H2203" s="2" t="s">
        <v>21</v>
      </c>
      <c r="I2203" s="2" t="s">
        <v>4801</v>
      </c>
      <c r="J2203" s="3" t="str">
        <f>HYPERLINK("https://www.boe.es/gazeta/dias/1820/02/17/pdfs/GMD-1820-21.pdf#page=8","Abrir facsímil")</f>
        <v>Abrir facsímil</v>
      </c>
      <c r="K2203" s="3" t="s">
        <v>23</v>
      </c>
    </row>
    <row r="2204" spans="1:11" ht="42" customHeight="1">
      <c r="A2204" s="2" t="s">
        <v>4784</v>
      </c>
      <c r="B2204" s="2" t="s">
        <v>4785</v>
      </c>
      <c r="C2204" s="2" t="s">
        <v>35</v>
      </c>
      <c r="D2204" s="2" t="s">
        <v>36</v>
      </c>
      <c r="E2204" s="5">
        <v>-29157</v>
      </c>
      <c r="F2204" s="3" t="s">
        <v>2658</v>
      </c>
      <c r="G2204" s="3" t="s">
        <v>2659</v>
      </c>
      <c r="H2204" s="2" t="s">
        <v>21</v>
      </c>
      <c r="I2204" s="2" t="s">
        <v>4802</v>
      </c>
      <c r="J2204" s="3" t="str">
        <f>HYPERLINK("https://www.boe.es/gazeta/dias/1820/03/02/pdfs/GMD-1820-27.pdf#page=8","Abrir facsímil")</f>
        <v>Abrir facsímil</v>
      </c>
      <c r="K2204" s="3" t="s">
        <v>23</v>
      </c>
    </row>
    <row r="2205" spans="1:11" ht="42" customHeight="1">
      <c r="A2205" s="2" t="s">
        <v>4784</v>
      </c>
      <c r="B2205" s="2" t="s">
        <v>4785</v>
      </c>
      <c r="C2205" s="2" t="s">
        <v>35</v>
      </c>
      <c r="D2205" s="2" t="s">
        <v>36</v>
      </c>
      <c r="E2205" s="5">
        <v>-29155</v>
      </c>
      <c r="F2205" s="3" t="s">
        <v>2095</v>
      </c>
      <c r="G2205" s="3" t="s">
        <v>295</v>
      </c>
      <c r="H2205" s="2" t="s">
        <v>21</v>
      </c>
      <c r="I2205" s="2" t="s">
        <v>4803</v>
      </c>
      <c r="J2205" s="3" t="str">
        <f>HYPERLINK("https://www.boe.es/gazeta/dias/1820/03/04/pdfs/GMD-1820-28.pdf#page=8","Abrir facsímil")</f>
        <v>Abrir facsímil</v>
      </c>
      <c r="K2205" s="3" t="s">
        <v>23</v>
      </c>
    </row>
    <row r="2206" spans="1:11" ht="42" customHeight="1">
      <c r="A2206" s="2" t="s">
        <v>4784</v>
      </c>
      <c r="B2206" s="2" t="s">
        <v>4785</v>
      </c>
      <c r="C2206" s="2" t="s">
        <v>35</v>
      </c>
      <c r="D2206" s="2" t="s">
        <v>36</v>
      </c>
      <c r="E2206" s="5">
        <v>-29152</v>
      </c>
      <c r="F2206" s="3" t="s">
        <v>1293</v>
      </c>
      <c r="G2206" s="3" t="s">
        <v>295</v>
      </c>
      <c r="H2206" s="2" t="s">
        <v>21</v>
      </c>
      <c r="I2206" s="2" t="s">
        <v>4804</v>
      </c>
      <c r="J2206" s="3" t="str">
        <f>HYPERLINK("https://www.boe.es/gazeta/dias/1820/03/07/pdfs/GMD-1820-29.pdf#page=8","Abrir facsímil")</f>
        <v>Abrir facsímil</v>
      </c>
      <c r="K2206" s="3" t="s">
        <v>23</v>
      </c>
    </row>
    <row r="2207" spans="1:11" ht="42" customHeight="1">
      <c r="A2207" s="2" t="s">
        <v>4784</v>
      </c>
      <c r="B2207" s="2" t="s">
        <v>4785</v>
      </c>
      <c r="C2207" s="2" t="s">
        <v>35</v>
      </c>
      <c r="D2207" s="2" t="s">
        <v>36</v>
      </c>
      <c r="E2207" s="5">
        <v>-29064</v>
      </c>
      <c r="F2207" s="3" t="s">
        <v>1264</v>
      </c>
      <c r="G2207" s="3" t="s">
        <v>2318</v>
      </c>
      <c r="H2207" s="2" t="s">
        <v>21</v>
      </c>
      <c r="I2207" s="2" t="s">
        <v>4805</v>
      </c>
      <c r="J2207" s="3" t="str">
        <f>HYPERLINK("https://www.boe.es/gazeta/dias/1820/06/03/pdfs/GMD-1820-89.pdf#page=8","Abrir facsímil")</f>
        <v>Abrir facsímil</v>
      </c>
      <c r="K2207" s="3" t="s">
        <v>23</v>
      </c>
    </row>
    <row r="2208" spans="1:11" ht="42" customHeight="1">
      <c r="A2208" s="2" t="s">
        <v>4784</v>
      </c>
      <c r="B2208" s="2" t="s">
        <v>4785</v>
      </c>
      <c r="C2208" s="2" t="s">
        <v>35</v>
      </c>
      <c r="D2208" s="2" t="s">
        <v>36</v>
      </c>
      <c r="E2208" s="5">
        <v>-29054</v>
      </c>
      <c r="F2208" s="3" t="s">
        <v>481</v>
      </c>
      <c r="G2208" s="3" t="s">
        <v>479</v>
      </c>
      <c r="H2208" s="2" t="s">
        <v>21</v>
      </c>
      <c r="I2208" s="2" t="s">
        <v>4806</v>
      </c>
      <c r="J2208" s="3" t="str">
        <f>HYPERLINK("https://www.boe.es/gazeta/dias/1820/06/13/pdfs/GMD-1820-93.pdf#page=12","Abrir facsímil")</f>
        <v>Abrir facsímil</v>
      </c>
      <c r="K2208" s="3" t="s">
        <v>23</v>
      </c>
    </row>
    <row r="2209" spans="1:11" ht="42" customHeight="1">
      <c r="A2209" s="2" t="s">
        <v>4784</v>
      </c>
      <c r="B2209" s="2" t="s">
        <v>4785</v>
      </c>
      <c r="C2209" s="2" t="s">
        <v>35</v>
      </c>
      <c r="D2209" s="2" t="s">
        <v>36</v>
      </c>
      <c r="E2209" s="5">
        <v>-29047</v>
      </c>
      <c r="F2209" s="3" t="s">
        <v>1033</v>
      </c>
      <c r="G2209" s="3" t="s">
        <v>196</v>
      </c>
      <c r="H2209" s="2" t="s">
        <v>21</v>
      </c>
      <c r="I2209" s="2" t="s">
        <v>4807</v>
      </c>
      <c r="J2209" s="3" t="str">
        <f>HYPERLINK("https://www.boe.es/gazeta/dias/1820/06/20/pdfs/GMD-1820-96.pdf#page=11","Abrir facsímil")</f>
        <v>Abrir facsímil</v>
      </c>
      <c r="K2209" s="3" t="s">
        <v>23</v>
      </c>
    </row>
    <row r="2210" spans="1:11" ht="42" customHeight="1">
      <c r="A2210" s="2" t="s">
        <v>4784</v>
      </c>
      <c r="B2210" s="2" t="s">
        <v>4785</v>
      </c>
      <c r="C2210" s="2" t="s">
        <v>26</v>
      </c>
      <c r="D2210" s="2" t="s">
        <v>27</v>
      </c>
      <c r="E2210" s="5">
        <v>-29040</v>
      </c>
      <c r="F2210" s="3" t="s">
        <v>1125</v>
      </c>
      <c r="G2210" s="3" t="s">
        <v>196</v>
      </c>
      <c r="H2210" s="2" t="s">
        <v>21</v>
      </c>
      <c r="I2210" s="2" t="s">
        <v>4808</v>
      </c>
      <c r="J2210" s="3" t="str">
        <f>HYPERLINK("https://www.boe.es/gazeta/dias/1820/06/27/pdfs/GMD-1820-99.pdf#page=11","Abrir facsímil")</f>
        <v>Abrir facsímil</v>
      </c>
      <c r="K2210" s="3" t="s">
        <v>23</v>
      </c>
    </row>
    <row r="2211" spans="1:11" ht="42" customHeight="1">
      <c r="A2211" s="2" t="s">
        <v>4784</v>
      </c>
      <c r="B2211" s="2" t="s">
        <v>4785</v>
      </c>
      <c r="C2211" s="2" t="s">
        <v>35</v>
      </c>
      <c r="D2211" s="2" t="s">
        <v>36</v>
      </c>
      <c r="E2211" s="5">
        <v>-29025</v>
      </c>
      <c r="F2211" s="3" t="s">
        <v>902</v>
      </c>
      <c r="G2211" s="3" t="s">
        <v>20</v>
      </c>
      <c r="H2211" s="2" t="s">
        <v>21</v>
      </c>
      <c r="I2211" s="2" t="s">
        <v>4809</v>
      </c>
      <c r="J2211" s="3" t="str">
        <f>HYPERLINK("https://www.boe.es/gazeta/dias/1820/07/12/pdfs/GGB-1820-14.pdf#page=4","Abrir facsímil")</f>
        <v>Abrir facsímil</v>
      </c>
      <c r="K2211" s="3" t="s">
        <v>23</v>
      </c>
    </row>
    <row r="2212" spans="1:11" ht="42" customHeight="1">
      <c r="A2212" s="2" t="s">
        <v>4784</v>
      </c>
      <c r="B2212" s="2" t="s">
        <v>4785</v>
      </c>
      <c r="C2212" s="2" t="s">
        <v>47</v>
      </c>
      <c r="D2212" s="2" t="s">
        <v>18</v>
      </c>
      <c r="E2212" s="5">
        <v>-29007</v>
      </c>
      <c r="F2212" s="3" t="s">
        <v>251</v>
      </c>
      <c r="G2212" s="3" t="s">
        <v>20</v>
      </c>
      <c r="H2212" s="2" t="s">
        <v>21</v>
      </c>
      <c r="I2212" s="2" t="s">
        <v>4810</v>
      </c>
      <c r="J2212" s="3" t="str">
        <f>HYPERLINK("https://www.boe.es/gazeta/dias/1820/07/30/pdfs/GGB-1820-32.pdf#page=4","Abrir facsímil")</f>
        <v>Abrir facsímil</v>
      </c>
      <c r="K2212" s="3" t="s">
        <v>23</v>
      </c>
    </row>
    <row r="2213" spans="1:11" ht="42" customHeight="1">
      <c r="A2213" s="2" t="s">
        <v>4784</v>
      </c>
      <c r="B2213" s="2" t="s">
        <v>4785</v>
      </c>
      <c r="C2213" s="2" t="s">
        <v>35</v>
      </c>
      <c r="D2213" s="2" t="s">
        <v>36</v>
      </c>
      <c r="E2213" s="5">
        <v>-28965</v>
      </c>
      <c r="F2213" s="3" t="s">
        <v>1520</v>
      </c>
      <c r="G2213" s="3" t="s">
        <v>20</v>
      </c>
      <c r="H2213" s="2" t="s">
        <v>21</v>
      </c>
      <c r="I2213" s="2" t="s">
        <v>4811</v>
      </c>
      <c r="J2213" s="3" t="str">
        <f>HYPERLINK("https://www.boe.es/gazeta/dias/1820/09/10/pdfs/GGB-1820-74.pdf#page=4","Abrir facsímil")</f>
        <v>Abrir facsímil</v>
      </c>
      <c r="K2213" s="3" t="s">
        <v>23</v>
      </c>
    </row>
    <row r="2214" spans="1:11" ht="42" customHeight="1">
      <c r="A2214" s="2" t="s">
        <v>4784</v>
      </c>
      <c r="B2214" s="2" t="s">
        <v>4785</v>
      </c>
      <c r="C2214" s="2" t="s">
        <v>26</v>
      </c>
      <c r="D2214" s="2" t="s">
        <v>27</v>
      </c>
      <c r="E2214" s="5">
        <v>-28959</v>
      </c>
      <c r="F2214" s="3" t="s">
        <v>37</v>
      </c>
      <c r="G2214" s="3" t="s">
        <v>62</v>
      </c>
      <c r="H2214" s="2" t="s">
        <v>21</v>
      </c>
      <c r="I2214" s="2" t="s">
        <v>4812</v>
      </c>
      <c r="J2214" s="3" t="str">
        <f>HYPERLINK("https://www.boe.es/gazeta/dias/1820/09/16/pdfs/GGB-1820-80.pdf#page=3","Abrir facsímil")</f>
        <v>Abrir facsímil</v>
      </c>
      <c r="K2214" s="3" t="s">
        <v>23</v>
      </c>
    </row>
    <row r="2215" spans="1:11" ht="42" customHeight="1">
      <c r="A2215" s="2" t="s">
        <v>4784</v>
      </c>
      <c r="B2215" s="2" t="s">
        <v>4785</v>
      </c>
      <c r="C2215" s="2" t="s">
        <v>35</v>
      </c>
      <c r="D2215" s="2" t="s">
        <v>36</v>
      </c>
      <c r="E2215" s="5">
        <v>-28938</v>
      </c>
      <c r="F2215" s="3" t="s">
        <v>716</v>
      </c>
      <c r="G2215" s="3" t="s">
        <v>717</v>
      </c>
      <c r="H2215" s="2" t="s">
        <v>21</v>
      </c>
      <c r="I2215" s="2" t="s">
        <v>4813</v>
      </c>
      <c r="J2215" s="3" t="str">
        <f>HYPERLINK("https://www.boe.es/gazeta/dias/1820/10/07/pdfs/GGB-1820-101.pdf#page=2","Abrir facsímil")</f>
        <v>Abrir facsímil</v>
      </c>
      <c r="K2215" s="3" t="s">
        <v>23</v>
      </c>
    </row>
    <row r="2216" spans="1:11" ht="42" customHeight="1">
      <c r="A2216" s="2" t="s">
        <v>4784</v>
      </c>
      <c r="B2216" s="2" t="s">
        <v>4785</v>
      </c>
      <c r="C2216" s="2" t="s">
        <v>17</v>
      </c>
      <c r="D2216" s="2" t="s">
        <v>18</v>
      </c>
      <c r="E2216" s="5">
        <v>-28884</v>
      </c>
      <c r="F2216" s="3" t="s">
        <v>882</v>
      </c>
      <c r="G2216" s="3" t="s">
        <v>38</v>
      </c>
      <c r="H2216" s="2" t="s">
        <v>21</v>
      </c>
      <c r="I2216" s="2" t="s">
        <v>4814</v>
      </c>
      <c r="J2216" s="3" t="str">
        <f>HYPERLINK("https://www.boe.es/gazeta/dias/1820/11/30/pdfs/GGB-1820-157.pdf#page=6","Abrir facsímil")</f>
        <v>Abrir facsímil</v>
      </c>
      <c r="K2216" s="3" t="s">
        <v>23</v>
      </c>
    </row>
    <row r="2217" spans="1:11" ht="42" customHeight="1">
      <c r="A2217" s="2" t="s">
        <v>4784</v>
      </c>
      <c r="B2217" s="2" t="s">
        <v>4785</v>
      </c>
      <c r="C2217" s="2" t="s">
        <v>35</v>
      </c>
      <c r="D2217" s="2" t="s">
        <v>36</v>
      </c>
      <c r="E2217" s="5">
        <v>-28866</v>
      </c>
      <c r="F2217" s="3" t="s">
        <v>507</v>
      </c>
      <c r="G2217" s="3" t="s">
        <v>20</v>
      </c>
      <c r="H2217" s="2" t="s">
        <v>21</v>
      </c>
      <c r="I2217" s="2" t="s">
        <v>4815</v>
      </c>
      <c r="J2217" s="3" t="str">
        <f>HYPERLINK("https://www.boe.es/gazeta/dias/1820/12/18/pdfs/GGB-1820-175.pdf#page=4","Abrir facsímil")</f>
        <v>Abrir facsímil</v>
      </c>
      <c r="K2217" s="3" t="s">
        <v>23</v>
      </c>
    </row>
    <row r="2218" spans="1:11" ht="42" customHeight="1">
      <c r="A2218" s="2" t="s">
        <v>4784</v>
      </c>
      <c r="B2218" s="2" t="s">
        <v>4785</v>
      </c>
      <c r="C2218" s="2" t="s">
        <v>35</v>
      </c>
      <c r="D2218" s="2" t="s">
        <v>36</v>
      </c>
      <c r="E2218" s="5">
        <v>-28858</v>
      </c>
      <c r="F2218" s="3" t="s">
        <v>117</v>
      </c>
      <c r="G2218" s="3" t="s">
        <v>20</v>
      </c>
      <c r="H2218" s="2" t="s">
        <v>21</v>
      </c>
      <c r="I2218" s="2" t="s">
        <v>4816</v>
      </c>
      <c r="J2218" s="3" t="str">
        <f>HYPERLINK("https://www.boe.es/gazeta/dias/1820/12/26/pdfs/GGB-1820-183.pdf#page=4","Abrir facsímil")</f>
        <v>Abrir facsímil</v>
      </c>
      <c r="K2218" s="3" t="s">
        <v>23</v>
      </c>
    </row>
    <row r="2219" spans="1:11" ht="42" customHeight="1">
      <c r="A2219" s="2" t="s">
        <v>4784</v>
      </c>
      <c r="B2219" s="2" t="s">
        <v>4785</v>
      </c>
      <c r="C2219" s="2" t="s">
        <v>35</v>
      </c>
      <c r="D2219" s="2" t="s">
        <v>36</v>
      </c>
      <c r="E2219" s="5">
        <v>-28857</v>
      </c>
      <c r="F2219" s="3" t="s">
        <v>889</v>
      </c>
      <c r="G2219" s="3" t="s">
        <v>890</v>
      </c>
      <c r="H2219" s="2" t="s">
        <v>21</v>
      </c>
      <c r="I2219" s="2" t="s">
        <v>4817</v>
      </c>
      <c r="J2219" s="3" t="str">
        <f>HYPERLINK("https://www.boe.es/gazeta/dias/1820/12/27/pdfs/GGB-1820-184.pdf#page=4","Abrir facsímil")</f>
        <v>Abrir facsímil</v>
      </c>
      <c r="K2219" s="3" t="s">
        <v>23</v>
      </c>
    </row>
    <row r="2220" spans="1:11" ht="42" customHeight="1">
      <c r="A2220" s="2" t="s">
        <v>4784</v>
      </c>
      <c r="B2220" s="2" t="s">
        <v>4785</v>
      </c>
      <c r="C2220" s="2" t="s">
        <v>35</v>
      </c>
      <c r="D2220" s="2" t="s">
        <v>36</v>
      </c>
      <c r="E2220" s="5">
        <v>-28855</v>
      </c>
      <c r="F2220" s="3" t="s">
        <v>2055</v>
      </c>
      <c r="G2220" s="3" t="s">
        <v>20</v>
      </c>
      <c r="H2220" s="2" t="s">
        <v>21</v>
      </c>
      <c r="I2220" s="2" t="s">
        <v>4818</v>
      </c>
      <c r="J2220" s="3" t="str">
        <f>HYPERLINK("https://www.boe.es/gazeta/dias/1820/12/29/pdfs/GGB-1820-186.pdf#page=4","Abrir facsímil")</f>
        <v>Abrir facsímil</v>
      </c>
      <c r="K2220" s="3" t="s">
        <v>23</v>
      </c>
    </row>
    <row r="2221" spans="1:11" ht="42" customHeight="1">
      <c r="A2221" s="2" t="s">
        <v>4819</v>
      </c>
      <c r="B2221" s="2" t="s">
        <v>4820</v>
      </c>
      <c r="C2221" s="2" t="s">
        <v>26</v>
      </c>
      <c r="D2221" s="2" t="s">
        <v>27</v>
      </c>
      <c r="E2221" s="5">
        <v>-29028</v>
      </c>
      <c r="F2221" s="3" t="s">
        <v>132</v>
      </c>
      <c r="G2221" s="3" t="s">
        <v>20</v>
      </c>
      <c r="H2221" s="2" t="s">
        <v>21</v>
      </c>
      <c r="I2221" s="2" t="s">
        <v>4821</v>
      </c>
      <c r="J2221" s="3" t="str">
        <f>HYPERLINK("https://www.boe.es/gazeta/dias/1820/07/09/pdfs/GGB-1820-10.pdf#page=4","Abrir facsímil")</f>
        <v>Abrir facsímil</v>
      </c>
      <c r="K2221" s="3" t="s">
        <v>23</v>
      </c>
    </row>
    <row r="2222" spans="1:11" ht="42" customHeight="1">
      <c r="A2222" s="2" t="s">
        <v>4822</v>
      </c>
      <c r="B2222" s="2" t="s">
        <v>4823</v>
      </c>
      <c r="C2222" s="2" t="s">
        <v>35</v>
      </c>
      <c r="D2222" s="2" t="s">
        <v>36</v>
      </c>
      <c r="E2222" s="5">
        <v>-29206</v>
      </c>
      <c r="F2222" s="3" t="s">
        <v>897</v>
      </c>
      <c r="G2222" s="3" t="s">
        <v>295</v>
      </c>
      <c r="H2222" s="2" t="s">
        <v>30</v>
      </c>
      <c r="I2222" s="2" t="s">
        <v>4824</v>
      </c>
      <c r="J2222" s="3" t="str">
        <f>HYPERLINK("https://www.boe.es/gazeta/dias/1820/01/13/pdfs/GMD-1820-6.pdf#page=8","Abrir facsímil")</f>
        <v>Abrir facsímil</v>
      </c>
      <c r="K2222" s="3" t="s">
        <v>32</v>
      </c>
    </row>
    <row r="2223" spans="1:11" ht="42" customHeight="1">
      <c r="A2223" s="2" t="s">
        <v>4822</v>
      </c>
      <c r="B2223" s="2" t="s">
        <v>4823</v>
      </c>
      <c r="C2223" s="2" t="s">
        <v>35</v>
      </c>
      <c r="D2223" s="2" t="s">
        <v>36</v>
      </c>
      <c r="E2223" s="5">
        <v>-29204</v>
      </c>
      <c r="F2223" s="3" t="s">
        <v>753</v>
      </c>
      <c r="G2223" s="3" t="s">
        <v>295</v>
      </c>
      <c r="H2223" s="2" t="s">
        <v>30</v>
      </c>
      <c r="I2223" s="2" t="s">
        <v>4825</v>
      </c>
      <c r="J2223" s="3" t="str">
        <f>HYPERLINK("https://www.boe.es/gazeta/dias/1820/01/15/pdfs/GMD-1820-7.pdf#page=8","Abrir facsímil")</f>
        <v>Abrir facsímil</v>
      </c>
      <c r="K2223" s="3" t="s">
        <v>32</v>
      </c>
    </row>
    <row r="2224" spans="1:11" ht="42" customHeight="1">
      <c r="A2224" s="2" t="s">
        <v>4822</v>
      </c>
      <c r="B2224" s="2" t="s">
        <v>4823</v>
      </c>
      <c r="C2224" s="2" t="s">
        <v>35</v>
      </c>
      <c r="D2224" s="2" t="s">
        <v>36</v>
      </c>
      <c r="E2224" s="5">
        <v>-29194</v>
      </c>
      <c r="F2224" s="3" t="s">
        <v>416</v>
      </c>
      <c r="G2224" s="3" t="s">
        <v>1391</v>
      </c>
      <c r="H2224" s="2" t="s">
        <v>30</v>
      </c>
      <c r="I2224" s="2" t="s">
        <v>4826</v>
      </c>
      <c r="J2224" s="3" t="str">
        <f>HYPERLINK("https://www.boe.es/gazeta/dias/1820/01/25/pdfs/GMD-1820-11.pdf#page=8","Abrir facsímil")</f>
        <v>Abrir facsímil</v>
      </c>
      <c r="K2224" s="3" t="s">
        <v>32</v>
      </c>
    </row>
    <row r="2225" spans="1:11" ht="42" customHeight="1">
      <c r="A2225" s="2" t="s">
        <v>4827</v>
      </c>
      <c r="B2225" s="2" t="s">
        <v>4828</v>
      </c>
      <c r="C2225" s="2" t="s">
        <v>35</v>
      </c>
      <c r="D2225" s="2" t="s">
        <v>36</v>
      </c>
      <c r="E2225" s="5">
        <v>-29050</v>
      </c>
      <c r="F2225" s="3" t="s">
        <v>423</v>
      </c>
      <c r="G2225" s="3" t="s">
        <v>201</v>
      </c>
      <c r="H2225" s="2" t="s">
        <v>21</v>
      </c>
      <c r="I2225" s="2" t="s">
        <v>4829</v>
      </c>
      <c r="J2225" s="3" t="str">
        <f>HYPERLINK("https://www.boe.es/gazeta/dias/1820/06/17/pdfs/GMD-1820-95.pdf#page=7","Abrir facsímil")</f>
        <v>Abrir facsímil</v>
      </c>
      <c r="K2225" s="3" t="s">
        <v>23</v>
      </c>
    </row>
    <row r="2226" spans="1:11" ht="42" customHeight="1">
      <c r="A2226" s="2" t="s">
        <v>4830</v>
      </c>
      <c r="B2226" s="2" t="s">
        <v>4831</v>
      </c>
      <c r="C2226" s="2" t="s">
        <v>107</v>
      </c>
      <c r="D2226" s="2" t="s">
        <v>18</v>
      </c>
      <c r="E2226" s="5">
        <v>-28894</v>
      </c>
      <c r="F2226" s="3" t="s">
        <v>469</v>
      </c>
      <c r="G2226" s="3" t="s">
        <v>20</v>
      </c>
      <c r="H2226" s="2" t="s">
        <v>21</v>
      </c>
      <c r="I2226" s="2" t="s">
        <v>4832</v>
      </c>
      <c r="J2226" s="3" t="str">
        <f>HYPERLINK("https://www.boe.es/gazeta/dias/1820/11/20/pdfs/GGB-1820-147.pdf#page=4","Abrir facsímil")</f>
        <v>Abrir facsímil</v>
      </c>
      <c r="K2226" s="3" t="s">
        <v>23</v>
      </c>
    </row>
    <row r="2227" spans="1:11" ht="42" customHeight="1">
      <c r="A2227" s="2" t="s">
        <v>4833</v>
      </c>
      <c r="B2227" s="2" t="s">
        <v>4834</v>
      </c>
      <c r="C2227" s="2" t="s">
        <v>35</v>
      </c>
      <c r="D2227" s="2" t="s">
        <v>36</v>
      </c>
      <c r="E2227" s="5">
        <v>-28894</v>
      </c>
      <c r="F2227" s="3" t="s">
        <v>469</v>
      </c>
      <c r="G2227" s="3" t="s">
        <v>20</v>
      </c>
      <c r="H2227" s="2" t="s">
        <v>21</v>
      </c>
      <c r="I2227" s="2" t="s">
        <v>4835</v>
      </c>
      <c r="J2227" s="3" t="str">
        <f>HYPERLINK("https://www.boe.es/gazeta/dias/1820/11/20/pdfs/GGB-1820-147.pdf#page=4","Abrir facsímil")</f>
        <v>Abrir facsímil</v>
      </c>
      <c r="K2227" s="3" t="s">
        <v>23</v>
      </c>
    </row>
    <row r="2228" spans="1:11" ht="42" customHeight="1">
      <c r="A2228" s="2" t="s">
        <v>4836</v>
      </c>
      <c r="B2228" s="2" t="s">
        <v>4837</v>
      </c>
      <c r="C2228" s="2" t="s">
        <v>26</v>
      </c>
      <c r="D2228" s="2" t="s">
        <v>27</v>
      </c>
      <c r="E2228" s="5">
        <v>-28990</v>
      </c>
      <c r="F2228" s="3" t="s">
        <v>61</v>
      </c>
      <c r="G2228" s="3" t="s">
        <v>62</v>
      </c>
      <c r="H2228" s="2" t="s">
        <v>21</v>
      </c>
      <c r="I2228" s="2" t="s">
        <v>4838</v>
      </c>
      <c r="J2228" s="3" t="str">
        <f>HYPERLINK("https://www.boe.es/gazeta/dias/1820/08/16/pdfs/GGB-1820-49.pdf#page=3","Abrir facsímil")</f>
        <v>Abrir facsímil</v>
      </c>
      <c r="K2228" s="3" t="s">
        <v>23</v>
      </c>
    </row>
    <row r="2229" spans="1:11" ht="42" customHeight="1">
      <c r="A2229" s="2" t="s">
        <v>4836</v>
      </c>
      <c r="B2229" s="2" t="s">
        <v>4837</v>
      </c>
      <c r="C2229" s="2" t="s">
        <v>293</v>
      </c>
      <c r="D2229" s="2" t="s">
        <v>18</v>
      </c>
      <c r="E2229" s="5">
        <v>-28977</v>
      </c>
      <c r="F2229" s="3" t="s">
        <v>687</v>
      </c>
      <c r="G2229" s="3" t="s">
        <v>43</v>
      </c>
      <c r="H2229" s="2" t="s">
        <v>21</v>
      </c>
      <c r="I2229" s="2" t="s">
        <v>4839</v>
      </c>
      <c r="J2229" s="3" t="str">
        <f>HYPERLINK("https://www.boe.es/gazeta/dias/1820/08/29/pdfs/GGB-1820-62.pdf#page=2","Abrir facsímil")</f>
        <v>Abrir facsímil</v>
      </c>
      <c r="K2229" s="3" t="s">
        <v>23</v>
      </c>
    </row>
    <row r="2230" spans="1:11" ht="42" customHeight="1">
      <c r="A2230" s="2" t="s">
        <v>4840</v>
      </c>
      <c r="B2230" s="2" t="s">
        <v>4841</v>
      </c>
      <c r="C2230" s="2" t="s">
        <v>26</v>
      </c>
      <c r="D2230" s="2" t="s">
        <v>27</v>
      </c>
      <c r="E2230" s="5">
        <v>-28906</v>
      </c>
      <c r="F2230" s="3" t="s">
        <v>232</v>
      </c>
      <c r="G2230" s="3" t="s">
        <v>128</v>
      </c>
      <c r="H2230" s="2" t="s">
        <v>21</v>
      </c>
      <c r="I2230" s="2" t="s">
        <v>4842</v>
      </c>
      <c r="J2230" s="3" t="str">
        <f>HYPERLINK("https://www.boe.es/gazeta/dias/1820/11/08/pdfs/GGB-1820-133.pdf#page=1","Abrir facsímil")</f>
        <v>Abrir facsímil</v>
      </c>
      <c r="K2230" s="3" t="s">
        <v>23</v>
      </c>
    </row>
    <row r="2231" spans="1:11" ht="42" customHeight="1">
      <c r="A2231" s="2" t="s">
        <v>4843</v>
      </c>
      <c r="B2231" s="2" t="s">
        <v>4844</v>
      </c>
      <c r="C2231" s="2" t="s">
        <v>35</v>
      </c>
      <c r="D2231" s="2" t="s">
        <v>36</v>
      </c>
      <c r="E2231" s="5">
        <v>-28980</v>
      </c>
      <c r="F2231" s="3" t="s">
        <v>614</v>
      </c>
      <c r="G2231" s="3" t="s">
        <v>20</v>
      </c>
      <c r="H2231" s="2" t="s">
        <v>21</v>
      </c>
      <c r="I2231" s="2" t="s">
        <v>4845</v>
      </c>
      <c r="J2231" s="3" t="str">
        <f>HYPERLINK("https://www.boe.es/gazeta/dias/1820/08/26/pdfs/GGB-1820-59.pdf#page=4","Abrir facsímil")</f>
        <v>Abrir facsímil</v>
      </c>
      <c r="K2231" s="3" t="s">
        <v>23</v>
      </c>
    </row>
    <row r="2232" spans="1:11" ht="42" customHeight="1">
      <c r="A2232" s="2" t="s">
        <v>4846</v>
      </c>
      <c r="B2232" s="2" t="s">
        <v>4847</v>
      </c>
      <c r="C2232" s="2" t="s">
        <v>26</v>
      </c>
      <c r="D2232" s="2" t="s">
        <v>27</v>
      </c>
      <c r="E2232" s="5">
        <v>-28998</v>
      </c>
      <c r="F2232" s="3" t="s">
        <v>629</v>
      </c>
      <c r="G2232" s="3" t="s">
        <v>43</v>
      </c>
      <c r="H2232" s="2" t="s">
        <v>21</v>
      </c>
      <c r="I2232" s="2" t="s">
        <v>4848</v>
      </c>
      <c r="J2232" s="3" t="str">
        <f>HYPERLINK("https://www.boe.es/gazeta/dias/1820/08/08/pdfs/GGB-1820-41.pdf#page=2","Abrir facsímil")</f>
        <v>Abrir facsímil</v>
      </c>
      <c r="K2232" s="3" t="s">
        <v>23</v>
      </c>
    </row>
    <row r="2233" spans="1:11" ht="42" customHeight="1">
      <c r="A2233" s="2" t="s">
        <v>4846</v>
      </c>
      <c r="B2233" s="2" t="s">
        <v>4847</v>
      </c>
      <c r="C2233" s="2" t="s">
        <v>26</v>
      </c>
      <c r="D2233" s="2" t="s">
        <v>27</v>
      </c>
      <c r="E2233" s="5">
        <v>-28986</v>
      </c>
      <c r="F2233" s="3" t="s">
        <v>488</v>
      </c>
      <c r="G2233" s="3" t="s">
        <v>62</v>
      </c>
      <c r="H2233" s="2" t="s">
        <v>21</v>
      </c>
      <c r="I2233" s="2" t="s">
        <v>4849</v>
      </c>
      <c r="J2233" s="3" t="str">
        <f>HYPERLINK("https://www.boe.es/gazeta/dias/1820/08/20/pdfs/GGB-1820-53.pdf#page=3","Abrir facsímil")</f>
        <v>Abrir facsímil</v>
      </c>
      <c r="K2233" s="3" t="s">
        <v>23</v>
      </c>
    </row>
    <row r="2234" spans="1:11" ht="42" customHeight="1">
      <c r="A2234" s="2" t="s">
        <v>4850</v>
      </c>
      <c r="B2234" s="2" t="s">
        <v>4851</v>
      </c>
      <c r="C2234" s="2" t="s">
        <v>293</v>
      </c>
      <c r="D2234" s="2" t="s">
        <v>18</v>
      </c>
      <c r="E2234" s="5">
        <v>-29164</v>
      </c>
      <c r="F2234" s="3" t="s">
        <v>2516</v>
      </c>
      <c r="G2234" s="3" t="s">
        <v>201</v>
      </c>
      <c r="H2234" s="2" t="s">
        <v>21</v>
      </c>
      <c r="I2234" s="2" t="s">
        <v>4852</v>
      </c>
      <c r="J2234" s="3" t="str">
        <f>HYPERLINK("https://www.boe.es/gazeta/dias/1820/02/24/pdfs/GMD-1820-24.pdf#page=7","Abrir facsímil")</f>
        <v>Abrir facsímil</v>
      </c>
      <c r="K2234" s="3" t="s">
        <v>23</v>
      </c>
    </row>
    <row r="2235" spans="1:11" ht="42" customHeight="1">
      <c r="A2235" s="2" t="s">
        <v>4853</v>
      </c>
      <c r="B2235" s="2" t="s">
        <v>4854</v>
      </c>
      <c r="C2235" s="2" t="s">
        <v>74</v>
      </c>
      <c r="D2235" s="2" t="s">
        <v>18</v>
      </c>
      <c r="E2235" s="5">
        <v>-28987</v>
      </c>
      <c r="F2235" s="3" t="s">
        <v>680</v>
      </c>
      <c r="G2235" s="3" t="s">
        <v>62</v>
      </c>
      <c r="H2235" s="2" t="s">
        <v>21</v>
      </c>
      <c r="I2235" s="2" t="s">
        <v>4855</v>
      </c>
      <c r="J2235" s="3" t="str">
        <f>HYPERLINK("https://www.boe.es/gazeta/dias/1820/08/19/pdfs/GGB-1820-52.pdf#page=3","Abrir facsímil")</f>
        <v>Abrir facsímil</v>
      </c>
      <c r="K2235" s="3" t="s">
        <v>23</v>
      </c>
    </row>
    <row r="2236" spans="1:11" ht="42" customHeight="1">
      <c r="A2236" s="2" t="s">
        <v>4856</v>
      </c>
      <c r="B2236" s="2" t="s">
        <v>4857</v>
      </c>
      <c r="C2236" s="2" t="s">
        <v>107</v>
      </c>
      <c r="D2236" s="2" t="s">
        <v>18</v>
      </c>
      <c r="E2236" s="5">
        <v>-28982</v>
      </c>
      <c r="F2236" s="3" t="s">
        <v>173</v>
      </c>
      <c r="G2236" s="3" t="s">
        <v>43</v>
      </c>
      <c r="H2236" s="2" t="s">
        <v>21</v>
      </c>
      <c r="I2236" s="2" t="s">
        <v>4858</v>
      </c>
      <c r="J2236" s="3" t="str">
        <f>HYPERLINK("https://www.boe.es/gazeta/dias/1820/08/24/pdfs/GGB-1820-57.pdf#page=2","Abrir facsímil")</f>
        <v>Abrir facsímil</v>
      </c>
      <c r="K2236" s="3" t="s">
        <v>23</v>
      </c>
    </row>
    <row r="2237" spans="1:11" ht="42" customHeight="1">
      <c r="A2237" s="2" t="s">
        <v>4859</v>
      </c>
      <c r="B2237" s="2" t="s">
        <v>4860</v>
      </c>
      <c r="C2237" s="2" t="s">
        <v>35</v>
      </c>
      <c r="D2237" s="2" t="s">
        <v>36</v>
      </c>
      <c r="E2237" s="5">
        <v>-29136</v>
      </c>
      <c r="F2237" s="3" t="s">
        <v>2972</v>
      </c>
      <c r="G2237" s="3" t="s">
        <v>295</v>
      </c>
      <c r="H2237" s="2" t="s">
        <v>21</v>
      </c>
      <c r="I2237" s="2" t="s">
        <v>4861</v>
      </c>
      <c r="J2237" s="3" t="str">
        <f>HYPERLINK("https://www.boe.es/gazeta/dias/1820/03/23/pdfs/GMD-1820-51.pdf#page=8","Abrir facsímil")</f>
        <v>Abrir facsímil</v>
      </c>
      <c r="K2237" s="3" t="s">
        <v>23</v>
      </c>
    </row>
    <row r="2238" spans="1:11" ht="42" customHeight="1">
      <c r="A2238" s="2" t="s">
        <v>4862</v>
      </c>
      <c r="B2238" s="2" t="s">
        <v>4863</v>
      </c>
      <c r="C2238" s="2" t="s">
        <v>35</v>
      </c>
      <c r="D2238" s="2" t="s">
        <v>36</v>
      </c>
      <c r="E2238" s="5">
        <v>-29089</v>
      </c>
      <c r="F2238" s="3" t="s">
        <v>2128</v>
      </c>
      <c r="G2238" s="3" t="s">
        <v>295</v>
      </c>
      <c r="H2238" s="2" t="s">
        <v>21</v>
      </c>
      <c r="I2238" s="2" t="s">
        <v>4864</v>
      </c>
      <c r="J2238" s="3" t="str">
        <f>HYPERLINK("https://www.boe.es/gazeta/dias/1820/05/09/pdfs/GMD-1820-77.pdf#page=8","Abrir facsímil")</f>
        <v>Abrir facsímil</v>
      </c>
      <c r="K2238" s="3" t="s">
        <v>23</v>
      </c>
    </row>
    <row r="2239" spans="1:11" ht="42" customHeight="1">
      <c r="A2239" s="2" t="s">
        <v>4865</v>
      </c>
      <c r="B2239" s="2" t="s">
        <v>4866</v>
      </c>
      <c r="C2239" s="2" t="s">
        <v>111</v>
      </c>
      <c r="D2239" s="2" t="s">
        <v>18</v>
      </c>
      <c r="E2239" s="5">
        <v>-29052</v>
      </c>
      <c r="F2239" s="3" t="s">
        <v>1231</v>
      </c>
      <c r="G2239" s="3" t="s">
        <v>295</v>
      </c>
      <c r="H2239" s="2" t="s">
        <v>21</v>
      </c>
      <c r="I2239" s="2" t="s">
        <v>4867</v>
      </c>
      <c r="J2239" s="3" t="str">
        <f>HYPERLINK("https://www.boe.es/gazeta/dias/1820/06/15/pdfs/GMD-1820-94.pdf#page=8","Abrir facsímil")</f>
        <v>Abrir facsímil</v>
      </c>
      <c r="K2239" s="3" t="s">
        <v>23</v>
      </c>
    </row>
    <row r="2240" spans="1:11" ht="42" customHeight="1">
      <c r="A2240" s="2" t="s">
        <v>4868</v>
      </c>
      <c r="B2240" s="2" t="s">
        <v>4869</v>
      </c>
      <c r="C2240" s="2" t="s">
        <v>26</v>
      </c>
      <c r="D2240" s="2" t="s">
        <v>27</v>
      </c>
      <c r="E2240" s="5">
        <v>-28907</v>
      </c>
      <c r="F2240" s="3" t="s">
        <v>374</v>
      </c>
      <c r="G2240" s="3" t="s">
        <v>62</v>
      </c>
      <c r="H2240" s="2" t="s">
        <v>30</v>
      </c>
      <c r="I2240" s="2" t="s">
        <v>4870</v>
      </c>
      <c r="J2240" s="3" t="str">
        <f>HYPERLINK("https://www.boe.es/gazeta/dias/1820/11/07/pdfs/GGB-1820-132.pdf#page=3","Abrir facsímil")</f>
        <v>Abrir facsímil</v>
      </c>
      <c r="K2240" s="3" t="s">
        <v>32</v>
      </c>
    </row>
    <row r="2241" spans="1:11" ht="42" customHeight="1">
      <c r="A2241" s="2" t="s">
        <v>4871</v>
      </c>
      <c r="B2241" s="2" t="s">
        <v>4871</v>
      </c>
      <c r="C2241" s="2" t="s">
        <v>35</v>
      </c>
      <c r="D2241" s="2" t="s">
        <v>36</v>
      </c>
      <c r="E2241" s="5">
        <v>-29213</v>
      </c>
      <c r="F2241" s="3" t="s">
        <v>195</v>
      </c>
      <c r="G2241" s="3" t="s">
        <v>2803</v>
      </c>
      <c r="H2241" s="2" t="s">
        <v>21</v>
      </c>
      <c r="I2241" s="2" t="s">
        <v>4872</v>
      </c>
      <c r="J2241" s="3" t="str">
        <f>HYPERLINK("https://www.boe.es/gazeta/dias/1820/01/06/pdfs/GMD-1820-3.pdf#page=7","Abrir facsímil")</f>
        <v>Abrir facsímil</v>
      </c>
      <c r="K2241" s="3" t="s">
        <v>23</v>
      </c>
    </row>
    <row r="2242" spans="1:11" ht="42" customHeight="1">
      <c r="A2242" s="2" t="s">
        <v>4871</v>
      </c>
      <c r="B2242" s="2" t="s">
        <v>4871</v>
      </c>
      <c r="C2242" s="2" t="s">
        <v>111</v>
      </c>
      <c r="D2242" s="2" t="s">
        <v>18</v>
      </c>
      <c r="E2242" s="5">
        <v>-29199</v>
      </c>
      <c r="F2242" s="3" t="s">
        <v>1178</v>
      </c>
      <c r="G2242" s="3" t="s">
        <v>4793</v>
      </c>
      <c r="H2242" s="2" t="s">
        <v>21</v>
      </c>
      <c r="I2242" s="2" t="s">
        <v>4873</v>
      </c>
      <c r="J2242" s="3" t="str">
        <f>HYPERLINK("https://www.boe.es/gazeta/dias/1820/01/20/pdfs/GMD-1820-9.pdf#page=8","Abrir facsímil")</f>
        <v>Abrir facsímil</v>
      </c>
      <c r="K2242" s="3" t="s">
        <v>23</v>
      </c>
    </row>
    <row r="2243" spans="1:11" ht="42" customHeight="1">
      <c r="A2243" s="2" t="s">
        <v>4871</v>
      </c>
      <c r="B2243" s="2" t="s">
        <v>4871</v>
      </c>
      <c r="C2243" s="2" t="s">
        <v>47</v>
      </c>
      <c r="D2243" s="2" t="s">
        <v>18</v>
      </c>
      <c r="E2243" s="5">
        <v>-29192</v>
      </c>
      <c r="F2243" s="3" t="s">
        <v>497</v>
      </c>
      <c r="G2243" s="3" t="s">
        <v>295</v>
      </c>
      <c r="H2243" s="2" t="s">
        <v>21</v>
      </c>
      <c r="I2243" s="2" t="s">
        <v>4874</v>
      </c>
      <c r="J2243" s="3" t="str">
        <f>HYPERLINK("https://www.boe.es/gazeta/dias/1820/01/27/pdfs/GMD-1820-12.pdf#page=8","Abrir facsímil")</f>
        <v>Abrir facsímil</v>
      </c>
      <c r="K2243" s="3" t="s">
        <v>23</v>
      </c>
    </row>
    <row r="2244" spans="1:11" ht="42" customHeight="1">
      <c r="A2244" s="2" t="s">
        <v>4871</v>
      </c>
      <c r="B2244" s="2" t="s">
        <v>4871</v>
      </c>
      <c r="C2244" s="2" t="s">
        <v>35</v>
      </c>
      <c r="D2244" s="2" t="s">
        <v>36</v>
      </c>
      <c r="E2244" s="5">
        <v>-29178</v>
      </c>
      <c r="F2244" s="3" t="s">
        <v>782</v>
      </c>
      <c r="G2244" s="3" t="s">
        <v>201</v>
      </c>
      <c r="H2244" s="2" t="s">
        <v>21</v>
      </c>
      <c r="I2244" s="2" t="s">
        <v>4875</v>
      </c>
      <c r="J2244" s="3" t="str">
        <f>HYPERLINK("https://www.boe.es/gazeta/dias/1820/02/10/pdfs/GMD-1820-18.pdf#page=7","Abrir facsímil")</f>
        <v>Abrir facsímil</v>
      </c>
      <c r="K2244" s="3" t="s">
        <v>23</v>
      </c>
    </row>
    <row r="2245" spans="1:11" ht="42" customHeight="1">
      <c r="A2245" s="2" t="s">
        <v>4871</v>
      </c>
      <c r="B2245" s="2" t="s">
        <v>4871</v>
      </c>
      <c r="C2245" s="2" t="s">
        <v>293</v>
      </c>
      <c r="D2245" s="2" t="s">
        <v>18</v>
      </c>
      <c r="E2245" s="5">
        <v>-29162</v>
      </c>
      <c r="F2245" s="3" t="s">
        <v>2134</v>
      </c>
      <c r="G2245" s="3" t="s">
        <v>201</v>
      </c>
      <c r="H2245" s="2" t="s">
        <v>21</v>
      </c>
      <c r="I2245" s="2" t="s">
        <v>4876</v>
      </c>
      <c r="J2245" s="3" t="str">
        <f>HYPERLINK("https://www.boe.es/gazeta/dias/1820/02/26/pdfs/GMD-1820-25.pdf#page=7","Abrir facsímil")</f>
        <v>Abrir facsímil</v>
      </c>
      <c r="K2245" s="3" t="s">
        <v>23</v>
      </c>
    </row>
    <row r="2246" spans="1:11" ht="42" customHeight="1">
      <c r="A2246" s="2" t="s">
        <v>4871</v>
      </c>
      <c r="B2246" s="2" t="s">
        <v>4871</v>
      </c>
      <c r="C2246" s="2" t="s">
        <v>111</v>
      </c>
      <c r="D2246" s="2" t="s">
        <v>18</v>
      </c>
      <c r="E2246" s="5">
        <v>-29152</v>
      </c>
      <c r="F2246" s="3" t="s">
        <v>1293</v>
      </c>
      <c r="G2246" s="3" t="s">
        <v>295</v>
      </c>
      <c r="H2246" s="2" t="s">
        <v>21</v>
      </c>
      <c r="I2246" s="2" t="s">
        <v>4877</v>
      </c>
      <c r="J2246" s="3" t="str">
        <f>HYPERLINK("https://www.boe.es/gazeta/dias/1820/03/07/pdfs/GMD-1820-29.pdf#page=8","Abrir facsímil")</f>
        <v>Abrir facsímil</v>
      </c>
      <c r="K2246" s="3" t="s">
        <v>23</v>
      </c>
    </row>
    <row r="2247" spans="1:11" ht="42" customHeight="1">
      <c r="A2247" s="2" t="s">
        <v>4871</v>
      </c>
      <c r="B2247" s="2" t="s">
        <v>4871</v>
      </c>
      <c r="C2247" s="2" t="s">
        <v>26</v>
      </c>
      <c r="D2247" s="2" t="s">
        <v>27</v>
      </c>
      <c r="E2247" s="5">
        <v>-29143</v>
      </c>
      <c r="F2247" s="3" t="s">
        <v>334</v>
      </c>
      <c r="G2247" s="3" t="s">
        <v>256</v>
      </c>
      <c r="H2247" s="2" t="s">
        <v>21</v>
      </c>
      <c r="I2247" s="2" t="s">
        <v>4878</v>
      </c>
      <c r="J2247" s="3" t="str">
        <f>HYPERLINK("https://www.boe.es/gazeta/dias/1820/03/16/pdfs/GMD-1820-42.pdf#page=5","Abrir facsímil")</f>
        <v>Abrir facsímil</v>
      </c>
      <c r="K2247" s="3" t="s">
        <v>23</v>
      </c>
    </row>
    <row r="2248" spans="1:11" ht="42" customHeight="1">
      <c r="A2248" s="2" t="s">
        <v>4871</v>
      </c>
      <c r="B2248" s="2" t="s">
        <v>4871</v>
      </c>
      <c r="C2248" s="2" t="s">
        <v>26</v>
      </c>
      <c r="D2248" s="2" t="s">
        <v>27</v>
      </c>
      <c r="E2248" s="5">
        <v>-29108</v>
      </c>
      <c r="F2248" s="3" t="s">
        <v>304</v>
      </c>
      <c r="G2248" s="3" t="s">
        <v>20</v>
      </c>
      <c r="H2248" s="2" t="s">
        <v>21</v>
      </c>
      <c r="I2248" s="2" t="s">
        <v>4879</v>
      </c>
      <c r="J2248" s="3" t="str">
        <f>HYPERLINK("https://www.boe.es/gazeta/dias/1820/04/20/pdfs/GMD-1820-68.pdf#page=4","Abrir facsímil")</f>
        <v>Abrir facsímil</v>
      </c>
      <c r="K2248" s="3" t="s">
        <v>23</v>
      </c>
    </row>
    <row r="2249" spans="1:11" ht="42" customHeight="1">
      <c r="A2249" s="2" t="s">
        <v>4871</v>
      </c>
      <c r="B2249" s="2" t="s">
        <v>4871</v>
      </c>
      <c r="C2249" s="2" t="s">
        <v>74</v>
      </c>
      <c r="D2249" s="2" t="s">
        <v>310</v>
      </c>
      <c r="E2249" s="5">
        <v>-29027</v>
      </c>
      <c r="F2249" s="3" t="s">
        <v>4403</v>
      </c>
      <c r="G2249" s="3" t="s">
        <v>128</v>
      </c>
      <c r="H2249" s="2" t="s">
        <v>21</v>
      </c>
      <c r="I2249" s="2" t="s">
        <v>4880</v>
      </c>
      <c r="J2249" s="3" t="str">
        <f>HYPERLINK("https://www.boe.es/gazeta/dias/1820/07/10/pdfs/GGB-1820-12E.pdf#page=1","Abrir facsímil")</f>
        <v>Abrir facsímil</v>
      </c>
      <c r="K2249" s="3" t="s">
        <v>23</v>
      </c>
    </row>
    <row r="2250" spans="1:11" ht="42" customHeight="1">
      <c r="A2250" s="2" t="s">
        <v>4871</v>
      </c>
      <c r="B2250" s="2" t="s">
        <v>4871</v>
      </c>
      <c r="C2250" s="2" t="s">
        <v>26</v>
      </c>
      <c r="D2250" s="2" t="s">
        <v>27</v>
      </c>
      <c r="E2250" s="5">
        <v>-29025</v>
      </c>
      <c r="F2250" s="3" t="s">
        <v>902</v>
      </c>
      <c r="G2250" s="3" t="s">
        <v>128</v>
      </c>
      <c r="H2250" s="2" t="s">
        <v>21</v>
      </c>
      <c r="I2250" s="2" t="s">
        <v>4881</v>
      </c>
      <c r="J2250" s="3" t="str">
        <f>HYPERLINK("https://www.boe.es/gazeta/dias/1820/07/12/pdfs/GGB-1820-14.pdf#page=1","Abrir facsímil")</f>
        <v>Abrir facsímil</v>
      </c>
      <c r="K2250" s="3" t="s">
        <v>23</v>
      </c>
    </row>
    <row r="2251" spans="1:11" ht="42" customHeight="1">
      <c r="A2251" s="2" t="s">
        <v>4871</v>
      </c>
      <c r="B2251" s="2" t="s">
        <v>4871</v>
      </c>
      <c r="C2251" s="2" t="s">
        <v>293</v>
      </c>
      <c r="D2251" s="2" t="s">
        <v>18</v>
      </c>
      <c r="E2251" s="5">
        <v>-29025</v>
      </c>
      <c r="F2251" s="3" t="s">
        <v>902</v>
      </c>
      <c r="G2251" s="3" t="s">
        <v>20</v>
      </c>
      <c r="H2251" s="2" t="s">
        <v>21</v>
      </c>
      <c r="I2251" s="2" t="s">
        <v>4882</v>
      </c>
      <c r="J2251" s="3" t="str">
        <f>HYPERLINK("https://www.boe.es/gazeta/dias/1820/07/12/pdfs/GGB-1820-14.pdf#page=4","Abrir facsímil")</f>
        <v>Abrir facsímil</v>
      </c>
      <c r="K2251" s="3" t="s">
        <v>23</v>
      </c>
    </row>
    <row r="2252" spans="1:11" ht="42" customHeight="1">
      <c r="A2252" s="2" t="s">
        <v>4871</v>
      </c>
      <c r="B2252" s="2" t="s">
        <v>4871</v>
      </c>
      <c r="C2252" s="2" t="s">
        <v>35</v>
      </c>
      <c r="D2252" s="2" t="s">
        <v>36</v>
      </c>
      <c r="E2252" s="5">
        <v>-29010</v>
      </c>
      <c r="F2252" s="3" t="s">
        <v>664</v>
      </c>
      <c r="G2252" s="3" t="s">
        <v>773</v>
      </c>
      <c r="H2252" s="2" t="s">
        <v>21</v>
      </c>
      <c r="I2252" s="2" t="s">
        <v>4883</v>
      </c>
      <c r="J2252" s="3" t="str">
        <f>HYPERLINK("https://www.boe.es/gazeta/dias/1820/07/27/pdfs/GGB-1820-29.pdf#page=4","Abrir facsímil")</f>
        <v>Abrir facsímil</v>
      </c>
      <c r="K2252" s="3" t="s">
        <v>23</v>
      </c>
    </row>
    <row r="2253" spans="1:11" ht="42" customHeight="1">
      <c r="A2253" s="2" t="s">
        <v>4871</v>
      </c>
      <c r="B2253" s="2" t="s">
        <v>4871</v>
      </c>
      <c r="C2253" s="2" t="s">
        <v>35</v>
      </c>
      <c r="D2253" s="2" t="s">
        <v>36</v>
      </c>
      <c r="E2253" s="5">
        <v>-29009</v>
      </c>
      <c r="F2253" s="3" t="s">
        <v>605</v>
      </c>
      <c r="G2253" s="3" t="s">
        <v>20</v>
      </c>
      <c r="H2253" s="2" t="s">
        <v>21</v>
      </c>
      <c r="I2253" s="2" t="s">
        <v>4884</v>
      </c>
      <c r="J2253" s="3" t="str">
        <f>HYPERLINK("https://www.boe.es/gazeta/dias/1820/07/28/pdfs/GGB-1820-30.pdf#page=4","Abrir facsímil")</f>
        <v>Abrir facsímil</v>
      </c>
      <c r="K2253" s="3" t="s">
        <v>23</v>
      </c>
    </row>
    <row r="2254" spans="1:11" ht="42" customHeight="1">
      <c r="A2254" s="2" t="s">
        <v>4871</v>
      </c>
      <c r="B2254" s="2" t="s">
        <v>4871</v>
      </c>
      <c r="C2254" s="2" t="s">
        <v>26</v>
      </c>
      <c r="D2254" s="2" t="s">
        <v>27</v>
      </c>
      <c r="E2254" s="5">
        <v>-28997</v>
      </c>
      <c r="F2254" s="3" t="s">
        <v>1471</v>
      </c>
      <c r="G2254" s="3" t="s">
        <v>62</v>
      </c>
      <c r="H2254" s="2" t="s">
        <v>21</v>
      </c>
      <c r="I2254" s="2" t="s">
        <v>4885</v>
      </c>
      <c r="J2254" s="3" t="str">
        <f>HYPERLINK("https://www.boe.es/gazeta/dias/1820/08/09/pdfs/GGB-1820-42.pdf#page=3","Abrir facsímil")</f>
        <v>Abrir facsímil</v>
      </c>
      <c r="K2254" s="3" t="s">
        <v>23</v>
      </c>
    </row>
    <row r="2255" spans="1:11" ht="42" customHeight="1">
      <c r="A2255" s="2" t="s">
        <v>4871</v>
      </c>
      <c r="B2255" s="2" t="s">
        <v>4871</v>
      </c>
      <c r="C2255" s="2" t="s">
        <v>107</v>
      </c>
      <c r="D2255" s="2" t="s">
        <v>18</v>
      </c>
      <c r="E2255" s="5">
        <v>-28995</v>
      </c>
      <c r="F2255" s="3" t="s">
        <v>672</v>
      </c>
      <c r="G2255" s="3" t="s">
        <v>128</v>
      </c>
      <c r="H2255" s="2" t="s">
        <v>21</v>
      </c>
      <c r="I2255" s="2" t="s">
        <v>4886</v>
      </c>
      <c r="J2255" s="3" t="str">
        <f>HYPERLINK("https://www.boe.es/gazeta/dias/1820/08/11/pdfs/GGB-1820-44.pdf#page=1","Abrir facsímil")</f>
        <v>Abrir facsímil</v>
      </c>
      <c r="K2255" s="3" t="s">
        <v>23</v>
      </c>
    </row>
    <row r="2256" spans="1:11" ht="42" customHeight="1">
      <c r="A2256" s="2" t="s">
        <v>4871</v>
      </c>
      <c r="B2256" s="2" t="s">
        <v>4871</v>
      </c>
      <c r="C2256" s="2" t="s">
        <v>74</v>
      </c>
      <c r="D2256" s="2" t="s">
        <v>18</v>
      </c>
      <c r="E2256" s="5">
        <v>-28993</v>
      </c>
      <c r="F2256" s="3" t="s">
        <v>465</v>
      </c>
      <c r="G2256" s="3" t="s">
        <v>43</v>
      </c>
      <c r="H2256" s="2" t="s">
        <v>21</v>
      </c>
      <c r="I2256" s="2" t="s">
        <v>4887</v>
      </c>
      <c r="J2256" s="3" t="str">
        <f>HYPERLINK("https://www.boe.es/gazeta/dias/1820/08/13/pdfs/GGB-1820-46.pdf#page=2","Abrir facsímil")</f>
        <v>Abrir facsímil</v>
      </c>
      <c r="K2256" s="3" t="s">
        <v>23</v>
      </c>
    </row>
    <row r="2257" spans="1:11" ht="42" customHeight="1">
      <c r="A2257" s="2" t="s">
        <v>4871</v>
      </c>
      <c r="B2257" s="2" t="s">
        <v>4871</v>
      </c>
      <c r="C2257" s="2" t="s">
        <v>26</v>
      </c>
      <c r="D2257" s="2" t="s">
        <v>27</v>
      </c>
      <c r="E2257" s="5">
        <v>-28992</v>
      </c>
      <c r="F2257" s="3" t="s">
        <v>587</v>
      </c>
      <c r="G2257" s="3" t="s">
        <v>20</v>
      </c>
      <c r="H2257" s="2" t="s">
        <v>21</v>
      </c>
      <c r="I2257" s="2" t="s">
        <v>4888</v>
      </c>
      <c r="J2257" s="3" t="str">
        <f>HYPERLINK("https://www.boe.es/gazeta/dias/1820/08/14/pdfs/GGB-1820-47.pdf#page=4","Abrir facsímil")</f>
        <v>Abrir facsímil</v>
      </c>
      <c r="K2257" s="3" t="s">
        <v>23</v>
      </c>
    </row>
    <row r="2258" spans="1:11" ht="42" customHeight="1">
      <c r="A2258" s="2" t="s">
        <v>4871</v>
      </c>
      <c r="B2258" s="2" t="s">
        <v>4871</v>
      </c>
      <c r="C2258" s="2" t="s">
        <v>35</v>
      </c>
      <c r="D2258" s="2" t="s">
        <v>36</v>
      </c>
      <c r="E2258" s="5">
        <v>-28988</v>
      </c>
      <c r="F2258" s="3" t="s">
        <v>618</v>
      </c>
      <c r="G2258" s="3" t="s">
        <v>20</v>
      </c>
      <c r="H2258" s="2" t="s">
        <v>21</v>
      </c>
      <c r="I2258" s="2" t="s">
        <v>4889</v>
      </c>
      <c r="J2258" s="3" t="str">
        <f>HYPERLINK("https://www.boe.es/gazeta/dias/1820/08/18/pdfs/GGB-1820-51.pdf#page=4","Abrir facsímil")</f>
        <v>Abrir facsímil</v>
      </c>
      <c r="K2258" s="3" t="s">
        <v>23</v>
      </c>
    </row>
    <row r="2259" spans="1:11" ht="42" customHeight="1">
      <c r="A2259" s="2" t="s">
        <v>4871</v>
      </c>
      <c r="B2259" s="2" t="s">
        <v>4871</v>
      </c>
      <c r="C2259" s="2" t="s">
        <v>35</v>
      </c>
      <c r="D2259" s="2" t="s">
        <v>36</v>
      </c>
      <c r="E2259" s="5">
        <v>-28983</v>
      </c>
      <c r="F2259" s="3" t="s">
        <v>682</v>
      </c>
      <c r="G2259" s="3" t="s">
        <v>62</v>
      </c>
      <c r="H2259" s="2" t="s">
        <v>21</v>
      </c>
      <c r="I2259" s="2" t="s">
        <v>4890</v>
      </c>
      <c r="J2259" s="3" t="str">
        <f>HYPERLINK("https://www.boe.es/gazeta/dias/1820/08/23/pdfs/GGB-1820-56.pdf#page=3","Abrir facsímil")</f>
        <v>Abrir facsímil</v>
      </c>
      <c r="K2259" s="3" t="s">
        <v>23</v>
      </c>
    </row>
    <row r="2260" spans="1:11" ht="42" customHeight="1">
      <c r="A2260" s="2" t="s">
        <v>4871</v>
      </c>
      <c r="B2260" s="2" t="s">
        <v>4871</v>
      </c>
      <c r="C2260" s="2" t="s">
        <v>293</v>
      </c>
      <c r="D2260" s="2" t="s">
        <v>18</v>
      </c>
      <c r="E2260" s="5">
        <v>-28981</v>
      </c>
      <c r="F2260" s="3" t="s">
        <v>42</v>
      </c>
      <c r="G2260" s="3" t="s">
        <v>20</v>
      </c>
      <c r="H2260" s="2" t="s">
        <v>21</v>
      </c>
      <c r="I2260" s="2" t="s">
        <v>4891</v>
      </c>
      <c r="J2260" s="3" t="str">
        <f>HYPERLINK("https://www.boe.es/gazeta/dias/1820/08/25/pdfs/GGB-1820-58.pdf#page=4","Abrir facsímil")</f>
        <v>Abrir facsímil</v>
      </c>
      <c r="K2260" s="3" t="s">
        <v>23</v>
      </c>
    </row>
    <row r="2261" spans="1:11" ht="42" customHeight="1">
      <c r="A2261" s="2" t="s">
        <v>4871</v>
      </c>
      <c r="B2261" s="2" t="s">
        <v>4871</v>
      </c>
      <c r="C2261" s="2" t="s">
        <v>293</v>
      </c>
      <c r="D2261" s="2" t="s">
        <v>18</v>
      </c>
      <c r="E2261" s="5">
        <v>-28979</v>
      </c>
      <c r="F2261" s="3" t="s">
        <v>218</v>
      </c>
      <c r="G2261" s="3" t="s">
        <v>20</v>
      </c>
      <c r="H2261" s="2" t="s">
        <v>21</v>
      </c>
      <c r="I2261" s="2" t="s">
        <v>4892</v>
      </c>
      <c r="J2261" s="3" t="str">
        <f>HYPERLINK("https://www.boe.es/gazeta/dias/1820/08/27/pdfs/GGB-1820-60.pdf#page=4","Abrir facsímil")</f>
        <v>Abrir facsímil</v>
      </c>
      <c r="K2261" s="3" t="s">
        <v>23</v>
      </c>
    </row>
    <row r="2262" spans="1:11" ht="42" customHeight="1">
      <c r="A2262" s="2" t="s">
        <v>4871</v>
      </c>
      <c r="B2262" s="2" t="s">
        <v>4871</v>
      </c>
      <c r="C2262" s="2" t="s">
        <v>26</v>
      </c>
      <c r="D2262" s="2" t="s">
        <v>27</v>
      </c>
      <c r="E2262" s="5">
        <v>-28973</v>
      </c>
      <c r="F2262" s="3" t="s">
        <v>151</v>
      </c>
      <c r="G2262" s="3" t="s">
        <v>43</v>
      </c>
      <c r="H2262" s="2" t="s">
        <v>21</v>
      </c>
      <c r="I2262" s="2" t="s">
        <v>4893</v>
      </c>
      <c r="J2262" s="3" t="str">
        <f>HYPERLINK("https://www.boe.es/gazeta/dias/1820/09/02/pdfs/GGB-1820-66.pdf#page=2","Abrir facsímil")</f>
        <v>Abrir facsímil</v>
      </c>
      <c r="K2262" s="3" t="s">
        <v>23</v>
      </c>
    </row>
    <row r="2263" spans="1:11" ht="42" customHeight="1">
      <c r="A2263" s="2" t="s">
        <v>4871</v>
      </c>
      <c r="B2263" s="2" t="s">
        <v>4871</v>
      </c>
      <c r="C2263" s="2" t="s">
        <v>26</v>
      </c>
      <c r="D2263" s="2" t="s">
        <v>27</v>
      </c>
      <c r="E2263" s="5">
        <v>-28963</v>
      </c>
      <c r="F2263" s="3" t="s">
        <v>94</v>
      </c>
      <c r="G2263" s="3" t="s">
        <v>128</v>
      </c>
      <c r="H2263" s="2" t="s">
        <v>21</v>
      </c>
      <c r="I2263" s="2" t="s">
        <v>4894</v>
      </c>
      <c r="J2263" s="3" t="str">
        <f>HYPERLINK("https://www.boe.es/gazeta/dias/1820/09/12/pdfs/GGB-1820-76.pdf#page=1","Abrir facsímil")</f>
        <v>Abrir facsímil</v>
      </c>
      <c r="K2263" s="3" t="s">
        <v>23</v>
      </c>
    </row>
    <row r="2264" spans="1:11" ht="42" customHeight="1">
      <c r="A2264" s="2" t="s">
        <v>4871</v>
      </c>
      <c r="B2264" s="2" t="s">
        <v>4871</v>
      </c>
      <c r="C2264" s="2" t="s">
        <v>26</v>
      </c>
      <c r="D2264" s="2" t="s">
        <v>27</v>
      </c>
      <c r="E2264" s="5">
        <v>-28960</v>
      </c>
      <c r="F2264" s="3" t="s">
        <v>704</v>
      </c>
      <c r="G2264" s="3" t="s">
        <v>62</v>
      </c>
      <c r="H2264" s="2" t="s">
        <v>21</v>
      </c>
      <c r="I2264" s="2" t="s">
        <v>4895</v>
      </c>
      <c r="J2264" s="3" t="str">
        <f>HYPERLINK("https://www.boe.es/gazeta/dias/1820/09/15/pdfs/GGB-1820-79.pdf#page=3","Abrir facsímil")</f>
        <v>Abrir facsímil</v>
      </c>
      <c r="K2264" s="3" t="s">
        <v>23</v>
      </c>
    </row>
    <row r="2265" spans="1:11" ht="42" customHeight="1">
      <c r="A2265" s="2" t="s">
        <v>4871</v>
      </c>
      <c r="B2265" s="2" t="s">
        <v>4871</v>
      </c>
      <c r="C2265" s="2" t="s">
        <v>293</v>
      </c>
      <c r="D2265" s="2" t="s">
        <v>18</v>
      </c>
      <c r="E2265" s="5">
        <v>-28960</v>
      </c>
      <c r="F2265" s="3" t="s">
        <v>704</v>
      </c>
      <c r="G2265" s="3" t="s">
        <v>20</v>
      </c>
      <c r="H2265" s="2" t="s">
        <v>21</v>
      </c>
      <c r="I2265" s="2" t="s">
        <v>4896</v>
      </c>
      <c r="J2265" s="3" t="str">
        <f>HYPERLINK("https://www.boe.es/gazeta/dias/1820/09/15/pdfs/GGB-1820-79.pdf#page=4","Abrir facsímil")</f>
        <v>Abrir facsímil</v>
      </c>
      <c r="K2265" s="3" t="s">
        <v>23</v>
      </c>
    </row>
    <row r="2266" spans="1:11" ht="42" customHeight="1">
      <c r="A2266" s="2" t="s">
        <v>4871</v>
      </c>
      <c r="B2266" s="2" t="s">
        <v>4871</v>
      </c>
      <c r="C2266" s="2" t="s">
        <v>293</v>
      </c>
      <c r="D2266" s="2" t="s">
        <v>18</v>
      </c>
      <c r="E2266" s="5">
        <v>-28958</v>
      </c>
      <c r="F2266" s="3" t="s">
        <v>706</v>
      </c>
      <c r="G2266" s="3" t="s">
        <v>20</v>
      </c>
      <c r="H2266" s="2" t="s">
        <v>21</v>
      </c>
      <c r="I2266" s="2" t="s">
        <v>4897</v>
      </c>
      <c r="J2266" s="3" t="str">
        <f>HYPERLINK("https://www.boe.es/gazeta/dias/1820/09/17/pdfs/GGB-1820-81.pdf#page=4","Abrir facsímil")</f>
        <v>Abrir facsímil</v>
      </c>
      <c r="K2266" s="3" t="s">
        <v>23</v>
      </c>
    </row>
    <row r="2267" spans="1:11" ht="42" customHeight="1">
      <c r="A2267" s="2" t="s">
        <v>4871</v>
      </c>
      <c r="B2267" s="2" t="s">
        <v>4871</v>
      </c>
      <c r="C2267" s="2" t="s">
        <v>293</v>
      </c>
      <c r="D2267" s="2" t="s">
        <v>18</v>
      </c>
      <c r="E2267" s="5">
        <v>-28953</v>
      </c>
      <c r="F2267" s="3" t="s">
        <v>367</v>
      </c>
      <c r="G2267" s="3" t="s">
        <v>20</v>
      </c>
      <c r="H2267" s="2" t="s">
        <v>21</v>
      </c>
      <c r="I2267" s="2" t="s">
        <v>4898</v>
      </c>
      <c r="J2267" s="3" t="str">
        <f>HYPERLINK("https://www.boe.es/gazeta/dias/1820/09/22/pdfs/GGB-1820-86.pdf#page=4","Abrir facsímil")</f>
        <v>Abrir facsímil</v>
      </c>
      <c r="K2267" s="3" t="s">
        <v>23</v>
      </c>
    </row>
    <row r="2268" spans="1:11" ht="42" customHeight="1">
      <c r="A2268" s="2" t="s">
        <v>4871</v>
      </c>
      <c r="B2268" s="2" t="s">
        <v>4871</v>
      </c>
      <c r="C2268" s="2" t="s">
        <v>26</v>
      </c>
      <c r="D2268" s="2" t="s">
        <v>27</v>
      </c>
      <c r="E2268" s="5">
        <v>-28952</v>
      </c>
      <c r="F2268" s="3" t="s">
        <v>370</v>
      </c>
      <c r="G2268" s="3" t="s">
        <v>20</v>
      </c>
      <c r="H2268" s="2" t="s">
        <v>21</v>
      </c>
      <c r="I2268" s="2" t="s">
        <v>4899</v>
      </c>
      <c r="J2268" s="3" t="str">
        <f>HYPERLINK("https://www.boe.es/gazeta/dias/1820/09/23/pdfs/GGB-1820-87.pdf#page=4","Abrir facsímil")</f>
        <v>Abrir facsímil</v>
      </c>
      <c r="K2268" s="3" t="s">
        <v>23</v>
      </c>
    </row>
    <row r="2269" spans="1:11" ht="42" customHeight="1">
      <c r="A2269" s="2" t="s">
        <v>4871</v>
      </c>
      <c r="B2269" s="2" t="s">
        <v>4871</v>
      </c>
      <c r="C2269" s="2" t="s">
        <v>35</v>
      </c>
      <c r="D2269" s="2" t="s">
        <v>36</v>
      </c>
      <c r="E2269" s="5">
        <v>-28949</v>
      </c>
      <c r="F2269" s="3" t="s">
        <v>178</v>
      </c>
      <c r="G2269" s="3" t="s">
        <v>20</v>
      </c>
      <c r="H2269" s="2" t="s">
        <v>21</v>
      </c>
      <c r="I2269" s="2" t="s">
        <v>4900</v>
      </c>
      <c r="J2269" s="3" t="str">
        <f>HYPERLINK("https://www.boe.es/gazeta/dias/1820/09/26/pdfs/GGB-1820-90.pdf#page=4","Abrir facsímil")</f>
        <v>Abrir facsímil</v>
      </c>
      <c r="K2269" s="3" t="s">
        <v>23</v>
      </c>
    </row>
    <row r="2270" spans="1:11" ht="42" customHeight="1">
      <c r="A2270" s="2" t="s">
        <v>4871</v>
      </c>
      <c r="B2270" s="2" t="s">
        <v>4871</v>
      </c>
      <c r="C2270" s="2" t="s">
        <v>74</v>
      </c>
      <c r="D2270" s="2" t="s">
        <v>18</v>
      </c>
      <c r="E2270" s="5">
        <v>-28944</v>
      </c>
      <c r="F2270" s="3" t="s">
        <v>990</v>
      </c>
      <c r="G2270" s="3" t="s">
        <v>1174</v>
      </c>
      <c r="H2270" s="2" t="s">
        <v>21</v>
      </c>
      <c r="I2270" s="2" t="s">
        <v>4901</v>
      </c>
      <c r="J2270" s="3" t="str">
        <f>HYPERLINK("https://www.boe.es/gazeta/dias/1820/10/01/pdfs/GGB-1820-95.pdf#page=4","Abrir facsímil")</f>
        <v>Abrir facsímil</v>
      </c>
      <c r="K2270" s="3" t="s">
        <v>23</v>
      </c>
    </row>
    <row r="2271" spans="1:11" ht="42" customHeight="1">
      <c r="A2271" s="2" t="s">
        <v>4871</v>
      </c>
      <c r="B2271" s="2" t="s">
        <v>4871</v>
      </c>
      <c r="C2271" s="2" t="s">
        <v>35</v>
      </c>
      <c r="D2271" s="2" t="s">
        <v>36</v>
      </c>
      <c r="E2271" s="5">
        <v>-28936</v>
      </c>
      <c r="F2271" s="3" t="s">
        <v>167</v>
      </c>
      <c r="G2271" s="3" t="s">
        <v>20</v>
      </c>
      <c r="H2271" s="2" t="s">
        <v>21</v>
      </c>
      <c r="I2271" s="2" t="s">
        <v>4902</v>
      </c>
      <c r="J2271" s="3" t="str">
        <f>HYPERLINK("https://www.boe.es/gazeta/dias/1820/10/09/pdfs/GGB-1820-103.pdf#page=4","Abrir facsímil")</f>
        <v>Abrir facsímil</v>
      </c>
      <c r="K2271" s="3" t="s">
        <v>23</v>
      </c>
    </row>
    <row r="2272" spans="1:11" ht="42" customHeight="1">
      <c r="A2272" s="2" t="s">
        <v>4871</v>
      </c>
      <c r="B2272" s="2" t="s">
        <v>4871</v>
      </c>
      <c r="C2272" s="2" t="s">
        <v>74</v>
      </c>
      <c r="D2272" s="2" t="s">
        <v>18</v>
      </c>
      <c r="E2272" s="5">
        <v>-28931</v>
      </c>
      <c r="F2272" s="3" t="s">
        <v>724</v>
      </c>
      <c r="G2272" s="3" t="s">
        <v>725</v>
      </c>
      <c r="H2272" s="2" t="s">
        <v>21</v>
      </c>
      <c r="I2272" s="2" t="s">
        <v>4903</v>
      </c>
      <c r="J2272" s="3" t="str">
        <f>HYPERLINK("https://www.boe.es/gazeta/dias/1820/10/14/pdfs/GGB-1820-108.pdf#page=3","Abrir facsímil")</f>
        <v>Abrir facsímil</v>
      </c>
      <c r="K2272" s="3" t="s">
        <v>23</v>
      </c>
    </row>
    <row r="2273" spans="1:11" ht="42" customHeight="1">
      <c r="A2273" s="2" t="s">
        <v>4871</v>
      </c>
      <c r="B2273" s="2" t="s">
        <v>4871</v>
      </c>
      <c r="C2273" s="2" t="s">
        <v>293</v>
      </c>
      <c r="D2273" s="2" t="s">
        <v>18</v>
      </c>
      <c r="E2273" s="5">
        <v>-28930</v>
      </c>
      <c r="F2273" s="3" t="s">
        <v>372</v>
      </c>
      <c r="G2273" s="3" t="s">
        <v>62</v>
      </c>
      <c r="H2273" s="2" t="s">
        <v>21</v>
      </c>
      <c r="I2273" s="2" t="s">
        <v>4904</v>
      </c>
      <c r="J2273" s="3" t="str">
        <f>HYPERLINK("https://www.boe.es/gazeta/dias/1820/10/15/pdfs/GGB-1820-109.pdf#page=3","Abrir facsímil")</f>
        <v>Abrir facsímil</v>
      </c>
      <c r="K2273" s="3" t="s">
        <v>23</v>
      </c>
    </row>
    <row r="2274" spans="1:11" ht="42" customHeight="1">
      <c r="A2274" s="2" t="s">
        <v>4871</v>
      </c>
      <c r="B2274" s="2" t="s">
        <v>4871</v>
      </c>
      <c r="C2274" s="2" t="s">
        <v>35</v>
      </c>
      <c r="D2274" s="2" t="s">
        <v>36</v>
      </c>
      <c r="E2274" s="5">
        <v>-28926</v>
      </c>
      <c r="F2274" s="3" t="s">
        <v>597</v>
      </c>
      <c r="G2274" s="3" t="s">
        <v>43</v>
      </c>
      <c r="H2274" s="2" t="s">
        <v>21</v>
      </c>
      <c r="I2274" s="2" t="s">
        <v>4905</v>
      </c>
      <c r="J2274" s="3" t="str">
        <f>HYPERLINK("https://www.boe.es/gazeta/dias/1820/10/19/pdfs/GGB-1820-113.pdf#page=2","Abrir facsímil")</f>
        <v>Abrir facsímil</v>
      </c>
      <c r="K2274" s="3" t="s">
        <v>23</v>
      </c>
    </row>
    <row r="2275" spans="1:11" ht="42" customHeight="1">
      <c r="A2275" s="2" t="s">
        <v>4871</v>
      </c>
      <c r="B2275" s="2" t="s">
        <v>4871</v>
      </c>
      <c r="C2275" s="2" t="s">
        <v>293</v>
      </c>
      <c r="D2275" s="2" t="s">
        <v>18</v>
      </c>
      <c r="E2275" s="5">
        <v>-28926</v>
      </c>
      <c r="F2275" s="3" t="s">
        <v>597</v>
      </c>
      <c r="G2275" s="3" t="s">
        <v>20</v>
      </c>
      <c r="H2275" s="2" t="s">
        <v>21</v>
      </c>
      <c r="I2275" s="2" t="s">
        <v>4906</v>
      </c>
      <c r="J2275" s="3" t="str">
        <f>HYPERLINK("https://www.boe.es/gazeta/dias/1820/10/19/pdfs/GGB-1820-113.pdf#page=4","Abrir facsímil")</f>
        <v>Abrir facsímil</v>
      </c>
      <c r="K2275" s="3" t="s">
        <v>23</v>
      </c>
    </row>
    <row r="2276" spans="1:11" ht="42" customHeight="1">
      <c r="A2276" s="2" t="s">
        <v>4871</v>
      </c>
      <c r="B2276" s="2" t="s">
        <v>4871</v>
      </c>
      <c r="C2276" s="2" t="s">
        <v>26</v>
      </c>
      <c r="D2276" s="2" t="s">
        <v>27</v>
      </c>
      <c r="E2276" s="5">
        <v>-28925</v>
      </c>
      <c r="F2276" s="3" t="s">
        <v>228</v>
      </c>
      <c r="G2276" s="3" t="s">
        <v>128</v>
      </c>
      <c r="H2276" s="2" t="s">
        <v>21</v>
      </c>
      <c r="I2276" s="2" t="s">
        <v>4907</v>
      </c>
      <c r="J2276" s="3" t="str">
        <f>HYPERLINK("https://www.boe.es/gazeta/dias/1820/10/20/pdfs/GGB-1820-114.pdf#page=1","Abrir facsímil")</f>
        <v>Abrir facsímil</v>
      </c>
      <c r="K2276" s="3" t="s">
        <v>23</v>
      </c>
    </row>
    <row r="2277" spans="1:11" ht="42" customHeight="1">
      <c r="A2277" s="2" t="s">
        <v>4871</v>
      </c>
      <c r="B2277" s="2" t="s">
        <v>4871</v>
      </c>
      <c r="C2277" s="2" t="s">
        <v>26</v>
      </c>
      <c r="D2277" s="2" t="s">
        <v>27</v>
      </c>
      <c r="E2277" s="5">
        <v>-28925</v>
      </c>
      <c r="F2277" s="3" t="s">
        <v>228</v>
      </c>
      <c r="G2277" s="3" t="s">
        <v>43</v>
      </c>
      <c r="H2277" s="2" t="s">
        <v>21</v>
      </c>
      <c r="I2277" s="2" t="s">
        <v>4908</v>
      </c>
      <c r="J2277" s="3" t="str">
        <f>HYPERLINK("https://www.boe.es/gazeta/dias/1820/10/20/pdfs/GGB-1820-114.pdf#page=2","Abrir facsímil")</f>
        <v>Abrir facsímil</v>
      </c>
      <c r="K2277" s="3" t="s">
        <v>23</v>
      </c>
    </row>
    <row r="2278" spans="1:11" ht="42" customHeight="1">
      <c r="A2278" s="2" t="s">
        <v>4871</v>
      </c>
      <c r="B2278" s="2" t="s">
        <v>4871</v>
      </c>
      <c r="C2278" s="2" t="s">
        <v>17</v>
      </c>
      <c r="D2278" s="2" t="s">
        <v>18</v>
      </c>
      <c r="E2278" s="5">
        <v>-28924</v>
      </c>
      <c r="F2278" s="3" t="s">
        <v>78</v>
      </c>
      <c r="G2278" s="3" t="s">
        <v>43</v>
      </c>
      <c r="H2278" s="2" t="s">
        <v>21</v>
      </c>
      <c r="I2278" s="2" t="s">
        <v>4909</v>
      </c>
      <c r="J2278" s="3" t="str">
        <f>HYPERLINK("https://www.boe.es/gazeta/dias/1820/10/21/pdfs/GGB-1820-115.pdf#page=2","Abrir facsímil")</f>
        <v>Abrir facsímil</v>
      </c>
      <c r="K2278" s="3" t="s">
        <v>23</v>
      </c>
    </row>
    <row r="2279" spans="1:11" ht="42" customHeight="1">
      <c r="A2279" s="2" t="s">
        <v>4871</v>
      </c>
      <c r="B2279" s="2" t="s">
        <v>4871</v>
      </c>
      <c r="C2279" s="2" t="s">
        <v>293</v>
      </c>
      <c r="D2279" s="2" t="s">
        <v>18</v>
      </c>
      <c r="E2279" s="5">
        <v>-28922</v>
      </c>
      <c r="F2279" s="3" t="s">
        <v>735</v>
      </c>
      <c r="G2279" s="3" t="s">
        <v>20</v>
      </c>
      <c r="H2279" s="2" t="s">
        <v>21</v>
      </c>
      <c r="I2279" s="2" t="s">
        <v>4910</v>
      </c>
      <c r="J2279" s="3" t="str">
        <f>HYPERLINK("https://www.boe.es/gazeta/dias/1820/10/23/pdfs/GGB-1820-117.pdf#page=4","Abrir facsímil")</f>
        <v>Abrir facsímil</v>
      </c>
      <c r="K2279" s="3" t="s">
        <v>23</v>
      </c>
    </row>
    <row r="2280" spans="1:11" ht="42" customHeight="1">
      <c r="A2280" s="2" t="s">
        <v>4871</v>
      </c>
      <c r="B2280" s="2" t="s">
        <v>4871</v>
      </c>
      <c r="C2280" s="2" t="s">
        <v>293</v>
      </c>
      <c r="D2280" s="2" t="s">
        <v>18</v>
      </c>
      <c r="E2280" s="5">
        <v>-28921</v>
      </c>
      <c r="F2280" s="3" t="s">
        <v>738</v>
      </c>
      <c r="G2280" s="3" t="s">
        <v>20</v>
      </c>
      <c r="H2280" s="2" t="s">
        <v>21</v>
      </c>
      <c r="I2280" s="2" t="s">
        <v>4911</v>
      </c>
      <c r="J2280" s="3" t="str">
        <f>HYPERLINK("https://www.boe.es/gazeta/dias/1820/10/24/pdfs/GGB-1820-118.pdf#page=4","Abrir facsímil")</f>
        <v>Abrir facsímil</v>
      </c>
      <c r="K2280" s="3" t="s">
        <v>23</v>
      </c>
    </row>
    <row r="2281" spans="1:11" ht="42" customHeight="1">
      <c r="A2281" s="2" t="s">
        <v>4871</v>
      </c>
      <c r="B2281" s="2" t="s">
        <v>4871</v>
      </c>
      <c r="C2281" s="2" t="s">
        <v>293</v>
      </c>
      <c r="D2281" s="2" t="s">
        <v>18</v>
      </c>
      <c r="E2281" s="5">
        <v>-28919</v>
      </c>
      <c r="F2281" s="3" t="s">
        <v>516</v>
      </c>
      <c r="G2281" s="3" t="s">
        <v>20</v>
      </c>
      <c r="H2281" s="2" t="s">
        <v>21</v>
      </c>
      <c r="I2281" s="2" t="s">
        <v>4912</v>
      </c>
      <c r="J2281" s="3" t="str">
        <f>HYPERLINK("https://www.boe.es/gazeta/dias/1820/10/26/pdfs/GGB-1820-120.pdf#page=4","Abrir facsímil")</f>
        <v>Abrir facsímil</v>
      </c>
      <c r="K2281" s="3" t="s">
        <v>23</v>
      </c>
    </row>
    <row r="2282" spans="1:11" ht="42" customHeight="1">
      <c r="A2282" s="2" t="s">
        <v>4871</v>
      </c>
      <c r="B2282" s="2" t="s">
        <v>4871</v>
      </c>
      <c r="C2282" s="2" t="s">
        <v>35</v>
      </c>
      <c r="D2282" s="2" t="s">
        <v>36</v>
      </c>
      <c r="E2282" s="5">
        <v>-28917</v>
      </c>
      <c r="F2282" s="3" t="s">
        <v>19</v>
      </c>
      <c r="G2282" s="3" t="s">
        <v>20</v>
      </c>
      <c r="H2282" s="2" t="s">
        <v>21</v>
      </c>
      <c r="I2282" s="2" t="s">
        <v>4913</v>
      </c>
      <c r="J2282" s="3" t="str">
        <f>HYPERLINK("https://www.boe.es/gazeta/dias/1820/10/28/pdfs/GGB-1820-122.pdf#page=4","Abrir facsímil")</f>
        <v>Abrir facsímil</v>
      </c>
      <c r="K2282" s="3" t="s">
        <v>23</v>
      </c>
    </row>
    <row r="2283" spans="1:11" ht="42" customHeight="1">
      <c r="A2283" s="2" t="s">
        <v>4871</v>
      </c>
      <c r="B2283" s="2" t="s">
        <v>4871</v>
      </c>
      <c r="C2283" s="2" t="s">
        <v>35</v>
      </c>
      <c r="D2283" s="2" t="s">
        <v>36</v>
      </c>
      <c r="E2283" s="5">
        <v>-28911</v>
      </c>
      <c r="F2283" s="3" t="s">
        <v>82</v>
      </c>
      <c r="G2283" s="3" t="s">
        <v>43</v>
      </c>
      <c r="H2283" s="2" t="s">
        <v>21</v>
      </c>
      <c r="I2283" s="2" t="s">
        <v>4914</v>
      </c>
      <c r="J2283" s="3" t="str">
        <f>HYPERLINK("https://www.boe.es/gazeta/dias/1820/11/03/pdfs/GGB-1820-128.pdf#page=2","Abrir facsímil")</f>
        <v>Abrir facsímil</v>
      </c>
      <c r="K2283" s="3" t="s">
        <v>23</v>
      </c>
    </row>
    <row r="2284" spans="1:11" ht="42" customHeight="1">
      <c r="A2284" s="2" t="s">
        <v>4871</v>
      </c>
      <c r="B2284" s="2" t="s">
        <v>4871</v>
      </c>
      <c r="C2284" s="2" t="s">
        <v>17</v>
      </c>
      <c r="D2284" s="2" t="s">
        <v>18</v>
      </c>
      <c r="E2284" s="5">
        <v>-28907</v>
      </c>
      <c r="F2284" s="3" t="s">
        <v>374</v>
      </c>
      <c r="G2284" s="3" t="s">
        <v>43</v>
      </c>
      <c r="H2284" s="2" t="s">
        <v>21</v>
      </c>
      <c r="I2284" s="2" t="s">
        <v>4915</v>
      </c>
      <c r="J2284" s="3" t="str">
        <f>HYPERLINK("https://www.boe.es/gazeta/dias/1820/11/07/pdfs/GGB-1820-132.pdf#page=2","Abrir facsímil")</f>
        <v>Abrir facsímil</v>
      </c>
      <c r="K2284" s="3" t="s">
        <v>23</v>
      </c>
    </row>
    <row r="2285" spans="1:11" ht="42" customHeight="1">
      <c r="A2285" s="2" t="s">
        <v>4871</v>
      </c>
      <c r="B2285" s="2" t="s">
        <v>4871</v>
      </c>
      <c r="C2285" s="2" t="s">
        <v>293</v>
      </c>
      <c r="D2285" s="2" t="s">
        <v>18</v>
      </c>
      <c r="E2285" s="5">
        <v>-28899</v>
      </c>
      <c r="F2285" s="3" t="s">
        <v>285</v>
      </c>
      <c r="G2285" s="3" t="s">
        <v>62</v>
      </c>
      <c r="H2285" s="2" t="s">
        <v>21</v>
      </c>
      <c r="I2285" s="2" t="s">
        <v>4916</v>
      </c>
      <c r="J2285" s="3" t="str">
        <f>HYPERLINK("https://www.boe.es/gazeta/dias/1820/11/15/pdfs/GGB-1820-141.pdf#page=3","Abrir facsímil")</f>
        <v>Abrir facsímil</v>
      </c>
      <c r="K2285" s="3" t="s">
        <v>23</v>
      </c>
    </row>
    <row r="2286" spans="1:11" ht="42" customHeight="1">
      <c r="A2286" s="2" t="s">
        <v>4871</v>
      </c>
      <c r="B2286" s="2" t="s">
        <v>4871</v>
      </c>
      <c r="C2286" s="2" t="s">
        <v>111</v>
      </c>
      <c r="D2286" s="2" t="s">
        <v>18</v>
      </c>
      <c r="E2286" s="5">
        <v>-28898</v>
      </c>
      <c r="F2286" s="3" t="s">
        <v>1405</v>
      </c>
      <c r="G2286" s="3" t="s">
        <v>20</v>
      </c>
      <c r="H2286" s="2" t="s">
        <v>21</v>
      </c>
      <c r="I2286" s="2" t="s">
        <v>4917</v>
      </c>
      <c r="J2286" s="3" t="str">
        <f>HYPERLINK("https://www.boe.es/gazeta/dias/1820/11/16/pdfs/GGB-1820-142.pdf#page=4","Abrir facsímil")</f>
        <v>Abrir facsímil</v>
      </c>
      <c r="K2286" s="3" t="s">
        <v>23</v>
      </c>
    </row>
    <row r="2287" spans="1:11" ht="42" customHeight="1">
      <c r="A2287" s="2" t="s">
        <v>4871</v>
      </c>
      <c r="B2287" s="2" t="s">
        <v>4871</v>
      </c>
      <c r="C2287" s="2" t="s">
        <v>293</v>
      </c>
      <c r="D2287" s="2" t="s">
        <v>18</v>
      </c>
      <c r="E2287" s="5">
        <v>-28897</v>
      </c>
      <c r="F2287" s="3" t="s">
        <v>1935</v>
      </c>
      <c r="G2287" s="3" t="s">
        <v>62</v>
      </c>
      <c r="H2287" s="2" t="s">
        <v>21</v>
      </c>
      <c r="I2287" s="2" t="s">
        <v>4918</v>
      </c>
      <c r="J2287" s="3" t="str">
        <f>HYPERLINK("https://www.boe.es/gazeta/dias/1820/11/17/pdfs/GGB-1820-143.pdf#page=3","Abrir facsímil")</f>
        <v>Abrir facsímil</v>
      </c>
      <c r="K2287" s="3" t="s">
        <v>23</v>
      </c>
    </row>
    <row r="2288" spans="1:11" ht="42" customHeight="1">
      <c r="A2288" s="2" t="s">
        <v>4871</v>
      </c>
      <c r="B2288" s="2" t="s">
        <v>4871</v>
      </c>
      <c r="C2288" s="2" t="s">
        <v>293</v>
      </c>
      <c r="D2288" s="2" t="s">
        <v>18</v>
      </c>
      <c r="E2288" s="5">
        <v>-28896</v>
      </c>
      <c r="F2288" s="3" t="s">
        <v>1268</v>
      </c>
      <c r="G2288" s="3" t="s">
        <v>62</v>
      </c>
      <c r="H2288" s="2" t="s">
        <v>21</v>
      </c>
      <c r="I2288" s="2" t="s">
        <v>4919</v>
      </c>
      <c r="J2288" s="3" t="str">
        <f>HYPERLINK("https://www.boe.es/gazeta/dias/1820/11/18/pdfs/GGB-1820-144.pdf#page=3","Abrir facsímil")</f>
        <v>Abrir facsímil</v>
      </c>
      <c r="K2288" s="3" t="s">
        <v>23</v>
      </c>
    </row>
    <row r="2289" spans="1:11" ht="42" customHeight="1">
      <c r="A2289" s="2" t="s">
        <v>4871</v>
      </c>
      <c r="B2289" s="2" t="s">
        <v>4871</v>
      </c>
      <c r="C2289" s="2" t="s">
        <v>26</v>
      </c>
      <c r="D2289" s="2" t="s">
        <v>27</v>
      </c>
      <c r="E2289" s="5">
        <v>-28893</v>
      </c>
      <c r="F2289" s="3" t="s">
        <v>546</v>
      </c>
      <c r="G2289" s="3" t="s">
        <v>62</v>
      </c>
      <c r="H2289" s="2" t="s">
        <v>21</v>
      </c>
      <c r="I2289" s="2" t="s">
        <v>4920</v>
      </c>
      <c r="J2289" s="3" t="str">
        <f>HYPERLINK("https://www.boe.es/gazeta/dias/1820/11/21/pdfs/GGB-1820-148.pdf#page=3","Abrir facsímil")</f>
        <v>Abrir facsímil</v>
      </c>
      <c r="K2289" s="3" t="s">
        <v>23</v>
      </c>
    </row>
    <row r="2290" spans="1:11" ht="42" customHeight="1">
      <c r="A2290" s="2" t="s">
        <v>4871</v>
      </c>
      <c r="B2290" s="2" t="s">
        <v>4871</v>
      </c>
      <c r="C2290" s="2" t="s">
        <v>26</v>
      </c>
      <c r="D2290" s="2" t="s">
        <v>27</v>
      </c>
      <c r="E2290" s="5">
        <v>-28892</v>
      </c>
      <c r="F2290" s="3" t="s">
        <v>3036</v>
      </c>
      <c r="G2290" s="3" t="s">
        <v>62</v>
      </c>
      <c r="H2290" s="2" t="s">
        <v>21</v>
      </c>
      <c r="I2290" s="2" t="s">
        <v>4921</v>
      </c>
      <c r="J2290" s="3" t="str">
        <f>HYPERLINK("https://www.boe.es/gazeta/dias/1820/11/22/pdfs/GGB-1820-149.pdf#page=3","Abrir facsímil")</f>
        <v>Abrir facsímil</v>
      </c>
      <c r="K2290" s="3" t="s">
        <v>23</v>
      </c>
    </row>
    <row r="2291" spans="1:11" ht="42" customHeight="1">
      <c r="A2291" s="2" t="s">
        <v>4871</v>
      </c>
      <c r="B2291" s="2" t="s">
        <v>4871</v>
      </c>
      <c r="C2291" s="2" t="s">
        <v>293</v>
      </c>
      <c r="D2291" s="2" t="s">
        <v>18</v>
      </c>
      <c r="E2291" s="5">
        <v>-28891</v>
      </c>
      <c r="F2291" s="3" t="s">
        <v>965</v>
      </c>
      <c r="G2291" s="3" t="s">
        <v>62</v>
      </c>
      <c r="H2291" s="2" t="s">
        <v>21</v>
      </c>
      <c r="I2291" s="2" t="s">
        <v>4922</v>
      </c>
      <c r="J2291" s="3" t="str">
        <f>HYPERLINK("https://www.boe.es/gazeta/dias/1820/11/23/pdfs/GGB-1820-150.pdf#page=3","Abrir facsímil")</f>
        <v>Abrir facsímil</v>
      </c>
      <c r="K2291" s="3" t="s">
        <v>23</v>
      </c>
    </row>
    <row r="2292" spans="1:11" ht="42" customHeight="1">
      <c r="A2292" s="2" t="s">
        <v>4871</v>
      </c>
      <c r="B2292" s="2" t="s">
        <v>4871</v>
      </c>
      <c r="C2292" s="2" t="s">
        <v>293</v>
      </c>
      <c r="D2292" s="2" t="s">
        <v>18</v>
      </c>
      <c r="E2292" s="5">
        <v>-28886</v>
      </c>
      <c r="F2292" s="3" t="s">
        <v>874</v>
      </c>
      <c r="G2292" s="3" t="s">
        <v>62</v>
      </c>
      <c r="H2292" s="2" t="s">
        <v>21</v>
      </c>
      <c r="I2292" s="2" t="s">
        <v>4923</v>
      </c>
      <c r="J2292" s="3" t="str">
        <f>HYPERLINK("https://www.boe.es/gazeta/dias/1820/11/28/pdfs/GGB-1820-155.pdf#page=3","Abrir facsímil")</f>
        <v>Abrir facsímil</v>
      </c>
      <c r="K2292" s="3" t="s">
        <v>23</v>
      </c>
    </row>
    <row r="2293" spans="1:11" ht="42" customHeight="1">
      <c r="A2293" s="2" t="s">
        <v>4871</v>
      </c>
      <c r="B2293" s="2" t="s">
        <v>4871</v>
      </c>
      <c r="C2293" s="2" t="s">
        <v>17</v>
      </c>
      <c r="D2293" s="2" t="s">
        <v>18</v>
      </c>
      <c r="E2293" s="5">
        <v>-28885</v>
      </c>
      <c r="F2293" s="3" t="s">
        <v>2588</v>
      </c>
      <c r="G2293" s="3" t="s">
        <v>4924</v>
      </c>
      <c r="H2293" s="2" t="s">
        <v>21</v>
      </c>
      <c r="I2293" s="2" t="s">
        <v>4925</v>
      </c>
      <c r="J2293" s="3" t="str">
        <f>HYPERLINK("https://www.boe.es/gazeta/dias/1820/11/29/pdfs/GGB-1820-156.pdf#page=3","Abrir facsímil")</f>
        <v>Abrir facsímil</v>
      </c>
      <c r="K2293" s="3" t="s">
        <v>23</v>
      </c>
    </row>
    <row r="2294" spans="1:11" ht="42" customHeight="1">
      <c r="A2294" s="2" t="s">
        <v>4871</v>
      </c>
      <c r="B2294" s="2" t="s">
        <v>4871</v>
      </c>
      <c r="C2294" s="2" t="s">
        <v>74</v>
      </c>
      <c r="D2294" s="2" t="s">
        <v>18</v>
      </c>
      <c r="E2294" s="5">
        <v>-28885</v>
      </c>
      <c r="F2294" s="3" t="s">
        <v>2588</v>
      </c>
      <c r="G2294" s="3" t="s">
        <v>43</v>
      </c>
      <c r="H2294" s="2" t="s">
        <v>21</v>
      </c>
      <c r="I2294" s="2" t="s">
        <v>4926</v>
      </c>
      <c r="J2294" s="3" t="str">
        <f>HYPERLINK("https://www.boe.es/gazeta/dias/1820/11/29/pdfs/GGB-1820-156.pdf#page=2","Abrir facsímil")</f>
        <v>Abrir facsímil</v>
      </c>
      <c r="K2294" s="3" t="s">
        <v>23</v>
      </c>
    </row>
    <row r="2295" spans="1:11" ht="42" customHeight="1">
      <c r="A2295" s="2" t="s">
        <v>4871</v>
      </c>
      <c r="B2295" s="2" t="s">
        <v>4871</v>
      </c>
      <c r="C2295" s="2" t="s">
        <v>293</v>
      </c>
      <c r="D2295" s="2" t="s">
        <v>18</v>
      </c>
      <c r="E2295" s="5">
        <v>-28884</v>
      </c>
      <c r="F2295" s="3" t="s">
        <v>882</v>
      </c>
      <c r="G2295" s="3" t="s">
        <v>62</v>
      </c>
      <c r="H2295" s="2" t="s">
        <v>21</v>
      </c>
      <c r="I2295" s="2" t="s">
        <v>4927</v>
      </c>
      <c r="J2295" s="3" t="str">
        <f>HYPERLINK("https://www.boe.es/gazeta/dias/1820/11/30/pdfs/GGB-1820-157.pdf#page=3","Abrir facsímil")</f>
        <v>Abrir facsímil</v>
      </c>
      <c r="K2295" s="3" t="s">
        <v>23</v>
      </c>
    </row>
    <row r="2296" spans="1:11" ht="42" customHeight="1">
      <c r="A2296" s="2" t="s">
        <v>4871</v>
      </c>
      <c r="B2296" s="2" t="s">
        <v>4871</v>
      </c>
      <c r="C2296" s="2" t="s">
        <v>293</v>
      </c>
      <c r="D2296" s="2" t="s">
        <v>18</v>
      </c>
      <c r="E2296" s="5">
        <v>-28883</v>
      </c>
      <c r="F2296" s="3" t="s">
        <v>306</v>
      </c>
      <c r="G2296" s="3" t="s">
        <v>62</v>
      </c>
      <c r="H2296" s="2" t="s">
        <v>21</v>
      </c>
      <c r="I2296" s="2" t="s">
        <v>4928</v>
      </c>
      <c r="J2296" s="3" t="str">
        <f>HYPERLINK("https://www.boe.es/gazeta/dias/1820/12/01/pdfs/GGB-1820-158.pdf#page=3","Abrir facsímil")</f>
        <v>Abrir facsímil</v>
      </c>
      <c r="K2296" s="3" t="s">
        <v>23</v>
      </c>
    </row>
    <row r="2297" spans="1:11" ht="42" customHeight="1">
      <c r="A2297" s="2" t="s">
        <v>4871</v>
      </c>
      <c r="B2297" s="2" t="s">
        <v>4871</v>
      </c>
      <c r="C2297" s="2" t="s">
        <v>35</v>
      </c>
      <c r="D2297" s="2" t="s">
        <v>36</v>
      </c>
      <c r="E2297" s="5">
        <v>-28881</v>
      </c>
      <c r="F2297" s="3" t="s">
        <v>57</v>
      </c>
      <c r="G2297" s="3" t="s">
        <v>43</v>
      </c>
      <c r="H2297" s="2" t="s">
        <v>21</v>
      </c>
      <c r="I2297" s="2" t="s">
        <v>4929</v>
      </c>
      <c r="J2297" s="3" t="str">
        <f>HYPERLINK("https://www.boe.es/gazeta/dias/1820/12/03/pdfs/GGB-1820-160.pdf#page=2","Abrir facsímil")</f>
        <v>Abrir facsímil</v>
      </c>
      <c r="K2297" s="3" t="s">
        <v>23</v>
      </c>
    </row>
    <row r="2298" spans="1:11" ht="42" customHeight="1">
      <c r="A2298" s="2" t="s">
        <v>4871</v>
      </c>
      <c r="B2298" s="2" t="s">
        <v>4871</v>
      </c>
      <c r="C2298" s="2" t="s">
        <v>35</v>
      </c>
      <c r="D2298" s="2" t="s">
        <v>36</v>
      </c>
      <c r="E2298" s="5">
        <v>-28880</v>
      </c>
      <c r="F2298" s="3" t="s">
        <v>1574</v>
      </c>
      <c r="G2298" s="3" t="s">
        <v>62</v>
      </c>
      <c r="H2298" s="2" t="s">
        <v>21</v>
      </c>
      <c r="I2298" s="2" t="s">
        <v>4930</v>
      </c>
      <c r="J2298" s="3" t="str">
        <f>HYPERLINK("https://www.boe.es/gazeta/dias/1820/12/04/pdfs/GGB-1820-161.pdf#page=3","Abrir facsímil")</f>
        <v>Abrir facsímil</v>
      </c>
      <c r="K2298" s="3" t="s">
        <v>23</v>
      </c>
    </row>
    <row r="2299" spans="1:11" ht="42" customHeight="1">
      <c r="A2299" s="2" t="s">
        <v>4871</v>
      </c>
      <c r="B2299" s="2" t="s">
        <v>4871</v>
      </c>
      <c r="C2299" s="2" t="s">
        <v>26</v>
      </c>
      <c r="D2299" s="2" t="s">
        <v>27</v>
      </c>
      <c r="E2299" s="5">
        <v>-28879</v>
      </c>
      <c r="F2299" s="3" t="s">
        <v>953</v>
      </c>
      <c r="G2299" s="3" t="s">
        <v>43</v>
      </c>
      <c r="H2299" s="2" t="s">
        <v>21</v>
      </c>
      <c r="I2299" s="2" t="s">
        <v>4931</v>
      </c>
      <c r="J2299" s="3" t="str">
        <f>HYPERLINK("https://www.boe.es/gazeta/dias/1820/12/05/pdfs/GGB-1820-162.pdf#page=2","Abrir facsímil")</f>
        <v>Abrir facsímil</v>
      </c>
      <c r="K2299" s="3" t="s">
        <v>23</v>
      </c>
    </row>
    <row r="2300" spans="1:11" ht="42" customHeight="1">
      <c r="A2300" s="2" t="s">
        <v>4871</v>
      </c>
      <c r="B2300" s="2" t="s">
        <v>4871</v>
      </c>
      <c r="C2300" s="2" t="s">
        <v>293</v>
      </c>
      <c r="D2300" s="2" t="s">
        <v>18</v>
      </c>
      <c r="E2300" s="5">
        <v>-28878</v>
      </c>
      <c r="F2300" s="3" t="s">
        <v>866</v>
      </c>
      <c r="G2300" s="3" t="s">
        <v>62</v>
      </c>
      <c r="H2300" s="2" t="s">
        <v>21</v>
      </c>
      <c r="I2300" s="2" t="s">
        <v>4932</v>
      </c>
      <c r="J2300" s="3" t="str">
        <f>HYPERLINK("https://www.boe.es/gazeta/dias/1820/12/06/pdfs/GGB-1820-163.pdf#page=3","Abrir facsímil")</f>
        <v>Abrir facsímil</v>
      </c>
      <c r="K2300" s="3" t="s">
        <v>23</v>
      </c>
    </row>
    <row r="2301" spans="1:11" ht="42" customHeight="1">
      <c r="A2301" s="2" t="s">
        <v>4871</v>
      </c>
      <c r="B2301" s="2" t="s">
        <v>4871</v>
      </c>
      <c r="C2301" s="2" t="s">
        <v>293</v>
      </c>
      <c r="D2301" s="2" t="s">
        <v>18</v>
      </c>
      <c r="E2301" s="5">
        <v>-28870</v>
      </c>
      <c r="F2301" s="3" t="s">
        <v>1014</v>
      </c>
      <c r="G2301" s="3" t="s">
        <v>62</v>
      </c>
      <c r="H2301" s="2" t="s">
        <v>21</v>
      </c>
      <c r="I2301" s="2" t="s">
        <v>4933</v>
      </c>
      <c r="J2301" s="3" t="str">
        <f>HYPERLINK("https://www.boe.es/gazeta/dias/1820/12/14/pdfs/GGB-1820-171.pdf#page=3","Abrir facsímil")</f>
        <v>Abrir facsímil</v>
      </c>
      <c r="K2301" s="3" t="s">
        <v>23</v>
      </c>
    </row>
    <row r="2302" spans="1:11" ht="42" customHeight="1">
      <c r="A2302" s="2" t="s">
        <v>4871</v>
      </c>
      <c r="B2302" s="2" t="s">
        <v>4871</v>
      </c>
      <c r="C2302" s="2" t="s">
        <v>17</v>
      </c>
      <c r="D2302" s="2" t="s">
        <v>18</v>
      </c>
      <c r="E2302" s="5">
        <v>-28865</v>
      </c>
      <c r="F2302" s="3" t="s">
        <v>136</v>
      </c>
      <c r="G2302" s="3" t="s">
        <v>43</v>
      </c>
      <c r="H2302" s="2" t="s">
        <v>21</v>
      </c>
      <c r="I2302" s="2" t="s">
        <v>4934</v>
      </c>
      <c r="J2302" s="3" t="str">
        <f>HYPERLINK("https://www.boe.es/gazeta/dias/1820/12/19/pdfs/GGB-1820-176.pdf#page=2","Abrir facsímil")</f>
        <v>Abrir facsímil</v>
      </c>
      <c r="K2302" s="3" t="s">
        <v>23</v>
      </c>
    </row>
    <row r="2303" spans="1:11" ht="42" customHeight="1">
      <c r="A2303" s="2" t="s">
        <v>4871</v>
      </c>
      <c r="B2303" s="2" t="s">
        <v>4871</v>
      </c>
      <c r="C2303" s="2" t="s">
        <v>293</v>
      </c>
      <c r="D2303" s="2" t="s">
        <v>18</v>
      </c>
      <c r="E2303" s="5">
        <v>-28864</v>
      </c>
      <c r="F2303" s="3" t="s">
        <v>1275</v>
      </c>
      <c r="G2303" s="3" t="s">
        <v>256</v>
      </c>
      <c r="H2303" s="2" t="s">
        <v>21</v>
      </c>
      <c r="I2303" s="2" t="s">
        <v>4935</v>
      </c>
      <c r="J2303" s="3" t="str">
        <f>HYPERLINK("https://www.boe.es/gazeta/dias/1820/12/20/pdfs/GGB-1820-177.pdf#page=5","Abrir facsímil")</f>
        <v>Abrir facsímil</v>
      </c>
      <c r="K2303" s="3" t="s">
        <v>23</v>
      </c>
    </row>
    <row r="2304" spans="1:11" ht="42" customHeight="1">
      <c r="A2304" s="2" t="s">
        <v>4936</v>
      </c>
      <c r="B2304" s="2" t="s">
        <v>4937</v>
      </c>
      <c r="C2304" s="2" t="s">
        <v>35</v>
      </c>
      <c r="D2304" s="2" t="s">
        <v>36</v>
      </c>
      <c r="E2304" s="5">
        <v>-29169</v>
      </c>
      <c r="F2304" s="3" t="s">
        <v>962</v>
      </c>
      <c r="G2304" s="3" t="s">
        <v>20</v>
      </c>
      <c r="H2304" s="2" t="s">
        <v>30</v>
      </c>
      <c r="I2304" s="2" t="s">
        <v>4938</v>
      </c>
      <c r="J2304" s="3" t="str">
        <f>HYPERLINK("https://www.boe.es/gazeta/dias/1820/02/19/pdfs/GMD-1820-22.pdf#page=4","Abrir facsímil")</f>
        <v>Abrir facsímil</v>
      </c>
      <c r="K2304" s="3" t="s">
        <v>32</v>
      </c>
    </row>
    <row r="2305" spans="1:11" ht="42" customHeight="1">
      <c r="A2305" s="2" t="s">
        <v>4939</v>
      </c>
      <c r="B2305" s="2" t="s">
        <v>4940</v>
      </c>
      <c r="C2305" s="2" t="s">
        <v>26</v>
      </c>
      <c r="D2305" s="2" t="s">
        <v>27</v>
      </c>
      <c r="E2305" s="5">
        <v>-29152</v>
      </c>
      <c r="F2305" s="3" t="s">
        <v>1293</v>
      </c>
      <c r="G2305" s="3" t="s">
        <v>201</v>
      </c>
      <c r="H2305" s="2" t="s">
        <v>21</v>
      </c>
      <c r="I2305" s="2" t="s">
        <v>4941</v>
      </c>
      <c r="J2305" s="3" t="str">
        <f>HYPERLINK("https://www.boe.es/gazeta/dias/1820/03/07/pdfs/GMD-1820-29.pdf#page=7","Abrir facsímil")</f>
        <v>Abrir facsímil</v>
      </c>
      <c r="K2305" s="3" t="s">
        <v>23</v>
      </c>
    </row>
    <row r="2306" spans="1:11" ht="42" customHeight="1">
      <c r="A2306" s="2" t="s">
        <v>4942</v>
      </c>
      <c r="B2306" s="2" t="s">
        <v>4942</v>
      </c>
      <c r="C2306" s="2" t="s">
        <v>293</v>
      </c>
      <c r="D2306" s="2" t="s">
        <v>18</v>
      </c>
      <c r="E2306" s="5">
        <v>-28986</v>
      </c>
      <c r="F2306" s="3" t="s">
        <v>488</v>
      </c>
      <c r="G2306" s="3" t="s">
        <v>62</v>
      </c>
      <c r="H2306" s="2" t="s">
        <v>21</v>
      </c>
      <c r="I2306" s="2" t="s">
        <v>4943</v>
      </c>
      <c r="J2306" s="3" t="str">
        <f>HYPERLINK("https://www.boe.es/gazeta/dias/1820/08/20/pdfs/GGB-1820-53.pdf#page=3","Abrir facsímil")</f>
        <v>Abrir facsímil</v>
      </c>
      <c r="K2306" s="3" t="s">
        <v>23</v>
      </c>
    </row>
    <row r="2307" spans="1:11" ht="42" customHeight="1">
      <c r="A2307" s="2" t="s">
        <v>4944</v>
      </c>
      <c r="B2307" s="2" t="s">
        <v>4944</v>
      </c>
      <c r="C2307" s="2" t="s">
        <v>111</v>
      </c>
      <c r="D2307" s="2" t="s">
        <v>18</v>
      </c>
      <c r="E2307" s="5">
        <v>-28869</v>
      </c>
      <c r="F2307" s="3" t="s">
        <v>449</v>
      </c>
      <c r="G2307" s="3" t="s">
        <v>128</v>
      </c>
      <c r="H2307" s="2" t="s">
        <v>21</v>
      </c>
      <c r="I2307" s="2" t="s">
        <v>4945</v>
      </c>
      <c r="J2307" s="3" t="str">
        <f>HYPERLINK("https://www.boe.es/gazeta/dias/1820/12/15/pdfs/GGB-1820-172.pdf#page=1","Abrir facsímil")</f>
        <v>Abrir facsímil</v>
      </c>
      <c r="K2307" s="3" t="s">
        <v>23</v>
      </c>
    </row>
    <row r="2308" spans="1:11" ht="42" customHeight="1">
      <c r="A2308" s="2" t="s">
        <v>4946</v>
      </c>
      <c r="B2308" s="2" t="s">
        <v>4947</v>
      </c>
      <c r="C2308" s="2" t="s">
        <v>26</v>
      </c>
      <c r="D2308" s="2" t="s">
        <v>27</v>
      </c>
      <c r="E2308" s="5">
        <v>-28931</v>
      </c>
      <c r="F2308" s="3" t="s">
        <v>724</v>
      </c>
      <c r="G2308" s="3" t="s">
        <v>20</v>
      </c>
      <c r="H2308" s="2" t="s">
        <v>21</v>
      </c>
      <c r="I2308" s="2" t="s">
        <v>4948</v>
      </c>
      <c r="J2308" s="3" t="str">
        <f>HYPERLINK("https://www.boe.es/gazeta/dias/1820/10/14/pdfs/GGB-1820-108.pdf#page=4","Abrir facsímil")</f>
        <v>Abrir facsímil</v>
      </c>
      <c r="K2308" s="3" t="s">
        <v>23</v>
      </c>
    </row>
    <row r="2309" spans="1:11" ht="42" customHeight="1">
      <c r="A2309" s="2" t="s">
        <v>4949</v>
      </c>
      <c r="B2309" s="2" t="s">
        <v>4950</v>
      </c>
      <c r="C2309" s="2" t="s">
        <v>26</v>
      </c>
      <c r="D2309" s="2" t="s">
        <v>310</v>
      </c>
      <c r="E2309" s="5">
        <v>-29142</v>
      </c>
      <c r="F2309" s="3" t="s">
        <v>2712</v>
      </c>
      <c r="G2309" s="3" t="s">
        <v>4951</v>
      </c>
      <c r="H2309" s="2" t="s">
        <v>21</v>
      </c>
      <c r="I2309" s="2" t="s">
        <v>4952</v>
      </c>
      <c r="J2309" s="3" t="str">
        <f>HYPERLINK("https://www.boe.es/gazeta/dias/1820/03/17/pdfs/GMD-1820-43E.pdf#page=4","Abrir facsímil")</f>
        <v>Abrir facsímil</v>
      </c>
      <c r="K2309" s="3" t="s">
        <v>23</v>
      </c>
    </row>
    <row r="2310" spans="1:11" ht="42" customHeight="1">
      <c r="A2310" s="2" t="s">
        <v>4949</v>
      </c>
      <c r="B2310" s="2" t="s">
        <v>4950</v>
      </c>
      <c r="C2310" s="2" t="s">
        <v>26</v>
      </c>
      <c r="D2310" s="2" t="s">
        <v>310</v>
      </c>
      <c r="E2310" s="5">
        <v>-29138</v>
      </c>
      <c r="F2310" s="3" t="s">
        <v>4019</v>
      </c>
      <c r="G2310" s="3" t="s">
        <v>128</v>
      </c>
      <c r="H2310" s="2" t="s">
        <v>21</v>
      </c>
      <c r="I2310" s="2" t="s">
        <v>4953</v>
      </c>
      <c r="J2310" s="3" t="str">
        <f>HYPERLINK("https://www.boe.es/gazeta/dias/1820/03/21/pdfs/GMD-1820-49E.pdf#page=1","Abrir facsímil")</f>
        <v>Abrir facsímil</v>
      </c>
      <c r="K2310" s="3" t="s">
        <v>23</v>
      </c>
    </row>
    <row r="2311" spans="1:11" ht="42" customHeight="1">
      <c r="A2311" s="2" t="s">
        <v>4949</v>
      </c>
      <c r="B2311" s="2" t="s">
        <v>4950</v>
      </c>
      <c r="C2311" s="2" t="s">
        <v>26</v>
      </c>
      <c r="D2311" s="2" t="s">
        <v>310</v>
      </c>
      <c r="E2311" s="5">
        <v>-29134</v>
      </c>
      <c r="F2311" s="3" t="s">
        <v>2560</v>
      </c>
      <c r="G2311" s="3" t="s">
        <v>128</v>
      </c>
      <c r="H2311" s="2" t="s">
        <v>21</v>
      </c>
      <c r="I2311" s="2" t="s">
        <v>4954</v>
      </c>
      <c r="J2311" s="3" t="str">
        <f>HYPERLINK("https://www.boe.es/gazeta/dias/1820/03/25/pdfs/GMD-1820-54E.pdf#page=1","Abrir facsímil")</f>
        <v>Abrir facsímil</v>
      </c>
      <c r="K2311" s="3" t="s">
        <v>23</v>
      </c>
    </row>
    <row r="2312" spans="1:11" ht="42" customHeight="1">
      <c r="A2312" s="2" t="s">
        <v>4949</v>
      </c>
      <c r="B2312" s="2" t="s">
        <v>4950</v>
      </c>
      <c r="C2312" s="2" t="s">
        <v>26</v>
      </c>
      <c r="D2312" s="2" t="s">
        <v>310</v>
      </c>
      <c r="E2312" s="5">
        <v>-29132</v>
      </c>
      <c r="F2312" s="3" t="s">
        <v>311</v>
      </c>
      <c r="G2312" s="3" t="s">
        <v>128</v>
      </c>
      <c r="H2312" s="2" t="s">
        <v>21</v>
      </c>
      <c r="I2312" s="2" t="s">
        <v>4955</v>
      </c>
      <c r="J2312" s="3" t="str">
        <f>HYPERLINK("https://www.boe.es/gazeta/dias/1820/03/27/pdfs/GMD-1820-55E.pdf#page=1","Abrir facsímil")</f>
        <v>Abrir facsímil</v>
      </c>
      <c r="K2312" s="3" t="s">
        <v>23</v>
      </c>
    </row>
    <row r="2313" spans="1:11" ht="42" customHeight="1">
      <c r="A2313" s="2" t="s">
        <v>4956</v>
      </c>
      <c r="B2313" s="2" t="s">
        <v>4957</v>
      </c>
      <c r="C2313" s="2" t="s">
        <v>26</v>
      </c>
      <c r="D2313" s="2" t="s">
        <v>27</v>
      </c>
      <c r="E2313" s="5">
        <v>-29211</v>
      </c>
      <c r="F2313" s="3" t="s">
        <v>578</v>
      </c>
      <c r="G2313" s="3" t="s">
        <v>38</v>
      </c>
      <c r="H2313" s="2" t="s">
        <v>21</v>
      </c>
      <c r="I2313" s="2" t="s">
        <v>4958</v>
      </c>
      <c r="J2313" s="3" t="str">
        <f>HYPERLINK("https://www.boe.es/gazeta/dias/1820/01/08/pdfs/GMD-1820-4.pdf#page=6","Abrir facsímil")</f>
        <v>Abrir facsímil</v>
      </c>
      <c r="K2313" s="3" t="s">
        <v>23</v>
      </c>
    </row>
    <row r="2314" spans="1:11" ht="42" customHeight="1">
      <c r="A2314" s="2" t="s">
        <v>4959</v>
      </c>
      <c r="B2314" s="2" t="s">
        <v>4960</v>
      </c>
      <c r="C2314" s="2" t="s">
        <v>26</v>
      </c>
      <c r="D2314" s="2" t="s">
        <v>27</v>
      </c>
      <c r="E2314" s="5">
        <v>-28943</v>
      </c>
      <c r="F2314" s="3" t="s">
        <v>1403</v>
      </c>
      <c r="G2314" s="3" t="s">
        <v>1710</v>
      </c>
      <c r="H2314" s="2" t="s">
        <v>21</v>
      </c>
      <c r="I2314" s="2" t="s">
        <v>4961</v>
      </c>
      <c r="J2314" s="3" t="str">
        <f>HYPERLINK("https://www.boe.es/gazeta/dias/1820/10/02/pdfs/GGB-1820-96.pdf#page=4","Abrir facsímil")</f>
        <v>Abrir facsímil</v>
      </c>
      <c r="K2314" s="3" t="s">
        <v>23</v>
      </c>
    </row>
    <row r="2315" spans="1:11" ht="42" customHeight="1">
      <c r="A2315" s="2" t="s">
        <v>4962</v>
      </c>
      <c r="B2315" s="2" t="s">
        <v>4963</v>
      </c>
      <c r="C2315" s="2" t="s">
        <v>26</v>
      </c>
      <c r="D2315" s="2" t="s">
        <v>27</v>
      </c>
      <c r="E2315" s="5">
        <v>-28911</v>
      </c>
      <c r="F2315" s="3" t="s">
        <v>82</v>
      </c>
      <c r="G2315" s="3" t="s">
        <v>62</v>
      </c>
      <c r="H2315" s="2" t="s">
        <v>21</v>
      </c>
      <c r="I2315" s="2" t="s">
        <v>4964</v>
      </c>
      <c r="J2315" s="3" t="str">
        <f>HYPERLINK("https://www.boe.es/gazeta/dias/1820/11/03/pdfs/GGB-1820-128.pdf#page=3","Abrir facsímil")</f>
        <v>Abrir facsímil</v>
      </c>
      <c r="K2315" s="3" t="s">
        <v>23</v>
      </c>
    </row>
    <row r="2316" spans="1:11" ht="42" customHeight="1">
      <c r="A2316" s="2" t="s">
        <v>4965</v>
      </c>
      <c r="B2316" s="2" t="s">
        <v>4966</v>
      </c>
      <c r="C2316" s="2" t="s">
        <v>26</v>
      </c>
      <c r="D2316" s="2" t="s">
        <v>27</v>
      </c>
      <c r="E2316" s="5">
        <v>-28967</v>
      </c>
      <c r="F2316" s="3" t="s">
        <v>238</v>
      </c>
      <c r="G2316" s="3" t="s">
        <v>128</v>
      </c>
      <c r="H2316" s="2" t="s">
        <v>21</v>
      </c>
      <c r="I2316" s="2" t="s">
        <v>4967</v>
      </c>
      <c r="J2316" s="3" t="str">
        <f>HYPERLINK("https://www.boe.es/gazeta/dias/1820/09/08/pdfs/GGB-1820-72.pdf#page=1","Abrir facsímil")</f>
        <v>Abrir facsímil</v>
      </c>
      <c r="K2316" s="3" t="s">
        <v>23</v>
      </c>
    </row>
    <row r="2317" spans="1:11" ht="42" customHeight="1">
      <c r="A2317" s="2" t="s">
        <v>4968</v>
      </c>
      <c r="B2317" s="2" t="s">
        <v>4969</v>
      </c>
      <c r="C2317" s="2" t="s">
        <v>26</v>
      </c>
      <c r="D2317" s="2" t="s">
        <v>27</v>
      </c>
      <c r="E2317" s="5">
        <v>-29211</v>
      </c>
      <c r="F2317" s="3" t="s">
        <v>578</v>
      </c>
      <c r="G2317" s="3" t="s">
        <v>201</v>
      </c>
      <c r="H2317" s="2" t="s">
        <v>21</v>
      </c>
      <c r="I2317" s="2" t="s">
        <v>4970</v>
      </c>
      <c r="J2317" s="3" t="str">
        <f>HYPERLINK("https://www.boe.es/gazeta/dias/1820/01/08/pdfs/GMD-1820-4.pdf#page=7","Abrir facsímil")</f>
        <v>Abrir facsímil</v>
      </c>
      <c r="K2317" s="3" t="s">
        <v>23</v>
      </c>
    </row>
    <row r="2318" spans="1:11" ht="42" customHeight="1">
      <c r="A2318" s="2" t="s">
        <v>4971</v>
      </c>
      <c r="B2318" s="2" t="s">
        <v>4972</v>
      </c>
      <c r="C2318" s="2" t="s">
        <v>26</v>
      </c>
      <c r="D2318" s="2" t="s">
        <v>27</v>
      </c>
      <c r="E2318" s="5">
        <v>-28924</v>
      </c>
      <c r="F2318" s="3" t="s">
        <v>78</v>
      </c>
      <c r="G2318" s="3" t="s">
        <v>62</v>
      </c>
      <c r="H2318" s="2" t="s">
        <v>21</v>
      </c>
      <c r="I2318" s="2" t="s">
        <v>4973</v>
      </c>
      <c r="J2318" s="3" t="str">
        <f>HYPERLINK("https://www.boe.es/gazeta/dias/1820/10/21/pdfs/GGB-1820-115.pdf#page=3","Abrir facsímil")</f>
        <v>Abrir facsímil</v>
      </c>
      <c r="K2318" s="3" t="s">
        <v>23</v>
      </c>
    </row>
    <row r="2319" spans="1:11" ht="42" customHeight="1">
      <c r="A2319" s="2" t="s">
        <v>4974</v>
      </c>
      <c r="B2319" s="2" t="s">
        <v>4975</v>
      </c>
      <c r="C2319" s="2" t="s">
        <v>26</v>
      </c>
      <c r="D2319" s="2" t="s">
        <v>27</v>
      </c>
      <c r="E2319" s="5">
        <v>-28943</v>
      </c>
      <c r="F2319" s="3" t="s">
        <v>1403</v>
      </c>
      <c r="G2319" s="3" t="s">
        <v>1710</v>
      </c>
      <c r="H2319" s="2" t="s">
        <v>21</v>
      </c>
      <c r="I2319" s="2" t="s">
        <v>4976</v>
      </c>
      <c r="J2319" s="3" t="str">
        <f>HYPERLINK("https://www.boe.es/gazeta/dias/1820/10/02/pdfs/GGB-1820-96.pdf#page=4","Abrir facsímil")</f>
        <v>Abrir facsímil</v>
      </c>
      <c r="K2319" s="3" t="s">
        <v>23</v>
      </c>
    </row>
    <row r="2320" spans="1:11" ht="42" customHeight="1">
      <c r="A2320" s="2" t="s">
        <v>4977</v>
      </c>
      <c r="B2320" s="2" t="s">
        <v>4977</v>
      </c>
      <c r="C2320" s="2" t="s">
        <v>26</v>
      </c>
      <c r="D2320" s="2" t="s">
        <v>310</v>
      </c>
      <c r="E2320" s="5">
        <v>-29150</v>
      </c>
      <c r="F2320" s="3" t="s">
        <v>4978</v>
      </c>
      <c r="G2320" s="3" t="s">
        <v>128</v>
      </c>
      <c r="H2320" s="2" t="s">
        <v>21</v>
      </c>
      <c r="I2320" s="2" t="s">
        <v>4979</v>
      </c>
      <c r="J2320" s="3" t="str">
        <f>HYPERLINK("https://www.boe.es/gazeta/dias/1820/03/09/pdfs/GMD-1820-34E.pdf#page=1","Abrir facsímil")</f>
        <v>Abrir facsímil</v>
      </c>
      <c r="K2320" s="3" t="s">
        <v>23</v>
      </c>
    </row>
    <row r="2321" spans="1:11" ht="42" customHeight="1">
      <c r="A2321" s="2" t="s">
        <v>4980</v>
      </c>
      <c r="B2321" s="2" t="s">
        <v>4980</v>
      </c>
      <c r="C2321" s="2" t="s">
        <v>74</v>
      </c>
      <c r="D2321" s="2" t="s">
        <v>18</v>
      </c>
      <c r="E2321" s="5">
        <v>-28979</v>
      </c>
      <c r="F2321" s="3" t="s">
        <v>218</v>
      </c>
      <c r="G2321" s="3" t="s">
        <v>43</v>
      </c>
      <c r="H2321" s="2" t="s">
        <v>21</v>
      </c>
      <c r="I2321" s="2" t="s">
        <v>4981</v>
      </c>
      <c r="J2321" s="3" t="str">
        <f>HYPERLINK("https://www.boe.es/gazeta/dias/1820/08/27/pdfs/GGB-1820-60.pdf#page=2","Abrir facsímil")</f>
        <v>Abrir facsímil</v>
      </c>
      <c r="K2321" s="3" t="s">
        <v>23</v>
      </c>
    </row>
    <row r="2322" spans="1:11" ht="42" customHeight="1">
      <c r="A2322" s="2" t="s">
        <v>4982</v>
      </c>
      <c r="B2322" s="2" t="s">
        <v>4983</v>
      </c>
      <c r="C2322" s="2" t="s">
        <v>35</v>
      </c>
      <c r="D2322" s="2" t="s">
        <v>36</v>
      </c>
      <c r="E2322" s="5">
        <v>-28943</v>
      </c>
      <c r="F2322" s="3" t="s">
        <v>1403</v>
      </c>
      <c r="G2322" s="3" t="s">
        <v>62</v>
      </c>
      <c r="H2322" s="2" t="s">
        <v>30</v>
      </c>
      <c r="I2322" s="2" t="s">
        <v>4984</v>
      </c>
      <c r="J2322" s="3" t="str">
        <f>HYPERLINK("https://www.boe.es/gazeta/dias/1820/10/02/pdfs/GGB-1820-96.pdf#page=3","Abrir facsímil")</f>
        <v>Abrir facsímil</v>
      </c>
      <c r="K2322" s="3" t="s">
        <v>32</v>
      </c>
    </row>
    <row r="2323" spans="1:11" ht="42" customHeight="1">
      <c r="A2323" s="2" t="s">
        <v>4985</v>
      </c>
      <c r="B2323" s="2" t="s">
        <v>4986</v>
      </c>
      <c r="C2323" s="2" t="s">
        <v>111</v>
      </c>
      <c r="D2323" s="2" t="s">
        <v>18</v>
      </c>
      <c r="E2323" s="5">
        <v>-28943</v>
      </c>
      <c r="F2323" s="3" t="s">
        <v>1403</v>
      </c>
      <c r="G2323" s="3" t="s">
        <v>62</v>
      </c>
      <c r="H2323" s="2" t="s">
        <v>30</v>
      </c>
      <c r="I2323" s="2" t="s">
        <v>4987</v>
      </c>
      <c r="J2323" s="3" t="str">
        <f>HYPERLINK("https://www.boe.es/gazeta/dias/1820/10/02/pdfs/GGB-1820-96.pdf#page=3","Abrir facsímil")</f>
        <v>Abrir facsímil</v>
      </c>
      <c r="K2323" s="3" t="s">
        <v>32</v>
      </c>
    </row>
    <row r="2324" spans="1:11" ht="42" customHeight="1">
      <c r="A2324" s="2" t="s">
        <v>4988</v>
      </c>
      <c r="B2324" s="2" t="s">
        <v>4989</v>
      </c>
      <c r="C2324" s="2" t="s">
        <v>74</v>
      </c>
      <c r="D2324" s="2" t="s">
        <v>18</v>
      </c>
      <c r="E2324" s="5">
        <v>-28928</v>
      </c>
      <c r="F2324" s="3" t="s">
        <v>86</v>
      </c>
      <c r="G2324" s="3" t="s">
        <v>20</v>
      </c>
      <c r="H2324" s="2" t="s">
        <v>21</v>
      </c>
      <c r="I2324" s="2" t="s">
        <v>4990</v>
      </c>
      <c r="J2324" s="3" t="str">
        <f>HYPERLINK("https://www.boe.es/gazeta/dias/1820/10/17/pdfs/GGB-1820-111.pdf#page=4","Abrir facsímil")</f>
        <v>Abrir facsímil</v>
      </c>
      <c r="K2324" s="3" t="s">
        <v>23</v>
      </c>
    </row>
    <row r="2325" spans="1:11" ht="42" customHeight="1">
      <c r="A2325" s="2" t="s">
        <v>4991</v>
      </c>
      <c r="B2325" s="2" t="s">
        <v>4991</v>
      </c>
      <c r="C2325" s="2" t="s">
        <v>26</v>
      </c>
      <c r="D2325" s="2" t="s">
        <v>27</v>
      </c>
      <c r="E2325" s="5">
        <v>-28871</v>
      </c>
      <c r="F2325" s="3" t="s">
        <v>2368</v>
      </c>
      <c r="G2325" s="3" t="s">
        <v>128</v>
      </c>
      <c r="H2325" s="2" t="s">
        <v>21</v>
      </c>
      <c r="I2325" s="2" t="s">
        <v>4992</v>
      </c>
      <c r="J2325" s="3" t="str">
        <f>HYPERLINK("https://www.boe.es/gazeta/dias/1820/12/13/pdfs/GGB-1820-170.pdf#page=1","Abrir facsímil")</f>
        <v>Abrir facsímil</v>
      </c>
      <c r="K2325" s="3" t="s">
        <v>23</v>
      </c>
    </row>
    <row r="2326" spans="1:11" ht="42" customHeight="1">
      <c r="A2326" s="2" t="s">
        <v>4993</v>
      </c>
      <c r="B2326" s="2" t="s">
        <v>4993</v>
      </c>
      <c r="C2326" s="2" t="s">
        <v>26</v>
      </c>
      <c r="D2326" s="2" t="s">
        <v>27</v>
      </c>
      <c r="E2326" s="5">
        <v>-28989</v>
      </c>
      <c r="F2326" s="3" t="s">
        <v>809</v>
      </c>
      <c r="G2326" s="3" t="s">
        <v>128</v>
      </c>
      <c r="H2326" s="2" t="s">
        <v>21</v>
      </c>
      <c r="I2326" s="2" t="s">
        <v>4994</v>
      </c>
      <c r="J2326" s="3" t="str">
        <f>HYPERLINK("https://www.boe.es/gazeta/dias/1820/08/17/pdfs/GGB-1820-50.pdf#page=1","Abrir facsímil")</f>
        <v>Abrir facsímil</v>
      </c>
      <c r="K2326" s="3" t="s">
        <v>23</v>
      </c>
    </row>
    <row r="2327" spans="1:11" ht="42" customHeight="1">
      <c r="A2327" s="2" t="s">
        <v>4995</v>
      </c>
      <c r="B2327" s="2" t="s">
        <v>4995</v>
      </c>
      <c r="C2327" s="2" t="s">
        <v>47</v>
      </c>
      <c r="D2327" s="2" t="s">
        <v>18</v>
      </c>
      <c r="E2327" s="5">
        <v>-28874</v>
      </c>
      <c r="F2327" s="3" t="s">
        <v>103</v>
      </c>
      <c r="G2327" s="3" t="s">
        <v>20</v>
      </c>
      <c r="H2327" s="2" t="s">
        <v>21</v>
      </c>
      <c r="I2327" s="2" t="s">
        <v>4996</v>
      </c>
      <c r="J2327" s="3" t="str">
        <f>HYPERLINK("https://www.boe.es/gazeta/dias/1820/12/10/pdfs/GGB-1820-167.pdf#page=4","Abrir facsímil")</f>
        <v>Abrir facsímil</v>
      </c>
      <c r="K2327" s="3" t="s">
        <v>23</v>
      </c>
    </row>
    <row r="2328" spans="1:11" ht="42" customHeight="1">
      <c r="A2328" s="2" t="s">
        <v>4995</v>
      </c>
      <c r="B2328" s="2" t="s">
        <v>4995</v>
      </c>
      <c r="C2328" s="2" t="s">
        <v>26</v>
      </c>
      <c r="D2328" s="2" t="s">
        <v>27</v>
      </c>
      <c r="E2328" s="5">
        <v>-28873</v>
      </c>
      <c r="F2328" s="3" t="s">
        <v>4997</v>
      </c>
      <c r="G2328" s="3" t="s">
        <v>128</v>
      </c>
      <c r="H2328" s="2" t="s">
        <v>21</v>
      </c>
      <c r="I2328" s="2" t="s">
        <v>4998</v>
      </c>
      <c r="J2328" s="3" t="str">
        <f>HYPERLINK("https://www.boe.es/gazeta/dias/1820/12/11/pdfs/GGB-1820-168.pdf#page=1","Abrir facsímil")</f>
        <v>Abrir facsímil</v>
      </c>
      <c r="K2328" s="3" t="s">
        <v>23</v>
      </c>
    </row>
    <row r="2329" spans="1:11" ht="42" customHeight="1">
      <c r="A2329" s="2" t="s">
        <v>4999</v>
      </c>
      <c r="B2329" s="2" t="s">
        <v>4999</v>
      </c>
      <c r="C2329" s="2" t="s">
        <v>26</v>
      </c>
      <c r="D2329" s="2" t="s">
        <v>27</v>
      </c>
      <c r="E2329" s="5">
        <v>-28918</v>
      </c>
      <c r="F2329" s="3" t="s">
        <v>160</v>
      </c>
      <c r="G2329" s="3" t="s">
        <v>128</v>
      </c>
      <c r="H2329" s="2" t="s">
        <v>21</v>
      </c>
      <c r="I2329" s="2" t="s">
        <v>5000</v>
      </c>
      <c r="J2329" s="3" t="str">
        <f>HYPERLINK("https://www.boe.es/gazeta/dias/1820/10/27/pdfs/GGB-1820-121.pdf#page=1","Abrir facsímil")</f>
        <v>Abrir facsímil</v>
      </c>
      <c r="K2329" s="3" t="s">
        <v>23</v>
      </c>
    </row>
    <row r="2330" spans="1:11" ht="42" customHeight="1">
      <c r="A2330" s="2" t="s">
        <v>5001</v>
      </c>
      <c r="B2330" s="2" t="s">
        <v>5001</v>
      </c>
      <c r="C2330" s="2" t="s">
        <v>26</v>
      </c>
      <c r="D2330" s="2" t="s">
        <v>27</v>
      </c>
      <c r="E2330" s="5">
        <v>-28863</v>
      </c>
      <c r="F2330" s="3" t="s">
        <v>3630</v>
      </c>
      <c r="G2330" s="3" t="s">
        <v>43</v>
      </c>
      <c r="H2330" s="2" t="s">
        <v>21</v>
      </c>
      <c r="I2330" s="2" t="s">
        <v>5002</v>
      </c>
      <c r="J2330" s="3" t="str">
        <f>HYPERLINK("https://www.boe.es/gazeta/dias/1820/12/21/pdfs/GGB-1820-178.pdf#page=2","Abrir facsímil")</f>
        <v>Abrir facsímil</v>
      </c>
      <c r="K2330" s="3" t="s">
        <v>23</v>
      </c>
    </row>
    <row r="2331" spans="1:11" ht="42" customHeight="1">
      <c r="A2331" s="2" t="s">
        <v>5003</v>
      </c>
      <c r="B2331" s="2" t="s">
        <v>5003</v>
      </c>
      <c r="C2331" s="2" t="s">
        <v>26</v>
      </c>
      <c r="D2331" s="2" t="s">
        <v>27</v>
      </c>
      <c r="E2331" s="5">
        <v>-29155</v>
      </c>
      <c r="F2331" s="3" t="s">
        <v>2095</v>
      </c>
      <c r="G2331" s="3" t="s">
        <v>62</v>
      </c>
      <c r="H2331" s="2" t="s">
        <v>21</v>
      </c>
      <c r="I2331" s="2" t="s">
        <v>5004</v>
      </c>
      <c r="J2331" s="3" t="str">
        <f>HYPERLINK("https://www.boe.es/gazeta/dias/1820/03/04/pdfs/GMD-1820-28.pdf#page=3","Abrir facsímil")</f>
        <v>Abrir facsímil</v>
      </c>
      <c r="K2331" s="3" t="s">
        <v>23</v>
      </c>
    </row>
    <row r="2332" spans="1:11" ht="42" customHeight="1">
      <c r="A2332" s="2" t="s">
        <v>5005</v>
      </c>
      <c r="B2332" s="2" t="s">
        <v>5006</v>
      </c>
      <c r="C2332" s="2" t="s">
        <v>17</v>
      </c>
      <c r="D2332" s="2" t="s">
        <v>18</v>
      </c>
      <c r="E2332" s="5">
        <v>-28951</v>
      </c>
      <c r="F2332" s="3" t="s">
        <v>622</v>
      </c>
      <c r="G2332" s="3" t="s">
        <v>128</v>
      </c>
      <c r="H2332" s="2" t="s">
        <v>21</v>
      </c>
      <c r="I2332" s="2" t="s">
        <v>5007</v>
      </c>
      <c r="J2332" s="3" t="str">
        <f>HYPERLINK("https://www.boe.es/gazeta/dias/1820/09/24/pdfs/GGB-1820-88.pdf#page=1","Abrir facsímil")</f>
        <v>Abrir facsímil</v>
      </c>
      <c r="K2332" s="3" t="s">
        <v>23</v>
      </c>
    </row>
    <row r="2333" spans="1:11" ht="42" customHeight="1">
      <c r="A2333" s="2" t="s">
        <v>5008</v>
      </c>
      <c r="B2333" s="2" t="s">
        <v>5008</v>
      </c>
      <c r="C2333" s="2" t="s">
        <v>26</v>
      </c>
      <c r="D2333" s="2" t="s">
        <v>27</v>
      </c>
      <c r="E2333" s="5">
        <v>-29032</v>
      </c>
      <c r="F2333" s="3" t="s">
        <v>3052</v>
      </c>
      <c r="G2333" s="3" t="s">
        <v>821</v>
      </c>
      <c r="H2333" s="2" t="s">
        <v>21</v>
      </c>
      <c r="I2333" s="2" t="s">
        <v>5009</v>
      </c>
      <c r="J2333" s="3" t="str">
        <f>HYPERLINK("https://www.boe.es/gazeta/dias/1820/07/05/pdfs/GGB-1820-5.pdf#page=2","Abrir facsímil")</f>
        <v>Abrir facsímil</v>
      </c>
      <c r="K2333" s="3" t="s">
        <v>23</v>
      </c>
    </row>
    <row r="2334" spans="1:11" ht="42" customHeight="1">
      <c r="A2334" s="2" t="s">
        <v>5010</v>
      </c>
      <c r="B2334" s="2" t="s">
        <v>5010</v>
      </c>
      <c r="C2334" s="2" t="s">
        <v>35</v>
      </c>
      <c r="D2334" s="2" t="s">
        <v>36</v>
      </c>
      <c r="E2334" s="5">
        <v>-28896</v>
      </c>
      <c r="F2334" s="3" t="s">
        <v>1268</v>
      </c>
      <c r="G2334" s="3" t="s">
        <v>128</v>
      </c>
      <c r="H2334" s="2" t="s">
        <v>21</v>
      </c>
      <c r="I2334" s="2" t="s">
        <v>5011</v>
      </c>
      <c r="J2334" s="3" t="str">
        <f>HYPERLINK("https://www.boe.es/gazeta/dias/1820/11/18/pdfs/GGB-1820-144.pdf#page=1","Abrir facsímil")</f>
        <v>Abrir facsímil</v>
      </c>
      <c r="K2334" s="3" t="s">
        <v>23</v>
      </c>
    </row>
    <row r="2335" spans="1:11" ht="42" customHeight="1">
      <c r="A2335" s="2" t="s">
        <v>5012</v>
      </c>
      <c r="B2335" s="2" t="s">
        <v>5012</v>
      </c>
      <c r="C2335" s="2" t="s">
        <v>17</v>
      </c>
      <c r="D2335" s="2" t="s">
        <v>18</v>
      </c>
      <c r="E2335" s="5">
        <v>-29018</v>
      </c>
      <c r="F2335" s="3" t="s">
        <v>601</v>
      </c>
      <c r="G2335" s="3" t="s">
        <v>20</v>
      </c>
      <c r="H2335" s="2" t="s">
        <v>21</v>
      </c>
      <c r="I2335" s="2" t="s">
        <v>5013</v>
      </c>
      <c r="J2335" s="3" t="str">
        <f>HYPERLINK("https://www.boe.es/gazeta/dias/1820/07/19/pdfs/GGB-1820-21.pdf#page=4","Abrir facsímil")</f>
        <v>Abrir facsímil</v>
      </c>
      <c r="K2335" s="3" t="s">
        <v>23</v>
      </c>
    </row>
    <row r="2336" spans="1:11" ht="42" customHeight="1">
      <c r="A2336" s="2" t="s">
        <v>5014</v>
      </c>
      <c r="B2336" s="2" t="s">
        <v>5015</v>
      </c>
      <c r="C2336" s="2" t="s">
        <v>74</v>
      </c>
      <c r="D2336" s="2" t="s">
        <v>18</v>
      </c>
      <c r="E2336" s="5">
        <v>-29013</v>
      </c>
      <c r="F2336" s="3" t="s">
        <v>52</v>
      </c>
      <c r="G2336" s="3" t="s">
        <v>20</v>
      </c>
      <c r="H2336" s="2" t="s">
        <v>21</v>
      </c>
      <c r="I2336" s="2" t="s">
        <v>5016</v>
      </c>
      <c r="J2336" s="3" t="str">
        <f>HYPERLINK("https://www.boe.es/gazeta/dias/1820/07/24/pdfs/GGB-1820-26.pdf#page=4","Abrir facsímil")</f>
        <v>Abrir facsímil</v>
      </c>
      <c r="K2336" s="3" t="s">
        <v>23</v>
      </c>
    </row>
    <row r="2337" spans="1:11" ht="42" customHeight="1">
      <c r="A2337" s="2" t="s">
        <v>5017</v>
      </c>
      <c r="B2337" s="2" t="s">
        <v>5017</v>
      </c>
      <c r="C2337" s="2" t="s">
        <v>293</v>
      </c>
      <c r="D2337" s="2" t="s">
        <v>18</v>
      </c>
      <c r="E2337" s="5">
        <v>-28912</v>
      </c>
      <c r="F2337" s="3" t="s">
        <v>1329</v>
      </c>
      <c r="G2337" s="3" t="s">
        <v>128</v>
      </c>
      <c r="H2337" s="2" t="s">
        <v>21</v>
      </c>
      <c r="I2337" s="2" t="s">
        <v>5018</v>
      </c>
      <c r="J2337" s="3" t="str">
        <f>HYPERLINK("https://www.boe.es/gazeta/dias/1820/11/02/pdfs/GGB-1820-127.pdf#page=1","Abrir facsímil")</f>
        <v>Abrir facsímil</v>
      </c>
      <c r="K2337" s="3" t="s">
        <v>23</v>
      </c>
    </row>
    <row r="2338" spans="1:11" ht="42" customHeight="1">
      <c r="A2338" s="2" t="s">
        <v>5019</v>
      </c>
      <c r="B2338" s="2" t="s">
        <v>5019</v>
      </c>
      <c r="C2338" s="2" t="s">
        <v>26</v>
      </c>
      <c r="D2338" s="2" t="s">
        <v>27</v>
      </c>
      <c r="E2338" s="5">
        <v>-28988</v>
      </c>
      <c r="F2338" s="3" t="s">
        <v>618</v>
      </c>
      <c r="G2338" s="3" t="s">
        <v>677</v>
      </c>
      <c r="H2338" s="2" t="s">
        <v>21</v>
      </c>
      <c r="I2338" s="2" t="s">
        <v>5020</v>
      </c>
      <c r="J2338" s="3" t="str">
        <f>HYPERLINK("https://www.boe.es/gazeta/dias/1820/08/18/pdfs/GGB-1820-51.pdf#page=2","Abrir facsímil")</f>
        <v>Abrir facsímil</v>
      </c>
      <c r="K2338" s="3" t="s">
        <v>23</v>
      </c>
    </row>
    <row r="2339" spans="1:11" ht="42" customHeight="1">
      <c r="A2339" s="2" t="s">
        <v>5021</v>
      </c>
      <c r="B2339" s="2" t="s">
        <v>5021</v>
      </c>
      <c r="C2339" s="2" t="s">
        <v>293</v>
      </c>
      <c r="D2339" s="2" t="s">
        <v>18</v>
      </c>
      <c r="E2339" s="5">
        <v>-28920</v>
      </c>
      <c r="F2339" s="3" t="s">
        <v>399</v>
      </c>
      <c r="G2339" s="3" t="s">
        <v>62</v>
      </c>
      <c r="H2339" s="2" t="s">
        <v>21</v>
      </c>
      <c r="I2339" s="2" t="s">
        <v>5022</v>
      </c>
      <c r="J2339" s="3" t="str">
        <f>HYPERLINK("https://www.boe.es/gazeta/dias/1820/10/25/pdfs/GGB-1820-119.pdf#page=3","Abrir facsímil")</f>
        <v>Abrir facsímil</v>
      </c>
      <c r="K2339" s="3" t="s">
        <v>23</v>
      </c>
    </row>
    <row r="2340" spans="1:11" ht="42" customHeight="1">
      <c r="A2340" s="2" t="s">
        <v>5023</v>
      </c>
      <c r="B2340" s="2" t="s">
        <v>5023</v>
      </c>
      <c r="C2340" s="2" t="s">
        <v>35</v>
      </c>
      <c r="D2340" s="2" t="s">
        <v>36</v>
      </c>
      <c r="E2340" s="5">
        <v>-29014</v>
      </c>
      <c r="F2340" s="3" t="s">
        <v>70</v>
      </c>
      <c r="G2340" s="3" t="s">
        <v>62</v>
      </c>
      <c r="H2340" s="2" t="s">
        <v>21</v>
      </c>
      <c r="I2340" s="2" t="s">
        <v>5024</v>
      </c>
      <c r="J2340" s="3" t="str">
        <f>HYPERLINK("https://www.boe.es/gazeta/dias/1820/07/23/pdfs/GGB-1820-25.pdf#page=3","Abrir facsímil")</f>
        <v>Abrir facsímil</v>
      </c>
      <c r="K2340" s="3" t="s">
        <v>23</v>
      </c>
    </row>
    <row r="2341" spans="1:11" ht="42" customHeight="1">
      <c r="A2341" s="2" t="s">
        <v>5025</v>
      </c>
      <c r="B2341" s="2" t="s">
        <v>5026</v>
      </c>
      <c r="C2341" s="2" t="s">
        <v>26</v>
      </c>
      <c r="D2341" s="2" t="s">
        <v>27</v>
      </c>
      <c r="E2341" s="5">
        <v>-28868</v>
      </c>
      <c r="F2341" s="3" t="s">
        <v>4191</v>
      </c>
      <c r="G2341" s="3" t="s">
        <v>128</v>
      </c>
      <c r="H2341" s="2" t="s">
        <v>30</v>
      </c>
      <c r="I2341" s="2" t="s">
        <v>5027</v>
      </c>
      <c r="J2341" s="3" t="str">
        <f>HYPERLINK("https://www.boe.es/gazeta/dias/1820/12/16/pdfs/GGB-1820-173.pdf#page=1","Abrir facsímil")</f>
        <v>Abrir facsímil</v>
      </c>
      <c r="K2341" s="3" t="s">
        <v>32</v>
      </c>
    </row>
    <row r="2342" spans="1:11" ht="42" customHeight="1">
      <c r="A2342" s="2" t="s">
        <v>5028</v>
      </c>
      <c r="B2342" s="2" t="s">
        <v>5028</v>
      </c>
      <c r="C2342" s="2" t="s">
        <v>26</v>
      </c>
      <c r="D2342" s="2" t="s">
        <v>27</v>
      </c>
      <c r="E2342" s="5">
        <v>-28956</v>
      </c>
      <c r="F2342" s="3" t="s">
        <v>190</v>
      </c>
      <c r="G2342" s="3" t="s">
        <v>128</v>
      </c>
      <c r="H2342" s="2" t="s">
        <v>21</v>
      </c>
      <c r="I2342" s="2" t="s">
        <v>5029</v>
      </c>
      <c r="J2342" s="3" t="str">
        <f>HYPERLINK("https://www.boe.es/gazeta/dias/1820/09/19/pdfs/GGB-1820-83.pdf#page=1","Abrir facsímil")</f>
        <v>Abrir facsímil</v>
      </c>
      <c r="K2342" s="3" t="s">
        <v>23</v>
      </c>
    </row>
    <row r="2343" spans="1:11" ht="42" customHeight="1">
      <c r="A2343" s="2" t="s">
        <v>5030</v>
      </c>
      <c r="B2343" s="2" t="s">
        <v>5030</v>
      </c>
      <c r="C2343" s="2" t="s">
        <v>26</v>
      </c>
      <c r="D2343" s="2" t="s">
        <v>27</v>
      </c>
      <c r="E2343" s="5">
        <v>-28857</v>
      </c>
      <c r="F2343" s="3" t="s">
        <v>889</v>
      </c>
      <c r="G2343" s="3" t="s">
        <v>890</v>
      </c>
      <c r="H2343" s="2" t="s">
        <v>21</v>
      </c>
      <c r="I2343" s="2" t="s">
        <v>5031</v>
      </c>
      <c r="J2343" s="3" t="str">
        <f>HYPERLINK("https://www.boe.es/gazeta/dias/1820/12/27/pdfs/GGB-1820-184.pdf#page=4","Abrir facsímil")</f>
        <v>Abrir facsímil</v>
      </c>
      <c r="K2343" s="3" t="s">
        <v>23</v>
      </c>
    </row>
    <row r="2344" spans="1:11" ht="42" customHeight="1">
      <c r="A2344" s="2" t="s">
        <v>5032</v>
      </c>
      <c r="B2344" s="2" t="s">
        <v>5033</v>
      </c>
      <c r="C2344" s="2" t="s">
        <v>26</v>
      </c>
      <c r="D2344" s="2" t="s">
        <v>27</v>
      </c>
      <c r="E2344" s="5">
        <v>-29002</v>
      </c>
      <c r="F2344" s="3" t="s">
        <v>124</v>
      </c>
      <c r="G2344" s="3" t="s">
        <v>20</v>
      </c>
      <c r="H2344" s="2" t="s">
        <v>21</v>
      </c>
      <c r="I2344" s="2" t="s">
        <v>5034</v>
      </c>
      <c r="J2344" s="3" t="str">
        <f>HYPERLINK("https://www.boe.es/gazeta/dias/1820/08/04/pdfs/GGB-1820-37.pdf#page=4","Abrir facsímil")</f>
        <v>Abrir facsímil</v>
      </c>
      <c r="K2344" s="3" t="s">
        <v>23</v>
      </c>
    </row>
    <row r="2345" spans="1:11" ht="42" customHeight="1">
      <c r="A2345" s="2" t="s">
        <v>5035</v>
      </c>
      <c r="B2345" s="2" t="s">
        <v>5036</v>
      </c>
      <c r="C2345" s="2" t="s">
        <v>26</v>
      </c>
      <c r="D2345" s="2" t="s">
        <v>27</v>
      </c>
      <c r="E2345" s="5">
        <v>-28900</v>
      </c>
      <c r="F2345" s="3" t="s">
        <v>878</v>
      </c>
      <c r="G2345" s="3" t="s">
        <v>20</v>
      </c>
      <c r="H2345" s="2" t="s">
        <v>21</v>
      </c>
      <c r="I2345" s="2" t="s">
        <v>5037</v>
      </c>
      <c r="J2345" s="3" t="str">
        <f>HYPERLINK("https://www.boe.es/gazeta/dias/1820/11/14/pdfs/GGB-1820-140.pdf#page=4","Abrir facsímil")</f>
        <v>Abrir facsímil</v>
      </c>
      <c r="K2345" s="3" t="s">
        <v>23</v>
      </c>
    </row>
    <row r="2346" spans="1:11" ht="42" customHeight="1">
      <c r="A2346" s="2" t="s">
        <v>5038</v>
      </c>
      <c r="B2346" s="2" t="s">
        <v>5038</v>
      </c>
      <c r="C2346" s="2" t="s">
        <v>26</v>
      </c>
      <c r="D2346" s="2" t="s">
        <v>27</v>
      </c>
      <c r="E2346" s="5">
        <v>-28910</v>
      </c>
      <c r="F2346" s="3" t="s">
        <v>746</v>
      </c>
      <c r="G2346" s="3" t="s">
        <v>43</v>
      </c>
      <c r="H2346" s="2" t="s">
        <v>21</v>
      </c>
      <c r="I2346" s="2" t="s">
        <v>5039</v>
      </c>
      <c r="J2346" s="3" t="str">
        <f>HYPERLINK("https://www.boe.es/gazeta/dias/1820/11/04/pdfs/GGB-1820-129.pdf#page=2","Abrir facsímil")</f>
        <v>Abrir facsímil</v>
      </c>
      <c r="K2346" s="3" t="s">
        <v>23</v>
      </c>
    </row>
    <row r="2347" spans="1:11" ht="42" customHeight="1">
      <c r="A2347" s="2" t="s">
        <v>5040</v>
      </c>
      <c r="B2347" s="2" t="s">
        <v>5040</v>
      </c>
      <c r="C2347" s="2" t="s">
        <v>74</v>
      </c>
      <c r="D2347" s="2" t="s">
        <v>18</v>
      </c>
      <c r="E2347" s="5">
        <v>-28868</v>
      </c>
      <c r="F2347" s="3" t="s">
        <v>4191</v>
      </c>
      <c r="G2347" s="3" t="s">
        <v>128</v>
      </c>
      <c r="H2347" s="2" t="s">
        <v>21</v>
      </c>
      <c r="I2347" s="2" t="s">
        <v>5041</v>
      </c>
      <c r="J2347" s="3" t="str">
        <f>HYPERLINK("https://www.boe.es/gazeta/dias/1820/12/16/pdfs/GGB-1820-173.pdf#page=1","Abrir facsímil")</f>
        <v>Abrir facsímil</v>
      </c>
      <c r="K2347" s="3" t="s">
        <v>23</v>
      </c>
    </row>
    <row r="2348" spans="1:11" ht="42" customHeight="1">
      <c r="A2348" s="2" t="s">
        <v>5042</v>
      </c>
      <c r="B2348" s="2" t="s">
        <v>5042</v>
      </c>
      <c r="C2348" s="2" t="s">
        <v>26</v>
      </c>
      <c r="D2348" s="2" t="s">
        <v>27</v>
      </c>
      <c r="E2348" s="5">
        <v>-28924</v>
      </c>
      <c r="F2348" s="3" t="s">
        <v>78</v>
      </c>
      <c r="G2348" s="3" t="s">
        <v>128</v>
      </c>
      <c r="H2348" s="2" t="s">
        <v>21</v>
      </c>
      <c r="I2348" s="2" t="s">
        <v>5043</v>
      </c>
      <c r="J2348" s="3" t="str">
        <f>HYPERLINK("https://www.boe.es/gazeta/dias/1820/10/21/pdfs/GGB-1820-115.pdf#page=1","Abrir facsímil")</f>
        <v>Abrir facsímil</v>
      </c>
      <c r="K2348" s="3" t="s">
        <v>23</v>
      </c>
    </row>
    <row r="2349" spans="1:11" ht="42" customHeight="1">
      <c r="A2349" s="2" t="s">
        <v>5044</v>
      </c>
      <c r="B2349" s="2" t="s">
        <v>5044</v>
      </c>
      <c r="C2349" s="2" t="s">
        <v>35</v>
      </c>
      <c r="D2349" s="2" t="s">
        <v>36</v>
      </c>
      <c r="E2349" s="5">
        <v>-29012</v>
      </c>
      <c r="F2349" s="3" t="s">
        <v>72</v>
      </c>
      <c r="G2349" s="3" t="s">
        <v>661</v>
      </c>
      <c r="H2349" s="2" t="s">
        <v>21</v>
      </c>
      <c r="I2349" s="2" t="s">
        <v>5045</v>
      </c>
      <c r="J2349" s="3" t="str">
        <f>HYPERLINK("https://www.boe.es/gazeta/dias/1820/07/25/pdfs/GGB-1820-27.pdf#page=2","Abrir facsímil")</f>
        <v>Abrir facsímil</v>
      </c>
      <c r="K2349" s="3" t="s">
        <v>23</v>
      </c>
    </row>
    <row r="2350" spans="1:11" ht="42" customHeight="1">
      <c r="A2350" s="2" t="s">
        <v>5044</v>
      </c>
      <c r="B2350" s="2" t="s">
        <v>5044</v>
      </c>
      <c r="C2350" s="2" t="s">
        <v>26</v>
      </c>
      <c r="D2350" s="2" t="s">
        <v>27</v>
      </c>
      <c r="E2350" s="5">
        <v>-29012</v>
      </c>
      <c r="F2350" s="3" t="s">
        <v>72</v>
      </c>
      <c r="G2350" s="3" t="s">
        <v>62</v>
      </c>
      <c r="H2350" s="2" t="s">
        <v>21</v>
      </c>
      <c r="I2350" s="2" t="s">
        <v>5046</v>
      </c>
      <c r="J2350" s="3" t="str">
        <f>HYPERLINK("https://www.boe.es/gazeta/dias/1820/07/25/pdfs/GGB-1820-27.pdf#page=3","Abrir facsímil")</f>
        <v>Abrir facsímil</v>
      </c>
      <c r="K2350" s="3" t="s">
        <v>23</v>
      </c>
    </row>
    <row r="2351" spans="1:11" ht="42" customHeight="1">
      <c r="A2351" s="2" t="s">
        <v>5044</v>
      </c>
      <c r="B2351" s="2" t="s">
        <v>5044</v>
      </c>
      <c r="C2351" s="2" t="s">
        <v>35</v>
      </c>
      <c r="D2351" s="2" t="s">
        <v>36</v>
      </c>
      <c r="E2351" s="5">
        <v>-29010</v>
      </c>
      <c r="F2351" s="3" t="s">
        <v>664</v>
      </c>
      <c r="G2351" s="3" t="s">
        <v>62</v>
      </c>
      <c r="H2351" s="2" t="s">
        <v>21</v>
      </c>
      <c r="I2351" s="2" t="s">
        <v>5047</v>
      </c>
      <c r="J2351" s="3" t="str">
        <f>HYPERLINK("https://www.boe.es/gazeta/dias/1820/07/27/pdfs/GGB-1820-29.pdf#page=3","Abrir facsímil")</f>
        <v>Abrir facsímil</v>
      </c>
      <c r="K2351" s="3" t="s">
        <v>23</v>
      </c>
    </row>
    <row r="2352" spans="1:11" ht="42" customHeight="1">
      <c r="A2352" s="2" t="s">
        <v>5044</v>
      </c>
      <c r="B2352" s="2" t="s">
        <v>5044</v>
      </c>
      <c r="C2352" s="2" t="s">
        <v>111</v>
      </c>
      <c r="D2352" s="2" t="s">
        <v>18</v>
      </c>
      <c r="E2352" s="5">
        <v>-28967</v>
      </c>
      <c r="F2352" s="3" t="s">
        <v>238</v>
      </c>
      <c r="G2352" s="3" t="s">
        <v>38</v>
      </c>
      <c r="H2352" s="2" t="s">
        <v>21</v>
      </c>
      <c r="I2352" s="2" t="s">
        <v>5048</v>
      </c>
      <c r="J2352" s="3" t="str">
        <f>HYPERLINK("https://www.boe.es/gazeta/dias/1820/09/08/pdfs/GGB-1820-72.pdf#page=6","Abrir facsímil")</f>
        <v>Abrir facsímil</v>
      </c>
      <c r="K2352" s="3" t="s">
        <v>23</v>
      </c>
    </row>
    <row r="2353" spans="1:11" ht="42" customHeight="1">
      <c r="A2353" s="2" t="s">
        <v>5049</v>
      </c>
      <c r="B2353" s="2" t="s">
        <v>5050</v>
      </c>
      <c r="C2353" s="2" t="s">
        <v>26</v>
      </c>
      <c r="D2353" s="2" t="s">
        <v>27</v>
      </c>
      <c r="E2353" s="5">
        <v>-29045</v>
      </c>
      <c r="F2353" s="3" t="s">
        <v>155</v>
      </c>
      <c r="G2353" s="3" t="s">
        <v>38</v>
      </c>
      <c r="H2353" s="2" t="s">
        <v>21</v>
      </c>
      <c r="I2353" s="2" t="s">
        <v>5051</v>
      </c>
      <c r="J2353" s="3" t="str">
        <f>HYPERLINK("https://www.boe.es/gazeta/dias/1820/06/22/pdfs/GMD-1820-97.pdf#page=6","Abrir facsímil")</f>
        <v>Abrir facsímil</v>
      </c>
      <c r="K2353" s="3" t="s">
        <v>23</v>
      </c>
    </row>
    <row r="2354" spans="1:11" ht="42" customHeight="1">
      <c r="A2354" s="2" t="s">
        <v>5052</v>
      </c>
      <c r="B2354" s="2" t="s">
        <v>5053</v>
      </c>
      <c r="C2354" s="2" t="s">
        <v>111</v>
      </c>
      <c r="D2354" s="2" t="s">
        <v>18</v>
      </c>
      <c r="E2354" s="5">
        <v>-29115</v>
      </c>
      <c r="F2354" s="3" t="s">
        <v>289</v>
      </c>
      <c r="G2354" s="3" t="s">
        <v>20</v>
      </c>
      <c r="H2354" s="2" t="s">
        <v>21</v>
      </c>
      <c r="I2354" s="2" t="s">
        <v>5054</v>
      </c>
      <c r="J2354" s="3" t="str">
        <f>HYPERLINK("https://www.boe.es/gazeta/dias/1820/04/13/pdfs/GMD-1820-65.pdf#page=4","Abrir facsímil")</f>
        <v>Abrir facsímil</v>
      </c>
      <c r="K2354" s="3" t="s">
        <v>23</v>
      </c>
    </row>
    <row r="2355" spans="1:11" ht="42" customHeight="1">
      <c r="A2355" s="2" t="s">
        <v>5055</v>
      </c>
      <c r="B2355" s="2" t="s">
        <v>5056</v>
      </c>
      <c r="C2355" s="2" t="s">
        <v>26</v>
      </c>
      <c r="D2355" s="2" t="s">
        <v>27</v>
      </c>
      <c r="E2355" s="5">
        <v>-28973</v>
      </c>
      <c r="F2355" s="3" t="s">
        <v>151</v>
      </c>
      <c r="G2355" s="3" t="s">
        <v>20</v>
      </c>
      <c r="H2355" s="2" t="s">
        <v>21</v>
      </c>
      <c r="I2355" s="2" t="s">
        <v>5057</v>
      </c>
      <c r="J2355" s="3" t="str">
        <f>HYPERLINK("https://www.boe.es/gazeta/dias/1820/09/02/pdfs/GGB-1820-66.pdf#page=4","Abrir facsímil")</f>
        <v>Abrir facsímil</v>
      </c>
      <c r="K2355" s="3" t="s">
        <v>23</v>
      </c>
    </row>
    <row r="2356" spans="1:11" ht="42" customHeight="1">
      <c r="A2356" s="2" t="s">
        <v>5058</v>
      </c>
      <c r="B2356" s="2" t="s">
        <v>5058</v>
      </c>
      <c r="C2356" s="2" t="s">
        <v>293</v>
      </c>
      <c r="D2356" s="2" t="s">
        <v>18</v>
      </c>
      <c r="E2356" s="5">
        <v>-28947</v>
      </c>
      <c r="F2356" s="3" t="s">
        <v>127</v>
      </c>
      <c r="G2356" s="3" t="s">
        <v>62</v>
      </c>
      <c r="H2356" s="2" t="s">
        <v>21</v>
      </c>
      <c r="I2356" s="2" t="s">
        <v>5059</v>
      </c>
      <c r="J2356" s="3" t="str">
        <f>HYPERLINK("https://www.boe.es/gazeta/dias/1820/09/28/pdfs/GGB-1820-92.pdf#page=3","Abrir facsímil")</f>
        <v>Abrir facsímil</v>
      </c>
      <c r="K2356" s="3" t="s">
        <v>23</v>
      </c>
    </row>
    <row r="2357" spans="1:11" ht="42" customHeight="1">
      <c r="A2357" s="2" t="s">
        <v>5060</v>
      </c>
      <c r="B2357" s="2" t="s">
        <v>5060</v>
      </c>
      <c r="C2357" s="2" t="s">
        <v>26</v>
      </c>
      <c r="D2357" s="2" t="s">
        <v>27</v>
      </c>
      <c r="E2357" s="5">
        <v>-28957</v>
      </c>
      <c r="F2357" s="3" t="s">
        <v>361</v>
      </c>
      <c r="G2357" s="3" t="s">
        <v>708</v>
      </c>
      <c r="H2357" s="2" t="s">
        <v>21</v>
      </c>
      <c r="I2357" s="2" t="s">
        <v>5061</v>
      </c>
      <c r="J2357" s="3" t="str">
        <f>HYPERLINK("https://www.boe.es/gazeta/dias/1820/09/18/pdfs/GGB-1820-82.pdf#page=4","Abrir facsímil")</f>
        <v>Abrir facsímil</v>
      </c>
      <c r="K2357" s="3" t="s">
        <v>23</v>
      </c>
    </row>
    <row r="2358" spans="1:11" ht="42" customHeight="1">
      <c r="A2358" s="2" t="s">
        <v>5062</v>
      </c>
      <c r="B2358" s="2" t="s">
        <v>5062</v>
      </c>
      <c r="C2358" s="2" t="s">
        <v>17</v>
      </c>
      <c r="D2358" s="2" t="s">
        <v>18</v>
      </c>
      <c r="E2358" s="5">
        <v>-28947</v>
      </c>
      <c r="F2358" s="3" t="s">
        <v>127</v>
      </c>
      <c r="G2358" s="3" t="s">
        <v>62</v>
      </c>
      <c r="H2358" s="2" t="s">
        <v>21</v>
      </c>
      <c r="I2358" s="2" t="s">
        <v>5063</v>
      </c>
      <c r="J2358" s="3" t="str">
        <f>HYPERLINK("https://www.boe.es/gazeta/dias/1820/09/28/pdfs/GGB-1820-92.pdf#page=3","Abrir facsímil")</f>
        <v>Abrir facsímil</v>
      </c>
      <c r="K2358" s="3" t="s">
        <v>23</v>
      </c>
    </row>
    <row r="2359" spans="1:11" ht="42" customHeight="1">
      <c r="A2359" s="2" t="s">
        <v>5064</v>
      </c>
      <c r="B2359" s="2" t="s">
        <v>5065</v>
      </c>
      <c r="C2359" s="2" t="s">
        <v>74</v>
      </c>
      <c r="D2359" s="2" t="s">
        <v>18</v>
      </c>
      <c r="E2359" s="5">
        <v>-28911</v>
      </c>
      <c r="F2359" s="3" t="s">
        <v>82</v>
      </c>
      <c r="G2359" s="3" t="s">
        <v>43</v>
      </c>
      <c r="H2359" s="2" t="s">
        <v>21</v>
      </c>
      <c r="I2359" s="2" t="s">
        <v>5066</v>
      </c>
      <c r="J2359" s="3" t="str">
        <f>HYPERLINK("https://www.boe.es/gazeta/dias/1820/11/03/pdfs/GGB-1820-128.pdf#page=2","Abrir facsímil")</f>
        <v>Abrir facsímil</v>
      </c>
      <c r="K2359" s="3" t="s">
        <v>23</v>
      </c>
    </row>
    <row r="2360" spans="1:11" ht="42" customHeight="1">
      <c r="A2360" s="2" t="s">
        <v>5067</v>
      </c>
      <c r="B2360" s="2" t="s">
        <v>5068</v>
      </c>
      <c r="C2360" s="2" t="s">
        <v>17</v>
      </c>
      <c r="D2360" s="2" t="s">
        <v>18</v>
      </c>
      <c r="E2360" s="5">
        <v>-29138</v>
      </c>
      <c r="F2360" s="3" t="s">
        <v>200</v>
      </c>
      <c r="G2360" s="3" t="s">
        <v>201</v>
      </c>
      <c r="H2360" s="2" t="s">
        <v>21</v>
      </c>
      <c r="I2360" s="2" t="s">
        <v>5069</v>
      </c>
      <c r="J2360" s="3" t="str">
        <f>HYPERLINK("https://www.boe.es/gazeta/dias/1820/03/21/pdfs/GMD-1820-46.pdf#page=7","Abrir facsímil")</f>
        <v>Abrir facsímil</v>
      </c>
      <c r="K2360" s="3" t="s">
        <v>23</v>
      </c>
    </row>
    <row r="2361" spans="1:11" ht="42" customHeight="1">
      <c r="A2361" s="2" t="s">
        <v>5070</v>
      </c>
      <c r="B2361" s="2" t="s">
        <v>5071</v>
      </c>
      <c r="C2361" s="2" t="s">
        <v>26</v>
      </c>
      <c r="D2361" s="2" t="s">
        <v>27</v>
      </c>
      <c r="E2361" s="5">
        <v>-29211</v>
      </c>
      <c r="F2361" s="3" t="s">
        <v>578</v>
      </c>
      <c r="G2361" s="3" t="s">
        <v>20</v>
      </c>
      <c r="H2361" s="2" t="s">
        <v>21</v>
      </c>
      <c r="I2361" s="2" t="s">
        <v>5072</v>
      </c>
      <c r="J2361" s="3" t="str">
        <f>HYPERLINK("https://www.boe.es/gazeta/dias/1820/01/08/pdfs/GMD-1820-4.pdf#page=4","Abrir facsímil")</f>
        <v>Abrir facsímil</v>
      </c>
      <c r="K2361" s="3" t="s">
        <v>23</v>
      </c>
    </row>
    <row r="2362" spans="1:11" ht="42" customHeight="1">
      <c r="A2362" s="2" t="s">
        <v>5073</v>
      </c>
      <c r="B2362" s="2" t="s">
        <v>5074</v>
      </c>
      <c r="C2362" s="2" t="s">
        <v>35</v>
      </c>
      <c r="D2362" s="2" t="s">
        <v>36</v>
      </c>
      <c r="E2362" s="5">
        <v>-28855</v>
      </c>
      <c r="F2362" s="3" t="s">
        <v>2055</v>
      </c>
      <c r="G2362" s="3" t="s">
        <v>20</v>
      </c>
      <c r="H2362" s="2" t="s">
        <v>21</v>
      </c>
      <c r="I2362" s="2" t="s">
        <v>5075</v>
      </c>
      <c r="J2362" s="3" t="str">
        <f>HYPERLINK("https://www.boe.es/gazeta/dias/1820/12/29/pdfs/GGB-1820-186.pdf#page=4","Abrir facsímil")</f>
        <v>Abrir facsímil</v>
      </c>
      <c r="K2362" s="3" t="s">
        <v>23</v>
      </c>
    </row>
    <row r="2363" spans="1:11" ht="42" customHeight="1">
      <c r="A2363" s="2" t="s">
        <v>5076</v>
      </c>
      <c r="B2363" s="2" t="s">
        <v>5077</v>
      </c>
      <c r="C2363" s="2" t="s">
        <v>293</v>
      </c>
      <c r="D2363" s="2" t="s">
        <v>18</v>
      </c>
      <c r="E2363" s="5">
        <v>-28971</v>
      </c>
      <c r="F2363" s="3" t="s">
        <v>691</v>
      </c>
      <c r="G2363" s="3" t="s">
        <v>5078</v>
      </c>
      <c r="H2363" s="2" t="s">
        <v>21</v>
      </c>
      <c r="I2363" s="2" t="s">
        <v>5079</v>
      </c>
      <c r="J2363" s="3" t="str">
        <f>HYPERLINK("https://www.boe.es/gazeta/dias/1820/09/04/pdfs/GGB-1820-68.pdf#page=4","Abrir facsímil")</f>
        <v>Abrir facsímil</v>
      </c>
      <c r="K2363" s="3" t="s">
        <v>23</v>
      </c>
    </row>
    <row r="2364" spans="1:11" ht="42" customHeight="1">
      <c r="A2364" s="2" t="s">
        <v>5080</v>
      </c>
      <c r="B2364" s="2" t="s">
        <v>5081</v>
      </c>
      <c r="C2364" s="2" t="s">
        <v>35</v>
      </c>
      <c r="D2364" s="2" t="s">
        <v>36</v>
      </c>
      <c r="E2364" s="5">
        <v>-28935</v>
      </c>
      <c r="F2364" s="3" t="s">
        <v>2464</v>
      </c>
      <c r="G2364" s="3" t="s">
        <v>62</v>
      </c>
      <c r="H2364" s="2" t="s">
        <v>21</v>
      </c>
      <c r="I2364" s="2" t="s">
        <v>5082</v>
      </c>
      <c r="J2364" s="3" t="str">
        <f>HYPERLINK("https://www.boe.es/gazeta/dias/1820/10/10/pdfs/GGB-1820-104.pdf#page=3","Abrir facsímil")</f>
        <v>Abrir facsímil</v>
      </c>
      <c r="K2364" s="3" t="s">
        <v>23</v>
      </c>
    </row>
    <row r="2365" spans="1:11" ht="42" customHeight="1">
      <c r="A2365" s="2" t="s">
        <v>5083</v>
      </c>
      <c r="B2365" s="2" t="s">
        <v>5084</v>
      </c>
      <c r="C2365" s="2" t="s">
        <v>26</v>
      </c>
      <c r="D2365" s="2" t="s">
        <v>27</v>
      </c>
      <c r="E2365" s="5">
        <v>-28969</v>
      </c>
      <c r="F2365" s="3" t="s">
        <v>225</v>
      </c>
      <c r="G2365" s="3" t="s">
        <v>20</v>
      </c>
      <c r="H2365" s="2" t="s">
        <v>21</v>
      </c>
      <c r="I2365" s="2" t="s">
        <v>5085</v>
      </c>
      <c r="J2365" s="3" t="str">
        <f>HYPERLINK("https://www.boe.es/gazeta/dias/1820/09/06/pdfs/GGB-1820-70.pdf#page=4","Abrir facsímil")</f>
        <v>Abrir facsímil</v>
      </c>
      <c r="K2365" s="3" t="s">
        <v>23</v>
      </c>
    </row>
    <row r="2366" spans="1:11" ht="42" customHeight="1">
      <c r="A2366" s="2" t="s">
        <v>5086</v>
      </c>
      <c r="B2366" s="2" t="s">
        <v>5087</v>
      </c>
      <c r="C2366" s="2" t="s">
        <v>17</v>
      </c>
      <c r="D2366" s="2" t="s">
        <v>18</v>
      </c>
      <c r="E2366" s="5">
        <v>-28950</v>
      </c>
      <c r="F2366" s="3" t="s">
        <v>1052</v>
      </c>
      <c r="G2366" s="3" t="s">
        <v>20</v>
      </c>
      <c r="H2366" s="2" t="s">
        <v>21</v>
      </c>
      <c r="I2366" s="2" t="s">
        <v>5088</v>
      </c>
      <c r="J2366" s="3" t="str">
        <f>HYPERLINK("https://www.boe.es/gazeta/dias/1820/09/25/pdfs/GGB-1820-89.pdf#page=4","Abrir facsímil")</f>
        <v>Abrir facsímil</v>
      </c>
      <c r="K2366" s="3" t="s">
        <v>23</v>
      </c>
    </row>
    <row r="2367" spans="1:11" ht="42" customHeight="1">
      <c r="A2367" s="2" t="s">
        <v>5089</v>
      </c>
      <c r="B2367" s="2" t="s">
        <v>5090</v>
      </c>
      <c r="C2367" s="2" t="s">
        <v>35</v>
      </c>
      <c r="D2367" s="2" t="s">
        <v>36</v>
      </c>
      <c r="E2367" s="5">
        <v>-29159</v>
      </c>
      <c r="F2367" s="3" t="s">
        <v>1022</v>
      </c>
      <c r="G2367" s="3" t="s">
        <v>3766</v>
      </c>
      <c r="H2367" s="2" t="s">
        <v>21</v>
      </c>
      <c r="I2367" s="2" t="s">
        <v>5091</v>
      </c>
      <c r="J2367" s="3" t="str">
        <f>HYPERLINK("https://www.boe.es/gazeta/dias/1820/02/29/pdfs/GMD-1820-26.pdf#page=8","Abrir facsímil")</f>
        <v>Abrir facsímil</v>
      </c>
      <c r="K2367" s="3" t="s">
        <v>23</v>
      </c>
    </row>
    <row r="2368" spans="1:11" ht="42" customHeight="1">
      <c r="A2368" s="2" t="s">
        <v>5089</v>
      </c>
      <c r="B2368" s="2" t="s">
        <v>5090</v>
      </c>
      <c r="C2368" s="2" t="s">
        <v>17</v>
      </c>
      <c r="D2368" s="2" t="s">
        <v>18</v>
      </c>
      <c r="E2368" s="5">
        <v>-29068</v>
      </c>
      <c r="F2368" s="3" t="s">
        <v>943</v>
      </c>
      <c r="G2368" s="3" t="s">
        <v>975</v>
      </c>
      <c r="H2368" s="2" t="s">
        <v>21</v>
      </c>
      <c r="I2368" s="2" t="s">
        <v>5092</v>
      </c>
      <c r="J2368" s="3" t="str">
        <f>HYPERLINK("https://www.boe.es/gazeta/dias/1820/05/30/pdfs/GMD-1820-87.pdf#page=12","Abrir facsímil")</f>
        <v>Abrir facsímil</v>
      </c>
      <c r="K2368" s="3" t="s">
        <v>23</v>
      </c>
    </row>
    <row r="2369" spans="1:11" ht="42" customHeight="1">
      <c r="A2369" s="2" t="s">
        <v>5089</v>
      </c>
      <c r="B2369" s="2" t="s">
        <v>5090</v>
      </c>
      <c r="C2369" s="2" t="s">
        <v>47</v>
      </c>
      <c r="D2369" s="2" t="s">
        <v>18</v>
      </c>
      <c r="E2369" s="5">
        <v>-29064</v>
      </c>
      <c r="F2369" s="3" t="s">
        <v>1264</v>
      </c>
      <c r="G2369" s="3" t="s">
        <v>2318</v>
      </c>
      <c r="H2369" s="2" t="s">
        <v>21</v>
      </c>
      <c r="I2369" s="2" t="s">
        <v>5093</v>
      </c>
      <c r="J2369" s="3" t="str">
        <f>HYPERLINK("https://www.boe.es/gazeta/dias/1820/06/03/pdfs/GMD-1820-89.pdf#page=8","Abrir facsímil")</f>
        <v>Abrir facsímil</v>
      </c>
      <c r="K2369" s="3" t="s">
        <v>23</v>
      </c>
    </row>
    <row r="2370" spans="1:11" ht="42" customHeight="1">
      <c r="A2370" s="2" t="s">
        <v>5094</v>
      </c>
      <c r="B2370" s="2" t="s">
        <v>5095</v>
      </c>
      <c r="C2370" s="2" t="s">
        <v>26</v>
      </c>
      <c r="D2370" s="2" t="s">
        <v>27</v>
      </c>
      <c r="E2370" s="5">
        <v>-28946</v>
      </c>
      <c r="F2370" s="3" t="s">
        <v>1055</v>
      </c>
      <c r="G2370" s="3" t="s">
        <v>20</v>
      </c>
      <c r="H2370" s="2" t="s">
        <v>21</v>
      </c>
      <c r="I2370" s="2" t="s">
        <v>5096</v>
      </c>
      <c r="J2370" s="3" t="str">
        <f>HYPERLINK("https://www.boe.es/gazeta/dias/1820/09/29/pdfs/GGB-1820-93.pdf#page=4","Abrir facsímil")</f>
        <v>Abrir facsímil</v>
      </c>
      <c r="K2370" s="3" t="s">
        <v>23</v>
      </c>
    </row>
    <row r="2371" spans="1:11" ht="42" customHeight="1">
      <c r="A2371" s="2" t="s">
        <v>5097</v>
      </c>
      <c r="B2371" s="2" t="s">
        <v>5098</v>
      </c>
      <c r="C2371" s="2" t="s">
        <v>74</v>
      </c>
      <c r="D2371" s="2" t="s">
        <v>18</v>
      </c>
      <c r="E2371" s="5">
        <v>-28977</v>
      </c>
      <c r="F2371" s="3" t="s">
        <v>687</v>
      </c>
      <c r="G2371" s="3" t="s">
        <v>62</v>
      </c>
      <c r="H2371" s="2" t="s">
        <v>21</v>
      </c>
      <c r="I2371" s="2" t="s">
        <v>5099</v>
      </c>
      <c r="J2371" s="3" t="str">
        <f>HYPERLINK("https://www.boe.es/gazeta/dias/1820/08/29/pdfs/GGB-1820-62.pdf#page=3","Abrir facsímil")</f>
        <v>Abrir facsímil</v>
      </c>
      <c r="K2371" s="3" t="s">
        <v>23</v>
      </c>
    </row>
    <row r="2372" spans="1:11" ht="42" customHeight="1">
      <c r="A2372" s="2" t="s">
        <v>5100</v>
      </c>
      <c r="B2372" s="2" t="s">
        <v>5101</v>
      </c>
      <c r="C2372" s="2" t="s">
        <v>26</v>
      </c>
      <c r="D2372" s="2" t="s">
        <v>310</v>
      </c>
      <c r="E2372" s="5">
        <v>-29134</v>
      </c>
      <c r="F2372" s="3" t="s">
        <v>2560</v>
      </c>
      <c r="G2372" s="3" t="s">
        <v>128</v>
      </c>
      <c r="H2372" s="2" t="s">
        <v>21</v>
      </c>
      <c r="I2372" s="2" t="s">
        <v>5102</v>
      </c>
      <c r="J2372" s="3" t="str">
        <f>HYPERLINK("https://www.boe.es/gazeta/dias/1820/03/25/pdfs/GMD-1820-54E.pdf#page=1","Abrir facsímil")</f>
        <v>Abrir facsímil</v>
      </c>
      <c r="K2372" s="3" t="s">
        <v>23</v>
      </c>
    </row>
    <row r="2373" spans="1:11" ht="42" customHeight="1">
      <c r="A2373" s="2" t="s">
        <v>5103</v>
      </c>
      <c r="B2373" s="2" t="s">
        <v>5103</v>
      </c>
      <c r="C2373" s="2" t="s">
        <v>26</v>
      </c>
      <c r="D2373" s="2" t="s">
        <v>27</v>
      </c>
      <c r="E2373" s="5">
        <v>-29136</v>
      </c>
      <c r="F2373" s="3" t="s">
        <v>2972</v>
      </c>
      <c r="G2373" s="3" t="s">
        <v>2973</v>
      </c>
      <c r="H2373" s="2" t="s">
        <v>21</v>
      </c>
      <c r="I2373" s="2" t="s">
        <v>5104</v>
      </c>
      <c r="J2373" s="3" t="str">
        <f>HYPERLINK("https://www.boe.es/gazeta/dias/1820/03/23/pdfs/GMD-1820-51.pdf#page=4","Abrir facsímil")</f>
        <v>Abrir facsímil</v>
      </c>
      <c r="K2373" s="3" t="s">
        <v>23</v>
      </c>
    </row>
    <row r="2374" spans="1:11" ht="42" customHeight="1">
      <c r="A2374" s="2" t="s">
        <v>5105</v>
      </c>
      <c r="B2374" s="2" t="s">
        <v>5106</v>
      </c>
      <c r="C2374" s="2" t="s">
        <v>17</v>
      </c>
      <c r="D2374" s="2" t="s">
        <v>18</v>
      </c>
      <c r="E2374" s="5">
        <v>-29159</v>
      </c>
      <c r="F2374" s="3" t="s">
        <v>1022</v>
      </c>
      <c r="G2374" s="3" t="s">
        <v>201</v>
      </c>
      <c r="H2374" s="2" t="s">
        <v>21</v>
      </c>
      <c r="I2374" s="2" t="s">
        <v>5107</v>
      </c>
      <c r="J2374" s="3" t="str">
        <f>HYPERLINK("https://www.boe.es/gazeta/dias/1820/02/29/pdfs/GMD-1820-26.pdf#page=7","Abrir facsímil")</f>
        <v>Abrir facsímil</v>
      </c>
      <c r="K2374" s="3" t="s">
        <v>23</v>
      </c>
    </row>
    <row r="2375" spans="1:11" ht="42" customHeight="1">
      <c r="A2375" s="2" t="s">
        <v>5108</v>
      </c>
      <c r="B2375" s="2" t="s">
        <v>5108</v>
      </c>
      <c r="C2375" s="2" t="s">
        <v>107</v>
      </c>
      <c r="D2375" s="2" t="s">
        <v>18</v>
      </c>
      <c r="E2375" s="5">
        <v>-29215</v>
      </c>
      <c r="F2375" s="3" t="s">
        <v>827</v>
      </c>
      <c r="G2375" s="3" t="s">
        <v>201</v>
      </c>
      <c r="H2375" s="2" t="s">
        <v>21</v>
      </c>
      <c r="I2375" s="2" t="s">
        <v>5109</v>
      </c>
      <c r="J2375" s="3" t="str">
        <f>HYPERLINK("https://www.boe.es/gazeta/dias/1820/01/04/pdfs/GMD-1820-2.pdf#page=7","Abrir facsímil")</f>
        <v>Abrir facsímil</v>
      </c>
      <c r="K2375" s="3" t="s">
        <v>23</v>
      </c>
    </row>
    <row r="2376" spans="1:11" ht="42" customHeight="1">
      <c r="A2376" s="2" t="s">
        <v>5108</v>
      </c>
      <c r="B2376" s="2" t="s">
        <v>5108</v>
      </c>
      <c r="C2376" s="2" t="s">
        <v>74</v>
      </c>
      <c r="D2376" s="2" t="s">
        <v>18</v>
      </c>
      <c r="E2376" s="5">
        <v>-28975</v>
      </c>
      <c r="F2376" s="3" t="s">
        <v>182</v>
      </c>
      <c r="G2376" s="3" t="s">
        <v>183</v>
      </c>
      <c r="H2376" s="2" t="s">
        <v>21</v>
      </c>
      <c r="I2376" s="2" t="s">
        <v>5110</v>
      </c>
      <c r="J2376" s="3" t="str">
        <f>HYPERLINK("https://www.boe.es/gazeta/dias/1820/08/31/pdfs/GGB-1820-64.pdf#page=4","Abrir facsímil")</f>
        <v>Abrir facsímil</v>
      </c>
      <c r="K2376" s="3" t="s">
        <v>23</v>
      </c>
    </row>
    <row r="2377" spans="1:11" ht="42" customHeight="1">
      <c r="A2377" s="2" t="s">
        <v>5108</v>
      </c>
      <c r="B2377" s="2" t="s">
        <v>5108</v>
      </c>
      <c r="C2377" s="2" t="s">
        <v>111</v>
      </c>
      <c r="D2377" s="2" t="s">
        <v>18</v>
      </c>
      <c r="E2377" s="5">
        <v>-28939</v>
      </c>
      <c r="F2377" s="3" t="s">
        <v>992</v>
      </c>
      <c r="G2377" s="3" t="s">
        <v>20</v>
      </c>
      <c r="H2377" s="2" t="s">
        <v>21</v>
      </c>
      <c r="I2377" s="2" t="s">
        <v>5111</v>
      </c>
      <c r="J2377" s="3" t="str">
        <f>HYPERLINK("https://www.boe.es/gazeta/dias/1820/10/06/pdfs/GGB-1820-100.pdf#page=4","Abrir facsímil")</f>
        <v>Abrir facsímil</v>
      </c>
      <c r="K2377" s="3" t="s">
        <v>23</v>
      </c>
    </row>
    <row r="2378" spans="1:11" ht="42" customHeight="1">
      <c r="A2378" s="2" t="s">
        <v>5108</v>
      </c>
      <c r="B2378" s="2" t="s">
        <v>5108</v>
      </c>
      <c r="C2378" s="2" t="s">
        <v>74</v>
      </c>
      <c r="D2378" s="2" t="s">
        <v>18</v>
      </c>
      <c r="E2378" s="5">
        <v>-28903</v>
      </c>
      <c r="F2378" s="3" t="s">
        <v>2163</v>
      </c>
      <c r="G2378" s="3" t="s">
        <v>20</v>
      </c>
      <c r="H2378" s="2" t="s">
        <v>21</v>
      </c>
      <c r="I2378" s="2" t="s">
        <v>5112</v>
      </c>
      <c r="J2378" s="3" t="str">
        <f>HYPERLINK("https://www.boe.es/gazeta/dias/1820/11/11/pdfs/GGB-1820-137.pdf#page=4","Abrir facsímil")</f>
        <v>Abrir facsímil</v>
      </c>
      <c r="K2378" s="3" t="s">
        <v>23</v>
      </c>
    </row>
    <row r="2379" spans="1:11" ht="42" customHeight="1">
      <c r="A2379" s="2" t="s">
        <v>5108</v>
      </c>
      <c r="B2379" s="2" t="s">
        <v>5108</v>
      </c>
      <c r="C2379" s="2" t="s">
        <v>17</v>
      </c>
      <c r="D2379" s="2" t="s">
        <v>18</v>
      </c>
      <c r="E2379" s="5">
        <v>-28886</v>
      </c>
      <c r="F2379" s="3" t="s">
        <v>874</v>
      </c>
      <c r="G2379" s="3" t="s">
        <v>20</v>
      </c>
      <c r="H2379" s="2" t="s">
        <v>21</v>
      </c>
      <c r="I2379" s="2" t="s">
        <v>5113</v>
      </c>
      <c r="J2379" s="3" t="str">
        <f>HYPERLINK("https://www.boe.es/gazeta/dias/1820/11/28/pdfs/GGB-1820-155.pdf#page=4","Abrir facsímil")</f>
        <v>Abrir facsímil</v>
      </c>
      <c r="K2379" s="3" t="s">
        <v>23</v>
      </c>
    </row>
    <row r="2380" spans="1:11" ht="42" customHeight="1">
      <c r="A2380" s="2" t="s">
        <v>5114</v>
      </c>
      <c r="B2380" s="2" t="s">
        <v>5115</v>
      </c>
      <c r="C2380" s="2" t="s">
        <v>35</v>
      </c>
      <c r="D2380" s="2" t="s">
        <v>36</v>
      </c>
      <c r="E2380" s="5">
        <v>-28866</v>
      </c>
      <c r="F2380" s="3" t="s">
        <v>507</v>
      </c>
      <c r="G2380" s="3" t="s">
        <v>62</v>
      </c>
      <c r="H2380" s="2" t="s">
        <v>21</v>
      </c>
      <c r="I2380" s="2" t="s">
        <v>5116</v>
      </c>
      <c r="J2380" s="3" t="str">
        <f>HYPERLINK("https://www.boe.es/gazeta/dias/1820/12/18/pdfs/GGB-1820-175.pdf#page=3","Abrir facsímil")</f>
        <v>Abrir facsímil</v>
      </c>
      <c r="K2380" s="3" t="s">
        <v>23</v>
      </c>
    </row>
    <row r="2381" spans="1:11" ht="42" customHeight="1">
      <c r="A2381" s="2" t="s">
        <v>5117</v>
      </c>
      <c r="B2381" s="2" t="s">
        <v>5118</v>
      </c>
      <c r="C2381" s="2" t="s">
        <v>111</v>
      </c>
      <c r="D2381" s="2" t="s">
        <v>18</v>
      </c>
      <c r="E2381" s="5">
        <v>-29035</v>
      </c>
      <c r="F2381" s="3" t="s">
        <v>2267</v>
      </c>
      <c r="G2381" s="3" t="s">
        <v>20</v>
      </c>
      <c r="H2381" s="2" t="s">
        <v>21</v>
      </c>
      <c r="I2381" s="2" t="s">
        <v>5119</v>
      </c>
      <c r="J2381" s="3" t="str">
        <f>HYPERLINK("https://www.boe.es/gazeta/dias/1820/07/02/pdfs/GGB-1820-2.pdf#page=4","Abrir facsímil")</f>
        <v>Abrir facsímil</v>
      </c>
      <c r="K2381" s="3" t="s">
        <v>23</v>
      </c>
    </row>
    <row r="2382" spans="1:11" ht="42" customHeight="1">
      <c r="A2382" s="2" t="s">
        <v>5120</v>
      </c>
      <c r="B2382" s="2" t="s">
        <v>5120</v>
      </c>
      <c r="C2382" s="2" t="s">
        <v>26</v>
      </c>
      <c r="D2382" s="2" t="s">
        <v>27</v>
      </c>
      <c r="E2382" s="5">
        <v>-29009</v>
      </c>
      <c r="F2382" s="3" t="s">
        <v>605</v>
      </c>
      <c r="G2382" s="3" t="s">
        <v>43</v>
      </c>
      <c r="H2382" s="2" t="s">
        <v>21</v>
      </c>
      <c r="I2382" s="2" t="s">
        <v>5121</v>
      </c>
      <c r="J2382" s="3" t="str">
        <f>HYPERLINK("https://www.boe.es/gazeta/dias/1820/07/28/pdfs/GGB-1820-30.pdf#page=2","Abrir facsímil")</f>
        <v>Abrir facsímil</v>
      </c>
      <c r="K2382" s="3" t="s">
        <v>23</v>
      </c>
    </row>
    <row r="2383" spans="1:11" ht="42" customHeight="1">
      <c r="A2383" s="2" t="s">
        <v>5122</v>
      </c>
      <c r="B2383" s="2" t="s">
        <v>5122</v>
      </c>
      <c r="C2383" s="2" t="s">
        <v>17</v>
      </c>
      <c r="D2383" s="2" t="s">
        <v>18</v>
      </c>
      <c r="E2383" s="5">
        <v>-29008</v>
      </c>
      <c r="F2383" s="3" t="s">
        <v>2250</v>
      </c>
      <c r="G2383" s="3" t="s">
        <v>20</v>
      </c>
      <c r="H2383" s="2" t="s">
        <v>21</v>
      </c>
      <c r="I2383" s="2" t="s">
        <v>5123</v>
      </c>
      <c r="J2383" s="3" t="str">
        <f>HYPERLINK("https://www.boe.es/gazeta/dias/1820/07/29/pdfs/GGB-1820-31.pdf#page=4","Abrir facsímil")</f>
        <v>Abrir facsímil</v>
      </c>
      <c r="K2383" s="3" t="s">
        <v>23</v>
      </c>
    </row>
    <row r="2384" spans="1:11" ht="42" customHeight="1">
      <c r="A2384" s="2" t="s">
        <v>5122</v>
      </c>
      <c r="B2384" s="2" t="s">
        <v>5122</v>
      </c>
      <c r="C2384" s="2" t="s">
        <v>35</v>
      </c>
      <c r="D2384" s="2" t="s">
        <v>36</v>
      </c>
      <c r="E2384" s="5">
        <v>-29003</v>
      </c>
      <c r="F2384" s="3" t="s">
        <v>340</v>
      </c>
      <c r="G2384" s="3" t="s">
        <v>62</v>
      </c>
      <c r="H2384" s="2" t="s">
        <v>21</v>
      </c>
      <c r="I2384" s="2" t="s">
        <v>5124</v>
      </c>
      <c r="J2384" s="3" t="str">
        <f>HYPERLINK("https://www.boe.es/gazeta/dias/1820/08/03/pdfs/GGB-1820-36.pdf#page=3","Abrir facsímil")</f>
        <v>Abrir facsímil</v>
      </c>
      <c r="K2384" s="3" t="s">
        <v>23</v>
      </c>
    </row>
    <row r="2385" spans="1:11" ht="42" customHeight="1">
      <c r="A2385" s="2" t="s">
        <v>5122</v>
      </c>
      <c r="B2385" s="2" t="s">
        <v>5122</v>
      </c>
      <c r="C2385" s="2" t="s">
        <v>26</v>
      </c>
      <c r="D2385" s="2" t="s">
        <v>27</v>
      </c>
      <c r="E2385" s="5">
        <v>-29001</v>
      </c>
      <c r="F2385" s="3" t="s">
        <v>633</v>
      </c>
      <c r="G2385" s="3" t="s">
        <v>62</v>
      </c>
      <c r="H2385" s="2" t="s">
        <v>21</v>
      </c>
      <c r="I2385" s="2" t="s">
        <v>5125</v>
      </c>
      <c r="J2385" s="3" t="str">
        <f>HYPERLINK("https://www.boe.es/gazeta/dias/1820/08/05/pdfs/GGB-1820-38.pdf#page=3","Abrir facsímil")</f>
        <v>Abrir facsímil</v>
      </c>
      <c r="K2385" s="3" t="s">
        <v>23</v>
      </c>
    </row>
    <row r="2386" spans="1:11" ht="42" customHeight="1">
      <c r="A2386" s="2" t="s">
        <v>5122</v>
      </c>
      <c r="B2386" s="2" t="s">
        <v>5122</v>
      </c>
      <c r="C2386" s="2" t="s">
        <v>47</v>
      </c>
      <c r="D2386" s="2" t="s">
        <v>18</v>
      </c>
      <c r="E2386" s="5">
        <v>-28975</v>
      </c>
      <c r="F2386" s="3" t="s">
        <v>182</v>
      </c>
      <c r="G2386" s="3" t="s">
        <v>62</v>
      </c>
      <c r="H2386" s="2" t="s">
        <v>21</v>
      </c>
      <c r="I2386" s="2" t="s">
        <v>5126</v>
      </c>
      <c r="J2386" s="3" t="str">
        <f>HYPERLINK("https://www.boe.es/gazeta/dias/1820/08/31/pdfs/GGB-1820-64.pdf#page=3","Abrir facsímil")</f>
        <v>Abrir facsímil</v>
      </c>
      <c r="K2386" s="3" t="s">
        <v>23</v>
      </c>
    </row>
    <row r="2387" spans="1:11" ht="42" customHeight="1">
      <c r="A2387" s="2" t="s">
        <v>5122</v>
      </c>
      <c r="B2387" s="2" t="s">
        <v>5122</v>
      </c>
      <c r="C2387" s="2" t="s">
        <v>47</v>
      </c>
      <c r="D2387" s="2" t="s">
        <v>18</v>
      </c>
      <c r="E2387" s="5">
        <v>-28955</v>
      </c>
      <c r="F2387" s="3" t="s">
        <v>175</v>
      </c>
      <c r="G2387" s="3" t="s">
        <v>62</v>
      </c>
      <c r="H2387" s="2" t="s">
        <v>21</v>
      </c>
      <c r="I2387" s="2" t="s">
        <v>5127</v>
      </c>
      <c r="J2387" s="3" t="str">
        <f>HYPERLINK("https://www.boe.es/gazeta/dias/1820/09/20/pdfs/GGB-1820-84.pdf#page=3","Abrir facsímil")</f>
        <v>Abrir facsímil</v>
      </c>
      <c r="K2387" s="3" t="s">
        <v>23</v>
      </c>
    </row>
    <row r="2388" spans="1:11" ht="42" customHeight="1">
      <c r="A2388" s="2" t="s">
        <v>5122</v>
      </c>
      <c r="B2388" s="2" t="s">
        <v>5122</v>
      </c>
      <c r="C2388" s="2" t="s">
        <v>26</v>
      </c>
      <c r="D2388" s="2" t="s">
        <v>27</v>
      </c>
      <c r="E2388" s="5">
        <v>-28953</v>
      </c>
      <c r="F2388" s="3" t="s">
        <v>367</v>
      </c>
      <c r="G2388" s="3" t="s">
        <v>20</v>
      </c>
      <c r="H2388" s="2" t="s">
        <v>21</v>
      </c>
      <c r="I2388" s="2" t="s">
        <v>5128</v>
      </c>
      <c r="J2388" s="3" t="str">
        <f>HYPERLINK("https://www.boe.es/gazeta/dias/1820/09/22/pdfs/GGB-1820-86.pdf#page=4","Abrir facsímil")</f>
        <v>Abrir facsímil</v>
      </c>
      <c r="K2388" s="3" t="s">
        <v>23</v>
      </c>
    </row>
    <row r="2389" spans="1:11" ht="42" customHeight="1">
      <c r="A2389" s="2" t="s">
        <v>5122</v>
      </c>
      <c r="B2389" s="2" t="s">
        <v>5122</v>
      </c>
      <c r="C2389" s="2" t="s">
        <v>17</v>
      </c>
      <c r="D2389" s="2" t="s">
        <v>18</v>
      </c>
      <c r="E2389" s="5">
        <v>-28952</v>
      </c>
      <c r="F2389" s="3" t="s">
        <v>370</v>
      </c>
      <c r="G2389" s="3" t="s">
        <v>43</v>
      </c>
      <c r="H2389" s="2" t="s">
        <v>21</v>
      </c>
      <c r="I2389" s="2" t="s">
        <v>5129</v>
      </c>
      <c r="J2389" s="3" t="str">
        <f>HYPERLINK("https://www.boe.es/gazeta/dias/1820/09/23/pdfs/GGB-1820-87.pdf#page=2","Abrir facsímil")</f>
        <v>Abrir facsímil</v>
      </c>
      <c r="K2389" s="3" t="s">
        <v>23</v>
      </c>
    </row>
    <row r="2390" spans="1:11" ht="42" customHeight="1">
      <c r="A2390" s="2" t="s">
        <v>5122</v>
      </c>
      <c r="B2390" s="2" t="s">
        <v>5122</v>
      </c>
      <c r="C2390" s="2" t="s">
        <v>47</v>
      </c>
      <c r="D2390" s="2" t="s">
        <v>18</v>
      </c>
      <c r="E2390" s="5">
        <v>-28914</v>
      </c>
      <c r="F2390" s="3" t="s">
        <v>434</v>
      </c>
      <c r="G2390" s="3" t="s">
        <v>62</v>
      </c>
      <c r="H2390" s="2" t="s">
        <v>21</v>
      </c>
      <c r="I2390" s="2" t="s">
        <v>5130</v>
      </c>
      <c r="J2390" s="3" t="str">
        <f>HYPERLINK("https://www.boe.es/gazeta/dias/1820/10/31/pdfs/GGB-1820-125.pdf#page=3","Abrir facsímil")</f>
        <v>Abrir facsímil</v>
      </c>
      <c r="K2390" s="3" t="s">
        <v>23</v>
      </c>
    </row>
    <row r="2391" spans="1:11" ht="42" customHeight="1">
      <c r="A2391" s="2" t="s">
        <v>5122</v>
      </c>
      <c r="B2391" s="2" t="s">
        <v>5122</v>
      </c>
      <c r="C2391" s="2" t="s">
        <v>17</v>
      </c>
      <c r="D2391" s="2" t="s">
        <v>18</v>
      </c>
      <c r="E2391" s="5">
        <v>-28912</v>
      </c>
      <c r="F2391" s="3" t="s">
        <v>1329</v>
      </c>
      <c r="G2391" s="3" t="s">
        <v>62</v>
      </c>
      <c r="H2391" s="2" t="s">
        <v>21</v>
      </c>
      <c r="I2391" s="2" t="s">
        <v>5131</v>
      </c>
      <c r="J2391" s="3" t="str">
        <f>HYPERLINK("https://www.boe.es/gazeta/dias/1820/11/02/pdfs/GGB-1820-127.pdf#page=3","Abrir facsímil")</f>
        <v>Abrir facsímil</v>
      </c>
      <c r="K2391" s="3" t="s">
        <v>23</v>
      </c>
    </row>
    <row r="2392" spans="1:11" ht="42" customHeight="1">
      <c r="A2392" s="2" t="s">
        <v>5132</v>
      </c>
      <c r="B2392" s="2" t="s">
        <v>5133</v>
      </c>
      <c r="C2392" s="2" t="s">
        <v>111</v>
      </c>
      <c r="D2392" s="2" t="s">
        <v>18</v>
      </c>
      <c r="E2392" s="5">
        <v>-28900</v>
      </c>
      <c r="F2392" s="3" t="s">
        <v>878</v>
      </c>
      <c r="G2392" s="3" t="s">
        <v>20</v>
      </c>
      <c r="H2392" s="2" t="s">
        <v>21</v>
      </c>
      <c r="I2392" s="2" t="s">
        <v>5134</v>
      </c>
      <c r="J2392" s="3" t="str">
        <f>HYPERLINK("https://www.boe.es/gazeta/dias/1820/11/14/pdfs/GGB-1820-140.pdf#page=4","Abrir facsímil")</f>
        <v>Abrir facsímil</v>
      </c>
      <c r="K2392" s="3" t="s">
        <v>23</v>
      </c>
    </row>
    <row r="2393" spans="1:11" ht="42" customHeight="1">
      <c r="A2393" s="2" t="s">
        <v>5135</v>
      </c>
      <c r="B2393" s="2" t="s">
        <v>5135</v>
      </c>
      <c r="C2393" s="2" t="s">
        <v>35</v>
      </c>
      <c r="D2393" s="2" t="s">
        <v>36</v>
      </c>
      <c r="E2393" s="5">
        <v>-29197</v>
      </c>
      <c r="F2393" s="3" t="s">
        <v>48</v>
      </c>
      <c r="G2393" s="3" t="s">
        <v>38</v>
      </c>
      <c r="H2393" s="2" t="s">
        <v>21</v>
      </c>
      <c r="I2393" s="2" t="s">
        <v>5136</v>
      </c>
      <c r="J2393" s="3" t="str">
        <f>HYPERLINK("https://www.boe.es/gazeta/dias/1820/01/22/pdfs/GMD-1820-10.pdf#page=6","Abrir facsímil")</f>
        <v>Abrir facsímil</v>
      </c>
      <c r="K2393" s="3" t="s">
        <v>23</v>
      </c>
    </row>
    <row r="2394" spans="1:11" ht="42" customHeight="1">
      <c r="A2394" s="2" t="s">
        <v>5135</v>
      </c>
      <c r="B2394" s="2" t="s">
        <v>5135</v>
      </c>
      <c r="C2394" s="2" t="s">
        <v>26</v>
      </c>
      <c r="D2394" s="2" t="s">
        <v>310</v>
      </c>
      <c r="E2394" s="5">
        <v>-29150</v>
      </c>
      <c r="F2394" s="3" t="s">
        <v>4978</v>
      </c>
      <c r="G2394" s="3" t="s">
        <v>128</v>
      </c>
      <c r="H2394" s="2" t="s">
        <v>21</v>
      </c>
      <c r="I2394" s="2" t="s">
        <v>5137</v>
      </c>
      <c r="J2394" s="3" t="str">
        <f>HYPERLINK("https://www.boe.es/gazeta/dias/1820/03/09/pdfs/GMD-1820-34E.pdf#page=1","Abrir facsímil")</f>
        <v>Abrir facsímil</v>
      </c>
      <c r="K2394" s="3" t="s">
        <v>23</v>
      </c>
    </row>
    <row r="2395" spans="1:11" ht="42" customHeight="1">
      <c r="A2395" s="2" t="s">
        <v>5135</v>
      </c>
      <c r="B2395" s="2" t="s">
        <v>5135</v>
      </c>
      <c r="C2395" s="2" t="s">
        <v>111</v>
      </c>
      <c r="D2395" s="2" t="s">
        <v>18</v>
      </c>
      <c r="E2395" s="5">
        <v>-29136</v>
      </c>
      <c r="F2395" s="3" t="s">
        <v>2972</v>
      </c>
      <c r="G2395" s="3" t="s">
        <v>2973</v>
      </c>
      <c r="H2395" s="2" t="s">
        <v>21</v>
      </c>
      <c r="I2395" s="2" t="s">
        <v>5138</v>
      </c>
      <c r="J2395" s="3" t="str">
        <f>HYPERLINK("https://www.boe.es/gazeta/dias/1820/03/23/pdfs/GMD-1820-51.pdf#page=4","Abrir facsímil")</f>
        <v>Abrir facsímil</v>
      </c>
      <c r="K2395" s="3" t="s">
        <v>23</v>
      </c>
    </row>
    <row r="2396" spans="1:11" ht="42" customHeight="1">
      <c r="A2396" s="2" t="s">
        <v>5135</v>
      </c>
      <c r="B2396" s="2" t="s">
        <v>5135</v>
      </c>
      <c r="C2396" s="2" t="s">
        <v>26</v>
      </c>
      <c r="D2396" s="2" t="s">
        <v>27</v>
      </c>
      <c r="E2396" s="5">
        <v>-29129</v>
      </c>
      <c r="F2396" s="3" t="s">
        <v>269</v>
      </c>
      <c r="G2396" s="3" t="s">
        <v>270</v>
      </c>
      <c r="H2396" s="2" t="s">
        <v>21</v>
      </c>
      <c r="I2396" s="2" t="s">
        <v>5139</v>
      </c>
      <c r="J2396" s="3" t="str">
        <f>HYPERLINK("https://www.boe.es/gazeta/dias/1820/03/30/pdfs/GMD-1820-58.pdf#page=9","Abrir facsímil")</f>
        <v>Abrir facsímil</v>
      </c>
      <c r="K2396" s="3" t="s">
        <v>23</v>
      </c>
    </row>
    <row r="2397" spans="1:11" ht="42" customHeight="1">
      <c r="A2397" s="2" t="s">
        <v>5135</v>
      </c>
      <c r="B2397" s="2" t="s">
        <v>5135</v>
      </c>
      <c r="C2397" s="2" t="s">
        <v>47</v>
      </c>
      <c r="D2397" s="2" t="s">
        <v>18</v>
      </c>
      <c r="E2397" s="5">
        <v>-28989</v>
      </c>
      <c r="F2397" s="3" t="s">
        <v>809</v>
      </c>
      <c r="G2397" s="3" t="s">
        <v>20</v>
      </c>
      <c r="H2397" s="2" t="s">
        <v>21</v>
      </c>
      <c r="I2397" s="2" t="s">
        <v>5140</v>
      </c>
      <c r="J2397" s="3" t="str">
        <f>HYPERLINK("https://www.boe.es/gazeta/dias/1820/08/17/pdfs/GGB-1820-50.pdf#page=4","Abrir facsímil")</f>
        <v>Abrir facsímil</v>
      </c>
      <c r="K2397" s="3" t="s">
        <v>23</v>
      </c>
    </row>
    <row r="2398" spans="1:11" ht="42" customHeight="1">
      <c r="A2398" s="2" t="s">
        <v>5135</v>
      </c>
      <c r="B2398" s="2" t="s">
        <v>5135</v>
      </c>
      <c r="C2398" s="2" t="s">
        <v>35</v>
      </c>
      <c r="D2398" s="2" t="s">
        <v>36</v>
      </c>
      <c r="E2398" s="5">
        <v>-28987</v>
      </c>
      <c r="F2398" s="3" t="s">
        <v>680</v>
      </c>
      <c r="G2398" s="3" t="s">
        <v>20</v>
      </c>
      <c r="H2398" s="2" t="s">
        <v>21</v>
      </c>
      <c r="I2398" s="2" t="s">
        <v>5141</v>
      </c>
      <c r="J2398" s="3" t="str">
        <f>HYPERLINK("https://www.boe.es/gazeta/dias/1820/08/19/pdfs/GGB-1820-52.pdf#page=4","Abrir facsímil")</f>
        <v>Abrir facsímil</v>
      </c>
      <c r="K2398" s="3" t="s">
        <v>23</v>
      </c>
    </row>
    <row r="2399" spans="1:11" ht="42" customHeight="1">
      <c r="A2399" s="2" t="s">
        <v>5135</v>
      </c>
      <c r="B2399" s="2" t="s">
        <v>5135</v>
      </c>
      <c r="C2399" s="2" t="s">
        <v>26</v>
      </c>
      <c r="D2399" s="2" t="s">
        <v>27</v>
      </c>
      <c r="E2399" s="5">
        <v>-28974</v>
      </c>
      <c r="F2399" s="3" t="s">
        <v>1144</v>
      </c>
      <c r="G2399" s="3" t="s">
        <v>1145</v>
      </c>
      <c r="H2399" s="2" t="s">
        <v>21</v>
      </c>
      <c r="I2399" s="2" t="s">
        <v>5142</v>
      </c>
      <c r="J2399" s="3" t="str">
        <f>HYPERLINK("https://www.boe.es/gazeta/dias/1820/09/01/pdfs/GGB-1820-65.pdf#page=4","Abrir facsímil")</f>
        <v>Abrir facsímil</v>
      </c>
      <c r="K2399" s="3" t="s">
        <v>23</v>
      </c>
    </row>
    <row r="2400" spans="1:11" ht="42" customHeight="1">
      <c r="A2400" s="2" t="s">
        <v>5135</v>
      </c>
      <c r="B2400" s="2" t="s">
        <v>5135</v>
      </c>
      <c r="C2400" s="2" t="s">
        <v>26</v>
      </c>
      <c r="D2400" s="2" t="s">
        <v>27</v>
      </c>
      <c r="E2400" s="5">
        <v>-28950</v>
      </c>
      <c r="F2400" s="3" t="s">
        <v>1052</v>
      </c>
      <c r="G2400" s="3" t="s">
        <v>20</v>
      </c>
      <c r="H2400" s="2" t="s">
        <v>21</v>
      </c>
      <c r="I2400" s="2" t="s">
        <v>5143</v>
      </c>
      <c r="J2400" s="3" t="str">
        <f>HYPERLINK("https://www.boe.es/gazeta/dias/1820/09/25/pdfs/GGB-1820-89.pdf#page=4","Abrir facsímil")</f>
        <v>Abrir facsímil</v>
      </c>
      <c r="K2400" s="3" t="s">
        <v>23</v>
      </c>
    </row>
    <row r="2401" spans="1:11" ht="42" customHeight="1">
      <c r="A2401" s="2" t="s">
        <v>5135</v>
      </c>
      <c r="B2401" s="2" t="s">
        <v>5135</v>
      </c>
      <c r="C2401" s="2" t="s">
        <v>35</v>
      </c>
      <c r="D2401" s="2" t="s">
        <v>36</v>
      </c>
      <c r="E2401" s="5">
        <v>-28946</v>
      </c>
      <c r="F2401" s="3" t="s">
        <v>1055</v>
      </c>
      <c r="G2401" s="3" t="s">
        <v>20</v>
      </c>
      <c r="H2401" s="2" t="s">
        <v>21</v>
      </c>
      <c r="I2401" s="2" t="s">
        <v>5144</v>
      </c>
      <c r="J2401" s="3" t="str">
        <f>HYPERLINK("https://www.boe.es/gazeta/dias/1820/09/29/pdfs/GGB-1820-93.pdf#page=4","Abrir facsímil")</f>
        <v>Abrir facsímil</v>
      </c>
      <c r="K2401" s="3" t="s">
        <v>23</v>
      </c>
    </row>
    <row r="2402" spans="1:11" ht="42" customHeight="1">
      <c r="A2402" s="2" t="s">
        <v>5135</v>
      </c>
      <c r="B2402" s="2" t="s">
        <v>5135</v>
      </c>
      <c r="C2402" s="2" t="s">
        <v>26</v>
      </c>
      <c r="D2402" s="2" t="s">
        <v>27</v>
      </c>
      <c r="E2402" s="5">
        <v>-28933</v>
      </c>
      <c r="F2402" s="3" t="s">
        <v>720</v>
      </c>
      <c r="G2402" s="3" t="s">
        <v>20</v>
      </c>
      <c r="H2402" s="2" t="s">
        <v>21</v>
      </c>
      <c r="I2402" s="2" t="s">
        <v>5145</v>
      </c>
      <c r="J2402" s="3" t="str">
        <f>HYPERLINK("https://www.boe.es/gazeta/dias/1820/10/12/pdfs/GGB-1820-106.pdf#page=4","Abrir facsímil")</f>
        <v>Abrir facsímil</v>
      </c>
      <c r="K2402" s="3" t="s">
        <v>23</v>
      </c>
    </row>
    <row r="2403" spans="1:11" ht="42" customHeight="1">
      <c r="A2403" s="2" t="s">
        <v>5135</v>
      </c>
      <c r="B2403" s="2" t="s">
        <v>5135</v>
      </c>
      <c r="C2403" s="2" t="s">
        <v>35</v>
      </c>
      <c r="D2403" s="2" t="s">
        <v>36</v>
      </c>
      <c r="E2403" s="5">
        <v>-28917</v>
      </c>
      <c r="F2403" s="3" t="s">
        <v>19</v>
      </c>
      <c r="G2403" s="3" t="s">
        <v>43</v>
      </c>
      <c r="H2403" s="2" t="s">
        <v>21</v>
      </c>
      <c r="I2403" s="2" t="s">
        <v>5146</v>
      </c>
      <c r="J2403" s="3" t="str">
        <f>HYPERLINK("https://www.boe.es/gazeta/dias/1820/10/28/pdfs/GGB-1820-122.pdf#page=2","Abrir facsímil")</f>
        <v>Abrir facsímil</v>
      </c>
      <c r="K2403" s="3" t="s">
        <v>23</v>
      </c>
    </row>
    <row r="2404" spans="1:11" ht="42" customHeight="1">
      <c r="A2404" s="2" t="s">
        <v>5135</v>
      </c>
      <c r="B2404" s="2" t="s">
        <v>5135</v>
      </c>
      <c r="C2404" s="2" t="s">
        <v>35</v>
      </c>
      <c r="D2404" s="2" t="s">
        <v>36</v>
      </c>
      <c r="E2404" s="5">
        <v>-28910</v>
      </c>
      <c r="F2404" s="3" t="s">
        <v>746</v>
      </c>
      <c r="G2404" s="3" t="s">
        <v>43</v>
      </c>
      <c r="H2404" s="2" t="s">
        <v>21</v>
      </c>
      <c r="I2404" s="2" t="s">
        <v>5147</v>
      </c>
      <c r="J2404" s="3" t="str">
        <f>HYPERLINK("https://www.boe.es/gazeta/dias/1820/11/04/pdfs/GGB-1820-129.pdf#page=2","Abrir facsímil")</f>
        <v>Abrir facsímil</v>
      </c>
      <c r="K2404" s="3" t="s">
        <v>23</v>
      </c>
    </row>
    <row r="2405" spans="1:11" ht="42" customHeight="1">
      <c r="A2405" s="2" t="s">
        <v>5135</v>
      </c>
      <c r="B2405" s="2" t="s">
        <v>5135</v>
      </c>
      <c r="C2405" s="2" t="s">
        <v>35</v>
      </c>
      <c r="D2405" s="2" t="s">
        <v>36</v>
      </c>
      <c r="E2405" s="5">
        <v>-28900</v>
      </c>
      <c r="F2405" s="3" t="s">
        <v>878</v>
      </c>
      <c r="G2405" s="3" t="s">
        <v>20</v>
      </c>
      <c r="H2405" s="2" t="s">
        <v>21</v>
      </c>
      <c r="I2405" s="2" t="s">
        <v>5148</v>
      </c>
      <c r="J2405" s="3" t="str">
        <f>HYPERLINK("https://www.boe.es/gazeta/dias/1820/11/14/pdfs/GGB-1820-140.pdf#page=4","Abrir facsímil")</f>
        <v>Abrir facsímil</v>
      </c>
      <c r="K2405" s="3" t="s">
        <v>23</v>
      </c>
    </row>
    <row r="2406" spans="1:11" ht="42" customHeight="1">
      <c r="A2406" s="2" t="s">
        <v>5135</v>
      </c>
      <c r="B2406" s="2" t="s">
        <v>5135</v>
      </c>
      <c r="C2406" s="2" t="s">
        <v>26</v>
      </c>
      <c r="D2406" s="2" t="s">
        <v>27</v>
      </c>
      <c r="E2406" s="5">
        <v>-28867</v>
      </c>
      <c r="F2406" s="3" t="s">
        <v>590</v>
      </c>
      <c r="G2406" s="3" t="s">
        <v>62</v>
      </c>
      <c r="H2406" s="2" t="s">
        <v>21</v>
      </c>
      <c r="I2406" s="2" t="s">
        <v>5149</v>
      </c>
      <c r="J2406" s="3" t="str">
        <f>HYPERLINK("https://www.boe.es/gazeta/dias/1820/12/17/pdfs/GGB-1820-174.pdf#page=3","Abrir facsímil")</f>
        <v>Abrir facsímil</v>
      </c>
      <c r="K2406" s="3" t="s">
        <v>23</v>
      </c>
    </row>
    <row r="2407" spans="1:11" ht="42" customHeight="1">
      <c r="A2407" s="2" t="s">
        <v>5135</v>
      </c>
      <c r="B2407" s="2" t="s">
        <v>5135</v>
      </c>
      <c r="C2407" s="2" t="s">
        <v>26</v>
      </c>
      <c r="D2407" s="2" t="s">
        <v>27</v>
      </c>
      <c r="E2407" s="5">
        <v>-28864</v>
      </c>
      <c r="F2407" s="3" t="s">
        <v>1275</v>
      </c>
      <c r="G2407" s="3" t="s">
        <v>62</v>
      </c>
      <c r="H2407" s="2" t="s">
        <v>21</v>
      </c>
      <c r="I2407" s="2" t="s">
        <v>5150</v>
      </c>
      <c r="J2407" s="3" t="str">
        <f>HYPERLINK("https://www.boe.es/gazeta/dias/1820/12/20/pdfs/GGB-1820-177.pdf#page=3","Abrir facsímil")</f>
        <v>Abrir facsímil</v>
      </c>
      <c r="K2407" s="3" t="s">
        <v>23</v>
      </c>
    </row>
    <row r="2408" spans="1:11" ht="42" customHeight="1">
      <c r="A2408" s="2" t="s">
        <v>5151</v>
      </c>
      <c r="B2408" s="2" t="s">
        <v>5151</v>
      </c>
      <c r="C2408" s="2" t="s">
        <v>35</v>
      </c>
      <c r="D2408" s="2" t="s">
        <v>36</v>
      </c>
      <c r="E2408" s="5">
        <v>-29023</v>
      </c>
      <c r="F2408" s="3" t="s">
        <v>1662</v>
      </c>
      <c r="G2408" s="3" t="s">
        <v>3662</v>
      </c>
      <c r="H2408" s="2" t="s">
        <v>21</v>
      </c>
      <c r="I2408" s="2" t="s">
        <v>5152</v>
      </c>
      <c r="J2408" s="3" t="str">
        <f>HYPERLINK("https://www.boe.es/gazeta/dias/1820/07/14/pdfs/GGB-1820-16.pdf#page=2","Abrir facsímil")</f>
        <v>Abrir facsímil</v>
      </c>
      <c r="K2408" s="3" t="s">
        <v>23</v>
      </c>
    </row>
    <row r="2409" spans="1:11" ht="42" customHeight="1">
      <c r="A2409" s="2" t="s">
        <v>5153</v>
      </c>
      <c r="B2409" s="2" t="s">
        <v>5153</v>
      </c>
      <c r="C2409" s="2" t="s">
        <v>17</v>
      </c>
      <c r="D2409" s="2" t="s">
        <v>18</v>
      </c>
      <c r="E2409" s="5">
        <v>-29019</v>
      </c>
      <c r="F2409" s="3" t="s">
        <v>655</v>
      </c>
      <c r="G2409" s="3" t="s">
        <v>945</v>
      </c>
      <c r="H2409" s="2" t="s">
        <v>21</v>
      </c>
      <c r="I2409" s="2" t="s">
        <v>5154</v>
      </c>
      <c r="J2409" s="3" t="str">
        <f>HYPERLINK("https://www.boe.es/gazeta/dias/1820/07/18/pdfs/GGB-1820-20.pdf#page=2","Abrir facsímil")</f>
        <v>Abrir facsímil</v>
      </c>
      <c r="K2409" s="3" t="s">
        <v>23</v>
      </c>
    </row>
    <row r="2410" spans="1:11" ht="42" customHeight="1">
      <c r="A2410" s="2" t="s">
        <v>5155</v>
      </c>
      <c r="B2410" s="2" t="s">
        <v>5155</v>
      </c>
      <c r="C2410" s="2" t="s">
        <v>35</v>
      </c>
      <c r="D2410" s="2" t="s">
        <v>36</v>
      </c>
      <c r="E2410" s="5">
        <v>-29010</v>
      </c>
      <c r="F2410" s="3" t="s">
        <v>664</v>
      </c>
      <c r="G2410" s="3" t="s">
        <v>665</v>
      </c>
      <c r="H2410" s="2" t="s">
        <v>21</v>
      </c>
      <c r="I2410" s="2" t="s">
        <v>5156</v>
      </c>
      <c r="J2410" s="3" t="str">
        <f>HYPERLINK("https://www.boe.es/gazeta/dias/1820/07/27/pdfs/GGB-1820-29.pdf#page=2","Abrir facsímil")</f>
        <v>Abrir facsímil</v>
      </c>
      <c r="K2410" s="3" t="s">
        <v>23</v>
      </c>
    </row>
    <row r="2411" spans="1:11" ht="42" customHeight="1">
      <c r="A2411" s="2" t="s">
        <v>5157</v>
      </c>
      <c r="B2411" s="2" t="s">
        <v>5157</v>
      </c>
      <c r="C2411" s="2" t="s">
        <v>35</v>
      </c>
      <c r="D2411" s="2" t="s">
        <v>310</v>
      </c>
      <c r="E2411" s="5">
        <v>-29142</v>
      </c>
      <c r="F2411" s="3" t="s">
        <v>2712</v>
      </c>
      <c r="G2411" s="3" t="s">
        <v>43</v>
      </c>
      <c r="H2411" s="2" t="s">
        <v>21</v>
      </c>
      <c r="I2411" s="2" t="s">
        <v>5158</v>
      </c>
      <c r="J2411" s="3" t="str">
        <f>HYPERLINK("https://www.boe.es/gazeta/dias/1820/03/17/pdfs/GMD-1820-43E.pdf#page=2","Abrir facsímil")</f>
        <v>Abrir facsímil</v>
      </c>
      <c r="K2411" s="3" t="s">
        <v>23</v>
      </c>
    </row>
    <row r="2412" spans="1:11" ht="42" customHeight="1">
      <c r="A2412" s="2" t="s">
        <v>5157</v>
      </c>
      <c r="B2412" s="2" t="s">
        <v>5157</v>
      </c>
      <c r="C2412" s="2" t="s">
        <v>35</v>
      </c>
      <c r="D2412" s="2" t="s">
        <v>36</v>
      </c>
      <c r="E2412" s="5">
        <v>-29027</v>
      </c>
      <c r="F2412" s="3" t="s">
        <v>937</v>
      </c>
      <c r="G2412" s="3" t="s">
        <v>62</v>
      </c>
      <c r="H2412" s="2" t="s">
        <v>21</v>
      </c>
      <c r="I2412" s="2" t="s">
        <v>5159</v>
      </c>
      <c r="J2412" s="3" t="str">
        <f>HYPERLINK("https://www.boe.es/gazeta/dias/1820/07/10/pdfs/GGB-1820-11.pdf#page=3","Abrir facsímil")</f>
        <v>Abrir facsímil</v>
      </c>
      <c r="K2412" s="3" t="s">
        <v>23</v>
      </c>
    </row>
    <row r="2413" spans="1:11" ht="42" customHeight="1">
      <c r="A2413" s="2" t="s">
        <v>5157</v>
      </c>
      <c r="B2413" s="2" t="s">
        <v>5157</v>
      </c>
      <c r="C2413" s="2" t="s">
        <v>17</v>
      </c>
      <c r="D2413" s="2" t="s">
        <v>18</v>
      </c>
      <c r="E2413" s="5">
        <v>-28973</v>
      </c>
      <c r="F2413" s="3" t="s">
        <v>151</v>
      </c>
      <c r="G2413" s="3" t="s">
        <v>20</v>
      </c>
      <c r="H2413" s="2" t="s">
        <v>21</v>
      </c>
      <c r="I2413" s="2" t="s">
        <v>5160</v>
      </c>
      <c r="J2413" s="3" t="str">
        <f>HYPERLINK("https://www.boe.es/gazeta/dias/1820/09/02/pdfs/GGB-1820-66.pdf#page=4","Abrir facsímil")</f>
        <v>Abrir facsímil</v>
      </c>
      <c r="K2413" s="3" t="s">
        <v>23</v>
      </c>
    </row>
    <row r="2414" spans="1:11" ht="42" customHeight="1">
      <c r="A2414" s="2" t="s">
        <v>5157</v>
      </c>
      <c r="B2414" s="2" t="s">
        <v>5157</v>
      </c>
      <c r="C2414" s="2" t="s">
        <v>26</v>
      </c>
      <c r="D2414" s="2" t="s">
        <v>27</v>
      </c>
      <c r="E2414" s="5">
        <v>-28934</v>
      </c>
      <c r="F2414" s="3" t="s">
        <v>163</v>
      </c>
      <c r="G2414" s="3" t="s">
        <v>62</v>
      </c>
      <c r="H2414" s="2" t="s">
        <v>21</v>
      </c>
      <c r="I2414" s="2" t="s">
        <v>5161</v>
      </c>
      <c r="J2414" s="3" t="str">
        <f>HYPERLINK("https://www.boe.es/gazeta/dias/1820/10/11/pdfs/GGB-1820-105.pdf#page=3","Abrir facsímil")</f>
        <v>Abrir facsímil</v>
      </c>
      <c r="K2414" s="3" t="s">
        <v>23</v>
      </c>
    </row>
    <row r="2415" spans="1:11" ht="42" customHeight="1">
      <c r="A2415" s="2" t="s">
        <v>5157</v>
      </c>
      <c r="B2415" s="2" t="s">
        <v>5157</v>
      </c>
      <c r="C2415" s="2" t="s">
        <v>293</v>
      </c>
      <c r="D2415" s="2" t="s">
        <v>18</v>
      </c>
      <c r="E2415" s="5">
        <v>-28921</v>
      </c>
      <c r="F2415" s="3" t="s">
        <v>738</v>
      </c>
      <c r="G2415" s="3" t="s">
        <v>43</v>
      </c>
      <c r="H2415" s="2" t="s">
        <v>21</v>
      </c>
      <c r="I2415" s="2" t="s">
        <v>5162</v>
      </c>
      <c r="J2415" s="3" t="str">
        <f>HYPERLINK("https://www.boe.es/gazeta/dias/1820/10/24/pdfs/GGB-1820-118.pdf#page=2","Abrir facsímil")</f>
        <v>Abrir facsímil</v>
      </c>
      <c r="K2415" s="3" t="s">
        <v>23</v>
      </c>
    </row>
    <row r="2416" spans="1:11" ht="42" customHeight="1">
      <c r="A2416" s="2" t="s">
        <v>5163</v>
      </c>
      <c r="B2416" s="2" t="s">
        <v>5164</v>
      </c>
      <c r="C2416" s="2" t="s">
        <v>17</v>
      </c>
      <c r="D2416" s="2" t="s">
        <v>18</v>
      </c>
      <c r="E2416" s="5">
        <v>-29162</v>
      </c>
      <c r="F2416" s="3" t="s">
        <v>2134</v>
      </c>
      <c r="G2416" s="3" t="s">
        <v>201</v>
      </c>
      <c r="H2416" s="2" t="s">
        <v>30</v>
      </c>
      <c r="I2416" s="2" t="s">
        <v>5165</v>
      </c>
      <c r="J2416" s="3" t="str">
        <f>HYPERLINK("https://www.boe.es/gazeta/dias/1820/02/26/pdfs/GMD-1820-25.pdf#page=7","Abrir facsímil")</f>
        <v>Abrir facsímil</v>
      </c>
      <c r="K2416" s="3" t="s">
        <v>32</v>
      </c>
    </row>
    <row r="2417" spans="1:11" ht="42" customHeight="1">
      <c r="A2417" s="2" t="s">
        <v>5166</v>
      </c>
      <c r="B2417" s="2" t="s">
        <v>5167</v>
      </c>
      <c r="C2417" s="2" t="s">
        <v>74</v>
      </c>
      <c r="D2417" s="2" t="s">
        <v>18</v>
      </c>
      <c r="E2417" s="5">
        <v>-28905</v>
      </c>
      <c r="F2417" s="3" t="s">
        <v>749</v>
      </c>
      <c r="G2417" s="3" t="s">
        <v>43</v>
      </c>
      <c r="H2417" s="2" t="s">
        <v>21</v>
      </c>
      <c r="I2417" s="2" t="s">
        <v>5168</v>
      </c>
      <c r="J2417" s="3" t="str">
        <f>HYPERLINK("https://www.boe.es/gazeta/dias/1820/11/09/pdfs/GGB-1820-134.pdf#page=2","Abrir facsímil")</f>
        <v>Abrir facsímil</v>
      </c>
      <c r="K2417" s="3" t="s">
        <v>23</v>
      </c>
    </row>
    <row r="2418" spans="1:11" ht="42" customHeight="1">
      <c r="A2418" s="2" t="s">
        <v>5169</v>
      </c>
      <c r="B2418" s="2" t="s">
        <v>5169</v>
      </c>
      <c r="C2418" s="2" t="s">
        <v>26</v>
      </c>
      <c r="D2418" s="2" t="s">
        <v>27</v>
      </c>
      <c r="E2418" s="5">
        <v>-29096</v>
      </c>
      <c r="F2418" s="3" t="s">
        <v>315</v>
      </c>
      <c r="G2418" s="3" t="s">
        <v>295</v>
      </c>
      <c r="H2418" s="2" t="s">
        <v>21</v>
      </c>
      <c r="I2418" s="2" t="s">
        <v>5170</v>
      </c>
      <c r="J2418" s="3" t="str">
        <f>HYPERLINK("https://www.boe.es/gazeta/dias/1820/05/02/pdfs/GMD-1820-74.pdf#page=8","Abrir facsímil")</f>
        <v>Abrir facsímil</v>
      </c>
      <c r="K2418" s="3" t="s">
        <v>23</v>
      </c>
    </row>
    <row r="2419" spans="1:11" ht="42" customHeight="1">
      <c r="A2419" s="2" t="s">
        <v>5169</v>
      </c>
      <c r="B2419" s="2" t="s">
        <v>5169</v>
      </c>
      <c r="C2419" s="2" t="s">
        <v>17</v>
      </c>
      <c r="D2419" s="2" t="s">
        <v>18</v>
      </c>
      <c r="E2419" s="5">
        <v>-29078</v>
      </c>
      <c r="F2419" s="3" t="s">
        <v>260</v>
      </c>
      <c r="G2419" s="3" t="s">
        <v>261</v>
      </c>
      <c r="H2419" s="2" t="s">
        <v>21</v>
      </c>
      <c r="I2419" s="2" t="s">
        <v>5171</v>
      </c>
      <c r="J2419" s="3" t="str">
        <f>HYPERLINK("https://www.boe.es/gazeta/dias/1820/05/20/pdfs/GMD-1820-83.pdf#page=9","Abrir facsímil")</f>
        <v>Abrir facsímil</v>
      </c>
      <c r="K2419" s="3" t="s">
        <v>23</v>
      </c>
    </row>
    <row r="2420" spans="1:11" ht="42" customHeight="1">
      <c r="A2420" s="2" t="s">
        <v>5169</v>
      </c>
      <c r="B2420" s="2" t="s">
        <v>5169</v>
      </c>
      <c r="C2420" s="2" t="s">
        <v>107</v>
      </c>
      <c r="D2420" s="2" t="s">
        <v>18</v>
      </c>
      <c r="E2420" s="5">
        <v>-29030</v>
      </c>
      <c r="F2420" s="3" t="s">
        <v>789</v>
      </c>
      <c r="G2420" s="3" t="s">
        <v>1987</v>
      </c>
      <c r="H2420" s="2" t="s">
        <v>21</v>
      </c>
      <c r="I2420" s="2" t="s">
        <v>5172</v>
      </c>
      <c r="J2420" s="3" t="str">
        <f>HYPERLINK("https://www.boe.es/gazeta/dias/1820/07/07/pdfs/GGB-1820-8.pdf#page=4","Abrir facsímil")</f>
        <v>Abrir facsímil</v>
      </c>
      <c r="K2420" s="3" t="s">
        <v>23</v>
      </c>
    </row>
    <row r="2421" spans="1:11" ht="42" customHeight="1">
      <c r="A2421" s="2" t="s">
        <v>5169</v>
      </c>
      <c r="B2421" s="2" t="s">
        <v>5169</v>
      </c>
      <c r="C2421" s="2" t="s">
        <v>26</v>
      </c>
      <c r="D2421" s="2" t="s">
        <v>27</v>
      </c>
      <c r="E2421" s="5">
        <v>-29029</v>
      </c>
      <c r="F2421" s="3" t="s">
        <v>282</v>
      </c>
      <c r="G2421" s="3" t="s">
        <v>20</v>
      </c>
      <c r="H2421" s="2" t="s">
        <v>21</v>
      </c>
      <c r="I2421" s="2" t="s">
        <v>5173</v>
      </c>
      <c r="J2421" s="3" t="str">
        <f>HYPERLINK("https://www.boe.es/gazeta/dias/1820/07/08/pdfs/GGB-1820-9.pdf#page=4","Abrir facsímil")</f>
        <v>Abrir facsímil</v>
      </c>
      <c r="K2421" s="3" t="s">
        <v>23</v>
      </c>
    </row>
    <row r="2422" spans="1:11" ht="42" customHeight="1">
      <c r="A2422" s="2" t="s">
        <v>5169</v>
      </c>
      <c r="B2422" s="2" t="s">
        <v>5169</v>
      </c>
      <c r="C2422" s="2" t="s">
        <v>26</v>
      </c>
      <c r="D2422" s="2" t="s">
        <v>27</v>
      </c>
      <c r="E2422" s="5">
        <v>-29015</v>
      </c>
      <c r="F2422" s="3" t="s">
        <v>359</v>
      </c>
      <c r="G2422" s="3" t="s">
        <v>20</v>
      </c>
      <c r="H2422" s="2" t="s">
        <v>21</v>
      </c>
      <c r="I2422" s="2" t="s">
        <v>5174</v>
      </c>
      <c r="J2422" s="3" t="str">
        <f>HYPERLINK("https://www.boe.es/gazeta/dias/1820/07/22/pdfs/GGB-1820-24.pdf#page=4","Abrir facsímil")</f>
        <v>Abrir facsímil</v>
      </c>
      <c r="K2422" s="3" t="s">
        <v>23</v>
      </c>
    </row>
    <row r="2423" spans="1:11" ht="42" customHeight="1">
      <c r="A2423" s="2" t="s">
        <v>5169</v>
      </c>
      <c r="B2423" s="2" t="s">
        <v>5169</v>
      </c>
      <c r="C2423" s="2" t="s">
        <v>35</v>
      </c>
      <c r="D2423" s="2" t="s">
        <v>36</v>
      </c>
      <c r="E2423" s="5">
        <v>-29009</v>
      </c>
      <c r="F2423" s="3" t="s">
        <v>605</v>
      </c>
      <c r="G2423" s="3" t="s">
        <v>20</v>
      </c>
      <c r="H2423" s="2" t="s">
        <v>21</v>
      </c>
      <c r="I2423" s="2" t="s">
        <v>5175</v>
      </c>
      <c r="J2423" s="3" t="str">
        <f>HYPERLINK("https://www.boe.es/gazeta/dias/1820/07/28/pdfs/GGB-1820-30.pdf#page=4","Abrir facsímil")</f>
        <v>Abrir facsímil</v>
      </c>
      <c r="K2423" s="3" t="s">
        <v>23</v>
      </c>
    </row>
    <row r="2424" spans="1:11" ht="42" customHeight="1">
      <c r="A2424" s="2" t="s">
        <v>5169</v>
      </c>
      <c r="B2424" s="2" t="s">
        <v>5169</v>
      </c>
      <c r="C2424" s="2" t="s">
        <v>35</v>
      </c>
      <c r="D2424" s="2" t="s">
        <v>36</v>
      </c>
      <c r="E2424" s="5">
        <v>-28990</v>
      </c>
      <c r="F2424" s="3" t="s">
        <v>61</v>
      </c>
      <c r="G2424" s="3" t="s">
        <v>1438</v>
      </c>
      <c r="H2424" s="2" t="s">
        <v>21</v>
      </c>
      <c r="I2424" s="2" t="s">
        <v>5176</v>
      </c>
      <c r="J2424" s="3" t="str">
        <f>HYPERLINK("https://www.boe.es/gazeta/dias/1820/08/16/pdfs/GGB-1820-49.pdf#page=4","Abrir facsímil")</f>
        <v>Abrir facsímil</v>
      </c>
      <c r="K2424" s="3" t="s">
        <v>23</v>
      </c>
    </row>
    <row r="2425" spans="1:11" ht="42" customHeight="1">
      <c r="A2425" s="2" t="s">
        <v>5169</v>
      </c>
      <c r="B2425" s="2" t="s">
        <v>5169</v>
      </c>
      <c r="C2425" s="2" t="s">
        <v>26</v>
      </c>
      <c r="D2425" s="2" t="s">
        <v>27</v>
      </c>
      <c r="E2425" s="5">
        <v>-28973</v>
      </c>
      <c r="F2425" s="3" t="s">
        <v>151</v>
      </c>
      <c r="G2425" s="3" t="s">
        <v>20</v>
      </c>
      <c r="H2425" s="2" t="s">
        <v>21</v>
      </c>
      <c r="I2425" s="2" t="s">
        <v>5177</v>
      </c>
      <c r="J2425" s="3" t="str">
        <f>HYPERLINK("https://www.boe.es/gazeta/dias/1820/09/02/pdfs/GGB-1820-66.pdf#page=4","Abrir facsímil")</f>
        <v>Abrir facsímil</v>
      </c>
      <c r="K2425" s="3" t="s">
        <v>23</v>
      </c>
    </row>
    <row r="2426" spans="1:11" ht="42" customHeight="1">
      <c r="A2426" s="2" t="s">
        <v>5169</v>
      </c>
      <c r="B2426" s="2" t="s">
        <v>5169</v>
      </c>
      <c r="C2426" s="2" t="s">
        <v>26</v>
      </c>
      <c r="D2426" s="2" t="s">
        <v>27</v>
      </c>
      <c r="E2426" s="5">
        <v>-28967</v>
      </c>
      <c r="F2426" s="3" t="s">
        <v>238</v>
      </c>
      <c r="G2426" s="3" t="s">
        <v>128</v>
      </c>
      <c r="H2426" s="2" t="s">
        <v>21</v>
      </c>
      <c r="I2426" s="2" t="s">
        <v>5178</v>
      </c>
      <c r="J2426" s="3" t="str">
        <f>HYPERLINK("https://www.boe.es/gazeta/dias/1820/09/08/pdfs/GGB-1820-72.pdf#page=1","Abrir facsímil")</f>
        <v>Abrir facsímil</v>
      </c>
      <c r="K2426" s="3" t="s">
        <v>23</v>
      </c>
    </row>
    <row r="2427" spans="1:11" ht="42" customHeight="1">
      <c r="A2427" s="2" t="s">
        <v>5169</v>
      </c>
      <c r="B2427" s="2" t="s">
        <v>5169</v>
      </c>
      <c r="C2427" s="2" t="s">
        <v>35</v>
      </c>
      <c r="D2427" s="2" t="s">
        <v>36</v>
      </c>
      <c r="E2427" s="5">
        <v>-28966</v>
      </c>
      <c r="F2427" s="3" t="s">
        <v>701</v>
      </c>
      <c r="G2427" s="3" t="s">
        <v>62</v>
      </c>
      <c r="H2427" s="2" t="s">
        <v>21</v>
      </c>
      <c r="I2427" s="2" t="s">
        <v>5179</v>
      </c>
      <c r="J2427" s="3" t="str">
        <f>HYPERLINK("https://www.boe.es/gazeta/dias/1820/09/09/pdfs/GGB-1820-73.pdf#page=3","Abrir facsímil")</f>
        <v>Abrir facsímil</v>
      </c>
      <c r="K2427" s="3" t="s">
        <v>23</v>
      </c>
    </row>
    <row r="2428" spans="1:11" ht="42" customHeight="1">
      <c r="A2428" s="2" t="s">
        <v>5169</v>
      </c>
      <c r="B2428" s="2" t="s">
        <v>5169</v>
      </c>
      <c r="C2428" s="2" t="s">
        <v>26</v>
      </c>
      <c r="D2428" s="2" t="s">
        <v>27</v>
      </c>
      <c r="E2428" s="5">
        <v>-28951</v>
      </c>
      <c r="F2428" s="3" t="s">
        <v>622</v>
      </c>
      <c r="G2428" s="3" t="s">
        <v>1370</v>
      </c>
      <c r="H2428" s="2" t="s">
        <v>21</v>
      </c>
      <c r="I2428" s="2" t="s">
        <v>5180</v>
      </c>
      <c r="J2428" s="3" t="str">
        <f>HYPERLINK("https://www.boe.es/gazeta/dias/1820/09/24/pdfs/GGB-1820-88.pdf#page=2","Abrir facsímil")</f>
        <v>Abrir facsímil</v>
      </c>
      <c r="K2428" s="3" t="s">
        <v>23</v>
      </c>
    </row>
    <row r="2429" spans="1:11" ht="42" customHeight="1">
      <c r="A2429" s="2" t="s">
        <v>5169</v>
      </c>
      <c r="B2429" s="2" t="s">
        <v>5169</v>
      </c>
      <c r="C2429" s="2" t="s">
        <v>107</v>
      </c>
      <c r="D2429" s="2" t="s">
        <v>18</v>
      </c>
      <c r="E2429" s="5">
        <v>-28945</v>
      </c>
      <c r="F2429" s="3" t="s">
        <v>99</v>
      </c>
      <c r="G2429" s="3" t="s">
        <v>20</v>
      </c>
      <c r="H2429" s="2" t="s">
        <v>21</v>
      </c>
      <c r="I2429" s="2" t="s">
        <v>5181</v>
      </c>
      <c r="J2429" s="3" t="str">
        <f>HYPERLINK("https://www.boe.es/gazeta/dias/1820/09/30/pdfs/GGB-1820-94.pdf#page=4","Abrir facsímil")</f>
        <v>Abrir facsímil</v>
      </c>
      <c r="K2429" s="3" t="s">
        <v>23</v>
      </c>
    </row>
    <row r="2430" spans="1:11" ht="42" customHeight="1">
      <c r="A2430" s="2" t="s">
        <v>5169</v>
      </c>
      <c r="B2430" s="2" t="s">
        <v>5169</v>
      </c>
      <c r="C2430" s="2" t="s">
        <v>26</v>
      </c>
      <c r="D2430" s="2" t="s">
        <v>27</v>
      </c>
      <c r="E2430" s="5">
        <v>-28939</v>
      </c>
      <c r="F2430" s="3" t="s">
        <v>992</v>
      </c>
      <c r="G2430" s="3" t="s">
        <v>20</v>
      </c>
      <c r="H2430" s="2" t="s">
        <v>21</v>
      </c>
      <c r="I2430" s="2" t="s">
        <v>5182</v>
      </c>
      <c r="J2430" s="3" t="str">
        <f>HYPERLINK("https://www.boe.es/gazeta/dias/1820/10/06/pdfs/GGB-1820-100.pdf#page=4","Abrir facsímil")</f>
        <v>Abrir facsímil</v>
      </c>
      <c r="K2430" s="3" t="s">
        <v>23</v>
      </c>
    </row>
    <row r="2431" spans="1:11" ht="42" customHeight="1">
      <c r="A2431" s="2" t="s">
        <v>5169</v>
      </c>
      <c r="B2431" s="2" t="s">
        <v>5169</v>
      </c>
      <c r="C2431" s="2" t="s">
        <v>26</v>
      </c>
      <c r="D2431" s="2" t="s">
        <v>27</v>
      </c>
      <c r="E2431" s="5">
        <v>-28923</v>
      </c>
      <c r="F2431" s="3" t="s">
        <v>648</v>
      </c>
      <c r="G2431" s="3" t="s">
        <v>62</v>
      </c>
      <c r="H2431" s="2" t="s">
        <v>21</v>
      </c>
      <c r="I2431" s="2" t="s">
        <v>5183</v>
      </c>
      <c r="J2431" s="3" t="str">
        <f>HYPERLINK("https://www.boe.es/gazeta/dias/1820/10/22/pdfs/GGB-1820-116.pdf#page=3","Abrir facsímil")</f>
        <v>Abrir facsímil</v>
      </c>
      <c r="K2431" s="3" t="s">
        <v>23</v>
      </c>
    </row>
    <row r="2432" spans="1:11" ht="42" customHeight="1">
      <c r="A2432" s="2" t="s">
        <v>5169</v>
      </c>
      <c r="B2432" s="2" t="s">
        <v>5169</v>
      </c>
      <c r="C2432" s="2" t="s">
        <v>293</v>
      </c>
      <c r="D2432" s="2" t="s">
        <v>18</v>
      </c>
      <c r="E2432" s="5">
        <v>-28922</v>
      </c>
      <c r="F2432" s="3" t="s">
        <v>735</v>
      </c>
      <c r="G2432" s="3" t="s">
        <v>20</v>
      </c>
      <c r="H2432" s="2" t="s">
        <v>21</v>
      </c>
      <c r="I2432" s="2" t="s">
        <v>5184</v>
      </c>
      <c r="J2432" s="3" t="str">
        <f>HYPERLINK("https://www.boe.es/gazeta/dias/1820/10/23/pdfs/GGB-1820-117.pdf#page=4","Abrir facsímil")</f>
        <v>Abrir facsímil</v>
      </c>
      <c r="K2432" s="3" t="s">
        <v>23</v>
      </c>
    </row>
    <row r="2433" spans="1:11" ht="42" customHeight="1">
      <c r="A2433" s="2" t="s">
        <v>5169</v>
      </c>
      <c r="B2433" s="2" t="s">
        <v>5169</v>
      </c>
      <c r="C2433" s="2" t="s">
        <v>111</v>
      </c>
      <c r="D2433" s="2" t="s">
        <v>18</v>
      </c>
      <c r="E2433" s="5">
        <v>-28900</v>
      </c>
      <c r="F2433" s="3" t="s">
        <v>878</v>
      </c>
      <c r="G2433" s="3" t="s">
        <v>20</v>
      </c>
      <c r="H2433" s="2" t="s">
        <v>21</v>
      </c>
      <c r="I2433" s="2" t="s">
        <v>5185</v>
      </c>
      <c r="J2433" s="3" t="str">
        <f>HYPERLINK("https://www.boe.es/gazeta/dias/1820/11/14/pdfs/GGB-1820-140.pdf#page=4","Abrir facsímil")</f>
        <v>Abrir facsímil</v>
      </c>
      <c r="K2433" s="3" t="s">
        <v>23</v>
      </c>
    </row>
    <row r="2434" spans="1:11" ht="42" customHeight="1">
      <c r="A2434" s="2" t="s">
        <v>5186</v>
      </c>
      <c r="B2434" s="2" t="s">
        <v>5186</v>
      </c>
      <c r="C2434" s="2" t="s">
        <v>293</v>
      </c>
      <c r="D2434" s="2" t="s">
        <v>18</v>
      </c>
      <c r="E2434" s="5">
        <v>-28912</v>
      </c>
      <c r="F2434" s="3" t="s">
        <v>1329</v>
      </c>
      <c r="G2434" s="3" t="s">
        <v>62</v>
      </c>
      <c r="H2434" s="2" t="s">
        <v>21</v>
      </c>
      <c r="I2434" s="2" t="s">
        <v>5187</v>
      </c>
      <c r="J2434" s="3" t="str">
        <f>HYPERLINK("https://www.boe.es/gazeta/dias/1820/11/02/pdfs/GGB-1820-127.pdf#page=3","Abrir facsímil")</f>
        <v>Abrir facsímil</v>
      </c>
      <c r="K2434" s="3" t="s">
        <v>23</v>
      </c>
    </row>
    <row r="2435" spans="1:11" ht="42" customHeight="1">
      <c r="A2435" s="2" t="s">
        <v>5188</v>
      </c>
      <c r="B2435" s="2" t="s">
        <v>5188</v>
      </c>
      <c r="C2435" s="2" t="s">
        <v>35</v>
      </c>
      <c r="D2435" s="2" t="s">
        <v>36</v>
      </c>
      <c r="E2435" s="5">
        <v>-29138</v>
      </c>
      <c r="F2435" s="3" t="s">
        <v>200</v>
      </c>
      <c r="G2435" s="3" t="s">
        <v>201</v>
      </c>
      <c r="H2435" s="2" t="s">
        <v>21</v>
      </c>
      <c r="I2435" s="2" t="s">
        <v>5189</v>
      </c>
      <c r="J2435" s="3" t="str">
        <f>HYPERLINK("https://www.boe.es/gazeta/dias/1820/03/21/pdfs/GMD-1820-46.pdf#page=7","Abrir facsímil")</f>
        <v>Abrir facsímil</v>
      </c>
      <c r="K2435" s="3" t="s">
        <v>23</v>
      </c>
    </row>
    <row r="2436" spans="1:11" ht="42" customHeight="1">
      <c r="A2436" s="2" t="s">
        <v>5190</v>
      </c>
      <c r="B2436" s="2" t="s">
        <v>5191</v>
      </c>
      <c r="C2436" s="2" t="s">
        <v>26</v>
      </c>
      <c r="D2436" s="2" t="s">
        <v>27</v>
      </c>
      <c r="E2436" s="5">
        <v>-28894</v>
      </c>
      <c r="F2436" s="3" t="s">
        <v>469</v>
      </c>
      <c r="G2436" s="3" t="s">
        <v>20</v>
      </c>
      <c r="H2436" s="2" t="s">
        <v>30</v>
      </c>
      <c r="I2436" s="2" t="s">
        <v>5192</v>
      </c>
      <c r="J2436" s="3" t="str">
        <f>HYPERLINK("https://www.boe.es/gazeta/dias/1820/11/20/pdfs/GGB-1820-147.pdf#page=4","Abrir facsímil")</f>
        <v>Abrir facsímil</v>
      </c>
      <c r="K2436" s="3" t="s">
        <v>32</v>
      </c>
    </row>
    <row r="2437" spans="1:11" ht="42" customHeight="1">
      <c r="A2437" s="2" t="s">
        <v>5193</v>
      </c>
      <c r="B2437" s="2" t="s">
        <v>5194</v>
      </c>
      <c r="C2437" s="2" t="s">
        <v>17</v>
      </c>
      <c r="D2437" s="2" t="s">
        <v>18</v>
      </c>
      <c r="E2437" s="5">
        <v>-28902</v>
      </c>
      <c r="F2437" s="3" t="s">
        <v>440</v>
      </c>
      <c r="G2437" s="3" t="s">
        <v>20</v>
      </c>
      <c r="H2437" s="2" t="s">
        <v>21</v>
      </c>
      <c r="I2437" s="2" t="s">
        <v>5195</v>
      </c>
      <c r="J2437" s="3" t="str">
        <f>HYPERLINK("https://www.boe.es/gazeta/dias/1820/11/12/pdfs/GGB-1820-138.pdf#page=4","Abrir facsímil")</f>
        <v>Abrir facsímil</v>
      </c>
      <c r="K2437" s="3" t="s">
        <v>23</v>
      </c>
    </row>
    <row r="2438" spans="1:11" ht="42" customHeight="1">
      <c r="A2438" s="2" t="s">
        <v>5196</v>
      </c>
      <c r="B2438" s="2" t="s">
        <v>5196</v>
      </c>
      <c r="C2438" s="2" t="s">
        <v>47</v>
      </c>
      <c r="D2438" s="2" t="s">
        <v>18</v>
      </c>
      <c r="E2438" s="5">
        <v>-29134</v>
      </c>
      <c r="F2438" s="3" t="s">
        <v>255</v>
      </c>
      <c r="G2438" s="3" t="s">
        <v>295</v>
      </c>
      <c r="H2438" s="2" t="s">
        <v>21</v>
      </c>
      <c r="I2438" s="2" t="s">
        <v>5197</v>
      </c>
      <c r="J2438" s="3" t="str">
        <f>HYPERLINK("https://www.boe.es/gazeta/dias/1820/03/25/pdfs/GMD-1820-53.pdf#page=8","Abrir facsímil")</f>
        <v>Abrir facsímil</v>
      </c>
      <c r="K2438" s="3" t="s">
        <v>23</v>
      </c>
    </row>
    <row r="2439" spans="1:11" ht="42" customHeight="1">
      <c r="A2439" s="2" t="s">
        <v>5198</v>
      </c>
      <c r="B2439" s="2" t="s">
        <v>5199</v>
      </c>
      <c r="C2439" s="2" t="s">
        <v>26</v>
      </c>
      <c r="D2439" s="2" t="s">
        <v>27</v>
      </c>
      <c r="E2439" s="5">
        <v>-29213</v>
      </c>
      <c r="F2439" s="3" t="s">
        <v>195</v>
      </c>
      <c r="G2439" s="3" t="s">
        <v>196</v>
      </c>
      <c r="H2439" s="2" t="s">
        <v>30</v>
      </c>
      <c r="I2439" s="2" t="s">
        <v>5200</v>
      </c>
      <c r="J2439" s="3" t="str">
        <f>HYPERLINK("https://www.boe.es/gazeta/dias/1820/01/06/pdfs/GMD-1820-3.pdf#page=11","Abrir facsímil")</f>
        <v>Abrir facsímil</v>
      </c>
      <c r="K2439" s="3" t="s">
        <v>32</v>
      </c>
    </row>
    <row r="2440" spans="1:11" ht="42" customHeight="1">
      <c r="A2440" s="2" t="s">
        <v>5201</v>
      </c>
      <c r="B2440" s="2" t="s">
        <v>5202</v>
      </c>
      <c r="C2440" s="2" t="s">
        <v>111</v>
      </c>
      <c r="D2440" s="2" t="s">
        <v>18</v>
      </c>
      <c r="E2440" s="5">
        <v>-29141</v>
      </c>
      <c r="F2440" s="3" t="s">
        <v>319</v>
      </c>
      <c r="G2440" s="3" t="s">
        <v>295</v>
      </c>
      <c r="H2440" s="2" t="s">
        <v>30</v>
      </c>
      <c r="I2440" s="2" t="s">
        <v>5203</v>
      </c>
      <c r="J2440" s="3" t="str">
        <f>HYPERLINK("https://www.boe.es/gazeta/dias/1820/03/18/pdfs/GMD-1820-44.pdf#page=8","Abrir facsímil")</f>
        <v>Abrir facsímil</v>
      </c>
      <c r="K2440" s="3" t="s">
        <v>32</v>
      </c>
    </row>
    <row r="2441" spans="1:11" ht="42" customHeight="1">
      <c r="A2441" s="2" t="s">
        <v>5204</v>
      </c>
      <c r="B2441" s="2" t="s">
        <v>5204</v>
      </c>
      <c r="C2441" s="2" t="s">
        <v>26</v>
      </c>
      <c r="D2441" s="2" t="s">
        <v>27</v>
      </c>
      <c r="E2441" s="5">
        <v>-29148</v>
      </c>
      <c r="F2441" s="3" t="s">
        <v>493</v>
      </c>
      <c r="G2441" s="3" t="s">
        <v>43</v>
      </c>
      <c r="H2441" s="2" t="s">
        <v>21</v>
      </c>
      <c r="I2441" s="2" t="s">
        <v>5205</v>
      </c>
      <c r="J2441" s="3" t="str">
        <f>HYPERLINK("https://www.boe.es/gazeta/dias/1820/03/11/pdfs/GMD-1820-36.pdf#page=2","Abrir facsímil")</f>
        <v>Abrir facsímil</v>
      </c>
      <c r="K2441" s="3" t="s">
        <v>23</v>
      </c>
    </row>
    <row r="2442" spans="1:11" ht="42" customHeight="1">
      <c r="A2442" s="2" t="s">
        <v>5206</v>
      </c>
      <c r="B2442" s="2" t="s">
        <v>5206</v>
      </c>
      <c r="C2442" s="2" t="s">
        <v>26</v>
      </c>
      <c r="D2442" s="2" t="s">
        <v>27</v>
      </c>
      <c r="E2442" s="5">
        <v>-29025</v>
      </c>
      <c r="F2442" s="3" t="s">
        <v>902</v>
      </c>
      <c r="G2442" s="3" t="s">
        <v>128</v>
      </c>
      <c r="H2442" s="2" t="s">
        <v>21</v>
      </c>
      <c r="I2442" s="2" t="s">
        <v>5207</v>
      </c>
      <c r="J2442" s="3" t="str">
        <f>HYPERLINK("https://www.boe.es/gazeta/dias/1820/07/12/pdfs/GGB-1820-14.pdf#page=1","Abrir facsímil")</f>
        <v>Abrir facsímil</v>
      </c>
      <c r="K2442" s="3" t="s">
        <v>23</v>
      </c>
    </row>
    <row r="2443" spans="1:11" ht="42" customHeight="1">
      <c r="A2443" s="2" t="s">
        <v>5208</v>
      </c>
      <c r="B2443" s="2" t="s">
        <v>5208</v>
      </c>
      <c r="C2443" s="2" t="s">
        <v>74</v>
      </c>
      <c r="D2443" s="2" t="s">
        <v>18</v>
      </c>
      <c r="E2443" s="5">
        <v>-29013</v>
      </c>
      <c r="F2443" s="3" t="s">
        <v>52</v>
      </c>
      <c r="G2443" s="3" t="s">
        <v>43</v>
      </c>
      <c r="H2443" s="2" t="s">
        <v>21</v>
      </c>
      <c r="I2443" s="2" t="s">
        <v>5209</v>
      </c>
      <c r="J2443" s="3" t="str">
        <f>HYPERLINK("https://www.boe.es/gazeta/dias/1820/07/24/pdfs/GGB-1820-26.pdf#page=2","Abrir facsímil")</f>
        <v>Abrir facsímil</v>
      </c>
      <c r="K2443" s="3" t="s">
        <v>23</v>
      </c>
    </row>
    <row r="2444" spans="1:11" ht="42" customHeight="1">
      <c r="A2444" s="2" t="s">
        <v>5210</v>
      </c>
      <c r="B2444" s="2" t="s">
        <v>5210</v>
      </c>
      <c r="C2444" s="2" t="s">
        <v>26</v>
      </c>
      <c r="D2444" s="2" t="s">
        <v>27</v>
      </c>
      <c r="E2444" s="5">
        <v>-29145</v>
      </c>
      <c r="F2444" s="3" t="s">
        <v>3537</v>
      </c>
      <c r="G2444" s="3" t="s">
        <v>43</v>
      </c>
      <c r="H2444" s="2" t="s">
        <v>21</v>
      </c>
      <c r="I2444" s="2" t="s">
        <v>5211</v>
      </c>
      <c r="J2444" s="3" t="str">
        <f>HYPERLINK("https://www.boe.es/gazeta/dias/1820/03/14/pdfs/GMD-1820-39.pdf#page=2","Abrir facsímil")</f>
        <v>Abrir facsímil</v>
      </c>
      <c r="K2444" s="3" t="s">
        <v>23</v>
      </c>
    </row>
    <row r="2445" spans="1:11" ht="42" customHeight="1">
      <c r="A2445" s="2" t="s">
        <v>5212</v>
      </c>
      <c r="B2445" s="2" t="s">
        <v>5212</v>
      </c>
      <c r="C2445" s="2" t="s">
        <v>26</v>
      </c>
      <c r="D2445" s="2" t="s">
        <v>27</v>
      </c>
      <c r="E2445" s="5">
        <v>-29033</v>
      </c>
      <c r="F2445" s="3" t="s">
        <v>1240</v>
      </c>
      <c r="G2445" s="3" t="s">
        <v>20</v>
      </c>
      <c r="H2445" s="2" t="s">
        <v>21</v>
      </c>
      <c r="I2445" s="2" t="s">
        <v>5213</v>
      </c>
      <c r="J2445" s="3" t="str">
        <f>HYPERLINK("https://www.boe.es/gazeta/dias/1820/07/04/pdfs/GGB-1820-4.pdf#page=4","Abrir facsímil")</f>
        <v>Abrir facsímil</v>
      </c>
      <c r="K2445" s="3" t="s">
        <v>23</v>
      </c>
    </row>
    <row r="2446" spans="1:11" ht="42" customHeight="1">
      <c r="A2446" s="2" t="s">
        <v>5214</v>
      </c>
      <c r="B2446" s="2" t="s">
        <v>5214</v>
      </c>
      <c r="C2446" s="2" t="s">
        <v>35</v>
      </c>
      <c r="D2446" s="2" t="s">
        <v>36</v>
      </c>
      <c r="E2446" s="5">
        <v>-28981</v>
      </c>
      <c r="F2446" s="3" t="s">
        <v>42</v>
      </c>
      <c r="G2446" s="3" t="s">
        <v>20</v>
      </c>
      <c r="H2446" s="2" t="s">
        <v>21</v>
      </c>
      <c r="I2446" s="2" t="s">
        <v>5215</v>
      </c>
      <c r="J2446" s="3" t="str">
        <f>HYPERLINK("https://www.boe.es/gazeta/dias/1820/08/25/pdfs/GGB-1820-58.pdf#page=4","Abrir facsímil")</f>
        <v>Abrir facsímil</v>
      </c>
      <c r="K2446" s="3" t="s">
        <v>23</v>
      </c>
    </row>
    <row r="2447" spans="1:11" ht="42" customHeight="1">
      <c r="A2447" s="2" t="s">
        <v>5214</v>
      </c>
      <c r="B2447" s="2" t="s">
        <v>5214</v>
      </c>
      <c r="C2447" s="2" t="s">
        <v>293</v>
      </c>
      <c r="D2447" s="2" t="s">
        <v>18</v>
      </c>
      <c r="E2447" s="5">
        <v>-28947</v>
      </c>
      <c r="F2447" s="3" t="s">
        <v>127</v>
      </c>
      <c r="G2447" s="3" t="s">
        <v>62</v>
      </c>
      <c r="H2447" s="2" t="s">
        <v>21</v>
      </c>
      <c r="I2447" s="2" t="s">
        <v>5216</v>
      </c>
      <c r="J2447" s="3" t="str">
        <f>HYPERLINK("https://www.boe.es/gazeta/dias/1820/09/28/pdfs/GGB-1820-92.pdf#page=3","Abrir facsímil")</f>
        <v>Abrir facsímil</v>
      </c>
      <c r="K2447" s="3" t="s">
        <v>23</v>
      </c>
    </row>
    <row r="2448" spans="1:11" ht="42" customHeight="1">
      <c r="A2448" s="2" t="s">
        <v>5212</v>
      </c>
      <c r="B2448" s="2" t="s">
        <v>5212</v>
      </c>
      <c r="C2448" s="2" t="s">
        <v>17</v>
      </c>
      <c r="D2448" s="2" t="s">
        <v>18</v>
      </c>
      <c r="E2448" s="5">
        <v>-28907</v>
      </c>
      <c r="F2448" s="3" t="s">
        <v>374</v>
      </c>
      <c r="G2448" s="3" t="s">
        <v>62</v>
      </c>
      <c r="H2448" s="2" t="s">
        <v>21</v>
      </c>
      <c r="I2448" s="2" t="s">
        <v>5217</v>
      </c>
      <c r="J2448" s="3" t="str">
        <f>HYPERLINK("https://www.boe.es/gazeta/dias/1820/11/07/pdfs/GGB-1820-132.pdf#page=3","Abrir facsímil")</f>
        <v>Abrir facsímil</v>
      </c>
      <c r="K2448" s="3" t="s">
        <v>23</v>
      </c>
    </row>
    <row r="2449" spans="1:11" ht="42" customHeight="1">
      <c r="A2449" s="2" t="s">
        <v>5218</v>
      </c>
      <c r="B2449" s="2" t="s">
        <v>5219</v>
      </c>
      <c r="C2449" s="2" t="s">
        <v>26</v>
      </c>
      <c r="D2449" s="2" t="s">
        <v>310</v>
      </c>
      <c r="E2449" s="5">
        <v>-29142</v>
      </c>
      <c r="F2449" s="3" t="s">
        <v>2712</v>
      </c>
      <c r="G2449" s="3" t="s">
        <v>4951</v>
      </c>
      <c r="H2449" s="2" t="s">
        <v>30</v>
      </c>
      <c r="I2449" s="2" t="s">
        <v>5220</v>
      </c>
      <c r="J2449" s="3" t="str">
        <f>HYPERLINK("https://www.boe.es/gazeta/dias/1820/03/17/pdfs/GMD-1820-43E.pdf#page=4","Abrir facsímil")</f>
        <v>Abrir facsímil</v>
      </c>
      <c r="K2449" s="3" t="s">
        <v>32</v>
      </c>
    </row>
    <row r="2450" spans="1:11" ht="42" customHeight="1">
      <c r="A2450" s="2" t="s">
        <v>5221</v>
      </c>
      <c r="B2450" s="2" t="s">
        <v>5221</v>
      </c>
      <c r="C2450" s="2" t="s">
        <v>26</v>
      </c>
      <c r="D2450" s="2" t="s">
        <v>27</v>
      </c>
      <c r="E2450" s="5">
        <v>-28875</v>
      </c>
      <c r="F2450" s="3" t="s">
        <v>2737</v>
      </c>
      <c r="G2450" s="3" t="s">
        <v>43</v>
      </c>
      <c r="H2450" s="2" t="s">
        <v>21</v>
      </c>
      <c r="I2450" s="2" t="s">
        <v>5222</v>
      </c>
      <c r="J2450" s="3" t="str">
        <f>HYPERLINK("https://www.boe.es/gazeta/dias/1820/12/09/pdfs/GGB-1820-166.pdf#page=2","Abrir facsímil")</f>
        <v>Abrir facsímil</v>
      </c>
      <c r="K2450" s="3" t="s">
        <v>23</v>
      </c>
    </row>
    <row r="2451" spans="1:11" ht="42" customHeight="1">
      <c r="A2451" s="2" t="s">
        <v>5223</v>
      </c>
      <c r="B2451" s="2" t="s">
        <v>5223</v>
      </c>
      <c r="C2451" s="2" t="s">
        <v>26</v>
      </c>
      <c r="D2451" s="2" t="s">
        <v>310</v>
      </c>
      <c r="E2451" s="5">
        <v>-29138</v>
      </c>
      <c r="F2451" s="3" t="s">
        <v>2523</v>
      </c>
      <c r="G2451" s="3" t="s">
        <v>295</v>
      </c>
      <c r="H2451" s="2" t="s">
        <v>21</v>
      </c>
      <c r="I2451" s="2" t="s">
        <v>5224</v>
      </c>
      <c r="J2451" s="3" t="str">
        <f>HYPERLINK("https://www.boe.es/gazeta/dias/1820/03/21/pdfs/GMD-1820-48E.pdf#page=8","Abrir facsímil")</f>
        <v>Abrir facsímil</v>
      </c>
      <c r="K2451" s="3" t="s">
        <v>23</v>
      </c>
    </row>
    <row r="2452" spans="1:11" ht="42" customHeight="1">
      <c r="A2452" s="2" t="s">
        <v>5225</v>
      </c>
      <c r="B2452" s="2" t="s">
        <v>5225</v>
      </c>
      <c r="C2452" s="2" t="s">
        <v>26</v>
      </c>
      <c r="D2452" s="2" t="s">
        <v>310</v>
      </c>
      <c r="E2452" s="5">
        <v>-29138</v>
      </c>
      <c r="F2452" s="3" t="s">
        <v>2523</v>
      </c>
      <c r="G2452" s="3" t="s">
        <v>261</v>
      </c>
      <c r="H2452" s="2" t="s">
        <v>21</v>
      </c>
      <c r="I2452" s="2" t="s">
        <v>5226</v>
      </c>
      <c r="J2452" s="3" t="str">
        <f>HYPERLINK("https://www.boe.es/gazeta/dias/1820/03/21/pdfs/GMD-1820-48E.pdf#page=9","Abrir facsímil")</f>
        <v>Abrir facsímil</v>
      </c>
      <c r="K2452" s="3" t="s">
        <v>23</v>
      </c>
    </row>
    <row r="2453" spans="1:11" ht="42" customHeight="1">
      <c r="A2453" s="2" t="s">
        <v>5225</v>
      </c>
      <c r="B2453" s="2" t="s">
        <v>5225</v>
      </c>
      <c r="C2453" s="2" t="s">
        <v>26</v>
      </c>
      <c r="D2453" s="2" t="s">
        <v>310</v>
      </c>
      <c r="E2453" s="5">
        <v>-29138</v>
      </c>
      <c r="F2453" s="3" t="s">
        <v>4019</v>
      </c>
      <c r="G2453" s="3" t="s">
        <v>43</v>
      </c>
      <c r="H2453" s="2" t="s">
        <v>21</v>
      </c>
      <c r="I2453" s="2" t="s">
        <v>5227</v>
      </c>
      <c r="J2453" s="3" t="str">
        <f>HYPERLINK("https://www.boe.es/gazeta/dias/1820/03/21/pdfs/GMD-1820-49E.pdf#page=2","Abrir facsímil")</f>
        <v>Abrir facsímil</v>
      </c>
      <c r="K2453" s="3" t="s">
        <v>23</v>
      </c>
    </row>
    <row r="2454" spans="1:11" ht="42" customHeight="1">
      <c r="A2454" s="2" t="s">
        <v>5225</v>
      </c>
      <c r="B2454" s="2" t="s">
        <v>5225</v>
      </c>
      <c r="C2454" s="2" t="s">
        <v>26</v>
      </c>
      <c r="D2454" s="2" t="s">
        <v>27</v>
      </c>
      <c r="E2454" s="5">
        <v>-29124</v>
      </c>
      <c r="F2454" s="3" t="s">
        <v>4097</v>
      </c>
      <c r="G2454" s="3" t="s">
        <v>201</v>
      </c>
      <c r="H2454" s="2" t="s">
        <v>21</v>
      </c>
      <c r="I2454" s="2" t="s">
        <v>5228</v>
      </c>
      <c r="J2454" s="3" t="str">
        <f>HYPERLINK("https://www.boe.es/gazeta/dias/1820/04/04/pdfs/GMD-1820-60.pdf#page=7","Abrir facsímil")</f>
        <v>Abrir facsímil</v>
      </c>
      <c r="K2454" s="3" t="s">
        <v>23</v>
      </c>
    </row>
    <row r="2455" spans="1:11" ht="42" customHeight="1">
      <c r="A2455" s="2" t="s">
        <v>5229</v>
      </c>
      <c r="B2455" s="2" t="s">
        <v>5229</v>
      </c>
      <c r="C2455" s="2" t="s">
        <v>26</v>
      </c>
      <c r="D2455" s="2" t="s">
        <v>27</v>
      </c>
      <c r="E2455" s="5">
        <v>-29014</v>
      </c>
      <c r="F2455" s="3" t="s">
        <v>70</v>
      </c>
      <c r="G2455" s="3" t="s">
        <v>43</v>
      </c>
      <c r="H2455" s="2" t="s">
        <v>21</v>
      </c>
      <c r="I2455" s="2" t="s">
        <v>5230</v>
      </c>
      <c r="J2455" s="3" t="str">
        <f>HYPERLINK("https://www.boe.es/gazeta/dias/1820/07/23/pdfs/GGB-1820-25.pdf#page=2","Abrir facsímil")</f>
        <v>Abrir facsímil</v>
      </c>
      <c r="K2455" s="3" t="s">
        <v>23</v>
      </c>
    </row>
    <row r="2456" spans="1:11" ht="42" customHeight="1">
      <c r="A2456" s="2" t="s">
        <v>5225</v>
      </c>
      <c r="B2456" s="2" t="s">
        <v>5225</v>
      </c>
      <c r="C2456" s="2" t="s">
        <v>35</v>
      </c>
      <c r="D2456" s="2" t="s">
        <v>36</v>
      </c>
      <c r="E2456" s="5">
        <v>-29014</v>
      </c>
      <c r="F2456" s="3" t="s">
        <v>70</v>
      </c>
      <c r="G2456" s="3" t="s">
        <v>20</v>
      </c>
      <c r="H2456" s="2" t="s">
        <v>21</v>
      </c>
      <c r="I2456" s="2" t="s">
        <v>5231</v>
      </c>
      <c r="J2456" s="3" t="str">
        <f>HYPERLINK("https://www.boe.es/gazeta/dias/1820/07/23/pdfs/GGB-1820-25.pdf#page=4","Abrir facsímil")</f>
        <v>Abrir facsímil</v>
      </c>
      <c r="K2456" s="3" t="s">
        <v>23</v>
      </c>
    </row>
    <row r="2457" spans="1:11" ht="42" customHeight="1">
      <c r="A2457" s="2" t="s">
        <v>5225</v>
      </c>
      <c r="B2457" s="2" t="s">
        <v>5225</v>
      </c>
      <c r="C2457" s="2" t="s">
        <v>293</v>
      </c>
      <c r="D2457" s="2" t="s">
        <v>18</v>
      </c>
      <c r="E2457" s="5">
        <v>-29011</v>
      </c>
      <c r="F2457" s="3" t="s">
        <v>338</v>
      </c>
      <c r="G2457" s="3" t="s">
        <v>62</v>
      </c>
      <c r="H2457" s="2" t="s">
        <v>21</v>
      </c>
      <c r="I2457" s="2" t="s">
        <v>5232</v>
      </c>
      <c r="J2457" s="3" t="str">
        <f>HYPERLINK("https://www.boe.es/gazeta/dias/1820/07/26/pdfs/GGB-1820-28.pdf#page=3","Abrir facsímil")</f>
        <v>Abrir facsímil</v>
      </c>
      <c r="K2457" s="3" t="s">
        <v>23</v>
      </c>
    </row>
    <row r="2458" spans="1:11" ht="42" customHeight="1">
      <c r="A2458" s="2" t="s">
        <v>5225</v>
      </c>
      <c r="B2458" s="2" t="s">
        <v>5225</v>
      </c>
      <c r="C2458" s="2" t="s">
        <v>26</v>
      </c>
      <c r="D2458" s="2" t="s">
        <v>27</v>
      </c>
      <c r="E2458" s="5">
        <v>-29009</v>
      </c>
      <c r="F2458" s="3" t="s">
        <v>605</v>
      </c>
      <c r="G2458" s="3" t="s">
        <v>43</v>
      </c>
      <c r="H2458" s="2" t="s">
        <v>21</v>
      </c>
      <c r="I2458" s="2" t="s">
        <v>5233</v>
      </c>
      <c r="J2458" s="3" t="str">
        <f>HYPERLINK("https://www.boe.es/gazeta/dias/1820/07/28/pdfs/GGB-1820-30.pdf#page=2","Abrir facsímil")</f>
        <v>Abrir facsímil</v>
      </c>
      <c r="K2458" s="3" t="s">
        <v>23</v>
      </c>
    </row>
    <row r="2459" spans="1:11" ht="42" customHeight="1">
      <c r="A2459" s="2" t="s">
        <v>5225</v>
      </c>
      <c r="B2459" s="2" t="s">
        <v>5225</v>
      </c>
      <c r="C2459" s="2" t="s">
        <v>26</v>
      </c>
      <c r="D2459" s="2" t="s">
        <v>27</v>
      </c>
      <c r="E2459" s="5">
        <v>-29009</v>
      </c>
      <c r="F2459" s="3" t="s">
        <v>605</v>
      </c>
      <c r="G2459" s="3" t="s">
        <v>62</v>
      </c>
      <c r="H2459" s="2" t="s">
        <v>21</v>
      </c>
      <c r="I2459" s="2" t="s">
        <v>5234</v>
      </c>
      <c r="J2459" s="3" t="str">
        <f>HYPERLINK("https://www.boe.es/gazeta/dias/1820/07/28/pdfs/GGB-1820-30.pdf#page=3","Abrir facsímil")</f>
        <v>Abrir facsímil</v>
      </c>
      <c r="K2459" s="3" t="s">
        <v>23</v>
      </c>
    </row>
    <row r="2460" spans="1:11" ht="42" customHeight="1">
      <c r="A2460" s="2" t="s">
        <v>5225</v>
      </c>
      <c r="B2460" s="2" t="s">
        <v>5225</v>
      </c>
      <c r="C2460" s="2" t="s">
        <v>74</v>
      </c>
      <c r="D2460" s="2" t="s">
        <v>18</v>
      </c>
      <c r="E2460" s="5">
        <v>-29001</v>
      </c>
      <c r="F2460" s="3" t="s">
        <v>633</v>
      </c>
      <c r="G2460" s="3" t="s">
        <v>43</v>
      </c>
      <c r="H2460" s="2" t="s">
        <v>21</v>
      </c>
      <c r="I2460" s="2" t="s">
        <v>5235</v>
      </c>
      <c r="J2460" s="3" t="str">
        <f>HYPERLINK("https://www.boe.es/gazeta/dias/1820/08/05/pdfs/GGB-1820-38.pdf#page=2","Abrir facsímil")</f>
        <v>Abrir facsímil</v>
      </c>
      <c r="K2460" s="3" t="s">
        <v>23</v>
      </c>
    </row>
    <row r="2461" spans="1:11" ht="42" customHeight="1">
      <c r="A2461" s="2" t="s">
        <v>5225</v>
      </c>
      <c r="B2461" s="2" t="s">
        <v>5225</v>
      </c>
      <c r="C2461" s="2" t="s">
        <v>35</v>
      </c>
      <c r="D2461" s="2" t="s">
        <v>36</v>
      </c>
      <c r="E2461" s="5">
        <v>-28995</v>
      </c>
      <c r="F2461" s="3" t="s">
        <v>672</v>
      </c>
      <c r="G2461" s="3" t="s">
        <v>20</v>
      </c>
      <c r="H2461" s="2" t="s">
        <v>21</v>
      </c>
      <c r="I2461" s="2" t="s">
        <v>5236</v>
      </c>
      <c r="J2461" s="3" t="str">
        <f>HYPERLINK("https://www.boe.es/gazeta/dias/1820/08/11/pdfs/GGB-1820-44.pdf#page=4","Abrir facsímil")</f>
        <v>Abrir facsímil</v>
      </c>
      <c r="K2461" s="3" t="s">
        <v>23</v>
      </c>
    </row>
    <row r="2462" spans="1:11" ht="42" customHeight="1">
      <c r="A2462" s="2" t="s">
        <v>5225</v>
      </c>
      <c r="B2462" s="2" t="s">
        <v>5225</v>
      </c>
      <c r="C2462" s="2" t="s">
        <v>17</v>
      </c>
      <c r="D2462" s="2" t="s">
        <v>18</v>
      </c>
      <c r="E2462" s="5">
        <v>-28993</v>
      </c>
      <c r="F2462" s="3" t="s">
        <v>465</v>
      </c>
      <c r="G2462" s="3" t="s">
        <v>62</v>
      </c>
      <c r="H2462" s="2" t="s">
        <v>21</v>
      </c>
      <c r="I2462" s="2" t="s">
        <v>5237</v>
      </c>
      <c r="J2462" s="3" t="str">
        <f>HYPERLINK("https://www.boe.es/gazeta/dias/1820/08/13/pdfs/GGB-1820-46.pdf#page=3","Abrir facsímil")</f>
        <v>Abrir facsímil</v>
      </c>
      <c r="K2462" s="3" t="s">
        <v>23</v>
      </c>
    </row>
    <row r="2463" spans="1:11" ht="42" customHeight="1">
      <c r="A2463" s="2" t="s">
        <v>5238</v>
      </c>
      <c r="B2463" s="2" t="s">
        <v>5238</v>
      </c>
      <c r="C2463" s="2" t="s">
        <v>17</v>
      </c>
      <c r="D2463" s="2" t="s">
        <v>18</v>
      </c>
      <c r="E2463" s="5">
        <v>-28982</v>
      </c>
      <c r="F2463" s="3" t="s">
        <v>173</v>
      </c>
      <c r="G2463" s="3" t="s">
        <v>529</v>
      </c>
      <c r="H2463" s="2" t="s">
        <v>21</v>
      </c>
      <c r="I2463" s="2" t="s">
        <v>5239</v>
      </c>
      <c r="J2463" s="3" t="str">
        <f>HYPERLINK("https://www.boe.es/gazeta/dias/1820/08/24/pdfs/GGB-1820-57.pdf#page=4","Abrir facsímil")</f>
        <v>Abrir facsímil</v>
      </c>
      <c r="K2463" s="3" t="s">
        <v>23</v>
      </c>
    </row>
    <row r="2464" spans="1:11" ht="42" customHeight="1">
      <c r="A2464" s="2" t="s">
        <v>5225</v>
      </c>
      <c r="B2464" s="2" t="s">
        <v>5225</v>
      </c>
      <c r="C2464" s="2" t="s">
        <v>26</v>
      </c>
      <c r="D2464" s="2" t="s">
        <v>27</v>
      </c>
      <c r="E2464" s="5">
        <v>-28981</v>
      </c>
      <c r="F2464" s="3" t="s">
        <v>42</v>
      </c>
      <c r="G2464" s="3" t="s">
        <v>20</v>
      </c>
      <c r="H2464" s="2" t="s">
        <v>21</v>
      </c>
      <c r="I2464" s="2" t="s">
        <v>5240</v>
      </c>
      <c r="J2464" s="3" t="str">
        <f>HYPERLINK("https://www.boe.es/gazeta/dias/1820/08/25/pdfs/GGB-1820-58.pdf#page=4","Abrir facsímil")</f>
        <v>Abrir facsímil</v>
      </c>
      <c r="K2464" s="3" t="s">
        <v>23</v>
      </c>
    </row>
    <row r="2465" spans="1:11" ht="42" customHeight="1">
      <c r="A2465" s="2" t="s">
        <v>5225</v>
      </c>
      <c r="B2465" s="2" t="s">
        <v>5225</v>
      </c>
      <c r="C2465" s="2" t="s">
        <v>26</v>
      </c>
      <c r="D2465" s="2" t="s">
        <v>27</v>
      </c>
      <c r="E2465" s="5">
        <v>-28980</v>
      </c>
      <c r="F2465" s="3" t="s">
        <v>614</v>
      </c>
      <c r="G2465" s="3" t="s">
        <v>3062</v>
      </c>
      <c r="H2465" s="2" t="s">
        <v>21</v>
      </c>
      <c r="I2465" s="2" t="s">
        <v>5241</v>
      </c>
      <c r="J2465" s="3" t="str">
        <f>HYPERLINK("https://www.boe.es/gazeta/dias/1820/08/26/pdfs/GGB-1820-59.pdf#page=2","Abrir facsímil")</f>
        <v>Abrir facsímil</v>
      </c>
      <c r="K2465" s="3" t="s">
        <v>23</v>
      </c>
    </row>
    <row r="2466" spans="1:11" ht="42" customHeight="1">
      <c r="A2466" s="2" t="s">
        <v>5229</v>
      </c>
      <c r="B2466" s="2" t="s">
        <v>5229</v>
      </c>
      <c r="C2466" s="2" t="s">
        <v>17</v>
      </c>
      <c r="D2466" s="2" t="s">
        <v>18</v>
      </c>
      <c r="E2466" s="5">
        <v>-28979</v>
      </c>
      <c r="F2466" s="3" t="s">
        <v>218</v>
      </c>
      <c r="G2466" s="3" t="s">
        <v>62</v>
      </c>
      <c r="H2466" s="2" t="s">
        <v>21</v>
      </c>
      <c r="I2466" s="2" t="s">
        <v>5242</v>
      </c>
      <c r="J2466" s="3" t="str">
        <f>HYPERLINK("https://www.boe.es/gazeta/dias/1820/08/27/pdfs/GGB-1820-60.pdf#page=3","Abrir facsímil")</f>
        <v>Abrir facsímil</v>
      </c>
      <c r="K2466" s="3" t="s">
        <v>23</v>
      </c>
    </row>
    <row r="2467" spans="1:11" ht="42" customHeight="1">
      <c r="A2467" s="2" t="s">
        <v>5229</v>
      </c>
      <c r="B2467" s="2" t="s">
        <v>5229</v>
      </c>
      <c r="C2467" s="2" t="s">
        <v>26</v>
      </c>
      <c r="D2467" s="2" t="s">
        <v>27</v>
      </c>
      <c r="E2467" s="5">
        <v>-28975</v>
      </c>
      <c r="F2467" s="3" t="s">
        <v>182</v>
      </c>
      <c r="G2467" s="3" t="s">
        <v>183</v>
      </c>
      <c r="H2467" s="2" t="s">
        <v>21</v>
      </c>
      <c r="I2467" s="2" t="s">
        <v>5243</v>
      </c>
      <c r="J2467" s="3" t="str">
        <f>HYPERLINK("https://www.boe.es/gazeta/dias/1820/08/31/pdfs/GGB-1820-64.pdf#page=4","Abrir facsímil")</f>
        <v>Abrir facsímil</v>
      </c>
      <c r="K2467" s="3" t="s">
        <v>23</v>
      </c>
    </row>
    <row r="2468" spans="1:11" ht="42" customHeight="1">
      <c r="A2468" s="2" t="s">
        <v>5229</v>
      </c>
      <c r="B2468" s="2" t="s">
        <v>5229</v>
      </c>
      <c r="C2468" s="2" t="s">
        <v>17</v>
      </c>
      <c r="D2468" s="2" t="s">
        <v>18</v>
      </c>
      <c r="E2468" s="5">
        <v>-28971</v>
      </c>
      <c r="F2468" s="3" t="s">
        <v>691</v>
      </c>
      <c r="G2468" s="3" t="s">
        <v>62</v>
      </c>
      <c r="H2468" s="2" t="s">
        <v>21</v>
      </c>
      <c r="I2468" s="2" t="s">
        <v>5244</v>
      </c>
      <c r="J2468" s="3" t="str">
        <f>HYPERLINK("https://www.boe.es/gazeta/dias/1820/09/04/pdfs/GGB-1820-68.pdf#page=3","Abrir facsímil")</f>
        <v>Abrir facsímil</v>
      </c>
      <c r="K2468" s="3" t="s">
        <v>23</v>
      </c>
    </row>
    <row r="2469" spans="1:11" ht="42" customHeight="1">
      <c r="A2469" s="2" t="s">
        <v>5225</v>
      </c>
      <c r="B2469" s="2" t="s">
        <v>5225</v>
      </c>
      <c r="C2469" s="2" t="s">
        <v>17</v>
      </c>
      <c r="D2469" s="2" t="s">
        <v>18</v>
      </c>
      <c r="E2469" s="5">
        <v>-28970</v>
      </c>
      <c r="F2469" s="3" t="s">
        <v>693</v>
      </c>
      <c r="G2469" s="3" t="s">
        <v>43</v>
      </c>
      <c r="H2469" s="2" t="s">
        <v>21</v>
      </c>
      <c r="I2469" s="2" t="s">
        <v>5245</v>
      </c>
      <c r="J2469" s="3" t="str">
        <f>HYPERLINK("https://www.boe.es/gazeta/dias/1820/09/05/pdfs/GGB-1820-69.pdf#page=2","Abrir facsímil")</f>
        <v>Abrir facsímil</v>
      </c>
      <c r="K2469" s="3" t="s">
        <v>23</v>
      </c>
    </row>
    <row r="2470" spans="1:11" ht="42" customHeight="1">
      <c r="A2470" s="2" t="s">
        <v>5225</v>
      </c>
      <c r="B2470" s="2" t="s">
        <v>5225</v>
      </c>
      <c r="C2470" s="2" t="s">
        <v>17</v>
      </c>
      <c r="D2470" s="2" t="s">
        <v>18</v>
      </c>
      <c r="E2470" s="5">
        <v>-28969</v>
      </c>
      <c r="F2470" s="3" t="s">
        <v>225</v>
      </c>
      <c r="G2470" s="3" t="s">
        <v>226</v>
      </c>
      <c r="H2470" s="2" t="s">
        <v>21</v>
      </c>
      <c r="I2470" s="2" t="s">
        <v>5246</v>
      </c>
      <c r="J2470" s="3" t="str">
        <f>HYPERLINK("https://www.boe.es/gazeta/dias/1820/09/06/pdfs/GGB-1820-70.pdf#page=3","Abrir facsímil")</f>
        <v>Abrir facsímil</v>
      </c>
      <c r="K2470" s="3" t="s">
        <v>23</v>
      </c>
    </row>
    <row r="2471" spans="1:11" ht="42" customHeight="1">
      <c r="A2471" s="2" t="s">
        <v>5229</v>
      </c>
      <c r="B2471" s="2" t="s">
        <v>5229</v>
      </c>
      <c r="C2471" s="2" t="s">
        <v>26</v>
      </c>
      <c r="D2471" s="2" t="s">
        <v>27</v>
      </c>
      <c r="E2471" s="5">
        <v>-28964</v>
      </c>
      <c r="F2471" s="3" t="s">
        <v>240</v>
      </c>
      <c r="G2471" s="3" t="s">
        <v>62</v>
      </c>
      <c r="H2471" s="2" t="s">
        <v>21</v>
      </c>
      <c r="I2471" s="2" t="s">
        <v>5247</v>
      </c>
      <c r="J2471" s="3" t="str">
        <f>HYPERLINK("https://www.boe.es/gazeta/dias/1820/09/11/pdfs/GGB-1820-75.pdf#page=3","Abrir facsímil")</f>
        <v>Abrir facsímil</v>
      </c>
      <c r="K2471" s="3" t="s">
        <v>23</v>
      </c>
    </row>
    <row r="2472" spans="1:11" ht="42" customHeight="1">
      <c r="A2472" s="2" t="s">
        <v>5225</v>
      </c>
      <c r="B2472" s="2" t="s">
        <v>5225</v>
      </c>
      <c r="C2472" s="2" t="s">
        <v>74</v>
      </c>
      <c r="D2472" s="2" t="s">
        <v>18</v>
      </c>
      <c r="E2472" s="5">
        <v>-28961</v>
      </c>
      <c r="F2472" s="3" t="s">
        <v>242</v>
      </c>
      <c r="G2472" s="3" t="s">
        <v>2442</v>
      </c>
      <c r="H2472" s="2" t="s">
        <v>21</v>
      </c>
      <c r="I2472" s="2" t="s">
        <v>5248</v>
      </c>
      <c r="J2472" s="3" t="str">
        <f>HYPERLINK("https://www.boe.es/gazeta/dias/1820/09/14/pdfs/GGB-1820-78.pdf#page=4","Abrir facsímil")</f>
        <v>Abrir facsímil</v>
      </c>
      <c r="K2472" s="3" t="s">
        <v>23</v>
      </c>
    </row>
    <row r="2473" spans="1:11" ht="42" customHeight="1">
      <c r="A2473" s="2" t="s">
        <v>5229</v>
      </c>
      <c r="B2473" s="2" t="s">
        <v>5229</v>
      </c>
      <c r="C2473" s="2" t="s">
        <v>17</v>
      </c>
      <c r="D2473" s="2" t="s">
        <v>18</v>
      </c>
      <c r="E2473" s="5">
        <v>-28958</v>
      </c>
      <c r="F2473" s="3" t="s">
        <v>706</v>
      </c>
      <c r="G2473" s="3" t="s">
        <v>62</v>
      </c>
      <c r="H2473" s="2" t="s">
        <v>21</v>
      </c>
      <c r="I2473" s="2" t="s">
        <v>5249</v>
      </c>
      <c r="J2473" s="3" t="str">
        <f>HYPERLINK("https://www.boe.es/gazeta/dias/1820/09/17/pdfs/GGB-1820-81.pdf#page=3","Abrir facsímil")</f>
        <v>Abrir facsímil</v>
      </c>
      <c r="K2473" s="3" t="s">
        <v>23</v>
      </c>
    </row>
    <row r="2474" spans="1:11" ht="42" customHeight="1">
      <c r="A2474" s="2" t="s">
        <v>5225</v>
      </c>
      <c r="B2474" s="2" t="s">
        <v>5225</v>
      </c>
      <c r="C2474" s="2" t="s">
        <v>293</v>
      </c>
      <c r="D2474" s="2" t="s">
        <v>18</v>
      </c>
      <c r="E2474" s="5">
        <v>-28957</v>
      </c>
      <c r="F2474" s="3" t="s">
        <v>361</v>
      </c>
      <c r="G2474" s="3" t="s">
        <v>43</v>
      </c>
      <c r="H2474" s="2" t="s">
        <v>21</v>
      </c>
      <c r="I2474" s="2" t="s">
        <v>5250</v>
      </c>
      <c r="J2474" s="3" t="str">
        <f>HYPERLINK("https://www.boe.es/gazeta/dias/1820/09/18/pdfs/GGB-1820-82.pdf#page=2","Abrir facsímil")</f>
        <v>Abrir facsímil</v>
      </c>
      <c r="K2474" s="3" t="s">
        <v>23</v>
      </c>
    </row>
    <row r="2475" spans="1:11" ht="42" customHeight="1">
      <c r="A2475" s="2" t="s">
        <v>5225</v>
      </c>
      <c r="B2475" s="2" t="s">
        <v>5225</v>
      </c>
      <c r="C2475" s="2" t="s">
        <v>35</v>
      </c>
      <c r="D2475" s="2" t="s">
        <v>36</v>
      </c>
      <c r="E2475" s="5">
        <v>-28954</v>
      </c>
      <c r="F2475" s="3" t="s">
        <v>28</v>
      </c>
      <c r="G2475" s="3" t="s">
        <v>29</v>
      </c>
      <c r="H2475" s="2" t="s">
        <v>21</v>
      </c>
      <c r="I2475" s="2" t="s">
        <v>5251</v>
      </c>
      <c r="J2475" s="3" t="str">
        <f>HYPERLINK("https://www.boe.es/gazeta/dias/1820/09/21/pdfs/GGB-1820-85.pdf#page=2","Abrir facsímil")</f>
        <v>Abrir facsímil</v>
      </c>
      <c r="K2475" s="3" t="s">
        <v>23</v>
      </c>
    </row>
    <row r="2476" spans="1:11" ht="42" customHeight="1">
      <c r="A2476" s="2" t="s">
        <v>5225</v>
      </c>
      <c r="B2476" s="2" t="s">
        <v>5225</v>
      </c>
      <c r="C2476" s="2" t="s">
        <v>17</v>
      </c>
      <c r="D2476" s="2" t="s">
        <v>18</v>
      </c>
      <c r="E2476" s="5">
        <v>-28950</v>
      </c>
      <c r="F2476" s="3" t="s">
        <v>1052</v>
      </c>
      <c r="G2476" s="3" t="s">
        <v>1372</v>
      </c>
      <c r="H2476" s="2" t="s">
        <v>21</v>
      </c>
      <c r="I2476" s="2" t="s">
        <v>5252</v>
      </c>
      <c r="J2476" s="3" t="str">
        <f>HYPERLINK("https://www.boe.es/gazeta/dias/1820/09/25/pdfs/GGB-1820-89.pdf#page=2","Abrir facsímil")</f>
        <v>Abrir facsímil</v>
      </c>
      <c r="K2476" s="3" t="s">
        <v>23</v>
      </c>
    </row>
    <row r="2477" spans="1:11" ht="42" customHeight="1">
      <c r="A2477" s="2" t="s">
        <v>5225</v>
      </c>
      <c r="B2477" s="2" t="s">
        <v>5225</v>
      </c>
      <c r="C2477" s="2" t="s">
        <v>293</v>
      </c>
      <c r="D2477" s="2" t="s">
        <v>18</v>
      </c>
      <c r="E2477" s="5">
        <v>-28937</v>
      </c>
      <c r="F2477" s="3" t="s">
        <v>4254</v>
      </c>
      <c r="G2477" s="3" t="s">
        <v>20</v>
      </c>
      <c r="H2477" s="2" t="s">
        <v>21</v>
      </c>
      <c r="I2477" s="2" t="s">
        <v>5253</v>
      </c>
      <c r="J2477" s="3" t="str">
        <f>HYPERLINK("https://www.boe.es/gazeta/dias/1820/10/08/pdfs/GGB-1820-102.pdf#page=4","Abrir facsímil")</f>
        <v>Abrir facsímil</v>
      </c>
      <c r="K2477" s="3" t="s">
        <v>23</v>
      </c>
    </row>
    <row r="2478" spans="1:11" ht="42" customHeight="1">
      <c r="A2478" s="2" t="s">
        <v>5225</v>
      </c>
      <c r="B2478" s="2" t="s">
        <v>5225</v>
      </c>
      <c r="C2478" s="2" t="s">
        <v>17</v>
      </c>
      <c r="D2478" s="2" t="s">
        <v>18</v>
      </c>
      <c r="E2478" s="5">
        <v>-28923</v>
      </c>
      <c r="F2478" s="3" t="s">
        <v>648</v>
      </c>
      <c r="G2478" s="3" t="s">
        <v>43</v>
      </c>
      <c r="H2478" s="2" t="s">
        <v>21</v>
      </c>
      <c r="I2478" s="2" t="s">
        <v>5254</v>
      </c>
      <c r="J2478" s="3" t="str">
        <f>HYPERLINK("https://www.boe.es/gazeta/dias/1820/10/22/pdfs/GGB-1820-116.pdf#page=2","Abrir facsímil")</f>
        <v>Abrir facsímil</v>
      </c>
      <c r="K2478" s="3" t="s">
        <v>23</v>
      </c>
    </row>
    <row r="2479" spans="1:11" ht="42" customHeight="1">
      <c r="A2479" s="2" t="s">
        <v>5225</v>
      </c>
      <c r="B2479" s="2" t="s">
        <v>5225</v>
      </c>
      <c r="C2479" s="2" t="s">
        <v>17</v>
      </c>
      <c r="D2479" s="2" t="s">
        <v>18</v>
      </c>
      <c r="E2479" s="5">
        <v>-28922</v>
      </c>
      <c r="F2479" s="3" t="s">
        <v>735</v>
      </c>
      <c r="G2479" s="3" t="s">
        <v>43</v>
      </c>
      <c r="H2479" s="2" t="s">
        <v>21</v>
      </c>
      <c r="I2479" s="2" t="s">
        <v>5255</v>
      </c>
      <c r="J2479" s="3" t="str">
        <f>HYPERLINK("https://www.boe.es/gazeta/dias/1820/10/23/pdfs/GGB-1820-117.pdf#page=2","Abrir facsímil")</f>
        <v>Abrir facsímil</v>
      </c>
      <c r="K2479" s="3" t="s">
        <v>23</v>
      </c>
    </row>
    <row r="2480" spans="1:11" ht="42" customHeight="1">
      <c r="A2480" s="2" t="s">
        <v>5229</v>
      </c>
      <c r="B2480" s="2" t="s">
        <v>5229</v>
      </c>
      <c r="C2480" s="2" t="s">
        <v>74</v>
      </c>
      <c r="D2480" s="2" t="s">
        <v>18</v>
      </c>
      <c r="E2480" s="5">
        <v>-28920</v>
      </c>
      <c r="F2480" s="3" t="s">
        <v>399</v>
      </c>
      <c r="G2480" s="3" t="s">
        <v>62</v>
      </c>
      <c r="H2480" s="2" t="s">
        <v>21</v>
      </c>
      <c r="I2480" s="2" t="s">
        <v>5256</v>
      </c>
      <c r="J2480" s="3" t="str">
        <f>HYPERLINK("https://www.boe.es/gazeta/dias/1820/10/25/pdfs/GGB-1820-119.pdf#page=3","Abrir facsímil")</f>
        <v>Abrir facsímil</v>
      </c>
      <c r="K2480" s="3" t="s">
        <v>23</v>
      </c>
    </row>
    <row r="2481" spans="1:11" ht="42" customHeight="1">
      <c r="A2481" s="2" t="s">
        <v>5229</v>
      </c>
      <c r="B2481" s="2" t="s">
        <v>5229</v>
      </c>
      <c r="C2481" s="2" t="s">
        <v>26</v>
      </c>
      <c r="D2481" s="2" t="s">
        <v>27</v>
      </c>
      <c r="E2481" s="5">
        <v>-28906</v>
      </c>
      <c r="F2481" s="3" t="s">
        <v>232</v>
      </c>
      <c r="G2481" s="3" t="s">
        <v>43</v>
      </c>
      <c r="H2481" s="2" t="s">
        <v>21</v>
      </c>
      <c r="I2481" s="2" t="s">
        <v>5257</v>
      </c>
      <c r="J2481" s="3" t="str">
        <f>HYPERLINK("https://www.boe.es/gazeta/dias/1820/11/08/pdfs/GGB-1820-133.pdf#page=2","Abrir facsímil")</f>
        <v>Abrir facsímil</v>
      </c>
      <c r="K2481" s="3" t="s">
        <v>23</v>
      </c>
    </row>
    <row r="2482" spans="1:11" ht="42" customHeight="1">
      <c r="A2482" s="2" t="s">
        <v>5258</v>
      </c>
      <c r="B2482" s="2" t="s">
        <v>5259</v>
      </c>
      <c r="C2482" s="2" t="s">
        <v>26</v>
      </c>
      <c r="D2482" s="2" t="s">
        <v>310</v>
      </c>
      <c r="E2482" s="5">
        <v>-29138</v>
      </c>
      <c r="F2482" s="3" t="s">
        <v>2523</v>
      </c>
      <c r="G2482" s="3" t="s">
        <v>295</v>
      </c>
      <c r="H2482" s="2" t="s">
        <v>21</v>
      </c>
      <c r="I2482" s="2" t="s">
        <v>5260</v>
      </c>
      <c r="J2482" s="3" t="str">
        <f>HYPERLINK("https://www.boe.es/gazeta/dias/1820/03/21/pdfs/GMD-1820-48E.pdf#page=8","Abrir facsímil")</f>
        <v>Abrir facsímil</v>
      </c>
      <c r="K2482" s="3" t="s">
        <v>23</v>
      </c>
    </row>
    <row r="2483" spans="1:11" ht="42" customHeight="1">
      <c r="A2483" s="2" t="s">
        <v>5261</v>
      </c>
      <c r="B2483" s="2" t="s">
        <v>5262</v>
      </c>
      <c r="C2483" s="2" t="s">
        <v>26</v>
      </c>
      <c r="D2483" s="2" t="s">
        <v>310</v>
      </c>
      <c r="E2483" s="5">
        <v>-29142</v>
      </c>
      <c r="F2483" s="3" t="s">
        <v>2712</v>
      </c>
      <c r="G2483" s="3" t="s">
        <v>4951</v>
      </c>
      <c r="H2483" s="2" t="s">
        <v>21</v>
      </c>
      <c r="I2483" s="2" t="s">
        <v>5263</v>
      </c>
      <c r="J2483" s="3" t="str">
        <f>HYPERLINK("https://www.boe.es/gazeta/dias/1820/03/17/pdfs/GMD-1820-43E.pdf#page=4","Abrir facsímil")</f>
        <v>Abrir facsímil</v>
      </c>
      <c r="K2483" s="3" t="s">
        <v>23</v>
      </c>
    </row>
    <row r="2484" spans="1:11" ht="42" customHeight="1">
      <c r="A2484" s="2" t="s">
        <v>5264</v>
      </c>
      <c r="B2484" s="2" t="s">
        <v>5265</v>
      </c>
      <c r="C2484" s="2" t="s">
        <v>17</v>
      </c>
      <c r="D2484" s="2" t="s">
        <v>310</v>
      </c>
      <c r="E2484" s="5">
        <v>-29138</v>
      </c>
      <c r="F2484" s="3" t="s">
        <v>2523</v>
      </c>
      <c r="G2484" s="3" t="s">
        <v>196</v>
      </c>
      <c r="H2484" s="2" t="s">
        <v>21</v>
      </c>
      <c r="I2484" s="2" t="s">
        <v>5266</v>
      </c>
      <c r="J2484" s="3" t="str">
        <f>HYPERLINK("https://www.boe.es/gazeta/dias/1820/03/21/pdfs/GMD-1820-48E.pdf#page=11","Abrir facsímil")</f>
        <v>Abrir facsímil</v>
      </c>
      <c r="K2484" s="3" t="s">
        <v>23</v>
      </c>
    </row>
    <row r="2485" spans="1:11" ht="42" customHeight="1">
      <c r="A2485" s="2" t="s">
        <v>5267</v>
      </c>
      <c r="B2485" s="2" t="s">
        <v>5268</v>
      </c>
      <c r="C2485" s="2" t="s">
        <v>47</v>
      </c>
      <c r="D2485" s="2" t="s">
        <v>310</v>
      </c>
      <c r="E2485" s="5">
        <v>-29138</v>
      </c>
      <c r="F2485" s="3" t="s">
        <v>2523</v>
      </c>
      <c r="G2485" s="3" t="s">
        <v>38</v>
      </c>
      <c r="H2485" s="2" t="s">
        <v>21</v>
      </c>
      <c r="I2485" s="2" t="s">
        <v>5269</v>
      </c>
      <c r="J2485" s="3" t="str">
        <f>HYPERLINK("https://www.boe.es/gazeta/dias/1820/03/21/pdfs/GMD-1820-48E.pdf#page=6","Abrir facsímil")</f>
        <v>Abrir facsímil</v>
      </c>
      <c r="K2485" s="3" t="s">
        <v>23</v>
      </c>
    </row>
    <row r="2486" spans="1:11" ht="42" customHeight="1">
      <c r="A2486" s="2" t="s">
        <v>5270</v>
      </c>
      <c r="B2486" s="2" t="s">
        <v>5271</v>
      </c>
      <c r="C2486" s="2" t="s">
        <v>26</v>
      </c>
      <c r="D2486" s="2" t="s">
        <v>310</v>
      </c>
      <c r="E2486" s="5">
        <v>-29134</v>
      </c>
      <c r="F2486" s="3" t="s">
        <v>2560</v>
      </c>
      <c r="G2486" s="3" t="s">
        <v>128</v>
      </c>
      <c r="H2486" s="2" t="s">
        <v>21</v>
      </c>
      <c r="I2486" s="2" t="s">
        <v>5272</v>
      </c>
      <c r="J2486" s="3" t="str">
        <f>HYPERLINK("https://www.boe.es/gazeta/dias/1820/03/25/pdfs/GMD-1820-54E.pdf#page=1","Abrir facsímil")</f>
        <v>Abrir facsímil</v>
      </c>
      <c r="K2486" s="3" t="s">
        <v>23</v>
      </c>
    </row>
    <row r="2487" spans="1:11" ht="42" customHeight="1">
      <c r="A2487" s="2" t="s">
        <v>5264</v>
      </c>
      <c r="B2487" s="2" t="s">
        <v>5265</v>
      </c>
      <c r="C2487" s="2" t="s">
        <v>26</v>
      </c>
      <c r="D2487" s="2" t="s">
        <v>27</v>
      </c>
      <c r="E2487" s="5">
        <v>-29129</v>
      </c>
      <c r="F2487" s="3" t="s">
        <v>269</v>
      </c>
      <c r="G2487" s="3" t="s">
        <v>295</v>
      </c>
      <c r="H2487" s="2" t="s">
        <v>21</v>
      </c>
      <c r="I2487" s="2" t="s">
        <v>5273</v>
      </c>
      <c r="J2487" s="3" t="str">
        <f>HYPERLINK("https://www.boe.es/gazeta/dias/1820/03/30/pdfs/GMD-1820-58.pdf#page=8","Abrir facsímil")</f>
        <v>Abrir facsímil</v>
      </c>
      <c r="K2487" s="3" t="s">
        <v>23</v>
      </c>
    </row>
    <row r="2488" spans="1:11" ht="42" customHeight="1">
      <c r="A2488" s="2" t="s">
        <v>5264</v>
      </c>
      <c r="B2488" s="2" t="s">
        <v>5265</v>
      </c>
      <c r="C2488" s="2" t="s">
        <v>26</v>
      </c>
      <c r="D2488" s="2" t="s">
        <v>27</v>
      </c>
      <c r="E2488" s="5">
        <v>-29124</v>
      </c>
      <c r="F2488" s="3" t="s">
        <v>4097</v>
      </c>
      <c r="G2488" s="3" t="s">
        <v>201</v>
      </c>
      <c r="H2488" s="2" t="s">
        <v>21</v>
      </c>
      <c r="I2488" s="2" t="s">
        <v>5274</v>
      </c>
      <c r="J2488" s="3" t="str">
        <f>HYPERLINK("https://www.boe.es/gazeta/dias/1820/04/04/pdfs/GMD-1820-60.pdf#page=7","Abrir facsímil")</f>
        <v>Abrir facsímil</v>
      </c>
      <c r="K2488" s="3" t="s">
        <v>23</v>
      </c>
    </row>
    <row r="2489" spans="1:11" ht="42" customHeight="1">
      <c r="A2489" s="2" t="s">
        <v>5275</v>
      </c>
      <c r="B2489" s="2" t="s">
        <v>5276</v>
      </c>
      <c r="C2489" s="2" t="s">
        <v>35</v>
      </c>
      <c r="D2489" s="2" t="s">
        <v>310</v>
      </c>
      <c r="E2489" s="5">
        <v>-29138</v>
      </c>
      <c r="F2489" s="3" t="s">
        <v>2523</v>
      </c>
      <c r="G2489" s="3" t="s">
        <v>38</v>
      </c>
      <c r="H2489" s="2" t="s">
        <v>21</v>
      </c>
      <c r="I2489" s="2" t="s">
        <v>5277</v>
      </c>
      <c r="J2489" s="3" t="str">
        <f>HYPERLINK("https://www.boe.es/gazeta/dias/1820/03/21/pdfs/GMD-1820-48E.pdf#page=6","Abrir facsímil")</f>
        <v>Abrir facsímil</v>
      </c>
      <c r="K2489" s="3" t="s">
        <v>23</v>
      </c>
    </row>
    <row r="2490" spans="1:11" ht="42" customHeight="1">
      <c r="A2490" s="2" t="s">
        <v>5278</v>
      </c>
      <c r="B2490" s="2" t="s">
        <v>5278</v>
      </c>
      <c r="C2490" s="2" t="s">
        <v>35</v>
      </c>
      <c r="D2490" s="2" t="s">
        <v>36</v>
      </c>
      <c r="E2490" s="5">
        <v>-28992</v>
      </c>
      <c r="F2490" s="3" t="s">
        <v>587</v>
      </c>
      <c r="G2490" s="3" t="s">
        <v>43</v>
      </c>
      <c r="H2490" s="2" t="s">
        <v>21</v>
      </c>
      <c r="I2490" s="2" t="s">
        <v>5279</v>
      </c>
      <c r="J2490" s="3" t="str">
        <f>HYPERLINK("https://www.boe.es/gazeta/dias/1820/08/14/pdfs/GGB-1820-47.pdf#page=2","Abrir facsímil")</f>
        <v>Abrir facsímil</v>
      </c>
      <c r="K2490" s="3" t="s">
        <v>23</v>
      </c>
    </row>
    <row r="2491" spans="1:11" ht="42" customHeight="1">
      <c r="A2491" s="2" t="s">
        <v>5280</v>
      </c>
      <c r="B2491" s="2" t="s">
        <v>5280</v>
      </c>
      <c r="C2491" s="2" t="s">
        <v>26</v>
      </c>
      <c r="D2491" s="2" t="s">
        <v>27</v>
      </c>
      <c r="E2491" s="5">
        <v>-28867</v>
      </c>
      <c r="F2491" s="3" t="s">
        <v>590</v>
      </c>
      <c r="G2491" s="3" t="s">
        <v>20</v>
      </c>
      <c r="H2491" s="2" t="s">
        <v>21</v>
      </c>
      <c r="I2491" s="2" t="s">
        <v>5281</v>
      </c>
      <c r="J2491" s="3" t="str">
        <f>HYPERLINK("https://www.boe.es/gazeta/dias/1820/12/17/pdfs/GGB-1820-174.pdf#page=4","Abrir facsímil")</f>
        <v>Abrir facsímil</v>
      </c>
      <c r="K2491" s="3" t="s">
        <v>23</v>
      </c>
    </row>
    <row r="2492" spans="1:11" ht="42" customHeight="1">
      <c r="A2492" s="2" t="s">
        <v>5282</v>
      </c>
      <c r="B2492" s="2" t="s">
        <v>5282</v>
      </c>
      <c r="C2492" s="2" t="s">
        <v>26</v>
      </c>
      <c r="D2492" s="2" t="s">
        <v>27</v>
      </c>
      <c r="E2492" s="5">
        <v>-29020</v>
      </c>
      <c r="F2492" s="3" t="s">
        <v>756</v>
      </c>
      <c r="G2492" s="3" t="s">
        <v>128</v>
      </c>
      <c r="H2492" s="2" t="s">
        <v>21</v>
      </c>
      <c r="I2492" s="2" t="s">
        <v>5283</v>
      </c>
      <c r="J2492" s="3" t="str">
        <f>HYPERLINK("https://www.boe.es/gazeta/dias/1820/07/17/pdfs/GGB-1820-19.pdf#page=1","Abrir facsímil")</f>
        <v>Abrir facsímil</v>
      </c>
      <c r="K2492" s="3" t="s">
        <v>23</v>
      </c>
    </row>
    <row r="2493" spans="1:11" ht="42" customHeight="1">
      <c r="A2493" s="2" t="s">
        <v>5284</v>
      </c>
      <c r="B2493" s="2" t="s">
        <v>5284</v>
      </c>
      <c r="C2493" s="2" t="s">
        <v>74</v>
      </c>
      <c r="D2493" s="2" t="s">
        <v>18</v>
      </c>
      <c r="E2493" s="5">
        <v>-28938</v>
      </c>
      <c r="F2493" s="3" t="s">
        <v>716</v>
      </c>
      <c r="G2493" s="3" t="s">
        <v>62</v>
      </c>
      <c r="H2493" s="2" t="s">
        <v>21</v>
      </c>
      <c r="I2493" s="2" t="s">
        <v>5285</v>
      </c>
      <c r="J2493" s="3" t="str">
        <f>HYPERLINK("https://www.boe.es/gazeta/dias/1820/10/07/pdfs/GGB-1820-101.pdf#page=3","Abrir facsímil")</f>
        <v>Abrir facsímil</v>
      </c>
      <c r="K2493" s="3" t="s">
        <v>23</v>
      </c>
    </row>
    <row r="2494" spans="1:11" ht="42" customHeight="1">
      <c r="A2494" s="2" t="s">
        <v>5286</v>
      </c>
      <c r="B2494" s="2" t="s">
        <v>5287</v>
      </c>
      <c r="C2494" s="2" t="s">
        <v>17</v>
      </c>
      <c r="D2494" s="2" t="s">
        <v>18</v>
      </c>
      <c r="E2494" s="5">
        <v>-29211</v>
      </c>
      <c r="F2494" s="3" t="s">
        <v>578</v>
      </c>
      <c r="G2494" s="3" t="s">
        <v>201</v>
      </c>
      <c r="H2494" s="2" t="s">
        <v>21</v>
      </c>
      <c r="I2494" s="2" t="s">
        <v>5288</v>
      </c>
      <c r="J2494" s="3" t="str">
        <f>HYPERLINK("https://www.boe.es/gazeta/dias/1820/01/08/pdfs/GMD-1820-4.pdf#page=7","Abrir facsímil")</f>
        <v>Abrir facsímil</v>
      </c>
      <c r="K2494" s="3" t="s">
        <v>23</v>
      </c>
    </row>
    <row r="2495" spans="1:11" ht="42" customHeight="1">
      <c r="A2495" s="2" t="s">
        <v>5289</v>
      </c>
      <c r="B2495" s="2" t="s">
        <v>5289</v>
      </c>
      <c r="C2495" s="2" t="s">
        <v>26</v>
      </c>
      <c r="D2495" s="2" t="s">
        <v>27</v>
      </c>
      <c r="E2495" s="5">
        <v>-28972</v>
      </c>
      <c r="F2495" s="3" t="s">
        <v>522</v>
      </c>
      <c r="G2495" s="3" t="s">
        <v>128</v>
      </c>
      <c r="H2495" s="2" t="s">
        <v>21</v>
      </c>
      <c r="I2495" s="2" t="s">
        <v>5290</v>
      </c>
      <c r="J2495" s="3" t="str">
        <f>HYPERLINK("https://www.boe.es/gazeta/dias/1820/09/03/pdfs/GGB-1820-67.pdf#page=1","Abrir facsímil")</f>
        <v>Abrir facsímil</v>
      </c>
      <c r="K2495" s="3" t="s">
        <v>23</v>
      </c>
    </row>
    <row r="2496" spans="1:11" ht="42" customHeight="1">
      <c r="A2496" s="2" t="s">
        <v>5289</v>
      </c>
      <c r="B2496" s="2" t="s">
        <v>5289</v>
      </c>
      <c r="C2496" s="2" t="s">
        <v>26</v>
      </c>
      <c r="D2496" s="2" t="s">
        <v>27</v>
      </c>
      <c r="E2496" s="5">
        <v>-28862</v>
      </c>
      <c r="F2496" s="3" t="s">
        <v>1905</v>
      </c>
      <c r="G2496" s="3" t="s">
        <v>62</v>
      </c>
      <c r="H2496" s="2" t="s">
        <v>21</v>
      </c>
      <c r="I2496" s="2" t="s">
        <v>5291</v>
      </c>
      <c r="J2496" s="3" t="str">
        <f>HYPERLINK("https://www.boe.es/gazeta/dias/1820/12/22/pdfs/GGB-1820-179.pdf#page=3","Abrir facsímil")</f>
        <v>Abrir facsímil</v>
      </c>
      <c r="K2496" s="3" t="s">
        <v>23</v>
      </c>
    </row>
    <row r="2497" spans="1:11" ht="42" customHeight="1">
      <c r="A2497" s="2" t="s">
        <v>5292</v>
      </c>
      <c r="B2497" s="2" t="s">
        <v>5292</v>
      </c>
      <c r="C2497" s="2" t="s">
        <v>26</v>
      </c>
      <c r="D2497" s="2" t="s">
        <v>27</v>
      </c>
      <c r="E2497" s="5">
        <v>-28888</v>
      </c>
      <c r="F2497" s="3" t="s">
        <v>112</v>
      </c>
      <c r="G2497" s="3" t="s">
        <v>3931</v>
      </c>
      <c r="H2497" s="2" t="s">
        <v>21</v>
      </c>
      <c r="I2497" s="2" t="s">
        <v>5293</v>
      </c>
      <c r="J2497" s="3" t="str">
        <f>HYPERLINK("https://www.boe.es/gazeta/dias/1820/11/26/pdfs/GGB-1820-153.pdf#page=2","Abrir facsímil")</f>
        <v>Abrir facsímil</v>
      </c>
      <c r="K2497" s="3" t="s">
        <v>23</v>
      </c>
    </row>
    <row r="2498" spans="1:11" ht="42" customHeight="1">
      <c r="A2498" s="2" t="s">
        <v>5292</v>
      </c>
      <c r="B2498" s="2" t="s">
        <v>5292</v>
      </c>
      <c r="C2498" s="2" t="s">
        <v>26</v>
      </c>
      <c r="D2498" s="2" t="s">
        <v>27</v>
      </c>
      <c r="E2498" s="5">
        <v>-28857</v>
      </c>
      <c r="F2498" s="3" t="s">
        <v>889</v>
      </c>
      <c r="G2498" s="3" t="s">
        <v>890</v>
      </c>
      <c r="H2498" s="2" t="s">
        <v>21</v>
      </c>
      <c r="I2498" s="2" t="s">
        <v>5294</v>
      </c>
      <c r="J2498" s="3" t="str">
        <f>HYPERLINK("https://www.boe.es/gazeta/dias/1820/12/27/pdfs/GGB-1820-184.pdf#page=4","Abrir facsímil")</f>
        <v>Abrir facsímil</v>
      </c>
      <c r="K2498" s="3" t="s">
        <v>23</v>
      </c>
    </row>
    <row r="2499" spans="1:11" ht="42" customHeight="1">
      <c r="A2499" s="2" t="s">
        <v>5295</v>
      </c>
      <c r="B2499" s="2" t="s">
        <v>5295</v>
      </c>
      <c r="C2499" s="2" t="s">
        <v>17</v>
      </c>
      <c r="D2499" s="2" t="s">
        <v>18</v>
      </c>
      <c r="E2499" s="5">
        <v>-28959</v>
      </c>
      <c r="F2499" s="3" t="s">
        <v>37</v>
      </c>
      <c r="G2499" s="3" t="s">
        <v>38</v>
      </c>
      <c r="H2499" s="2" t="s">
        <v>21</v>
      </c>
      <c r="I2499" s="2" t="s">
        <v>5296</v>
      </c>
      <c r="J2499" s="3" t="str">
        <f>HYPERLINK("https://www.boe.es/gazeta/dias/1820/09/16/pdfs/GGB-1820-80.pdf#page=6","Abrir facsímil")</f>
        <v>Abrir facsímil</v>
      </c>
      <c r="K2499" s="3" t="s">
        <v>23</v>
      </c>
    </row>
    <row r="2500" spans="1:11" ht="42" customHeight="1">
      <c r="A2500" s="2" t="s">
        <v>5297</v>
      </c>
      <c r="B2500" s="2" t="s">
        <v>5298</v>
      </c>
      <c r="C2500" s="2" t="s">
        <v>17</v>
      </c>
      <c r="D2500" s="2" t="s">
        <v>18</v>
      </c>
      <c r="E2500" s="5">
        <v>-28983</v>
      </c>
      <c r="F2500" s="3" t="s">
        <v>682</v>
      </c>
      <c r="G2500" s="3" t="s">
        <v>20</v>
      </c>
      <c r="H2500" s="2" t="s">
        <v>21</v>
      </c>
      <c r="I2500" s="2" t="s">
        <v>5299</v>
      </c>
      <c r="J2500" s="3" t="str">
        <f>HYPERLINK("https://www.boe.es/gazeta/dias/1820/08/23/pdfs/GGB-1820-56.pdf#page=4","Abrir facsímil")</f>
        <v>Abrir facsímil</v>
      </c>
      <c r="K2500" s="3" t="s">
        <v>23</v>
      </c>
    </row>
    <row r="2501" spans="1:11" ht="42" customHeight="1">
      <c r="A2501" s="2" t="s">
        <v>5297</v>
      </c>
      <c r="B2501" s="2" t="s">
        <v>5298</v>
      </c>
      <c r="C2501" s="2" t="s">
        <v>35</v>
      </c>
      <c r="D2501" s="2" t="s">
        <v>36</v>
      </c>
      <c r="E2501" s="5">
        <v>-28880</v>
      </c>
      <c r="F2501" s="3" t="s">
        <v>1574</v>
      </c>
      <c r="G2501" s="3" t="s">
        <v>20</v>
      </c>
      <c r="H2501" s="2" t="s">
        <v>21</v>
      </c>
      <c r="I2501" s="2" t="s">
        <v>5300</v>
      </c>
      <c r="J2501" s="3" t="str">
        <f>HYPERLINK("https://www.boe.es/gazeta/dias/1820/12/04/pdfs/GGB-1820-161.pdf#page=4","Abrir facsímil")</f>
        <v>Abrir facsímil</v>
      </c>
      <c r="K2501" s="3" t="s">
        <v>23</v>
      </c>
    </row>
    <row r="2502" spans="1:11" ht="42" customHeight="1">
      <c r="A2502" s="2" t="s">
        <v>5301</v>
      </c>
      <c r="B2502" s="2" t="s">
        <v>5301</v>
      </c>
      <c r="C2502" s="2" t="s">
        <v>35</v>
      </c>
      <c r="D2502" s="2" t="s">
        <v>36</v>
      </c>
      <c r="E2502" s="5">
        <v>-28951</v>
      </c>
      <c r="F2502" s="3" t="s">
        <v>622</v>
      </c>
      <c r="G2502" s="3" t="s">
        <v>1370</v>
      </c>
      <c r="H2502" s="2" t="s">
        <v>21</v>
      </c>
      <c r="I2502" s="2" t="s">
        <v>5302</v>
      </c>
      <c r="J2502" s="3" t="str">
        <f>HYPERLINK("https://www.boe.es/gazeta/dias/1820/09/24/pdfs/GGB-1820-88.pdf#page=2","Abrir facsímil")</f>
        <v>Abrir facsímil</v>
      </c>
      <c r="K2502" s="3" t="s">
        <v>23</v>
      </c>
    </row>
    <row r="2503" spans="1:11" ht="42" customHeight="1">
      <c r="A2503" s="2" t="s">
        <v>5303</v>
      </c>
      <c r="B2503" s="2" t="s">
        <v>5303</v>
      </c>
      <c r="C2503" s="2" t="s">
        <v>26</v>
      </c>
      <c r="D2503" s="2" t="s">
        <v>27</v>
      </c>
      <c r="E2503" s="5">
        <v>-28854</v>
      </c>
      <c r="F2503" s="3" t="s">
        <v>147</v>
      </c>
      <c r="G2503" s="3" t="s">
        <v>43</v>
      </c>
      <c r="H2503" s="2" t="s">
        <v>21</v>
      </c>
      <c r="I2503" s="2" t="s">
        <v>5304</v>
      </c>
      <c r="J2503" s="3" t="str">
        <f>HYPERLINK("https://www.boe.es/gazeta/dias/1820/12/30/pdfs/GGB-1820-187.pdf#page=2","Abrir facsímil")</f>
        <v>Abrir facsímil</v>
      </c>
      <c r="K2503" s="3" t="s">
        <v>23</v>
      </c>
    </row>
    <row r="2504" spans="1:11" ht="42" customHeight="1">
      <c r="A2504" s="2" t="s">
        <v>5305</v>
      </c>
      <c r="B2504" s="2" t="s">
        <v>5306</v>
      </c>
      <c r="C2504" s="2" t="s">
        <v>26</v>
      </c>
      <c r="D2504" s="2" t="s">
        <v>27</v>
      </c>
      <c r="E2504" s="5">
        <v>-28946</v>
      </c>
      <c r="F2504" s="3" t="s">
        <v>1055</v>
      </c>
      <c r="G2504" s="3" t="s">
        <v>20</v>
      </c>
      <c r="H2504" s="2" t="s">
        <v>21</v>
      </c>
      <c r="I2504" s="2" t="s">
        <v>5307</v>
      </c>
      <c r="J2504" s="3" t="str">
        <f>HYPERLINK("https://www.boe.es/gazeta/dias/1820/09/29/pdfs/GGB-1820-93.pdf#page=4","Abrir facsímil")</f>
        <v>Abrir facsímil</v>
      </c>
      <c r="K2504" s="3" t="s">
        <v>23</v>
      </c>
    </row>
    <row r="2505" spans="1:11" ht="42" customHeight="1">
      <c r="A2505" s="2" t="s">
        <v>5308</v>
      </c>
      <c r="B2505" s="2" t="s">
        <v>5309</v>
      </c>
      <c r="C2505" s="2" t="s">
        <v>26</v>
      </c>
      <c r="D2505" s="2" t="s">
        <v>27</v>
      </c>
      <c r="E2505" s="5">
        <v>-28963</v>
      </c>
      <c r="F2505" s="3" t="s">
        <v>94</v>
      </c>
      <c r="G2505" s="3" t="s">
        <v>43</v>
      </c>
      <c r="H2505" s="2" t="s">
        <v>21</v>
      </c>
      <c r="I2505" s="2" t="s">
        <v>5310</v>
      </c>
      <c r="J2505" s="3" t="str">
        <f>HYPERLINK("https://www.boe.es/gazeta/dias/1820/09/12/pdfs/GGB-1820-76.pdf#page=2","Abrir facsímil")</f>
        <v>Abrir facsímil</v>
      </c>
      <c r="K2505" s="3" t="s">
        <v>23</v>
      </c>
    </row>
    <row r="2506" spans="1:11" ht="42" customHeight="1">
      <c r="A2506" s="2" t="s">
        <v>5311</v>
      </c>
      <c r="B2506" s="2" t="s">
        <v>5312</v>
      </c>
      <c r="C2506" s="2" t="s">
        <v>26</v>
      </c>
      <c r="D2506" s="2" t="s">
        <v>27</v>
      </c>
      <c r="E2506" s="5">
        <v>-29213</v>
      </c>
      <c r="F2506" s="3" t="s">
        <v>195</v>
      </c>
      <c r="G2506" s="3" t="s">
        <v>196</v>
      </c>
      <c r="H2506" s="2" t="s">
        <v>30</v>
      </c>
      <c r="I2506" s="2" t="s">
        <v>5313</v>
      </c>
      <c r="J2506" s="3" t="str">
        <f>HYPERLINK("https://www.boe.es/gazeta/dias/1820/01/06/pdfs/GMD-1820-3.pdf#page=11","Abrir facsímil")</f>
        <v>Abrir facsímil</v>
      </c>
      <c r="K2506" s="3" t="s">
        <v>32</v>
      </c>
    </row>
    <row r="2507" spans="1:11" ht="42" customHeight="1">
      <c r="A2507" s="2" t="s">
        <v>5314</v>
      </c>
      <c r="B2507" s="2" t="s">
        <v>5314</v>
      </c>
      <c r="C2507" s="2" t="s">
        <v>17</v>
      </c>
      <c r="D2507" s="2" t="s">
        <v>18</v>
      </c>
      <c r="E2507" s="5">
        <v>-28950</v>
      </c>
      <c r="F2507" s="3" t="s">
        <v>1052</v>
      </c>
      <c r="G2507" s="3" t="s">
        <v>1372</v>
      </c>
      <c r="H2507" s="2" t="s">
        <v>21</v>
      </c>
      <c r="I2507" s="2" t="s">
        <v>5315</v>
      </c>
      <c r="J2507" s="3" t="str">
        <f>HYPERLINK("https://www.boe.es/gazeta/dias/1820/09/25/pdfs/GGB-1820-89.pdf#page=2","Abrir facsímil")</f>
        <v>Abrir facsímil</v>
      </c>
      <c r="K2507" s="3" t="s">
        <v>23</v>
      </c>
    </row>
    <row r="2508" spans="1:11" ht="42" customHeight="1">
      <c r="A2508" s="2" t="s">
        <v>5316</v>
      </c>
      <c r="B2508" s="2" t="s">
        <v>5317</v>
      </c>
      <c r="C2508" s="2" t="s">
        <v>35</v>
      </c>
      <c r="D2508" s="2" t="s">
        <v>36</v>
      </c>
      <c r="E2508" s="5">
        <v>-29047</v>
      </c>
      <c r="F2508" s="3" t="s">
        <v>1033</v>
      </c>
      <c r="G2508" s="3" t="s">
        <v>196</v>
      </c>
      <c r="H2508" s="2" t="s">
        <v>30</v>
      </c>
      <c r="I2508" s="2" t="s">
        <v>5318</v>
      </c>
      <c r="J2508" s="3" t="str">
        <f>HYPERLINK("https://www.boe.es/gazeta/dias/1820/06/20/pdfs/GMD-1820-96.pdf#page=11","Abrir facsímil")</f>
        <v>Abrir facsímil</v>
      </c>
      <c r="K2508" s="3" t="s">
        <v>32</v>
      </c>
    </row>
    <row r="2509" spans="1:11" ht="42" customHeight="1">
      <c r="A2509" s="2" t="s">
        <v>5319</v>
      </c>
      <c r="B2509" s="2" t="s">
        <v>5320</v>
      </c>
      <c r="C2509" s="2" t="s">
        <v>47</v>
      </c>
      <c r="D2509" s="2" t="s">
        <v>18</v>
      </c>
      <c r="E2509" s="5">
        <v>-28966</v>
      </c>
      <c r="F2509" s="3" t="s">
        <v>701</v>
      </c>
      <c r="G2509" s="3" t="s">
        <v>62</v>
      </c>
      <c r="H2509" s="2" t="s">
        <v>30</v>
      </c>
      <c r="I2509" s="2" t="s">
        <v>5321</v>
      </c>
      <c r="J2509" s="3" t="str">
        <f>HYPERLINK("https://www.boe.es/gazeta/dias/1820/09/09/pdfs/GGB-1820-73.pdf#page=3","Abrir facsímil")</f>
        <v>Abrir facsímil</v>
      </c>
      <c r="K2509" s="3" t="s">
        <v>32</v>
      </c>
    </row>
    <row r="2510" spans="1:11" ht="42" customHeight="1">
      <c r="A2510" s="2" t="s">
        <v>5319</v>
      </c>
      <c r="B2510" s="2" t="s">
        <v>5320</v>
      </c>
      <c r="C2510" s="2" t="s">
        <v>26</v>
      </c>
      <c r="D2510" s="2" t="s">
        <v>27</v>
      </c>
      <c r="E2510" s="5">
        <v>-28947</v>
      </c>
      <c r="F2510" s="3" t="s">
        <v>127</v>
      </c>
      <c r="G2510" s="3" t="s">
        <v>20</v>
      </c>
      <c r="H2510" s="2" t="s">
        <v>30</v>
      </c>
      <c r="I2510" s="2" t="s">
        <v>5322</v>
      </c>
      <c r="J2510" s="3" t="str">
        <f>HYPERLINK("https://www.boe.es/gazeta/dias/1820/09/28/pdfs/GGB-1820-92.pdf#page=4","Abrir facsímil")</f>
        <v>Abrir facsímil</v>
      </c>
      <c r="K2510" s="3" t="s">
        <v>32</v>
      </c>
    </row>
    <row r="2511" spans="1:11" ht="42" customHeight="1">
      <c r="A2511" s="2" t="s">
        <v>5323</v>
      </c>
      <c r="B2511" s="2" t="s">
        <v>5324</v>
      </c>
      <c r="C2511" s="2" t="s">
        <v>26</v>
      </c>
      <c r="D2511" s="2" t="s">
        <v>27</v>
      </c>
      <c r="E2511" s="5">
        <v>-29204</v>
      </c>
      <c r="F2511" s="3" t="s">
        <v>753</v>
      </c>
      <c r="G2511" s="3" t="s">
        <v>38</v>
      </c>
      <c r="H2511" s="2" t="s">
        <v>30</v>
      </c>
      <c r="I2511" s="2" t="s">
        <v>5325</v>
      </c>
      <c r="J2511" s="3" t="str">
        <f>HYPERLINK("https://www.boe.es/gazeta/dias/1820/01/15/pdfs/GMD-1820-7.pdf#page=6","Abrir facsímil")</f>
        <v>Abrir facsímil</v>
      </c>
      <c r="K2511" s="3" t="s">
        <v>32</v>
      </c>
    </row>
    <row r="2512" spans="1:11" ht="42" customHeight="1">
      <c r="A2512" s="2" t="s">
        <v>5326</v>
      </c>
      <c r="B2512" s="2" t="s">
        <v>5326</v>
      </c>
      <c r="C2512" s="2" t="s">
        <v>26</v>
      </c>
      <c r="D2512" s="2" t="s">
        <v>27</v>
      </c>
      <c r="E2512" s="5">
        <v>-29005</v>
      </c>
      <c r="F2512" s="3" t="s">
        <v>1656</v>
      </c>
      <c r="G2512" s="3" t="s">
        <v>128</v>
      </c>
      <c r="H2512" s="2" t="s">
        <v>21</v>
      </c>
      <c r="I2512" s="2" t="s">
        <v>5327</v>
      </c>
      <c r="J2512" s="3" t="str">
        <f>HYPERLINK("https://www.boe.es/gazeta/dias/1820/08/01/pdfs/GGB-1820-34.pdf#page=1","Abrir facsímil")</f>
        <v>Abrir facsímil</v>
      </c>
      <c r="K2512" s="3" t="s">
        <v>23</v>
      </c>
    </row>
    <row r="2513" spans="1:11" ht="42" customHeight="1">
      <c r="A2513" s="2" t="s">
        <v>5326</v>
      </c>
      <c r="B2513" s="2" t="s">
        <v>5326</v>
      </c>
      <c r="C2513" s="2" t="s">
        <v>35</v>
      </c>
      <c r="D2513" s="2" t="s">
        <v>36</v>
      </c>
      <c r="E2513" s="5">
        <v>-28983</v>
      </c>
      <c r="F2513" s="3" t="s">
        <v>682</v>
      </c>
      <c r="G2513" s="3" t="s">
        <v>62</v>
      </c>
      <c r="H2513" s="2" t="s">
        <v>21</v>
      </c>
      <c r="I2513" s="2" t="s">
        <v>5328</v>
      </c>
      <c r="J2513" s="3" t="str">
        <f>HYPERLINK("https://www.boe.es/gazeta/dias/1820/08/23/pdfs/GGB-1820-56.pdf#page=3","Abrir facsímil")</f>
        <v>Abrir facsímil</v>
      </c>
      <c r="K2513" s="3" t="s">
        <v>23</v>
      </c>
    </row>
    <row r="2514" spans="1:11" ht="42" customHeight="1">
      <c r="A2514" s="2" t="s">
        <v>5326</v>
      </c>
      <c r="B2514" s="2" t="s">
        <v>5326</v>
      </c>
      <c r="C2514" s="2" t="s">
        <v>17</v>
      </c>
      <c r="D2514" s="2" t="s">
        <v>18</v>
      </c>
      <c r="E2514" s="5">
        <v>-28952</v>
      </c>
      <c r="F2514" s="3" t="s">
        <v>370</v>
      </c>
      <c r="G2514" s="3" t="s">
        <v>20</v>
      </c>
      <c r="H2514" s="2" t="s">
        <v>21</v>
      </c>
      <c r="I2514" s="2" t="s">
        <v>5329</v>
      </c>
      <c r="J2514" s="3" t="str">
        <f>HYPERLINK("https://www.boe.es/gazeta/dias/1820/09/23/pdfs/GGB-1820-87.pdf#page=4","Abrir facsímil")</f>
        <v>Abrir facsímil</v>
      </c>
      <c r="K2514" s="3" t="s">
        <v>23</v>
      </c>
    </row>
    <row r="2515" spans="1:11" ht="42" customHeight="1">
      <c r="A2515" s="2" t="s">
        <v>5330</v>
      </c>
      <c r="B2515" s="2" t="s">
        <v>5330</v>
      </c>
      <c r="C2515" s="2" t="s">
        <v>35</v>
      </c>
      <c r="D2515" s="2" t="s">
        <v>36</v>
      </c>
      <c r="E2515" s="5">
        <v>-29003</v>
      </c>
      <c r="F2515" s="3" t="s">
        <v>340</v>
      </c>
      <c r="G2515" s="3" t="s">
        <v>20</v>
      </c>
      <c r="H2515" s="2" t="s">
        <v>21</v>
      </c>
      <c r="I2515" s="2" t="s">
        <v>5331</v>
      </c>
      <c r="J2515" s="3" t="str">
        <f>HYPERLINK("https://www.boe.es/gazeta/dias/1820/08/03/pdfs/GGB-1820-36.pdf#page=4","Abrir facsímil")</f>
        <v>Abrir facsímil</v>
      </c>
      <c r="K2515" s="3" t="s">
        <v>23</v>
      </c>
    </row>
    <row r="2516" spans="1:11" ht="42" customHeight="1">
      <c r="A2516" s="2" t="s">
        <v>5332</v>
      </c>
      <c r="B2516" s="2" t="s">
        <v>5333</v>
      </c>
      <c r="C2516" s="2" t="s">
        <v>111</v>
      </c>
      <c r="D2516" s="2" t="s">
        <v>18</v>
      </c>
      <c r="E2516" s="5">
        <v>-28865</v>
      </c>
      <c r="F2516" s="3" t="s">
        <v>136</v>
      </c>
      <c r="G2516" s="3" t="s">
        <v>43</v>
      </c>
      <c r="H2516" s="2" t="s">
        <v>21</v>
      </c>
      <c r="I2516" s="2" t="s">
        <v>5334</v>
      </c>
      <c r="J2516" s="3" t="str">
        <f>HYPERLINK("https://www.boe.es/gazeta/dias/1820/12/19/pdfs/GGB-1820-176.pdf#page=2","Abrir facsímil")</f>
        <v>Abrir facsímil</v>
      </c>
      <c r="K2516" s="3" t="s">
        <v>23</v>
      </c>
    </row>
    <row r="2517" spans="1:11" ht="42" customHeight="1">
      <c r="A2517" s="2" t="s">
        <v>5335</v>
      </c>
      <c r="B2517" s="2" t="s">
        <v>5336</v>
      </c>
      <c r="C2517" s="2" t="s">
        <v>35</v>
      </c>
      <c r="D2517" s="2" t="s">
        <v>36</v>
      </c>
      <c r="E2517" s="5">
        <v>-28943</v>
      </c>
      <c r="F2517" s="3" t="s">
        <v>1403</v>
      </c>
      <c r="G2517" s="3" t="s">
        <v>62</v>
      </c>
      <c r="H2517" s="2" t="s">
        <v>21</v>
      </c>
      <c r="I2517" s="2" t="s">
        <v>5337</v>
      </c>
      <c r="J2517" s="3" t="str">
        <f>HYPERLINK("https://www.boe.es/gazeta/dias/1820/10/02/pdfs/GGB-1820-96.pdf#page=3","Abrir facsímil")</f>
        <v>Abrir facsímil</v>
      </c>
      <c r="K2517" s="3" t="s">
        <v>23</v>
      </c>
    </row>
    <row r="2518" spans="1:11" ht="42" customHeight="1">
      <c r="A2518" s="2" t="s">
        <v>5338</v>
      </c>
      <c r="B2518" s="2" t="s">
        <v>5338</v>
      </c>
      <c r="C2518" s="2" t="s">
        <v>74</v>
      </c>
      <c r="D2518" s="2" t="s">
        <v>18</v>
      </c>
      <c r="E2518" s="5">
        <v>-28996</v>
      </c>
      <c r="F2518" s="3" t="s">
        <v>636</v>
      </c>
      <c r="G2518" s="3" t="s">
        <v>637</v>
      </c>
      <c r="H2518" s="2" t="s">
        <v>21</v>
      </c>
      <c r="I2518" s="2" t="s">
        <v>5339</v>
      </c>
      <c r="J2518" s="3" t="str">
        <f>HYPERLINK("https://www.boe.es/gazeta/dias/1820/08/10/pdfs/GGB-1820-43.pdf#page=3","Abrir facsímil")</f>
        <v>Abrir facsímil</v>
      </c>
      <c r="K2518" s="3" t="s">
        <v>23</v>
      </c>
    </row>
    <row r="2519" spans="1:11" ht="42" customHeight="1">
      <c r="A2519" s="2" t="s">
        <v>5338</v>
      </c>
      <c r="B2519" s="2" t="s">
        <v>5338</v>
      </c>
      <c r="C2519" s="2" t="s">
        <v>293</v>
      </c>
      <c r="D2519" s="2" t="s">
        <v>18</v>
      </c>
      <c r="E2519" s="5">
        <v>-28992</v>
      </c>
      <c r="F2519" s="3" t="s">
        <v>587</v>
      </c>
      <c r="G2519" s="3" t="s">
        <v>43</v>
      </c>
      <c r="H2519" s="2" t="s">
        <v>21</v>
      </c>
      <c r="I2519" s="2" t="s">
        <v>5340</v>
      </c>
      <c r="J2519" s="3" t="str">
        <f>HYPERLINK("https://www.boe.es/gazeta/dias/1820/08/14/pdfs/GGB-1820-47.pdf#page=2","Abrir facsímil")</f>
        <v>Abrir facsímil</v>
      </c>
      <c r="K2519" s="3" t="s">
        <v>23</v>
      </c>
    </row>
    <row r="2520" spans="1:11" ht="42" customHeight="1">
      <c r="A2520" s="2" t="s">
        <v>5338</v>
      </c>
      <c r="B2520" s="2" t="s">
        <v>5338</v>
      </c>
      <c r="C2520" s="2" t="s">
        <v>26</v>
      </c>
      <c r="D2520" s="2" t="s">
        <v>27</v>
      </c>
      <c r="E2520" s="5">
        <v>-28989</v>
      </c>
      <c r="F2520" s="3" t="s">
        <v>809</v>
      </c>
      <c r="G2520" s="3" t="s">
        <v>43</v>
      </c>
      <c r="H2520" s="2" t="s">
        <v>21</v>
      </c>
      <c r="I2520" s="2" t="s">
        <v>5341</v>
      </c>
      <c r="J2520" s="3" t="str">
        <f>HYPERLINK("https://www.boe.es/gazeta/dias/1820/08/17/pdfs/GGB-1820-50.pdf#page=2","Abrir facsímil")</f>
        <v>Abrir facsímil</v>
      </c>
      <c r="K2520" s="3" t="s">
        <v>23</v>
      </c>
    </row>
    <row r="2521" spans="1:11" ht="42" customHeight="1">
      <c r="A2521" s="2" t="s">
        <v>5338</v>
      </c>
      <c r="B2521" s="2" t="s">
        <v>5338</v>
      </c>
      <c r="C2521" s="2" t="s">
        <v>17</v>
      </c>
      <c r="D2521" s="2" t="s">
        <v>18</v>
      </c>
      <c r="E2521" s="5">
        <v>-28987</v>
      </c>
      <c r="F2521" s="3" t="s">
        <v>680</v>
      </c>
      <c r="G2521" s="3" t="s">
        <v>1300</v>
      </c>
      <c r="H2521" s="2" t="s">
        <v>21</v>
      </c>
      <c r="I2521" s="2" t="s">
        <v>5342</v>
      </c>
      <c r="J2521" s="3" t="str">
        <f>HYPERLINK("https://www.boe.es/gazeta/dias/1820/08/19/pdfs/GGB-1820-52.pdf#page=2","Abrir facsímil")</f>
        <v>Abrir facsímil</v>
      </c>
      <c r="K2521" s="3" t="s">
        <v>23</v>
      </c>
    </row>
    <row r="2522" spans="1:11" ht="42" customHeight="1">
      <c r="A2522" s="2" t="s">
        <v>5338</v>
      </c>
      <c r="B2522" s="2" t="s">
        <v>5338</v>
      </c>
      <c r="C2522" s="2" t="s">
        <v>17</v>
      </c>
      <c r="D2522" s="2" t="s">
        <v>18</v>
      </c>
      <c r="E2522" s="5">
        <v>-28964</v>
      </c>
      <c r="F2522" s="3" t="s">
        <v>240</v>
      </c>
      <c r="G2522" s="3" t="s">
        <v>43</v>
      </c>
      <c r="H2522" s="2" t="s">
        <v>21</v>
      </c>
      <c r="I2522" s="2" t="s">
        <v>5343</v>
      </c>
      <c r="J2522" s="3" t="str">
        <f>HYPERLINK("https://www.boe.es/gazeta/dias/1820/09/11/pdfs/GGB-1820-75.pdf#page=2","Abrir facsímil")</f>
        <v>Abrir facsímil</v>
      </c>
      <c r="K2522" s="3" t="s">
        <v>23</v>
      </c>
    </row>
    <row r="2523" spans="1:11" ht="42" customHeight="1">
      <c r="A2523" s="2" t="s">
        <v>5338</v>
      </c>
      <c r="B2523" s="2" t="s">
        <v>5338</v>
      </c>
      <c r="C2523" s="2" t="s">
        <v>17</v>
      </c>
      <c r="D2523" s="2" t="s">
        <v>18</v>
      </c>
      <c r="E2523" s="5">
        <v>-28953</v>
      </c>
      <c r="F2523" s="3" t="s">
        <v>367</v>
      </c>
      <c r="G2523" s="3" t="s">
        <v>62</v>
      </c>
      <c r="H2523" s="2" t="s">
        <v>21</v>
      </c>
      <c r="I2523" s="2" t="s">
        <v>5344</v>
      </c>
      <c r="J2523" s="3" t="str">
        <f>HYPERLINK("https://www.boe.es/gazeta/dias/1820/09/22/pdfs/GGB-1820-86.pdf#page=3","Abrir facsímil")</f>
        <v>Abrir facsímil</v>
      </c>
      <c r="K2523" s="3" t="s">
        <v>23</v>
      </c>
    </row>
    <row r="2524" spans="1:11" ht="42" customHeight="1">
      <c r="A2524" s="2" t="s">
        <v>5338</v>
      </c>
      <c r="B2524" s="2" t="s">
        <v>5338</v>
      </c>
      <c r="C2524" s="2" t="s">
        <v>35</v>
      </c>
      <c r="D2524" s="2" t="s">
        <v>36</v>
      </c>
      <c r="E2524" s="5">
        <v>-28950</v>
      </c>
      <c r="F2524" s="3" t="s">
        <v>1052</v>
      </c>
      <c r="G2524" s="3" t="s">
        <v>1372</v>
      </c>
      <c r="H2524" s="2" t="s">
        <v>21</v>
      </c>
      <c r="I2524" s="2" t="s">
        <v>5345</v>
      </c>
      <c r="J2524" s="3" t="str">
        <f>HYPERLINK("https://www.boe.es/gazeta/dias/1820/09/25/pdfs/GGB-1820-89.pdf#page=2","Abrir facsímil")</f>
        <v>Abrir facsímil</v>
      </c>
      <c r="K2524" s="3" t="s">
        <v>23</v>
      </c>
    </row>
    <row r="2525" spans="1:11" ht="42" customHeight="1">
      <c r="A2525" s="2" t="s">
        <v>5338</v>
      </c>
      <c r="B2525" s="2" t="s">
        <v>5338</v>
      </c>
      <c r="C2525" s="2" t="s">
        <v>74</v>
      </c>
      <c r="D2525" s="2" t="s">
        <v>18</v>
      </c>
      <c r="E2525" s="5">
        <v>-28922</v>
      </c>
      <c r="F2525" s="3" t="s">
        <v>735</v>
      </c>
      <c r="G2525" s="3" t="s">
        <v>20</v>
      </c>
      <c r="H2525" s="2" t="s">
        <v>21</v>
      </c>
      <c r="I2525" s="2" t="s">
        <v>5346</v>
      </c>
      <c r="J2525" s="3" t="str">
        <f>HYPERLINK("https://www.boe.es/gazeta/dias/1820/10/23/pdfs/GGB-1820-117.pdf#page=4","Abrir facsímil")</f>
        <v>Abrir facsímil</v>
      </c>
      <c r="K2525" s="3" t="s">
        <v>23</v>
      </c>
    </row>
    <row r="2526" spans="1:11" ht="42" customHeight="1">
      <c r="A2526" s="2" t="s">
        <v>5347</v>
      </c>
      <c r="B2526" s="2" t="s">
        <v>5348</v>
      </c>
      <c r="C2526" s="2" t="s">
        <v>35</v>
      </c>
      <c r="D2526" s="2" t="s">
        <v>310</v>
      </c>
      <c r="E2526" s="5">
        <v>-29031</v>
      </c>
      <c r="F2526" s="3" t="s">
        <v>5349</v>
      </c>
      <c r="G2526" s="3" t="s">
        <v>128</v>
      </c>
      <c r="H2526" s="2" t="s">
        <v>30</v>
      </c>
      <c r="I2526" s="2" t="s">
        <v>5350</v>
      </c>
      <c r="J2526" s="3" t="str">
        <f>HYPERLINK("https://www.boe.es/gazeta/dias/1820/07/06/pdfs/GGB-1820-7E.pdf#page=1","Abrir facsímil")</f>
        <v>Abrir facsímil</v>
      </c>
      <c r="K2526" s="3" t="s">
        <v>32</v>
      </c>
    </row>
    <row r="2527" spans="1:11" ht="42" customHeight="1">
      <c r="A2527" s="2" t="s">
        <v>5351</v>
      </c>
      <c r="B2527" s="2" t="s">
        <v>5351</v>
      </c>
      <c r="C2527" s="2" t="s">
        <v>26</v>
      </c>
      <c r="D2527" s="2" t="s">
        <v>27</v>
      </c>
      <c r="E2527" s="5">
        <v>-28975</v>
      </c>
      <c r="F2527" s="3" t="s">
        <v>182</v>
      </c>
      <c r="G2527" s="3" t="s">
        <v>128</v>
      </c>
      <c r="H2527" s="2" t="s">
        <v>21</v>
      </c>
      <c r="I2527" s="2" t="s">
        <v>5352</v>
      </c>
      <c r="J2527" s="3" t="str">
        <f>HYPERLINK("https://www.boe.es/gazeta/dias/1820/08/31/pdfs/GGB-1820-64.pdf#page=1","Abrir facsímil")</f>
        <v>Abrir facsímil</v>
      </c>
      <c r="K2527" s="3" t="s">
        <v>23</v>
      </c>
    </row>
    <row r="2528" spans="1:11" ht="42" customHeight="1">
      <c r="A2528" s="2" t="s">
        <v>5353</v>
      </c>
      <c r="B2528" s="2" t="s">
        <v>5354</v>
      </c>
      <c r="C2528" s="2" t="s">
        <v>74</v>
      </c>
      <c r="D2528" s="2" t="s">
        <v>18</v>
      </c>
      <c r="E2528" s="5">
        <v>-28924</v>
      </c>
      <c r="F2528" s="3" t="s">
        <v>78</v>
      </c>
      <c r="G2528" s="3" t="s">
        <v>62</v>
      </c>
      <c r="H2528" s="2" t="s">
        <v>21</v>
      </c>
      <c r="I2528" s="2" t="s">
        <v>5355</v>
      </c>
      <c r="J2528" s="3" t="str">
        <f>HYPERLINK("https://www.boe.es/gazeta/dias/1820/10/21/pdfs/GGB-1820-115.pdf#page=3","Abrir facsímil")</f>
        <v>Abrir facsímil</v>
      </c>
      <c r="K2528" s="3" t="s">
        <v>23</v>
      </c>
    </row>
    <row r="2529" spans="1:11" ht="42" customHeight="1">
      <c r="A2529" s="2" t="s">
        <v>5356</v>
      </c>
      <c r="B2529" s="2" t="s">
        <v>5357</v>
      </c>
      <c r="C2529" s="2" t="s">
        <v>26</v>
      </c>
      <c r="D2529" s="2" t="s">
        <v>27</v>
      </c>
      <c r="E2529" s="5">
        <v>-29117</v>
      </c>
      <c r="F2529" s="3" t="s">
        <v>1451</v>
      </c>
      <c r="G2529" s="3" t="s">
        <v>201</v>
      </c>
      <c r="H2529" s="2" t="s">
        <v>21</v>
      </c>
      <c r="I2529" s="2" t="s">
        <v>5358</v>
      </c>
      <c r="J2529" s="3" t="str">
        <f>HYPERLINK("https://www.boe.es/gazeta/dias/1820/04/11/pdfs/GMD-1820-64.pdf#page=7","Abrir facsímil")</f>
        <v>Abrir facsímil</v>
      </c>
      <c r="K2529" s="3" t="s">
        <v>23</v>
      </c>
    </row>
    <row r="2530" spans="1:11" ht="42" customHeight="1">
      <c r="A2530" s="2" t="s">
        <v>5359</v>
      </c>
      <c r="B2530" s="2" t="s">
        <v>5359</v>
      </c>
      <c r="C2530" s="2" t="s">
        <v>35</v>
      </c>
      <c r="D2530" s="2" t="s">
        <v>36</v>
      </c>
      <c r="E2530" s="5">
        <v>-28858</v>
      </c>
      <c r="F2530" s="3" t="s">
        <v>117</v>
      </c>
      <c r="G2530" s="3" t="s">
        <v>43</v>
      </c>
      <c r="H2530" s="2" t="s">
        <v>21</v>
      </c>
      <c r="I2530" s="2" t="s">
        <v>5360</v>
      </c>
      <c r="J2530" s="3" t="str">
        <f>HYPERLINK("https://www.boe.es/gazeta/dias/1820/12/26/pdfs/GGB-1820-183.pdf#page=2","Abrir facsímil")</f>
        <v>Abrir facsímil</v>
      </c>
      <c r="K2530" s="3" t="s">
        <v>23</v>
      </c>
    </row>
    <row r="2531" spans="1:11" ht="42" customHeight="1">
      <c r="A2531" s="2" t="s">
        <v>5361</v>
      </c>
      <c r="B2531" s="2" t="s">
        <v>5361</v>
      </c>
      <c r="C2531" s="2" t="s">
        <v>35</v>
      </c>
      <c r="D2531" s="2" t="s">
        <v>36</v>
      </c>
      <c r="E2531" s="5">
        <v>-28908</v>
      </c>
      <c r="F2531" s="3" t="s">
        <v>1060</v>
      </c>
      <c r="G2531" s="3" t="s">
        <v>128</v>
      </c>
      <c r="H2531" s="2" t="s">
        <v>21</v>
      </c>
      <c r="I2531" s="2" t="s">
        <v>5362</v>
      </c>
      <c r="J2531" s="3" t="str">
        <f>HYPERLINK("https://www.boe.es/gazeta/dias/1820/11/06/pdfs/GGB-1820-131.pdf#page=1","Abrir facsímil")</f>
        <v>Abrir facsímil</v>
      </c>
      <c r="K2531" s="3" t="s">
        <v>23</v>
      </c>
    </row>
    <row r="2532" spans="1:11" ht="42" customHeight="1">
      <c r="A2532" s="2" t="s">
        <v>5363</v>
      </c>
      <c r="B2532" s="2" t="s">
        <v>5363</v>
      </c>
      <c r="C2532" s="2" t="s">
        <v>35</v>
      </c>
      <c r="D2532" s="2" t="s">
        <v>36</v>
      </c>
      <c r="E2532" s="5">
        <v>-29018</v>
      </c>
      <c r="F2532" s="3" t="s">
        <v>601</v>
      </c>
      <c r="G2532" s="3" t="s">
        <v>62</v>
      </c>
      <c r="H2532" s="2" t="s">
        <v>21</v>
      </c>
      <c r="I2532" s="2" t="s">
        <v>5364</v>
      </c>
      <c r="J2532" s="3" t="str">
        <f>HYPERLINK("https://www.boe.es/gazeta/dias/1820/07/19/pdfs/GGB-1820-21.pdf#page=3","Abrir facsímil")</f>
        <v>Abrir facsímil</v>
      </c>
      <c r="K2532" s="3" t="s">
        <v>23</v>
      </c>
    </row>
    <row r="2533" spans="1:11" ht="42" customHeight="1">
      <c r="A2533" s="2" t="s">
        <v>5365</v>
      </c>
      <c r="B2533" s="2" t="s">
        <v>5365</v>
      </c>
      <c r="C2533" s="2" t="s">
        <v>26</v>
      </c>
      <c r="D2533" s="2" t="s">
        <v>27</v>
      </c>
      <c r="E2533" s="5">
        <v>-28951</v>
      </c>
      <c r="F2533" s="3" t="s">
        <v>622</v>
      </c>
      <c r="G2533" s="3" t="s">
        <v>128</v>
      </c>
      <c r="H2533" s="2" t="s">
        <v>21</v>
      </c>
      <c r="I2533" s="2" t="s">
        <v>5366</v>
      </c>
      <c r="J2533" s="3" t="str">
        <f>HYPERLINK("https://www.boe.es/gazeta/dias/1820/09/24/pdfs/GGB-1820-88.pdf#page=1","Abrir facsímil")</f>
        <v>Abrir facsímil</v>
      </c>
      <c r="K2533" s="3" t="s">
        <v>23</v>
      </c>
    </row>
    <row r="2534" spans="1:11" ht="42" customHeight="1">
      <c r="A2534" s="2" t="s">
        <v>5365</v>
      </c>
      <c r="B2534" s="2" t="s">
        <v>5365</v>
      </c>
      <c r="C2534" s="2" t="s">
        <v>35</v>
      </c>
      <c r="D2534" s="2" t="s">
        <v>36</v>
      </c>
      <c r="E2534" s="5">
        <v>-28923</v>
      </c>
      <c r="F2534" s="3" t="s">
        <v>648</v>
      </c>
      <c r="G2534" s="3" t="s">
        <v>128</v>
      </c>
      <c r="H2534" s="2" t="s">
        <v>21</v>
      </c>
      <c r="I2534" s="2" t="s">
        <v>5367</v>
      </c>
      <c r="J2534" s="3" t="str">
        <f>HYPERLINK("https://www.boe.es/gazeta/dias/1820/10/22/pdfs/GGB-1820-116.pdf#page=1","Abrir facsímil")</f>
        <v>Abrir facsímil</v>
      </c>
      <c r="K2534" s="3" t="s">
        <v>23</v>
      </c>
    </row>
    <row r="2535" spans="1:11" ht="42" customHeight="1">
      <c r="A2535" s="2" t="s">
        <v>5365</v>
      </c>
      <c r="B2535" s="2" t="s">
        <v>5365</v>
      </c>
      <c r="C2535" s="2" t="s">
        <v>35</v>
      </c>
      <c r="D2535" s="2" t="s">
        <v>36</v>
      </c>
      <c r="E2535" s="5">
        <v>-28898</v>
      </c>
      <c r="F2535" s="3" t="s">
        <v>1405</v>
      </c>
      <c r="G2535" s="3" t="s">
        <v>62</v>
      </c>
      <c r="H2535" s="2" t="s">
        <v>21</v>
      </c>
      <c r="I2535" s="2" t="s">
        <v>5368</v>
      </c>
      <c r="J2535" s="3" t="str">
        <f>HYPERLINK("https://www.boe.es/gazeta/dias/1820/11/16/pdfs/GGB-1820-142.pdf#page=3","Abrir facsímil")</f>
        <v>Abrir facsímil</v>
      </c>
      <c r="K2535" s="3" t="s">
        <v>23</v>
      </c>
    </row>
    <row r="2536" spans="1:11" ht="42" customHeight="1">
      <c r="A2536" s="2" t="s">
        <v>5369</v>
      </c>
      <c r="B2536" s="2" t="s">
        <v>5369</v>
      </c>
      <c r="C2536" s="2" t="s">
        <v>74</v>
      </c>
      <c r="D2536" s="2" t="s">
        <v>18</v>
      </c>
      <c r="E2536" s="5">
        <v>-29027</v>
      </c>
      <c r="F2536" s="3" t="s">
        <v>937</v>
      </c>
      <c r="G2536" s="3" t="s">
        <v>43</v>
      </c>
      <c r="H2536" s="2" t="s">
        <v>21</v>
      </c>
      <c r="I2536" s="2" t="s">
        <v>5370</v>
      </c>
      <c r="J2536" s="3" t="str">
        <f>HYPERLINK("https://www.boe.es/gazeta/dias/1820/07/10/pdfs/GGB-1820-11.pdf#page=2","Abrir facsímil")</f>
        <v>Abrir facsímil</v>
      </c>
      <c r="K2536" s="3" t="s">
        <v>23</v>
      </c>
    </row>
    <row r="2537" spans="1:11" ht="42" customHeight="1">
      <c r="A2537" s="2" t="s">
        <v>5371</v>
      </c>
      <c r="B2537" s="2" t="s">
        <v>5372</v>
      </c>
      <c r="C2537" s="2" t="s">
        <v>35</v>
      </c>
      <c r="D2537" s="2" t="s">
        <v>36</v>
      </c>
      <c r="E2537" s="5">
        <v>-28995</v>
      </c>
      <c r="F2537" s="3" t="s">
        <v>672</v>
      </c>
      <c r="G2537" s="3" t="s">
        <v>1557</v>
      </c>
      <c r="H2537" s="2" t="s">
        <v>30</v>
      </c>
      <c r="I2537" s="2" t="s">
        <v>5373</v>
      </c>
      <c r="J2537" s="3" t="str">
        <f>HYPERLINK("https://www.boe.es/gazeta/dias/1820/08/11/pdfs/GGB-1820-44.pdf#page=2","Abrir facsímil")</f>
        <v>Abrir facsímil</v>
      </c>
      <c r="K2537" s="3" t="s">
        <v>32</v>
      </c>
    </row>
    <row r="2538" spans="1:11" ht="42" customHeight="1">
      <c r="A2538" s="2" t="s">
        <v>5371</v>
      </c>
      <c r="B2538" s="2" t="s">
        <v>5372</v>
      </c>
      <c r="C2538" s="2" t="s">
        <v>111</v>
      </c>
      <c r="D2538" s="2" t="s">
        <v>18</v>
      </c>
      <c r="E2538" s="5">
        <v>-28968</v>
      </c>
      <c r="F2538" s="3" t="s">
        <v>66</v>
      </c>
      <c r="G2538" s="3" t="s">
        <v>62</v>
      </c>
      <c r="H2538" s="2" t="s">
        <v>30</v>
      </c>
      <c r="I2538" s="2" t="s">
        <v>5374</v>
      </c>
      <c r="J2538" s="3" t="str">
        <f>HYPERLINK("https://www.boe.es/gazeta/dias/1820/09/07/pdfs/GGB-1820-71.pdf#page=3","Abrir facsímil")</f>
        <v>Abrir facsímil</v>
      </c>
      <c r="K2538" s="3" t="s">
        <v>32</v>
      </c>
    </row>
    <row r="2539" spans="1:11" ht="42" customHeight="1">
      <c r="A2539" s="2" t="s">
        <v>5375</v>
      </c>
      <c r="B2539" s="2" t="s">
        <v>5376</v>
      </c>
      <c r="C2539" s="2" t="s">
        <v>26</v>
      </c>
      <c r="D2539" s="2" t="s">
        <v>27</v>
      </c>
      <c r="E2539" s="5">
        <v>-28995</v>
      </c>
      <c r="F2539" s="3" t="s">
        <v>672</v>
      </c>
      <c r="G2539" s="3" t="s">
        <v>1557</v>
      </c>
      <c r="H2539" s="2" t="s">
        <v>30</v>
      </c>
      <c r="I2539" s="2" t="s">
        <v>5377</v>
      </c>
      <c r="J2539" s="3" t="str">
        <f>HYPERLINK("https://www.boe.es/gazeta/dias/1820/08/11/pdfs/GGB-1820-44.pdf#page=2","Abrir facsímil")</f>
        <v>Abrir facsímil</v>
      </c>
      <c r="K2539" s="3" t="s">
        <v>32</v>
      </c>
    </row>
    <row r="2540" spans="1:11" ht="42" customHeight="1">
      <c r="A2540" s="2" t="s">
        <v>5375</v>
      </c>
      <c r="B2540" s="2" t="s">
        <v>5376</v>
      </c>
      <c r="C2540" s="2" t="s">
        <v>35</v>
      </c>
      <c r="D2540" s="2" t="s">
        <v>36</v>
      </c>
      <c r="E2540" s="5">
        <v>-28918</v>
      </c>
      <c r="F2540" s="3" t="s">
        <v>160</v>
      </c>
      <c r="G2540" s="3" t="s">
        <v>43</v>
      </c>
      <c r="H2540" s="2" t="s">
        <v>30</v>
      </c>
      <c r="I2540" s="2" t="s">
        <v>5378</v>
      </c>
      <c r="J2540" s="3" t="str">
        <f>HYPERLINK("https://www.boe.es/gazeta/dias/1820/10/27/pdfs/GGB-1820-121.pdf#page=2","Abrir facsímil")</f>
        <v>Abrir facsímil</v>
      </c>
      <c r="K2540" s="3" t="s">
        <v>32</v>
      </c>
    </row>
    <row r="2541" spans="1:11" ht="42" customHeight="1">
      <c r="A2541" s="2" t="s">
        <v>5375</v>
      </c>
      <c r="B2541" s="2" t="s">
        <v>5376</v>
      </c>
      <c r="C2541" s="2" t="s">
        <v>35</v>
      </c>
      <c r="D2541" s="2" t="s">
        <v>36</v>
      </c>
      <c r="E2541" s="5">
        <v>-28912</v>
      </c>
      <c r="F2541" s="3" t="s">
        <v>1329</v>
      </c>
      <c r="G2541" s="3" t="s">
        <v>1080</v>
      </c>
      <c r="H2541" s="2" t="s">
        <v>30</v>
      </c>
      <c r="I2541" s="2" t="s">
        <v>5379</v>
      </c>
      <c r="J2541" s="3" t="str">
        <f>HYPERLINK("https://www.boe.es/gazeta/dias/1820/11/02/pdfs/GGB-1820-127.pdf#page=2","Abrir facsímil")</f>
        <v>Abrir facsímil</v>
      </c>
      <c r="K2541" s="3" t="s">
        <v>32</v>
      </c>
    </row>
    <row r="2542" spans="1:11" ht="42" customHeight="1">
      <c r="A2542" s="2" t="s">
        <v>5380</v>
      </c>
      <c r="B2542" s="2" t="s">
        <v>5381</v>
      </c>
      <c r="C2542" s="2" t="s">
        <v>26</v>
      </c>
      <c r="D2542" s="2" t="s">
        <v>27</v>
      </c>
      <c r="E2542" s="5">
        <v>-29001</v>
      </c>
      <c r="F2542" s="3" t="s">
        <v>633</v>
      </c>
      <c r="G2542" s="3" t="s">
        <v>43</v>
      </c>
      <c r="H2542" s="2" t="s">
        <v>21</v>
      </c>
      <c r="I2542" s="2" t="s">
        <v>5382</v>
      </c>
      <c r="J2542" s="3" t="str">
        <f>HYPERLINK("https://www.boe.es/gazeta/dias/1820/08/05/pdfs/GGB-1820-38.pdf#page=2","Abrir facsímil")</f>
        <v>Abrir facsímil</v>
      </c>
      <c r="K2542" s="3" t="s">
        <v>23</v>
      </c>
    </row>
    <row r="2543" spans="1:11" ht="42" customHeight="1">
      <c r="A2543" s="2" t="s">
        <v>5383</v>
      </c>
      <c r="B2543" s="2" t="s">
        <v>5384</v>
      </c>
      <c r="C2543" s="2" t="s">
        <v>26</v>
      </c>
      <c r="D2543" s="2" t="s">
        <v>27</v>
      </c>
      <c r="E2543" s="5">
        <v>-28953</v>
      </c>
      <c r="F2543" s="3" t="s">
        <v>367</v>
      </c>
      <c r="G2543" s="3" t="s">
        <v>2925</v>
      </c>
      <c r="H2543" s="2" t="s">
        <v>21</v>
      </c>
      <c r="I2543" s="2" t="s">
        <v>5385</v>
      </c>
      <c r="J2543" s="3" t="str">
        <f>HYPERLINK("https://www.boe.es/gazeta/dias/1820/09/22/pdfs/GGB-1820-86.pdf#page=2","Abrir facsímil")</f>
        <v>Abrir facsímil</v>
      </c>
      <c r="K2543" s="3" t="s">
        <v>23</v>
      </c>
    </row>
    <row r="2544" spans="1:11" ht="42" customHeight="1">
      <c r="A2544" s="2" t="s">
        <v>5386</v>
      </c>
      <c r="B2544" s="2" t="s">
        <v>5387</v>
      </c>
      <c r="C2544" s="2" t="s">
        <v>35</v>
      </c>
      <c r="D2544" s="2" t="s">
        <v>36</v>
      </c>
      <c r="E2544" s="5">
        <v>-28930</v>
      </c>
      <c r="F2544" s="3" t="s">
        <v>372</v>
      </c>
      <c r="G2544" s="3" t="s">
        <v>43</v>
      </c>
      <c r="H2544" s="2" t="s">
        <v>21</v>
      </c>
      <c r="I2544" s="2" t="s">
        <v>5388</v>
      </c>
      <c r="J2544" s="3" t="str">
        <f>HYPERLINK("https://www.boe.es/gazeta/dias/1820/10/15/pdfs/GGB-1820-109.pdf#page=2","Abrir facsímil")</f>
        <v>Abrir facsímil</v>
      </c>
      <c r="K2544" s="3" t="s">
        <v>23</v>
      </c>
    </row>
    <row r="2545" spans="1:11" ht="42" customHeight="1">
      <c r="A2545" s="2" t="s">
        <v>5389</v>
      </c>
      <c r="B2545" s="2" t="s">
        <v>5390</v>
      </c>
      <c r="C2545" s="2" t="s">
        <v>35</v>
      </c>
      <c r="D2545" s="2" t="s">
        <v>36</v>
      </c>
      <c r="E2545" s="5">
        <v>-29006</v>
      </c>
      <c r="F2545" s="3" t="s">
        <v>609</v>
      </c>
      <c r="G2545" s="3" t="s">
        <v>128</v>
      </c>
      <c r="H2545" s="2" t="s">
        <v>21</v>
      </c>
      <c r="I2545" s="2" t="s">
        <v>5391</v>
      </c>
      <c r="J2545" s="3" t="str">
        <f>HYPERLINK("https://www.boe.es/gazeta/dias/1820/07/31/pdfs/GGB-1820-33.pdf#page=1","Abrir facsímil")</f>
        <v>Abrir facsímil</v>
      </c>
      <c r="K2545" s="3" t="s">
        <v>23</v>
      </c>
    </row>
    <row r="2546" spans="1:11" ht="42" customHeight="1">
      <c r="A2546" s="2" t="s">
        <v>5392</v>
      </c>
      <c r="B2546" s="2" t="s">
        <v>5393</v>
      </c>
      <c r="C2546" s="2" t="s">
        <v>17</v>
      </c>
      <c r="D2546" s="2" t="s">
        <v>18</v>
      </c>
      <c r="E2546" s="5">
        <v>-28931</v>
      </c>
      <c r="F2546" s="3" t="s">
        <v>724</v>
      </c>
      <c r="G2546" s="3" t="s">
        <v>20</v>
      </c>
      <c r="H2546" s="2" t="s">
        <v>21</v>
      </c>
      <c r="I2546" s="2" t="s">
        <v>5394</v>
      </c>
      <c r="J2546" s="3" t="str">
        <f>HYPERLINK("https://www.boe.es/gazeta/dias/1820/10/14/pdfs/GGB-1820-108.pdf#page=4","Abrir facsímil")</f>
        <v>Abrir facsímil</v>
      </c>
      <c r="K2546" s="3" t="s">
        <v>23</v>
      </c>
    </row>
    <row r="2547" spans="1:11" ht="42" customHeight="1">
      <c r="A2547" s="2" t="s">
        <v>5395</v>
      </c>
      <c r="B2547" s="2" t="s">
        <v>5396</v>
      </c>
      <c r="C2547" s="2" t="s">
        <v>17</v>
      </c>
      <c r="D2547" s="2" t="s">
        <v>18</v>
      </c>
      <c r="E2547" s="5">
        <v>-28944</v>
      </c>
      <c r="F2547" s="3" t="s">
        <v>990</v>
      </c>
      <c r="G2547" s="3" t="s">
        <v>1548</v>
      </c>
      <c r="H2547" s="2" t="s">
        <v>21</v>
      </c>
      <c r="I2547" s="2" t="s">
        <v>5397</v>
      </c>
      <c r="J2547" s="3" t="str">
        <f>HYPERLINK("https://www.boe.es/gazeta/dias/1820/10/01/pdfs/GGB-1820-95.pdf#page=2","Abrir facsímil")</f>
        <v>Abrir facsímil</v>
      </c>
      <c r="K2547" s="3" t="s">
        <v>23</v>
      </c>
    </row>
    <row r="2548" spans="1:11" ht="42" customHeight="1">
      <c r="A2548" s="2" t="s">
        <v>5398</v>
      </c>
      <c r="B2548" s="2" t="s">
        <v>5399</v>
      </c>
      <c r="C2548" s="2" t="s">
        <v>47</v>
      </c>
      <c r="D2548" s="2" t="s">
        <v>18</v>
      </c>
      <c r="E2548" s="5">
        <v>-29201</v>
      </c>
      <c r="F2548" s="3" t="s">
        <v>411</v>
      </c>
      <c r="G2548" s="3" t="s">
        <v>2312</v>
      </c>
      <c r="H2548" s="2" t="s">
        <v>21</v>
      </c>
      <c r="I2548" s="2" t="s">
        <v>5400</v>
      </c>
      <c r="J2548" s="3" t="str">
        <f>HYPERLINK("https://www.boe.es/gazeta/dias/1820/01/18/pdfs/GMD-1820-8.pdf#page=8","Abrir facsímil")</f>
        <v>Abrir facsímil</v>
      </c>
      <c r="K2548" s="3" t="s">
        <v>23</v>
      </c>
    </row>
    <row r="2549" spans="1:11" ht="42" customHeight="1">
      <c r="A2549" s="2" t="s">
        <v>5401</v>
      </c>
      <c r="B2549" s="2" t="s">
        <v>5402</v>
      </c>
      <c r="C2549" s="2" t="s">
        <v>17</v>
      </c>
      <c r="D2549" s="2" t="s">
        <v>18</v>
      </c>
      <c r="E2549" s="5">
        <v>-29057</v>
      </c>
      <c r="F2549" s="3" t="s">
        <v>2141</v>
      </c>
      <c r="G2549" s="3" t="s">
        <v>295</v>
      </c>
      <c r="H2549" s="2" t="s">
        <v>21</v>
      </c>
      <c r="I2549" s="2" t="s">
        <v>5403</v>
      </c>
      <c r="J2549" s="3" t="str">
        <f>HYPERLINK("https://www.boe.es/gazeta/dias/1820/06/10/pdfs/GMD-1820-92.pdf#page=8","Abrir facsímil")</f>
        <v>Abrir facsímil</v>
      </c>
      <c r="K2549" s="3" t="s">
        <v>23</v>
      </c>
    </row>
    <row r="2550" spans="1:11" ht="42" customHeight="1">
      <c r="A2550" s="2" t="s">
        <v>5404</v>
      </c>
      <c r="B2550" s="2" t="s">
        <v>5405</v>
      </c>
      <c r="C2550" s="2" t="s">
        <v>35</v>
      </c>
      <c r="D2550" s="2" t="s">
        <v>36</v>
      </c>
      <c r="E2550" s="5">
        <v>-29197</v>
      </c>
      <c r="F2550" s="3" t="s">
        <v>48</v>
      </c>
      <c r="G2550" s="3" t="s">
        <v>201</v>
      </c>
      <c r="H2550" s="2" t="s">
        <v>21</v>
      </c>
      <c r="I2550" s="2" t="s">
        <v>5406</v>
      </c>
      <c r="J2550" s="3" t="str">
        <f>HYPERLINK("https://www.boe.es/gazeta/dias/1820/01/22/pdfs/GMD-1820-10.pdf#page=7","Abrir facsímil")</f>
        <v>Abrir facsímil</v>
      </c>
      <c r="K2550" s="3" t="s">
        <v>23</v>
      </c>
    </row>
    <row r="2551" spans="1:11" ht="42" customHeight="1">
      <c r="A2551" s="2" t="s">
        <v>5407</v>
      </c>
      <c r="B2551" s="2" t="s">
        <v>5407</v>
      </c>
      <c r="C2551" s="2" t="s">
        <v>26</v>
      </c>
      <c r="D2551" s="2" t="s">
        <v>27</v>
      </c>
      <c r="E2551" s="5">
        <v>-29166</v>
      </c>
      <c r="F2551" s="3" t="s">
        <v>799</v>
      </c>
      <c r="G2551" s="3" t="s">
        <v>38</v>
      </c>
      <c r="H2551" s="2" t="s">
        <v>21</v>
      </c>
      <c r="I2551" s="2" t="s">
        <v>5408</v>
      </c>
      <c r="J2551" s="3" t="str">
        <f>HYPERLINK("https://www.boe.es/gazeta/dias/1820/02/22/pdfs/GMD-1820-23.pdf#page=6","Abrir facsímil")</f>
        <v>Abrir facsímil</v>
      </c>
      <c r="K2551" s="3" t="s">
        <v>23</v>
      </c>
    </row>
    <row r="2552" spans="1:11" ht="42" customHeight="1">
      <c r="A2552" s="2" t="s">
        <v>5409</v>
      </c>
      <c r="B2552" s="2" t="s">
        <v>5409</v>
      </c>
      <c r="C2552" s="2" t="s">
        <v>26</v>
      </c>
      <c r="D2552" s="2" t="s">
        <v>27</v>
      </c>
      <c r="E2552" s="5">
        <v>-29218</v>
      </c>
      <c r="F2552" s="3" t="s">
        <v>834</v>
      </c>
      <c r="G2552" s="3" t="s">
        <v>43</v>
      </c>
      <c r="H2552" s="2" t="s">
        <v>21</v>
      </c>
      <c r="I2552" s="2" t="s">
        <v>5410</v>
      </c>
      <c r="J2552" s="3" t="str">
        <f>HYPERLINK("https://www.boe.es/gazeta/dias/1820/01/01/pdfs/GMD-1820-1.pdf#page=2","Abrir facsímil")</f>
        <v>Abrir facsímil</v>
      </c>
      <c r="K2552" s="3" t="s">
        <v>23</v>
      </c>
    </row>
    <row r="2553" spans="1:11" ht="42" customHeight="1">
      <c r="A2553" s="2" t="s">
        <v>5411</v>
      </c>
      <c r="B2553" s="2" t="s">
        <v>5411</v>
      </c>
      <c r="C2553" s="2" t="s">
        <v>26</v>
      </c>
      <c r="D2553" s="2" t="s">
        <v>27</v>
      </c>
      <c r="E2553" s="5">
        <v>-29152</v>
      </c>
      <c r="F2553" s="3" t="s">
        <v>1293</v>
      </c>
      <c r="G2553" s="3" t="s">
        <v>43</v>
      </c>
      <c r="H2553" s="2" t="s">
        <v>21</v>
      </c>
      <c r="I2553" s="2" t="s">
        <v>5412</v>
      </c>
      <c r="J2553" s="3" t="str">
        <f>HYPERLINK("https://www.boe.es/gazeta/dias/1820/03/07/pdfs/GMD-1820-29.pdf#page=2","Abrir facsímil")</f>
        <v>Abrir facsímil</v>
      </c>
      <c r="K2553" s="3" t="s">
        <v>23</v>
      </c>
    </row>
    <row r="2554" spans="1:11" ht="42" customHeight="1">
      <c r="A2554" s="2" t="s">
        <v>5413</v>
      </c>
      <c r="B2554" s="2" t="s">
        <v>5413</v>
      </c>
      <c r="C2554" s="2" t="s">
        <v>17</v>
      </c>
      <c r="D2554" s="2" t="s">
        <v>18</v>
      </c>
      <c r="E2554" s="5">
        <v>-28950</v>
      </c>
      <c r="F2554" s="3" t="s">
        <v>1052</v>
      </c>
      <c r="G2554" s="3" t="s">
        <v>1372</v>
      </c>
      <c r="H2554" s="2" t="s">
        <v>21</v>
      </c>
      <c r="I2554" s="2" t="s">
        <v>5414</v>
      </c>
      <c r="J2554" s="3" t="str">
        <f>HYPERLINK("https://www.boe.es/gazeta/dias/1820/09/25/pdfs/GGB-1820-89.pdf#page=2","Abrir facsímil")</f>
        <v>Abrir facsímil</v>
      </c>
      <c r="K2554" s="3" t="s">
        <v>23</v>
      </c>
    </row>
    <row r="2555" spans="1:11" ht="42" customHeight="1">
      <c r="A2555" s="2" t="s">
        <v>5415</v>
      </c>
      <c r="B2555" s="2" t="s">
        <v>5415</v>
      </c>
      <c r="C2555" s="2" t="s">
        <v>26</v>
      </c>
      <c r="D2555" s="2" t="s">
        <v>27</v>
      </c>
      <c r="E2555" s="5">
        <v>-29201</v>
      </c>
      <c r="F2555" s="3" t="s">
        <v>411</v>
      </c>
      <c r="G2555" s="3" t="s">
        <v>412</v>
      </c>
      <c r="H2555" s="2" t="s">
        <v>21</v>
      </c>
      <c r="I2555" s="2" t="s">
        <v>5416</v>
      </c>
      <c r="J2555" s="3" t="str">
        <f>HYPERLINK("https://www.boe.es/gazeta/dias/1820/01/18/pdfs/GMD-1820-8.pdf#page=5","Abrir facsímil")</f>
        <v>Abrir facsímil</v>
      </c>
      <c r="K2555" s="3" t="s">
        <v>23</v>
      </c>
    </row>
    <row r="2556" spans="1:11" ht="42" customHeight="1">
      <c r="A2556" s="2" t="s">
        <v>5417</v>
      </c>
      <c r="B2556" s="2" t="s">
        <v>5418</v>
      </c>
      <c r="C2556" s="2" t="s">
        <v>26</v>
      </c>
      <c r="D2556" s="2" t="s">
        <v>27</v>
      </c>
      <c r="E2556" s="5">
        <v>-29169</v>
      </c>
      <c r="F2556" s="3" t="s">
        <v>962</v>
      </c>
      <c r="G2556" s="3" t="s">
        <v>256</v>
      </c>
      <c r="H2556" s="2" t="s">
        <v>21</v>
      </c>
      <c r="I2556" s="2" t="s">
        <v>5419</v>
      </c>
      <c r="J2556" s="3" t="str">
        <f>HYPERLINK("https://www.boe.es/gazeta/dias/1820/02/19/pdfs/GMD-1820-22.pdf#page=5","Abrir facsímil")</f>
        <v>Abrir facsímil</v>
      </c>
      <c r="K2556" s="3" t="s">
        <v>23</v>
      </c>
    </row>
    <row r="2557" spans="1:11" ht="42" customHeight="1">
      <c r="A2557" s="2" t="s">
        <v>5420</v>
      </c>
      <c r="B2557" s="2" t="s">
        <v>5421</v>
      </c>
      <c r="C2557" s="2" t="s">
        <v>17</v>
      </c>
      <c r="D2557" s="2" t="s">
        <v>18</v>
      </c>
      <c r="E2557" s="5">
        <v>-28968</v>
      </c>
      <c r="F2557" s="3" t="s">
        <v>66</v>
      </c>
      <c r="G2557" s="3" t="s">
        <v>403</v>
      </c>
      <c r="H2557" s="2" t="s">
        <v>21</v>
      </c>
      <c r="I2557" s="2" t="s">
        <v>5422</v>
      </c>
      <c r="J2557" s="3" t="str">
        <f>HYPERLINK("https://www.boe.es/gazeta/dias/1820/09/07/pdfs/GGB-1820-71.pdf#page=4","Abrir facsímil")</f>
        <v>Abrir facsímil</v>
      </c>
      <c r="K2557" s="3" t="s">
        <v>23</v>
      </c>
    </row>
    <row r="2558" spans="1:11" ht="42" customHeight="1">
      <c r="A2558" s="2" t="s">
        <v>5423</v>
      </c>
      <c r="B2558" s="2" t="s">
        <v>5424</v>
      </c>
      <c r="C2558" s="2" t="s">
        <v>26</v>
      </c>
      <c r="D2558" s="2" t="s">
        <v>27</v>
      </c>
      <c r="E2558" s="5">
        <v>-28900</v>
      </c>
      <c r="F2558" s="3" t="s">
        <v>878</v>
      </c>
      <c r="G2558" s="3" t="s">
        <v>20</v>
      </c>
      <c r="H2558" s="2" t="s">
        <v>21</v>
      </c>
      <c r="I2558" s="2" t="s">
        <v>5425</v>
      </c>
      <c r="J2558" s="3" t="str">
        <f>HYPERLINK("https://www.boe.es/gazeta/dias/1820/11/14/pdfs/GGB-1820-140.pdf#page=4","Abrir facsímil")</f>
        <v>Abrir facsímil</v>
      </c>
      <c r="K2558" s="3" t="s">
        <v>23</v>
      </c>
    </row>
    <row r="2559" spans="1:11" ht="42" customHeight="1">
      <c r="A2559" s="2" t="s">
        <v>5426</v>
      </c>
      <c r="B2559" s="2" t="s">
        <v>5427</v>
      </c>
      <c r="C2559" s="2" t="s">
        <v>35</v>
      </c>
      <c r="D2559" s="2" t="s">
        <v>36</v>
      </c>
      <c r="E2559" s="5">
        <v>-29129</v>
      </c>
      <c r="F2559" s="3" t="s">
        <v>269</v>
      </c>
      <c r="G2559" s="3" t="s">
        <v>5428</v>
      </c>
      <c r="H2559" s="2" t="s">
        <v>21</v>
      </c>
      <c r="I2559" s="2" t="s">
        <v>5429</v>
      </c>
      <c r="J2559" s="3" t="str">
        <f>HYPERLINK("https://www.boe.es/gazeta/dias/1820/03/30/pdfs/GMD-1820-58.pdf#page=12","Abrir facsímil")</f>
        <v>Abrir facsímil</v>
      </c>
      <c r="K2559" s="3" t="s">
        <v>23</v>
      </c>
    </row>
    <row r="2560" spans="1:11" ht="42" customHeight="1">
      <c r="A2560" s="2" t="s">
        <v>5430</v>
      </c>
      <c r="B2560" s="2" t="s">
        <v>5431</v>
      </c>
      <c r="C2560" s="2" t="s">
        <v>35</v>
      </c>
      <c r="D2560" s="2" t="s">
        <v>36</v>
      </c>
      <c r="E2560" s="5">
        <v>-29131</v>
      </c>
      <c r="F2560" s="3" t="s">
        <v>1193</v>
      </c>
      <c r="G2560" s="3" t="s">
        <v>295</v>
      </c>
      <c r="H2560" s="2" t="s">
        <v>21</v>
      </c>
      <c r="I2560" s="2" t="s">
        <v>5432</v>
      </c>
      <c r="J2560" s="3" t="str">
        <f>HYPERLINK("https://www.boe.es/gazeta/dias/1820/03/28/pdfs/GMD-1820-56.pdf#page=8","Abrir facsímil")</f>
        <v>Abrir facsímil</v>
      </c>
      <c r="K2560" s="3" t="s">
        <v>23</v>
      </c>
    </row>
    <row r="2561" spans="1:11" ht="42" customHeight="1">
      <c r="A2561" s="2" t="s">
        <v>5430</v>
      </c>
      <c r="B2561" s="2" t="s">
        <v>5431</v>
      </c>
      <c r="C2561" s="2" t="s">
        <v>35</v>
      </c>
      <c r="D2561" s="2" t="s">
        <v>36</v>
      </c>
      <c r="E2561" s="5">
        <v>-29117</v>
      </c>
      <c r="F2561" s="3" t="s">
        <v>1451</v>
      </c>
      <c r="G2561" s="3" t="s">
        <v>1452</v>
      </c>
      <c r="H2561" s="2" t="s">
        <v>21</v>
      </c>
      <c r="I2561" s="2" t="s">
        <v>5433</v>
      </c>
      <c r="J2561" s="3" t="str">
        <f>HYPERLINK("https://www.boe.es/gazeta/dias/1820/04/11/pdfs/GMD-1820-64.pdf#page=8","Abrir facsímil")</f>
        <v>Abrir facsímil</v>
      </c>
      <c r="K2561" s="3" t="s">
        <v>23</v>
      </c>
    </row>
    <row r="2562" spans="1:11" ht="42" customHeight="1">
      <c r="A2562" s="2" t="s">
        <v>5430</v>
      </c>
      <c r="B2562" s="2" t="s">
        <v>5431</v>
      </c>
      <c r="C2562" s="2" t="s">
        <v>35</v>
      </c>
      <c r="D2562" s="2" t="s">
        <v>36</v>
      </c>
      <c r="E2562" s="5">
        <v>-29115</v>
      </c>
      <c r="F2562" s="3" t="s">
        <v>289</v>
      </c>
      <c r="G2562" s="3" t="s">
        <v>201</v>
      </c>
      <c r="H2562" s="2" t="s">
        <v>21</v>
      </c>
      <c r="I2562" s="2" t="s">
        <v>5434</v>
      </c>
      <c r="J2562" s="3" t="str">
        <f>HYPERLINK("https://www.boe.es/gazeta/dias/1820/04/13/pdfs/GMD-1820-65.pdf#page=7","Abrir facsímil")</f>
        <v>Abrir facsímil</v>
      </c>
      <c r="K2562" s="3" t="s">
        <v>23</v>
      </c>
    </row>
    <row r="2563" spans="1:11" ht="42" customHeight="1">
      <c r="A2563" s="2" t="s">
        <v>5430</v>
      </c>
      <c r="B2563" s="2" t="s">
        <v>5431</v>
      </c>
      <c r="C2563" s="2" t="s">
        <v>35</v>
      </c>
      <c r="D2563" s="2" t="s">
        <v>36</v>
      </c>
      <c r="E2563" s="5">
        <v>-29087</v>
      </c>
      <c r="F2563" s="3" t="s">
        <v>1018</v>
      </c>
      <c r="G2563" s="3" t="s">
        <v>295</v>
      </c>
      <c r="H2563" s="2" t="s">
        <v>21</v>
      </c>
      <c r="I2563" s="2" t="s">
        <v>5435</v>
      </c>
      <c r="J2563" s="3" t="str">
        <f>HYPERLINK("https://www.boe.es/gazeta/dias/1820/05/11/pdfs/GMD-1820-78.pdf#page=8","Abrir facsímil")</f>
        <v>Abrir facsímil</v>
      </c>
      <c r="K2563" s="3" t="s">
        <v>23</v>
      </c>
    </row>
    <row r="2564" spans="1:11" ht="42" customHeight="1">
      <c r="A2564" s="2" t="s">
        <v>5436</v>
      </c>
      <c r="B2564" s="2" t="s">
        <v>5437</v>
      </c>
      <c r="C2564" s="2" t="s">
        <v>26</v>
      </c>
      <c r="D2564" s="2" t="s">
        <v>27</v>
      </c>
      <c r="E2564" s="5">
        <v>-29145</v>
      </c>
      <c r="F2564" s="3" t="s">
        <v>3537</v>
      </c>
      <c r="G2564" s="3" t="s">
        <v>38</v>
      </c>
      <c r="H2564" s="2" t="s">
        <v>21</v>
      </c>
      <c r="I2564" s="2" t="s">
        <v>5438</v>
      </c>
      <c r="J2564" s="3" t="str">
        <f>HYPERLINK("https://www.boe.es/gazeta/dias/1820/03/14/pdfs/GMD-1820-39.pdf#page=6","Abrir facsímil")</f>
        <v>Abrir facsímil</v>
      </c>
      <c r="K2564" s="3" t="s">
        <v>23</v>
      </c>
    </row>
    <row r="2565" spans="1:11" ht="42" customHeight="1">
      <c r="A2565" s="2" t="s">
        <v>5439</v>
      </c>
      <c r="B2565" s="2" t="s">
        <v>5440</v>
      </c>
      <c r="C2565" s="2" t="s">
        <v>74</v>
      </c>
      <c r="D2565" s="2" t="s">
        <v>18</v>
      </c>
      <c r="E2565" s="5">
        <v>-28999</v>
      </c>
      <c r="F2565" s="3" t="s">
        <v>342</v>
      </c>
      <c r="G2565" s="3" t="s">
        <v>62</v>
      </c>
      <c r="H2565" s="2" t="s">
        <v>21</v>
      </c>
      <c r="I2565" s="2" t="s">
        <v>5441</v>
      </c>
      <c r="J2565" s="3" t="str">
        <f>HYPERLINK("https://www.boe.es/gazeta/dias/1820/08/07/pdfs/GGB-1820-40.pdf#page=3","Abrir facsímil")</f>
        <v>Abrir facsímil</v>
      </c>
      <c r="K2565" s="3" t="s">
        <v>23</v>
      </c>
    </row>
    <row r="2566" spans="1:11" ht="42" customHeight="1">
      <c r="A2566" s="2" t="s">
        <v>5442</v>
      </c>
      <c r="B2566" s="2" t="s">
        <v>5442</v>
      </c>
      <c r="C2566" s="2" t="s">
        <v>111</v>
      </c>
      <c r="D2566" s="2" t="s">
        <v>18</v>
      </c>
      <c r="E2566" s="5">
        <v>-28963</v>
      </c>
      <c r="F2566" s="3" t="s">
        <v>94</v>
      </c>
      <c r="G2566" s="3" t="s">
        <v>62</v>
      </c>
      <c r="H2566" s="2" t="s">
        <v>21</v>
      </c>
      <c r="I2566" s="2" t="s">
        <v>5443</v>
      </c>
      <c r="J2566" s="3" t="str">
        <f>HYPERLINK("https://www.boe.es/gazeta/dias/1820/09/12/pdfs/GGB-1820-76.pdf#page=3","Abrir facsímil")</f>
        <v>Abrir facsímil</v>
      </c>
      <c r="K2566" s="3" t="s">
        <v>23</v>
      </c>
    </row>
    <row r="2567" spans="1:11" ht="42" customHeight="1">
      <c r="A2567" s="2" t="s">
        <v>5444</v>
      </c>
      <c r="B2567" s="2" t="s">
        <v>5445</v>
      </c>
      <c r="C2567" s="2" t="s">
        <v>26</v>
      </c>
      <c r="D2567" s="2" t="s">
        <v>27</v>
      </c>
      <c r="E2567" s="5">
        <v>-28896</v>
      </c>
      <c r="F2567" s="3" t="s">
        <v>1268</v>
      </c>
      <c r="G2567" s="3" t="s">
        <v>1269</v>
      </c>
      <c r="H2567" s="2" t="s">
        <v>21</v>
      </c>
      <c r="I2567" s="2" t="s">
        <v>5446</v>
      </c>
      <c r="J2567" s="3" t="str">
        <f>HYPERLINK("https://www.boe.es/gazeta/dias/1820/11/18/pdfs/GGB-1820-144.pdf#page=4","Abrir facsímil")</f>
        <v>Abrir facsímil</v>
      </c>
      <c r="K2567" s="3" t="s">
        <v>23</v>
      </c>
    </row>
    <row r="2568" spans="1:11" ht="42" customHeight="1">
      <c r="A2568" s="2" t="s">
        <v>5447</v>
      </c>
      <c r="B2568" s="2" t="s">
        <v>5448</v>
      </c>
      <c r="C2568" s="2" t="s">
        <v>26</v>
      </c>
      <c r="D2568" s="2" t="s">
        <v>27</v>
      </c>
      <c r="E2568" s="5">
        <v>-29197</v>
      </c>
      <c r="F2568" s="3" t="s">
        <v>48</v>
      </c>
      <c r="G2568" s="3" t="s">
        <v>201</v>
      </c>
      <c r="H2568" s="2" t="s">
        <v>21</v>
      </c>
      <c r="I2568" s="2" t="s">
        <v>5449</v>
      </c>
      <c r="J2568" s="3" t="str">
        <f>HYPERLINK("https://www.boe.es/gazeta/dias/1820/01/22/pdfs/GMD-1820-10.pdf#page=7","Abrir facsímil")</f>
        <v>Abrir facsímil</v>
      </c>
      <c r="K2568" s="3" t="s">
        <v>23</v>
      </c>
    </row>
    <row r="2569" spans="1:11" ht="42" customHeight="1">
      <c r="A2569" s="2" t="s">
        <v>5450</v>
      </c>
      <c r="B2569" s="2" t="s">
        <v>5451</v>
      </c>
      <c r="C2569" s="2" t="s">
        <v>26</v>
      </c>
      <c r="D2569" s="2" t="s">
        <v>27</v>
      </c>
      <c r="E2569" s="5">
        <v>-29164</v>
      </c>
      <c r="F2569" s="3" t="s">
        <v>2516</v>
      </c>
      <c r="G2569" s="3" t="s">
        <v>256</v>
      </c>
      <c r="H2569" s="2" t="s">
        <v>21</v>
      </c>
      <c r="I2569" s="2" t="s">
        <v>5452</v>
      </c>
      <c r="J2569" s="3" t="str">
        <f>HYPERLINK("https://www.boe.es/gazeta/dias/1820/02/24/pdfs/GMD-1820-24.pdf#page=5","Abrir facsímil")</f>
        <v>Abrir facsímil</v>
      </c>
      <c r="K2569" s="3" t="s">
        <v>23</v>
      </c>
    </row>
    <row r="2570" spans="1:11" ht="42" customHeight="1">
      <c r="A2570" s="2" t="s">
        <v>5453</v>
      </c>
      <c r="B2570" s="2" t="s">
        <v>5454</v>
      </c>
      <c r="C2570" s="2" t="s">
        <v>35</v>
      </c>
      <c r="D2570" s="2" t="s">
        <v>36</v>
      </c>
      <c r="E2570" s="5">
        <v>-28943</v>
      </c>
      <c r="F2570" s="3" t="s">
        <v>1403</v>
      </c>
      <c r="G2570" s="3" t="s">
        <v>1710</v>
      </c>
      <c r="H2570" s="2" t="s">
        <v>21</v>
      </c>
      <c r="I2570" s="2" t="s">
        <v>5455</v>
      </c>
      <c r="J2570" s="3" t="str">
        <f>HYPERLINK("https://www.boe.es/gazeta/dias/1820/10/02/pdfs/GGB-1820-96.pdf#page=4","Abrir facsímil")</f>
        <v>Abrir facsímil</v>
      </c>
      <c r="K2570" s="3" t="s">
        <v>23</v>
      </c>
    </row>
    <row r="2571" spans="1:11" ht="42" customHeight="1">
      <c r="A2571" s="2" t="s">
        <v>5456</v>
      </c>
      <c r="B2571" s="2" t="s">
        <v>5457</v>
      </c>
      <c r="C2571" s="2" t="s">
        <v>107</v>
      </c>
      <c r="D2571" s="2" t="s">
        <v>18</v>
      </c>
      <c r="E2571" s="5">
        <v>-29054</v>
      </c>
      <c r="F2571" s="3" t="s">
        <v>481</v>
      </c>
      <c r="G2571" s="3" t="s">
        <v>196</v>
      </c>
      <c r="H2571" s="2" t="s">
        <v>21</v>
      </c>
      <c r="I2571" s="2" t="s">
        <v>5458</v>
      </c>
      <c r="J2571" s="3" t="str">
        <f>HYPERLINK("https://www.boe.es/gazeta/dias/1820/06/13/pdfs/GMD-1820-93.pdf#page=11","Abrir facsímil")</f>
        <v>Abrir facsímil</v>
      </c>
      <c r="K2571" s="3" t="s">
        <v>23</v>
      </c>
    </row>
    <row r="2572" spans="1:11" ht="42" customHeight="1">
      <c r="A2572" s="2" t="s">
        <v>5459</v>
      </c>
      <c r="B2572" s="2" t="s">
        <v>5460</v>
      </c>
      <c r="C2572" s="2" t="s">
        <v>35</v>
      </c>
      <c r="D2572" s="2" t="s">
        <v>36</v>
      </c>
      <c r="E2572" s="5">
        <v>-29166</v>
      </c>
      <c r="F2572" s="3" t="s">
        <v>799</v>
      </c>
      <c r="G2572" s="3" t="s">
        <v>295</v>
      </c>
      <c r="H2572" s="2" t="s">
        <v>21</v>
      </c>
      <c r="I2572" s="2" t="s">
        <v>5461</v>
      </c>
      <c r="J2572" s="3" t="str">
        <f>HYPERLINK("https://www.boe.es/gazeta/dias/1820/02/22/pdfs/GMD-1820-23.pdf#page=8","Abrir facsímil")</f>
        <v>Abrir facsímil</v>
      </c>
      <c r="K2572" s="3" t="s">
        <v>23</v>
      </c>
    </row>
    <row r="2573" spans="1:11" ht="42" customHeight="1">
      <c r="A2573" s="2" t="s">
        <v>5462</v>
      </c>
      <c r="B2573" s="2" t="s">
        <v>5462</v>
      </c>
      <c r="C2573" s="2" t="s">
        <v>17</v>
      </c>
      <c r="D2573" s="2" t="s">
        <v>18</v>
      </c>
      <c r="E2573" s="5">
        <v>-28995</v>
      </c>
      <c r="F2573" s="3" t="s">
        <v>672</v>
      </c>
      <c r="G2573" s="3" t="s">
        <v>62</v>
      </c>
      <c r="H2573" s="2" t="s">
        <v>21</v>
      </c>
      <c r="I2573" s="2" t="s">
        <v>5463</v>
      </c>
      <c r="J2573" s="3" t="str">
        <f>HYPERLINK("https://www.boe.es/gazeta/dias/1820/08/11/pdfs/GGB-1820-44.pdf#page=3","Abrir facsímil")</f>
        <v>Abrir facsímil</v>
      </c>
      <c r="K2573" s="3" t="s">
        <v>23</v>
      </c>
    </row>
    <row r="2574" spans="1:11" ht="42" customHeight="1">
      <c r="A2574" s="2" t="s">
        <v>5464</v>
      </c>
      <c r="B2574" s="2" t="s">
        <v>5465</v>
      </c>
      <c r="C2574" s="2" t="s">
        <v>35</v>
      </c>
      <c r="D2574" s="2" t="s">
        <v>36</v>
      </c>
      <c r="E2574" s="5">
        <v>-29138</v>
      </c>
      <c r="F2574" s="3" t="s">
        <v>200</v>
      </c>
      <c r="G2574" s="3" t="s">
        <v>38</v>
      </c>
      <c r="H2574" s="2" t="s">
        <v>21</v>
      </c>
      <c r="I2574" s="2" t="s">
        <v>5466</v>
      </c>
      <c r="J2574" s="3" t="str">
        <f>HYPERLINK("https://www.boe.es/gazeta/dias/1820/03/21/pdfs/GMD-1820-46.pdf#page=6","Abrir facsímil")</f>
        <v>Abrir facsímil</v>
      </c>
      <c r="K2574" s="3" t="s">
        <v>23</v>
      </c>
    </row>
    <row r="2575" spans="1:11" ht="42" customHeight="1">
      <c r="A2575" s="2" t="s">
        <v>5467</v>
      </c>
      <c r="B2575" s="2" t="s">
        <v>5467</v>
      </c>
      <c r="C2575" s="2" t="s">
        <v>35</v>
      </c>
      <c r="D2575" s="2" t="s">
        <v>36</v>
      </c>
      <c r="E2575" s="5">
        <v>-28941</v>
      </c>
      <c r="F2575" s="3" t="s">
        <v>1727</v>
      </c>
      <c r="G2575" s="3" t="s">
        <v>62</v>
      </c>
      <c r="H2575" s="2" t="s">
        <v>21</v>
      </c>
      <c r="I2575" s="2" t="s">
        <v>5468</v>
      </c>
      <c r="J2575" s="3" t="str">
        <f>HYPERLINK("https://www.boe.es/gazeta/dias/1820/10/04/pdfs/GGB-1820-98.pdf#page=3","Abrir facsímil")</f>
        <v>Abrir facsímil</v>
      </c>
      <c r="K2575" s="3" t="s">
        <v>23</v>
      </c>
    </row>
    <row r="2576" spans="1:11" ht="42" customHeight="1">
      <c r="A2576" s="2" t="s">
        <v>5469</v>
      </c>
      <c r="B2576" s="2" t="s">
        <v>5470</v>
      </c>
      <c r="C2576" s="2" t="s">
        <v>26</v>
      </c>
      <c r="D2576" s="2" t="s">
        <v>27</v>
      </c>
      <c r="E2576" s="5">
        <v>-29187</v>
      </c>
      <c r="F2576" s="3" t="s">
        <v>859</v>
      </c>
      <c r="G2576" s="3" t="s">
        <v>5471</v>
      </c>
      <c r="H2576" s="2" t="s">
        <v>21</v>
      </c>
      <c r="I2576" s="2" t="s">
        <v>5472</v>
      </c>
      <c r="J2576" s="3" t="str">
        <f>HYPERLINK("https://www.boe.es/gazeta/dias/1820/02/01/pdfs/GMD-1820-14.pdf#page=4","Abrir facsímil")</f>
        <v>Abrir facsímil</v>
      </c>
      <c r="K2576" s="3" t="s">
        <v>23</v>
      </c>
    </row>
    <row r="2577" spans="1:11" ht="42" customHeight="1">
      <c r="A2577" s="2" t="s">
        <v>5473</v>
      </c>
      <c r="B2577" s="2" t="s">
        <v>5474</v>
      </c>
      <c r="C2577" s="2" t="s">
        <v>17</v>
      </c>
      <c r="D2577" s="2" t="s">
        <v>18</v>
      </c>
      <c r="E2577" s="5">
        <v>-29187</v>
      </c>
      <c r="F2577" s="3" t="s">
        <v>859</v>
      </c>
      <c r="G2577" s="3" t="s">
        <v>256</v>
      </c>
      <c r="H2577" s="2" t="s">
        <v>21</v>
      </c>
      <c r="I2577" s="2" t="s">
        <v>5475</v>
      </c>
      <c r="J2577" s="3" t="str">
        <f>HYPERLINK("https://www.boe.es/gazeta/dias/1820/02/01/pdfs/GMD-1820-14.pdf#page=5","Abrir facsímil")</f>
        <v>Abrir facsímil</v>
      </c>
      <c r="K2577" s="3" t="s">
        <v>23</v>
      </c>
    </row>
    <row r="2578" spans="1:11" ht="42" customHeight="1">
      <c r="A2578" s="2" t="s">
        <v>5476</v>
      </c>
      <c r="B2578" s="2" t="s">
        <v>5476</v>
      </c>
      <c r="C2578" s="2" t="s">
        <v>293</v>
      </c>
      <c r="D2578" s="2" t="s">
        <v>18</v>
      </c>
      <c r="E2578" s="5">
        <v>-28939</v>
      </c>
      <c r="F2578" s="3" t="s">
        <v>992</v>
      </c>
      <c r="G2578" s="3" t="s">
        <v>62</v>
      </c>
      <c r="H2578" s="2" t="s">
        <v>21</v>
      </c>
      <c r="I2578" s="2" t="s">
        <v>5477</v>
      </c>
      <c r="J2578" s="3" t="str">
        <f>HYPERLINK("https://www.boe.es/gazeta/dias/1820/10/06/pdfs/GGB-1820-100.pdf#page=3","Abrir facsímil")</f>
        <v>Abrir facsímil</v>
      </c>
      <c r="K2578" s="3" t="s">
        <v>23</v>
      </c>
    </row>
    <row r="2579" spans="1:11" ht="42" customHeight="1">
      <c r="A2579" s="2" t="s">
        <v>5478</v>
      </c>
      <c r="B2579" s="2" t="s">
        <v>5479</v>
      </c>
      <c r="C2579" s="2" t="s">
        <v>35</v>
      </c>
      <c r="D2579" s="2" t="s">
        <v>310</v>
      </c>
      <c r="E2579" s="5">
        <v>-29140</v>
      </c>
      <c r="F2579" s="3" t="s">
        <v>533</v>
      </c>
      <c r="G2579" s="3" t="s">
        <v>128</v>
      </c>
      <c r="H2579" s="2" t="s">
        <v>21</v>
      </c>
      <c r="I2579" s="2" t="s">
        <v>5480</v>
      </c>
      <c r="J2579" s="3" t="str">
        <f>HYPERLINK("https://www.boe.es/gazeta/dias/1820/03/19/pdfs/GMD-1820-45E.pdf#page=1","Abrir facsímil")</f>
        <v>Abrir facsímil</v>
      </c>
      <c r="K2579" s="3" t="s">
        <v>23</v>
      </c>
    </row>
    <row r="2580" spans="1:11" ht="42" customHeight="1">
      <c r="A2580" s="2" t="s">
        <v>5481</v>
      </c>
      <c r="B2580" s="2" t="s">
        <v>5482</v>
      </c>
      <c r="C2580" s="2" t="s">
        <v>26</v>
      </c>
      <c r="D2580" s="2" t="s">
        <v>310</v>
      </c>
      <c r="E2580" s="5">
        <v>-29142</v>
      </c>
      <c r="F2580" s="3" t="s">
        <v>2712</v>
      </c>
      <c r="G2580" s="3" t="s">
        <v>43</v>
      </c>
      <c r="H2580" s="2" t="s">
        <v>21</v>
      </c>
      <c r="I2580" s="2" t="s">
        <v>5483</v>
      </c>
      <c r="J2580" s="3" t="str">
        <f>HYPERLINK("https://www.boe.es/gazeta/dias/1820/03/17/pdfs/GMD-1820-43E.pdf#page=2","Abrir facsímil")</f>
        <v>Abrir facsímil</v>
      </c>
      <c r="K2580" s="3" t="s">
        <v>23</v>
      </c>
    </row>
    <row r="2581" spans="1:11" ht="42" customHeight="1">
      <c r="A2581" s="2" t="s">
        <v>5484</v>
      </c>
      <c r="B2581" s="2" t="s">
        <v>5484</v>
      </c>
      <c r="C2581" s="2" t="s">
        <v>26</v>
      </c>
      <c r="D2581" s="2" t="s">
        <v>27</v>
      </c>
      <c r="E2581" s="5">
        <v>-29015</v>
      </c>
      <c r="F2581" s="3" t="s">
        <v>359</v>
      </c>
      <c r="G2581" s="3" t="s">
        <v>62</v>
      </c>
      <c r="H2581" s="2" t="s">
        <v>21</v>
      </c>
      <c r="I2581" s="2" t="s">
        <v>5485</v>
      </c>
      <c r="J2581" s="3" t="str">
        <f>HYPERLINK("https://www.boe.es/gazeta/dias/1820/07/22/pdfs/GGB-1820-24.pdf#page=3","Abrir facsímil")</f>
        <v>Abrir facsímil</v>
      </c>
      <c r="K2581" s="3" t="s">
        <v>23</v>
      </c>
    </row>
    <row r="2582" spans="1:11" ht="42" customHeight="1">
      <c r="A2582" s="2" t="s">
        <v>5484</v>
      </c>
      <c r="B2582" s="2" t="s">
        <v>5484</v>
      </c>
      <c r="C2582" s="2" t="s">
        <v>47</v>
      </c>
      <c r="D2582" s="2" t="s">
        <v>18</v>
      </c>
      <c r="E2582" s="5">
        <v>-29014</v>
      </c>
      <c r="F2582" s="3" t="s">
        <v>70</v>
      </c>
      <c r="G2582" s="3" t="s">
        <v>62</v>
      </c>
      <c r="H2582" s="2" t="s">
        <v>21</v>
      </c>
      <c r="I2582" s="2" t="s">
        <v>5486</v>
      </c>
      <c r="J2582" s="3" t="str">
        <f>HYPERLINK("https://www.boe.es/gazeta/dias/1820/07/23/pdfs/GGB-1820-25.pdf#page=3","Abrir facsímil")</f>
        <v>Abrir facsímil</v>
      </c>
      <c r="K2582" s="3" t="s">
        <v>23</v>
      </c>
    </row>
    <row r="2583" spans="1:11" ht="42" customHeight="1">
      <c r="A2583" s="2" t="s">
        <v>5484</v>
      </c>
      <c r="B2583" s="2" t="s">
        <v>5484</v>
      </c>
      <c r="C2583" s="2" t="s">
        <v>26</v>
      </c>
      <c r="D2583" s="2" t="s">
        <v>27</v>
      </c>
      <c r="E2583" s="5">
        <v>-29012</v>
      </c>
      <c r="F2583" s="3" t="s">
        <v>72</v>
      </c>
      <c r="G2583" s="3" t="s">
        <v>661</v>
      </c>
      <c r="H2583" s="2" t="s">
        <v>21</v>
      </c>
      <c r="I2583" s="2" t="s">
        <v>5487</v>
      </c>
      <c r="J2583" s="3" t="str">
        <f>HYPERLINK("https://www.boe.es/gazeta/dias/1820/07/25/pdfs/GGB-1820-27.pdf#page=2","Abrir facsímil")</f>
        <v>Abrir facsímil</v>
      </c>
      <c r="K2583" s="3" t="s">
        <v>23</v>
      </c>
    </row>
    <row r="2584" spans="1:11" ht="42" customHeight="1">
      <c r="A2584" s="2" t="s">
        <v>5484</v>
      </c>
      <c r="B2584" s="2" t="s">
        <v>5484</v>
      </c>
      <c r="C2584" s="2" t="s">
        <v>17</v>
      </c>
      <c r="D2584" s="2" t="s">
        <v>18</v>
      </c>
      <c r="E2584" s="5">
        <v>-29004</v>
      </c>
      <c r="F2584" s="3" t="s">
        <v>75</v>
      </c>
      <c r="G2584" s="3" t="s">
        <v>62</v>
      </c>
      <c r="H2584" s="2" t="s">
        <v>21</v>
      </c>
      <c r="I2584" s="2" t="s">
        <v>5488</v>
      </c>
      <c r="J2584" s="3" t="str">
        <f>HYPERLINK("https://www.boe.es/gazeta/dias/1820/08/02/pdfs/GGB-1820-35.pdf#page=3","Abrir facsímil")</f>
        <v>Abrir facsímil</v>
      </c>
      <c r="K2584" s="3" t="s">
        <v>23</v>
      </c>
    </row>
    <row r="2585" spans="1:11" ht="42" customHeight="1">
      <c r="A2585" s="2" t="s">
        <v>5484</v>
      </c>
      <c r="B2585" s="2" t="s">
        <v>5484</v>
      </c>
      <c r="C2585" s="2" t="s">
        <v>35</v>
      </c>
      <c r="D2585" s="2" t="s">
        <v>36</v>
      </c>
      <c r="E2585" s="5">
        <v>-29001</v>
      </c>
      <c r="F2585" s="3" t="s">
        <v>633</v>
      </c>
      <c r="G2585" s="3" t="s">
        <v>62</v>
      </c>
      <c r="H2585" s="2" t="s">
        <v>21</v>
      </c>
      <c r="I2585" s="2" t="s">
        <v>5489</v>
      </c>
      <c r="J2585" s="3" t="str">
        <f>HYPERLINK("https://www.boe.es/gazeta/dias/1820/08/05/pdfs/GGB-1820-38.pdf#page=3","Abrir facsímil")</f>
        <v>Abrir facsímil</v>
      </c>
      <c r="K2585" s="3" t="s">
        <v>23</v>
      </c>
    </row>
    <row r="2586" spans="1:11" ht="42" customHeight="1">
      <c r="A2586" s="2" t="s">
        <v>5484</v>
      </c>
      <c r="B2586" s="2" t="s">
        <v>5484</v>
      </c>
      <c r="C2586" s="2" t="s">
        <v>17</v>
      </c>
      <c r="D2586" s="2" t="s">
        <v>18</v>
      </c>
      <c r="E2586" s="5">
        <v>-28996</v>
      </c>
      <c r="F2586" s="3" t="s">
        <v>636</v>
      </c>
      <c r="G2586" s="3" t="s">
        <v>1039</v>
      </c>
      <c r="H2586" s="2" t="s">
        <v>21</v>
      </c>
      <c r="I2586" s="2" t="s">
        <v>5490</v>
      </c>
      <c r="J2586" s="3" t="str">
        <f>HYPERLINK("https://www.boe.es/gazeta/dias/1820/08/10/pdfs/GGB-1820-43.pdf#page=2","Abrir facsímil")</f>
        <v>Abrir facsímil</v>
      </c>
      <c r="K2586" s="3" t="s">
        <v>23</v>
      </c>
    </row>
    <row r="2587" spans="1:11" ht="42" customHeight="1">
      <c r="A2587" s="2" t="s">
        <v>5484</v>
      </c>
      <c r="B2587" s="2" t="s">
        <v>5484</v>
      </c>
      <c r="C2587" s="2" t="s">
        <v>1808</v>
      </c>
      <c r="D2587" s="2" t="s">
        <v>36</v>
      </c>
      <c r="E2587" s="5">
        <v>-28995</v>
      </c>
      <c r="F2587" s="3" t="s">
        <v>672</v>
      </c>
      <c r="G2587" s="3" t="s">
        <v>62</v>
      </c>
      <c r="H2587" s="2" t="s">
        <v>21</v>
      </c>
      <c r="I2587" s="2" t="s">
        <v>5491</v>
      </c>
      <c r="J2587" s="3" t="str">
        <f>HYPERLINK("https://www.boe.es/gazeta/dias/1820/08/11/pdfs/GGB-1820-44.pdf#page=3","Abrir facsímil")</f>
        <v>Abrir facsímil</v>
      </c>
      <c r="K2587" s="3" t="s">
        <v>23</v>
      </c>
    </row>
    <row r="2588" spans="1:11" ht="42" customHeight="1">
      <c r="A2588" s="2" t="s">
        <v>5484</v>
      </c>
      <c r="B2588" s="2" t="s">
        <v>5484</v>
      </c>
      <c r="C2588" s="2" t="s">
        <v>17</v>
      </c>
      <c r="D2588" s="2" t="s">
        <v>18</v>
      </c>
      <c r="E2588" s="5">
        <v>-28993</v>
      </c>
      <c r="F2588" s="3" t="s">
        <v>465</v>
      </c>
      <c r="G2588" s="3" t="s">
        <v>62</v>
      </c>
      <c r="H2588" s="2" t="s">
        <v>21</v>
      </c>
      <c r="I2588" s="2" t="s">
        <v>5492</v>
      </c>
      <c r="J2588" s="3" t="str">
        <f>HYPERLINK("https://www.boe.es/gazeta/dias/1820/08/13/pdfs/GGB-1820-46.pdf#page=3","Abrir facsímil")</f>
        <v>Abrir facsímil</v>
      </c>
      <c r="K2588" s="3" t="s">
        <v>23</v>
      </c>
    </row>
    <row r="2589" spans="1:11" ht="42" customHeight="1">
      <c r="A2589" s="2" t="s">
        <v>5484</v>
      </c>
      <c r="B2589" s="2" t="s">
        <v>5484</v>
      </c>
      <c r="C2589" s="2" t="s">
        <v>26</v>
      </c>
      <c r="D2589" s="2" t="s">
        <v>27</v>
      </c>
      <c r="E2589" s="5">
        <v>-28984</v>
      </c>
      <c r="F2589" s="3" t="s">
        <v>520</v>
      </c>
      <c r="G2589" s="3" t="s">
        <v>20</v>
      </c>
      <c r="H2589" s="2" t="s">
        <v>21</v>
      </c>
      <c r="I2589" s="2" t="s">
        <v>5493</v>
      </c>
      <c r="J2589" s="3" t="str">
        <f>HYPERLINK("https://www.boe.es/gazeta/dias/1820/08/22/pdfs/GGB-1820-55.pdf#page=4","Abrir facsímil")</f>
        <v>Abrir facsímil</v>
      </c>
      <c r="K2589" s="3" t="s">
        <v>23</v>
      </c>
    </row>
    <row r="2590" spans="1:11" ht="42" customHeight="1">
      <c r="A2590" s="2" t="s">
        <v>5484</v>
      </c>
      <c r="B2590" s="2" t="s">
        <v>5484</v>
      </c>
      <c r="C2590" s="2" t="s">
        <v>111</v>
      </c>
      <c r="D2590" s="2" t="s">
        <v>18</v>
      </c>
      <c r="E2590" s="5">
        <v>-28983</v>
      </c>
      <c r="F2590" s="3" t="s">
        <v>682</v>
      </c>
      <c r="G2590" s="3" t="s">
        <v>62</v>
      </c>
      <c r="H2590" s="2" t="s">
        <v>21</v>
      </c>
      <c r="I2590" s="2" t="s">
        <v>5494</v>
      </c>
      <c r="J2590" s="3" t="str">
        <f>HYPERLINK("https://www.boe.es/gazeta/dias/1820/08/23/pdfs/GGB-1820-56.pdf#page=3","Abrir facsímil")</f>
        <v>Abrir facsímil</v>
      </c>
      <c r="K2590" s="3" t="s">
        <v>23</v>
      </c>
    </row>
    <row r="2591" spans="1:11" ht="42" customHeight="1">
      <c r="A2591" s="2" t="s">
        <v>5484</v>
      </c>
      <c r="B2591" s="2" t="s">
        <v>5484</v>
      </c>
      <c r="C2591" s="2" t="s">
        <v>26</v>
      </c>
      <c r="D2591" s="2" t="s">
        <v>27</v>
      </c>
      <c r="E2591" s="5">
        <v>-28979</v>
      </c>
      <c r="F2591" s="3" t="s">
        <v>218</v>
      </c>
      <c r="G2591" s="3" t="s">
        <v>20</v>
      </c>
      <c r="H2591" s="2" t="s">
        <v>21</v>
      </c>
      <c r="I2591" s="2" t="s">
        <v>5495</v>
      </c>
      <c r="J2591" s="3" t="str">
        <f>HYPERLINK("https://www.boe.es/gazeta/dias/1820/08/27/pdfs/GGB-1820-60.pdf#page=4","Abrir facsímil")</f>
        <v>Abrir facsímil</v>
      </c>
      <c r="K2591" s="3" t="s">
        <v>23</v>
      </c>
    </row>
    <row r="2592" spans="1:11" ht="42" customHeight="1">
      <c r="A2592" s="2" t="s">
        <v>5484</v>
      </c>
      <c r="B2592" s="2" t="s">
        <v>5484</v>
      </c>
      <c r="C2592" s="2" t="s">
        <v>107</v>
      </c>
      <c r="D2592" s="2" t="s">
        <v>18</v>
      </c>
      <c r="E2592" s="5">
        <v>-28970</v>
      </c>
      <c r="F2592" s="3" t="s">
        <v>693</v>
      </c>
      <c r="G2592" s="3" t="s">
        <v>43</v>
      </c>
      <c r="H2592" s="2" t="s">
        <v>21</v>
      </c>
      <c r="I2592" s="2" t="s">
        <v>5496</v>
      </c>
      <c r="J2592" s="3" t="str">
        <f>HYPERLINK("https://www.boe.es/gazeta/dias/1820/09/05/pdfs/GGB-1820-69.pdf#page=2","Abrir facsímil")</f>
        <v>Abrir facsímil</v>
      </c>
      <c r="K2592" s="3" t="s">
        <v>23</v>
      </c>
    </row>
    <row r="2593" spans="1:11" ht="42" customHeight="1">
      <c r="A2593" s="2" t="s">
        <v>5484</v>
      </c>
      <c r="B2593" s="2" t="s">
        <v>5484</v>
      </c>
      <c r="C2593" s="2" t="s">
        <v>17</v>
      </c>
      <c r="D2593" s="2" t="s">
        <v>18</v>
      </c>
      <c r="E2593" s="5">
        <v>-28950</v>
      </c>
      <c r="F2593" s="3" t="s">
        <v>1052</v>
      </c>
      <c r="G2593" s="3" t="s">
        <v>1372</v>
      </c>
      <c r="H2593" s="2" t="s">
        <v>21</v>
      </c>
      <c r="I2593" s="2" t="s">
        <v>5497</v>
      </c>
      <c r="J2593" s="3" t="str">
        <f>HYPERLINK("https://www.boe.es/gazeta/dias/1820/09/25/pdfs/GGB-1820-89.pdf#page=2","Abrir facsímil")</f>
        <v>Abrir facsímil</v>
      </c>
      <c r="K2593" s="3" t="s">
        <v>23</v>
      </c>
    </row>
    <row r="2594" spans="1:11" ht="42" customHeight="1">
      <c r="A2594" s="2" t="s">
        <v>5484</v>
      </c>
      <c r="B2594" s="2" t="s">
        <v>5484</v>
      </c>
      <c r="C2594" s="2" t="s">
        <v>35</v>
      </c>
      <c r="D2594" s="2" t="s">
        <v>36</v>
      </c>
      <c r="E2594" s="5">
        <v>-28946</v>
      </c>
      <c r="F2594" s="3" t="s">
        <v>1055</v>
      </c>
      <c r="G2594" s="3" t="s">
        <v>43</v>
      </c>
      <c r="H2594" s="2" t="s">
        <v>21</v>
      </c>
      <c r="I2594" s="2" t="s">
        <v>5498</v>
      </c>
      <c r="J2594" s="3" t="str">
        <f>HYPERLINK("https://www.boe.es/gazeta/dias/1820/09/29/pdfs/GGB-1820-93.pdf#page=2","Abrir facsímil")</f>
        <v>Abrir facsímil</v>
      </c>
      <c r="K2594" s="3" t="s">
        <v>23</v>
      </c>
    </row>
    <row r="2595" spans="1:11" ht="42" customHeight="1">
      <c r="A2595" s="2" t="s">
        <v>5484</v>
      </c>
      <c r="B2595" s="2" t="s">
        <v>5484</v>
      </c>
      <c r="C2595" s="2" t="s">
        <v>74</v>
      </c>
      <c r="D2595" s="2" t="s">
        <v>18</v>
      </c>
      <c r="E2595" s="5">
        <v>-28945</v>
      </c>
      <c r="F2595" s="3" t="s">
        <v>99</v>
      </c>
      <c r="G2595" s="3" t="s">
        <v>62</v>
      </c>
      <c r="H2595" s="2" t="s">
        <v>21</v>
      </c>
      <c r="I2595" s="2" t="s">
        <v>5499</v>
      </c>
      <c r="J2595" s="3" t="str">
        <f>HYPERLINK("https://www.boe.es/gazeta/dias/1820/09/30/pdfs/GGB-1820-94.pdf#page=3","Abrir facsímil")</f>
        <v>Abrir facsímil</v>
      </c>
      <c r="K2595" s="3" t="s">
        <v>23</v>
      </c>
    </row>
    <row r="2596" spans="1:11" ht="42" customHeight="1">
      <c r="A2596" s="2" t="s">
        <v>5484</v>
      </c>
      <c r="B2596" s="2" t="s">
        <v>5484</v>
      </c>
      <c r="C2596" s="2" t="s">
        <v>35</v>
      </c>
      <c r="D2596" s="2" t="s">
        <v>36</v>
      </c>
      <c r="E2596" s="5">
        <v>-28929</v>
      </c>
      <c r="F2596" s="3" t="s">
        <v>728</v>
      </c>
      <c r="G2596" s="3" t="s">
        <v>20</v>
      </c>
      <c r="H2596" s="2" t="s">
        <v>21</v>
      </c>
      <c r="I2596" s="2" t="s">
        <v>5500</v>
      </c>
      <c r="J2596" s="3" t="str">
        <f>HYPERLINK("https://www.boe.es/gazeta/dias/1820/10/16/pdfs/GGB-1820-110.pdf#page=4","Abrir facsímil")</f>
        <v>Abrir facsímil</v>
      </c>
      <c r="K2596" s="3" t="s">
        <v>23</v>
      </c>
    </row>
    <row r="2597" spans="1:11" ht="42" customHeight="1">
      <c r="A2597" s="2" t="s">
        <v>5501</v>
      </c>
      <c r="B2597" s="2" t="s">
        <v>5502</v>
      </c>
      <c r="C2597" s="2" t="s">
        <v>17</v>
      </c>
      <c r="D2597" s="2" t="s">
        <v>310</v>
      </c>
      <c r="E2597" s="5">
        <v>-29140</v>
      </c>
      <c r="F2597" s="3" t="s">
        <v>533</v>
      </c>
      <c r="G2597" s="3" t="s">
        <v>128</v>
      </c>
      <c r="H2597" s="2" t="s">
        <v>21</v>
      </c>
      <c r="I2597" s="2" t="s">
        <v>5503</v>
      </c>
      <c r="J2597" s="3" t="str">
        <f>HYPERLINK("https://www.boe.es/gazeta/dias/1820/03/19/pdfs/GMD-1820-45E.pdf#page=1","Abrir facsímil")</f>
        <v>Abrir facsímil</v>
      </c>
      <c r="K2597" s="3" t="s">
        <v>23</v>
      </c>
    </row>
    <row r="2598" spans="1:11" ht="42" customHeight="1">
      <c r="A2598" s="2" t="s">
        <v>5501</v>
      </c>
      <c r="B2598" s="2" t="s">
        <v>5502</v>
      </c>
      <c r="C2598" s="2" t="s">
        <v>26</v>
      </c>
      <c r="D2598" s="2" t="s">
        <v>27</v>
      </c>
      <c r="E2598" s="5">
        <v>-28895</v>
      </c>
      <c r="F2598" s="3" t="s">
        <v>347</v>
      </c>
      <c r="G2598" s="3" t="s">
        <v>2318</v>
      </c>
      <c r="H2598" s="2" t="s">
        <v>21</v>
      </c>
      <c r="I2598" s="2" t="s">
        <v>5504</v>
      </c>
      <c r="J2598" s="3" t="str">
        <f>HYPERLINK("https://www.boe.es/gazeta/dias/1820/11/19/pdfs/GGB-1820-146.pdf#page=2","Abrir facsímil")</f>
        <v>Abrir facsímil</v>
      </c>
      <c r="K2598" s="3" t="s">
        <v>23</v>
      </c>
    </row>
    <row r="2599" spans="1:11" ht="42" customHeight="1">
      <c r="A2599" s="2" t="s">
        <v>5505</v>
      </c>
      <c r="B2599" s="2" t="s">
        <v>5506</v>
      </c>
      <c r="C2599" s="2" t="s">
        <v>26</v>
      </c>
      <c r="D2599" s="2" t="s">
        <v>27</v>
      </c>
      <c r="E2599" s="5">
        <v>-28949</v>
      </c>
      <c r="F2599" s="3" t="s">
        <v>178</v>
      </c>
      <c r="G2599" s="3" t="s">
        <v>43</v>
      </c>
      <c r="H2599" s="2" t="s">
        <v>21</v>
      </c>
      <c r="I2599" s="2" t="s">
        <v>5507</v>
      </c>
      <c r="J2599" s="3" t="str">
        <f>HYPERLINK("https://www.boe.es/gazeta/dias/1820/09/26/pdfs/GGB-1820-90.pdf#page=2","Abrir facsímil")</f>
        <v>Abrir facsímil</v>
      </c>
      <c r="K2599" s="3" t="s">
        <v>23</v>
      </c>
    </row>
    <row r="2600" spans="1:11" ht="42" customHeight="1">
      <c r="A2600" s="2" t="s">
        <v>5505</v>
      </c>
      <c r="B2600" s="2" t="s">
        <v>5506</v>
      </c>
      <c r="C2600" s="2" t="s">
        <v>111</v>
      </c>
      <c r="D2600" s="2" t="s">
        <v>18</v>
      </c>
      <c r="E2600" s="5">
        <v>-28944</v>
      </c>
      <c r="F2600" s="3" t="s">
        <v>990</v>
      </c>
      <c r="G2600" s="3" t="s">
        <v>1174</v>
      </c>
      <c r="H2600" s="2" t="s">
        <v>21</v>
      </c>
      <c r="I2600" s="2" t="s">
        <v>5508</v>
      </c>
      <c r="J2600" s="3" t="str">
        <f>HYPERLINK("https://www.boe.es/gazeta/dias/1820/10/01/pdfs/GGB-1820-95.pdf#page=4","Abrir facsímil")</f>
        <v>Abrir facsímil</v>
      </c>
      <c r="K2600" s="3" t="s">
        <v>23</v>
      </c>
    </row>
    <row r="2601" spans="1:11" ht="42" customHeight="1">
      <c r="A2601" s="2" t="s">
        <v>5509</v>
      </c>
      <c r="B2601" s="2" t="s">
        <v>5510</v>
      </c>
      <c r="C2601" s="2" t="s">
        <v>111</v>
      </c>
      <c r="D2601" s="2" t="s">
        <v>18</v>
      </c>
      <c r="E2601" s="5">
        <v>-28944</v>
      </c>
      <c r="F2601" s="3" t="s">
        <v>990</v>
      </c>
      <c r="G2601" s="3" t="s">
        <v>1174</v>
      </c>
      <c r="H2601" s="2" t="s">
        <v>21</v>
      </c>
      <c r="I2601" s="2" t="s">
        <v>5511</v>
      </c>
      <c r="J2601" s="3" t="str">
        <f>HYPERLINK("https://www.boe.es/gazeta/dias/1820/10/01/pdfs/GGB-1820-95.pdf#page=4","Abrir facsímil")</f>
        <v>Abrir facsímil</v>
      </c>
      <c r="K2601" s="3" t="s">
        <v>23</v>
      </c>
    </row>
    <row r="2602" spans="1:11" ht="42" customHeight="1">
      <c r="A2602" s="2" t="s">
        <v>5512</v>
      </c>
      <c r="B2602" s="2" t="s">
        <v>5513</v>
      </c>
      <c r="C2602" s="2" t="s">
        <v>17</v>
      </c>
      <c r="D2602" s="2" t="s">
        <v>18</v>
      </c>
      <c r="E2602" s="5">
        <v>-29190</v>
      </c>
      <c r="F2602" s="3" t="s">
        <v>537</v>
      </c>
      <c r="G2602" s="3" t="s">
        <v>38</v>
      </c>
      <c r="H2602" s="2" t="s">
        <v>21</v>
      </c>
      <c r="I2602" s="2" t="s">
        <v>5514</v>
      </c>
      <c r="J2602" s="3" t="str">
        <f>HYPERLINK("https://www.boe.es/gazeta/dias/1820/01/29/pdfs/GMD-1820-13.pdf#page=6","Abrir facsímil")</f>
        <v>Abrir facsímil</v>
      </c>
      <c r="K2602" s="3" t="s">
        <v>23</v>
      </c>
    </row>
    <row r="2603" spans="1:11" ht="42" customHeight="1">
      <c r="A2603" s="2" t="s">
        <v>5515</v>
      </c>
      <c r="B2603" s="2" t="s">
        <v>5516</v>
      </c>
      <c r="C2603" s="2" t="s">
        <v>35</v>
      </c>
      <c r="D2603" s="2" t="s">
        <v>36</v>
      </c>
      <c r="E2603" s="5">
        <v>-28932</v>
      </c>
      <c r="F2603" s="3" t="s">
        <v>407</v>
      </c>
      <c r="G2603" s="3" t="s">
        <v>62</v>
      </c>
      <c r="H2603" s="2" t="s">
        <v>21</v>
      </c>
      <c r="I2603" s="2" t="s">
        <v>5517</v>
      </c>
      <c r="J2603" s="3" t="str">
        <f>HYPERLINK("https://www.boe.es/gazeta/dias/1820/10/13/pdfs/GGB-1820-107.pdf#page=3","Abrir facsímil")</f>
        <v>Abrir facsímil</v>
      </c>
      <c r="K2603" s="3" t="s">
        <v>23</v>
      </c>
    </row>
    <row r="2604" spans="1:11" ht="42" customHeight="1">
      <c r="A2604" s="2" t="s">
        <v>5518</v>
      </c>
      <c r="B2604" s="2" t="s">
        <v>5519</v>
      </c>
      <c r="C2604" s="2" t="s">
        <v>74</v>
      </c>
      <c r="D2604" s="2" t="s">
        <v>18</v>
      </c>
      <c r="E2604" s="5">
        <v>-28929</v>
      </c>
      <c r="F2604" s="3" t="s">
        <v>728</v>
      </c>
      <c r="G2604" s="3" t="s">
        <v>62</v>
      </c>
      <c r="H2604" s="2" t="s">
        <v>21</v>
      </c>
      <c r="I2604" s="2" t="s">
        <v>5520</v>
      </c>
      <c r="J2604" s="3" t="str">
        <f>HYPERLINK("https://www.boe.es/gazeta/dias/1820/10/16/pdfs/GGB-1820-110.pdf#page=3","Abrir facsímil")</f>
        <v>Abrir facsímil</v>
      </c>
      <c r="K2604" s="3" t="s">
        <v>23</v>
      </c>
    </row>
    <row r="2605" spans="1:11" ht="42" customHeight="1">
      <c r="A2605" s="2" t="s">
        <v>5521</v>
      </c>
      <c r="B2605" s="2" t="s">
        <v>5522</v>
      </c>
      <c r="C2605" s="2" t="s">
        <v>26</v>
      </c>
      <c r="D2605" s="2" t="s">
        <v>27</v>
      </c>
      <c r="E2605" s="5">
        <v>-28963</v>
      </c>
      <c r="F2605" s="3" t="s">
        <v>94</v>
      </c>
      <c r="G2605" s="3" t="s">
        <v>43</v>
      </c>
      <c r="H2605" s="2" t="s">
        <v>21</v>
      </c>
      <c r="I2605" s="2" t="s">
        <v>5523</v>
      </c>
      <c r="J2605" s="3" t="str">
        <f>HYPERLINK("https://www.boe.es/gazeta/dias/1820/09/12/pdfs/GGB-1820-76.pdf#page=2","Abrir facsímil")</f>
        <v>Abrir facsímil</v>
      </c>
      <c r="K2605" s="3" t="s">
        <v>23</v>
      </c>
    </row>
    <row r="2606" spans="1:11" ht="42" customHeight="1">
      <c r="A2606" s="2" t="s">
        <v>5524</v>
      </c>
      <c r="B2606" s="2" t="s">
        <v>5525</v>
      </c>
      <c r="C2606" s="2" t="s">
        <v>111</v>
      </c>
      <c r="D2606" s="2" t="s">
        <v>18</v>
      </c>
      <c r="E2606" s="5">
        <v>-28935</v>
      </c>
      <c r="F2606" s="3" t="s">
        <v>2464</v>
      </c>
      <c r="G2606" s="3" t="s">
        <v>43</v>
      </c>
      <c r="H2606" s="2" t="s">
        <v>21</v>
      </c>
      <c r="I2606" s="2" t="s">
        <v>5526</v>
      </c>
      <c r="J2606" s="3" t="str">
        <f>HYPERLINK("https://www.boe.es/gazeta/dias/1820/10/10/pdfs/GGB-1820-104.pdf#page=2","Abrir facsímil")</f>
        <v>Abrir facsímil</v>
      </c>
      <c r="K2606" s="3" t="s">
        <v>23</v>
      </c>
    </row>
    <row r="2607" spans="1:11" ht="42" customHeight="1">
      <c r="A2607" s="2" t="s">
        <v>5527</v>
      </c>
      <c r="B2607" s="2" t="s">
        <v>5528</v>
      </c>
      <c r="C2607" s="2" t="s">
        <v>111</v>
      </c>
      <c r="D2607" s="2" t="s">
        <v>310</v>
      </c>
      <c r="E2607" s="5">
        <v>-29150</v>
      </c>
      <c r="F2607" s="3" t="s">
        <v>4978</v>
      </c>
      <c r="G2607" s="3" t="s">
        <v>128</v>
      </c>
      <c r="H2607" s="2" t="s">
        <v>21</v>
      </c>
      <c r="I2607" s="2" t="s">
        <v>5529</v>
      </c>
      <c r="J2607" s="3" t="str">
        <f>HYPERLINK("https://www.boe.es/gazeta/dias/1820/03/09/pdfs/GMD-1820-34E.pdf#page=1","Abrir facsímil")</f>
        <v>Abrir facsímil</v>
      </c>
      <c r="K2607" s="3" t="s">
        <v>23</v>
      </c>
    </row>
    <row r="2608" spans="1:11" ht="42" customHeight="1">
      <c r="A2608" s="2" t="s">
        <v>5527</v>
      </c>
      <c r="B2608" s="2" t="s">
        <v>5528</v>
      </c>
      <c r="C2608" s="2" t="s">
        <v>293</v>
      </c>
      <c r="D2608" s="2" t="s">
        <v>310</v>
      </c>
      <c r="E2608" s="5">
        <v>-29149</v>
      </c>
      <c r="F2608" s="3" t="s">
        <v>5530</v>
      </c>
      <c r="G2608" s="3" t="s">
        <v>128</v>
      </c>
      <c r="H2608" s="2" t="s">
        <v>21</v>
      </c>
      <c r="I2608" s="2" t="s">
        <v>5531</v>
      </c>
      <c r="J2608" s="3" t="str">
        <f>HYPERLINK("https://www.boe.es/gazeta/dias/1820/03/10/pdfs/GMD-1820-35E.pdf#page=1","Abrir facsímil")</f>
        <v>Abrir facsímil</v>
      </c>
      <c r="K2608" s="3" t="s">
        <v>23</v>
      </c>
    </row>
    <row r="2609" spans="1:11" ht="42" customHeight="1">
      <c r="A2609" s="2" t="s">
        <v>5527</v>
      </c>
      <c r="B2609" s="2" t="s">
        <v>5528</v>
      </c>
      <c r="C2609" s="2" t="s">
        <v>17</v>
      </c>
      <c r="D2609" s="2" t="s">
        <v>310</v>
      </c>
      <c r="E2609" s="5">
        <v>-29149</v>
      </c>
      <c r="F2609" s="3" t="s">
        <v>5530</v>
      </c>
      <c r="G2609" s="3" t="s">
        <v>43</v>
      </c>
      <c r="H2609" s="2" t="s">
        <v>21</v>
      </c>
      <c r="I2609" s="2" t="s">
        <v>5532</v>
      </c>
      <c r="J2609" s="3" t="str">
        <f>HYPERLINK("https://www.boe.es/gazeta/dias/1820/03/10/pdfs/GMD-1820-35E.pdf#page=2","Abrir facsímil")</f>
        <v>Abrir facsímil</v>
      </c>
      <c r="K2609" s="3" t="s">
        <v>23</v>
      </c>
    </row>
    <row r="2610" spans="1:11" ht="42" customHeight="1">
      <c r="A2610" s="2" t="s">
        <v>5527</v>
      </c>
      <c r="B2610" s="2" t="s">
        <v>5528</v>
      </c>
      <c r="C2610" s="2" t="s">
        <v>35</v>
      </c>
      <c r="D2610" s="2" t="s">
        <v>36</v>
      </c>
      <c r="E2610" s="5">
        <v>-29148</v>
      </c>
      <c r="F2610" s="3" t="s">
        <v>493</v>
      </c>
      <c r="G2610" s="3" t="s">
        <v>201</v>
      </c>
      <c r="H2610" s="2" t="s">
        <v>21</v>
      </c>
      <c r="I2610" s="2" t="s">
        <v>5533</v>
      </c>
      <c r="J2610" s="3" t="str">
        <f>HYPERLINK("https://www.boe.es/gazeta/dias/1820/03/11/pdfs/GMD-1820-36.pdf#page=7","Abrir facsímil")</f>
        <v>Abrir facsímil</v>
      </c>
      <c r="K2610" s="3" t="s">
        <v>23</v>
      </c>
    </row>
    <row r="2611" spans="1:11" ht="42" customHeight="1">
      <c r="A2611" s="2" t="s">
        <v>5527</v>
      </c>
      <c r="B2611" s="2" t="s">
        <v>5528</v>
      </c>
      <c r="C2611" s="2" t="s">
        <v>35</v>
      </c>
      <c r="D2611" s="2" t="s">
        <v>310</v>
      </c>
      <c r="E2611" s="5">
        <v>-29147</v>
      </c>
      <c r="F2611" s="3" t="s">
        <v>2547</v>
      </c>
      <c r="G2611" s="3" t="s">
        <v>128</v>
      </c>
      <c r="H2611" s="2" t="s">
        <v>21</v>
      </c>
      <c r="I2611" s="2" t="s">
        <v>5534</v>
      </c>
      <c r="J2611" s="3" t="str">
        <f>HYPERLINK("https://www.boe.es/gazeta/dias/1820/03/12/pdfs/GMD-1820-38E.pdf#page=1","Abrir facsímil")</f>
        <v>Abrir facsímil</v>
      </c>
      <c r="K2611" s="3" t="s">
        <v>23</v>
      </c>
    </row>
    <row r="2612" spans="1:11" ht="42" customHeight="1">
      <c r="A2612" s="2" t="s">
        <v>5527</v>
      </c>
      <c r="B2612" s="2" t="s">
        <v>5528</v>
      </c>
      <c r="C2612" s="2" t="s">
        <v>35</v>
      </c>
      <c r="D2612" s="2" t="s">
        <v>36</v>
      </c>
      <c r="E2612" s="5">
        <v>-29143</v>
      </c>
      <c r="F2612" s="3" t="s">
        <v>334</v>
      </c>
      <c r="G2612" s="3" t="s">
        <v>38</v>
      </c>
      <c r="H2612" s="2" t="s">
        <v>21</v>
      </c>
      <c r="I2612" s="2" t="s">
        <v>5535</v>
      </c>
      <c r="J2612" s="3" t="str">
        <f>HYPERLINK("https://www.boe.es/gazeta/dias/1820/03/16/pdfs/GMD-1820-42.pdf#page=6","Abrir facsímil")</f>
        <v>Abrir facsímil</v>
      </c>
      <c r="K2612" s="3" t="s">
        <v>23</v>
      </c>
    </row>
    <row r="2613" spans="1:11" ht="42" customHeight="1">
      <c r="A2613" s="2" t="s">
        <v>5527</v>
      </c>
      <c r="B2613" s="2" t="s">
        <v>5528</v>
      </c>
      <c r="C2613" s="2" t="s">
        <v>26</v>
      </c>
      <c r="D2613" s="2" t="s">
        <v>310</v>
      </c>
      <c r="E2613" s="5">
        <v>-29142</v>
      </c>
      <c r="F2613" s="3" t="s">
        <v>2712</v>
      </c>
      <c r="G2613" s="3" t="s">
        <v>128</v>
      </c>
      <c r="H2613" s="2" t="s">
        <v>21</v>
      </c>
      <c r="I2613" s="2" t="s">
        <v>5536</v>
      </c>
      <c r="J2613" s="3" t="str">
        <f>HYPERLINK("https://www.boe.es/gazeta/dias/1820/03/17/pdfs/GMD-1820-43E.pdf#page=1","Abrir facsímil")</f>
        <v>Abrir facsímil</v>
      </c>
      <c r="K2613" s="3" t="s">
        <v>23</v>
      </c>
    </row>
    <row r="2614" spans="1:11" ht="42" customHeight="1">
      <c r="A2614" s="2" t="s">
        <v>5527</v>
      </c>
      <c r="B2614" s="2" t="s">
        <v>5528</v>
      </c>
      <c r="C2614" s="2" t="s">
        <v>74</v>
      </c>
      <c r="D2614" s="2" t="s">
        <v>18</v>
      </c>
      <c r="E2614" s="5">
        <v>-29141</v>
      </c>
      <c r="F2614" s="3" t="s">
        <v>319</v>
      </c>
      <c r="G2614" s="3" t="s">
        <v>38</v>
      </c>
      <c r="H2614" s="2" t="s">
        <v>21</v>
      </c>
      <c r="I2614" s="2" t="s">
        <v>5537</v>
      </c>
      <c r="J2614" s="3" t="str">
        <f>HYPERLINK("https://www.boe.es/gazeta/dias/1820/03/18/pdfs/GMD-1820-44.pdf#page=6","Abrir facsímil")</f>
        <v>Abrir facsímil</v>
      </c>
      <c r="K2614" s="3" t="s">
        <v>23</v>
      </c>
    </row>
    <row r="2615" spans="1:11" ht="42" customHeight="1">
      <c r="A2615" s="2" t="s">
        <v>5527</v>
      </c>
      <c r="B2615" s="2" t="s">
        <v>5528</v>
      </c>
      <c r="C2615" s="2" t="s">
        <v>26</v>
      </c>
      <c r="D2615" s="2" t="s">
        <v>27</v>
      </c>
      <c r="E2615" s="5">
        <v>-29136</v>
      </c>
      <c r="F2615" s="3" t="s">
        <v>2972</v>
      </c>
      <c r="G2615" s="3" t="s">
        <v>201</v>
      </c>
      <c r="H2615" s="2" t="s">
        <v>21</v>
      </c>
      <c r="I2615" s="2" t="s">
        <v>5538</v>
      </c>
      <c r="J2615" s="3" t="str">
        <f>HYPERLINK("https://www.boe.es/gazeta/dias/1820/03/23/pdfs/GMD-1820-51.pdf#page=7","Abrir facsímil")</f>
        <v>Abrir facsímil</v>
      </c>
      <c r="K2615" s="3" t="s">
        <v>23</v>
      </c>
    </row>
    <row r="2616" spans="1:11" ht="42" customHeight="1">
      <c r="A2616" s="2" t="s">
        <v>5527</v>
      </c>
      <c r="B2616" s="2" t="s">
        <v>5528</v>
      </c>
      <c r="C2616" s="2" t="s">
        <v>26</v>
      </c>
      <c r="D2616" s="2" t="s">
        <v>27</v>
      </c>
      <c r="E2616" s="5">
        <v>-29134</v>
      </c>
      <c r="F2616" s="3" t="s">
        <v>255</v>
      </c>
      <c r="G2616" s="3" t="s">
        <v>38</v>
      </c>
      <c r="H2616" s="2" t="s">
        <v>21</v>
      </c>
      <c r="I2616" s="2" t="s">
        <v>5539</v>
      </c>
      <c r="J2616" s="3" t="str">
        <f>HYPERLINK("https://www.boe.es/gazeta/dias/1820/03/25/pdfs/GMD-1820-53.pdf#page=6","Abrir facsímil")</f>
        <v>Abrir facsímil</v>
      </c>
      <c r="K2616" s="3" t="s">
        <v>23</v>
      </c>
    </row>
    <row r="2617" spans="1:11" ht="42" customHeight="1">
      <c r="A2617" s="2" t="s">
        <v>5527</v>
      </c>
      <c r="B2617" s="2" t="s">
        <v>5528</v>
      </c>
      <c r="C2617" s="2" t="s">
        <v>111</v>
      </c>
      <c r="D2617" s="2" t="s">
        <v>310</v>
      </c>
      <c r="E2617" s="5">
        <v>-29124</v>
      </c>
      <c r="F2617" s="3" t="s">
        <v>5540</v>
      </c>
      <c r="G2617" s="3" t="s">
        <v>128</v>
      </c>
      <c r="H2617" s="2" t="s">
        <v>21</v>
      </c>
      <c r="I2617" s="2" t="s">
        <v>5541</v>
      </c>
      <c r="J2617" s="3" t="str">
        <f>HYPERLINK("https://www.boe.es/gazeta/dias/1820/04/04/pdfs/GMD-1820-61E.pdf#page=1","Abrir facsímil")</f>
        <v>Abrir facsímil</v>
      </c>
      <c r="K2617" s="3" t="s">
        <v>23</v>
      </c>
    </row>
    <row r="2618" spans="1:11" ht="42" customHeight="1">
      <c r="A2618" s="2" t="s">
        <v>5527</v>
      </c>
      <c r="B2618" s="2" t="s">
        <v>5528</v>
      </c>
      <c r="C2618" s="2" t="s">
        <v>111</v>
      </c>
      <c r="D2618" s="2" t="s">
        <v>310</v>
      </c>
      <c r="E2618" s="5">
        <v>-29124</v>
      </c>
      <c r="F2618" s="3" t="s">
        <v>5540</v>
      </c>
      <c r="G2618" s="3" t="s">
        <v>43</v>
      </c>
      <c r="H2618" s="2" t="s">
        <v>21</v>
      </c>
      <c r="I2618" s="2" t="s">
        <v>5542</v>
      </c>
      <c r="J2618" s="3" t="str">
        <f>HYPERLINK("https://www.boe.es/gazeta/dias/1820/04/04/pdfs/GMD-1820-61E.pdf#page=2","Abrir facsímil")</f>
        <v>Abrir facsímil</v>
      </c>
      <c r="K2618" s="3" t="s">
        <v>23</v>
      </c>
    </row>
    <row r="2619" spans="1:11" ht="42" customHeight="1">
      <c r="A2619" s="2" t="s">
        <v>5527</v>
      </c>
      <c r="B2619" s="2" t="s">
        <v>5528</v>
      </c>
      <c r="C2619" s="2" t="s">
        <v>35</v>
      </c>
      <c r="D2619" s="2" t="s">
        <v>36</v>
      </c>
      <c r="E2619" s="5">
        <v>-29117</v>
      </c>
      <c r="F2619" s="3" t="s">
        <v>1451</v>
      </c>
      <c r="G2619" s="3" t="s">
        <v>1710</v>
      </c>
      <c r="H2619" s="2" t="s">
        <v>21</v>
      </c>
      <c r="I2619" s="2" t="s">
        <v>5543</v>
      </c>
      <c r="J2619" s="3" t="str">
        <f>HYPERLINK("https://www.boe.es/gazeta/dias/1820/04/11/pdfs/GMD-1820-64.pdf#page=4","Abrir facsímil")</f>
        <v>Abrir facsímil</v>
      </c>
      <c r="K2619" s="3" t="s">
        <v>23</v>
      </c>
    </row>
    <row r="2620" spans="1:11" ht="42" customHeight="1">
      <c r="A2620" s="2" t="s">
        <v>5527</v>
      </c>
      <c r="B2620" s="2" t="s">
        <v>5528</v>
      </c>
      <c r="C2620" s="2" t="s">
        <v>74</v>
      </c>
      <c r="D2620" s="2" t="s">
        <v>18</v>
      </c>
      <c r="E2620" s="5">
        <v>-29110</v>
      </c>
      <c r="F2620" s="3" t="s">
        <v>272</v>
      </c>
      <c r="G2620" s="3" t="s">
        <v>201</v>
      </c>
      <c r="H2620" s="2" t="s">
        <v>21</v>
      </c>
      <c r="I2620" s="2" t="s">
        <v>5544</v>
      </c>
      <c r="J2620" s="3" t="str">
        <f>HYPERLINK("https://www.boe.es/gazeta/dias/1820/04/18/pdfs/GMD-1820-67.pdf#page=7","Abrir facsímil")</f>
        <v>Abrir facsímil</v>
      </c>
      <c r="K2620" s="3" t="s">
        <v>23</v>
      </c>
    </row>
    <row r="2621" spans="1:11" ht="42" customHeight="1">
      <c r="A2621" s="2" t="s">
        <v>5527</v>
      </c>
      <c r="B2621" s="2" t="s">
        <v>5528</v>
      </c>
      <c r="C2621" s="2" t="s">
        <v>17</v>
      </c>
      <c r="D2621" s="2" t="s">
        <v>18</v>
      </c>
      <c r="E2621" s="5">
        <v>-29103</v>
      </c>
      <c r="F2621" s="3" t="s">
        <v>313</v>
      </c>
      <c r="G2621" s="3" t="s">
        <v>256</v>
      </c>
      <c r="H2621" s="2" t="s">
        <v>21</v>
      </c>
      <c r="I2621" s="2" t="s">
        <v>5545</v>
      </c>
      <c r="J2621" s="3" t="str">
        <f>HYPERLINK("https://www.boe.es/gazeta/dias/1820/04/25/pdfs/GMD-1820-70.pdf#page=5","Abrir facsímil")</f>
        <v>Abrir facsímil</v>
      </c>
      <c r="K2621" s="3" t="s">
        <v>23</v>
      </c>
    </row>
    <row r="2622" spans="1:11" ht="42" customHeight="1">
      <c r="A2622" s="2" t="s">
        <v>5527</v>
      </c>
      <c r="B2622" s="2" t="s">
        <v>5528</v>
      </c>
      <c r="C2622" s="2" t="s">
        <v>35</v>
      </c>
      <c r="D2622" s="2" t="s">
        <v>36</v>
      </c>
      <c r="E2622" s="5">
        <v>-29094</v>
      </c>
      <c r="F2622" s="3" t="s">
        <v>560</v>
      </c>
      <c r="G2622" s="3" t="s">
        <v>295</v>
      </c>
      <c r="H2622" s="2" t="s">
        <v>21</v>
      </c>
      <c r="I2622" s="2" t="s">
        <v>5546</v>
      </c>
      <c r="J2622" s="3" t="str">
        <f>HYPERLINK("https://www.boe.es/gazeta/dias/1820/05/04/pdfs/GMD-1820-75.pdf#page=8","Abrir facsímil")</f>
        <v>Abrir facsímil</v>
      </c>
      <c r="K2622" s="3" t="s">
        <v>23</v>
      </c>
    </row>
    <row r="2623" spans="1:11" ht="42" customHeight="1">
      <c r="A2623" s="2" t="s">
        <v>5527</v>
      </c>
      <c r="B2623" s="2" t="s">
        <v>5528</v>
      </c>
      <c r="C2623" s="2" t="s">
        <v>74</v>
      </c>
      <c r="D2623" s="2" t="s">
        <v>18</v>
      </c>
      <c r="E2623" s="5">
        <v>-29068</v>
      </c>
      <c r="F2623" s="3" t="s">
        <v>943</v>
      </c>
      <c r="G2623" s="3" t="s">
        <v>975</v>
      </c>
      <c r="H2623" s="2" t="s">
        <v>21</v>
      </c>
      <c r="I2623" s="2" t="s">
        <v>5547</v>
      </c>
      <c r="J2623" s="3" t="str">
        <f>HYPERLINK("https://www.boe.es/gazeta/dias/1820/05/30/pdfs/GMD-1820-87.pdf#page=12","Abrir facsímil")</f>
        <v>Abrir facsímil</v>
      </c>
      <c r="K2623" s="3" t="s">
        <v>23</v>
      </c>
    </row>
    <row r="2624" spans="1:11" ht="42" customHeight="1">
      <c r="A2624" s="2" t="s">
        <v>5527</v>
      </c>
      <c r="B2624" s="2" t="s">
        <v>5528</v>
      </c>
      <c r="C2624" s="2" t="s">
        <v>74</v>
      </c>
      <c r="D2624" s="2" t="s">
        <v>18</v>
      </c>
      <c r="E2624" s="5">
        <v>-28966</v>
      </c>
      <c r="F2624" s="3" t="s">
        <v>701</v>
      </c>
      <c r="G2624" s="3" t="s">
        <v>43</v>
      </c>
      <c r="H2624" s="2" t="s">
        <v>21</v>
      </c>
      <c r="I2624" s="2" t="s">
        <v>5548</v>
      </c>
      <c r="J2624" s="3" t="str">
        <f>HYPERLINK("https://www.boe.es/gazeta/dias/1820/09/09/pdfs/GGB-1820-73.pdf#page=2","Abrir facsímil")</f>
        <v>Abrir facsímil</v>
      </c>
      <c r="K2624" s="3" t="s">
        <v>23</v>
      </c>
    </row>
    <row r="2625" spans="1:11" ht="42" customHeight="1">
      <c r="A2625" s="2" t="s">
        <v>5527</v>
      </c>
      <c r="B2625" s="2" t="s">
        <v>5528</v>
      </c>
      <c r="C2625" s="2" t="s">
        <v>26</v>
      </c>
      <c r="D2625" s="2" t="s">
        <v>27</v>
      </c>
      <c r="E2625" s="5">
        <v>-28895</v>
      </c>
      <c r="F2625" s="3" t="s">
        <v>347</v>
      </c>
      <c r="G2625" s="3" t="s">
        <v>20</v>
      </c>
      <c r="H2625" s="2" t="s">
        <v>21</v>
      </c>
      <c r="I2625" s="2" t="s">
        <v>5549</v>
      </c>
      <c r="J2625" s="3" t="str">
        <f>HYPERLINK("https://www.boe.es/gazeta/dias/1820/11/19/pdfs/GGB-1820-146.pdf#page=4","Abrir facsímil")</f>
        <v>Abrir facsímil</v>
      </c>
      <c r="K2625" s="3" t="s">
        <v>23</v>
      </c>
    </row>
    <row r="2626" spans="1:11" ht="42" customHeight="1">
      <c r="A2626" s="2" t="s">
        <v>5550</v>
      </c>
      <c r="B2626" s="2" t="s">
        <v>5551</v>
      </c>
      <c r="C2626" s="2" t="s">
        <v>26</v>
      </c>
      <c r="D2626" s="2" t="s">
        <v>27</v>
      </c>
      <c r="E2626" s="5">
        <v>-28977</v>
      </c>
      <c r="F2626" s="3" t="s">
        <v>687</v>
      </c>
      <c r="G2626" s="3" t="s">
        <v>43</v>
      </c>
      <c r="H2626" s="2" t="s">
        <v>21</v>
      </c>
      <c r="I2626" s="2" t="s">
        <v>5552</v>
      </c>
      <c r="J2626" s="3" t="str">
        <f>HYPERLINK("https://www.boe.es/gazeta/dias/1820/08/29/pdfs/GGB-1820-62.pdf#page=2","Abrir facsímil")</f>
        <v>Abrir facsímil</v>
      </c>
      <c r="K2626" s="3" t="s">
        <v>23</v>
      </c>
    </row>
    <row r="2627" spans="1:11" ht="42" customHeight="1">
      <c r="A2627" s="2" t="s">
        <v>5553</v>
      </c>
      <c r="B2627" s="2" t="s">
        <v>5554</v>
      </c>
      <c r="C2627" s="2" t="s">
        <v>35</v>
      </c>
      <c r="D2627" s="2" t="s">
        <v>36</v>
      </c>
      <c r="E2627" s="5">
        <v>-28977</v>
      </c>
      <c r="F2627" s="3" t="s">
        <v>687</v>
      </c>
      <c r="G2627" s="3" t="s">
        <v>20</v>
      </c>
      <c r="H2627" s="2" t="s">
        <v>21</v>
      </c>
      <c r="I2627" s="2" t="s">
        <v>5555</v>
      </c>
      <c r="J2627" s="3" t="str">
        <f>HYPERLINK("https://www.boe.es/gazeta/dias/1820/08/29/pdfs/GGB-1820-62.pdf#page=4","Abrir facsímil")</f>
        <v>Abrir facsímil</v>
      </c>
      <c r="K2627" s="3" t="s">
        <v>23</v>
      </c>
    </row>
    <row r="2628" spans="1:11" ht="42" customHeight="1">
      <c r="A2628" s="2" t="s">
        <v>5553</v>
      </c>
      <c r="B2628" s="2" t="s">
        <v>5554</v>
      </c>
      <c r="C2628" s="2" t="s">
        <v>35</v>
      </c>
      <c r="D2628" s="2" t="s">
        <v>36</v>
      </c>
      <c r="E2628" s="5">
        <v>-28921</v>
      </c>
      <c r="F2628" s="3" t="s">
        <v>738</v>
      </c>
      <c r="G2628" s="3" t="s">
        <v>20</v>
      </c>
      <c r="H2628" s="2" t="s">
        <v>21</v>
      </c>
      <c r="I2628" s="2" t="s">
        <v>5556</v>
      </c>
      <c r="J2628" s="3" t="str">
        <f>HYPERLINK("https://www.boe.es/gazeta/dias/1820/10/24/pdfs/GGB-1820-118.pdf#page=4","Abrir facsímil")</f>
        <v>Abrir facsímil</v>
      </c>
      <c r="K2628" s="3" t="s">
        <v>23</v>
      </c>
    </row>
    <row r="2629" spans="1:11" ht="42" customHeight="1">
      <c r="A2629" s="2" t="s">
        <v>5557</v>
      </c>
      <c r="B2629" s="2" t="s">
        <v>5558</v>
      </c>
      <c r="C2629" s="2" t="s">
        <v>17</v>
      </c>
      <c r="D2629" s="2" t="s">
        <v>18</v>
      </c>
      <c r="E2629" s="5">
        <v>-29021</v>
      </c>
      <c r="F2629" s="3" t="s">
        <v>377</v>
      </c>
      <c r="G2629" s="3" t="s">
        <v>62</v>
      </c>
      <c r="H2629" s="2" t="s">
        <v>21</v>
      </c>
      <c r="I2629" s="2" t="s">
        <v>5559</v>
      </c>
      <c r="J2629" s="3" t="str">
        <f>HYPERLINK("https://www.boe.es/gazeta/dias/1820/07/16/pdfs/GGB-1820-18.pdf#page=3","Abrir facsímil")</f>
        <v>Abrir facsímil</v>
      </c>
      <c r="K2629" s="3" t="s">
        <v>23</v>
      </c>
    </row>
    <row r="2630" spans="1:11" ht="42" customHeight="1">
      <c r="A2630" s="2" t="s">
        <v>5557</v>
      </c>
      <c r="B2630" s="2" t="s">
        <v>5558</v>
      </c>
      <c r="C2630" s="2" t="s">
        <v>35</v>
      </c>
      <c r="D2630" s="2" t="s">
        <v>36</v>
      </c>
      <c r="E2630" s="5">
        <v>-28959</v>
      </c>
      <c r="F2630" s="3" t="s">
        <v>37</v>
      </c>
      <c r="G2630" s="3" t="s">
        <v>38</v>
      </c>
      <c r="H2630" s="2" t="s">
        <v>21</v>
      </c>
      <c r="I2630" s="2" t="s">
        <v>5560</v>
      </c>
      <c r="J2630" s="3" t="str">
        <f>HYPERLINK("https://www.boe.es/gazeta/dias/1820/09/16/pdfs/GGB-1820-80.pdf#page=6","Abrir facsímil")</f>
        <v>Abrir facsímil</v>
      </c>
      <c r="K2630" s="3" t="s">
        <v>23</v>
      </c>
    </row>
    <row r="2631" spans="1:11" ht="42" customHeight="1">
      <c r="A2631" s="2" t="s">
        <v>5557</v>
      </c>
      <c r="B2631" s="2" t="s">
        <v>5558</v>
      </c>
      <c r="C2631" s="2" t="s">
        <v>26</v>
      </c>
      <c r="D2631" s="2" t="s">
        <v>27</v>
      </c>
      <c r="E2631" s="5">
        <v>-28879</v>
      </c>
      <c r="F2631" s="3" t="s">
        <v>953</v>
      </c>
      <c r="G2631" s="3" t="s">
        <v>62</v>
      </c>
      <c r="H2631" s="2" t="s">
        <v>21</v>
      </c>
      <c r="I2631" s="2" t="s">
        <v>5561</v>
      </c>
      <c r="J2631" s="3" t="str">
        <f>HYPERLINK("https://www.boe.es/gazeta/dias/1820/12/05/pdfs/GGB-1820-162.pdf#page=3","Abrir facsímil")</f>
        <v>Abrir facsímil</v>
      </c>
      <c r="K2631" s="3" t="s">
        <v>23</v>
      </c>
    </row>
    <row r="2632" spans="1:11" ht="42" customHeight="1">
      <c r="A2632" s="2" t="s">
        <v>5557</v>
      </c>
      <c r="B2632" s="2" t="s">
        <v>5558</v>
      </c>
      <c r="C2632" s="2" t="s">
        <v>47</v>
      </c>
      <c r="D2632" s="2" t="s">
        <v>18</v>
      </c>
      <c r="E2632" s="5">
        <v>-28874</v>
      </c>
      <c r="F2632" s="3" t="s">
        <v>103</v>
      </c>
      <c r="G2632" s="3" t="s">
        <v>20</v>
      </c>
      <c r="H2632" s="2" t="s">
        <v>21</v>
      </c>
      <c r="I2632" s="2" t="s">
        <v>5562</v>
      </c>
      <c r="J2632" s="3" t="str">
        <f>HYPERLINK("https://www.boe.es/gazeta/dias/1820/12/10/pdfs/GGB-1820-167.pdf#page=4","Abrir facsímil")</f>
        <v>Abrir facsímil</v>
      </c>
      <c r="K2632" s="3" t="s">
        <v>23</v>
      </c>
    </row>
    <row r="2633" spans="1:11" ht="42" customHeight="1">
      <c r="A2633" s="2" t="s">
        <v>5563</v>
      </c>
      <c r="B2633" s="2" t="s">
        <v>5564</v>
      </c>
      <c r="C2633" s="2" t="s">
        <v>74</v>
      </c>
      <c r="D2633" s="2" t="s">
        <v>18</v>
      </c>
      <c r="E2633" s="5">
        <v>-28909</v>
      </c>
      <c r="F2633" s="3" t="s">
        <v>278</v>
      </c>
      <c r="G2633" s="3" t="s">
        <v>20</v>
      </c>
      <c r="H2633" s="2" t="s">
        <v>21</v>
      </c>
      <c r="I2633" s="2" t="s">
        <v>5565</v>
      </c>
      <c r="J2633" s="3" t="str">
        <f>HYPERLINK("https://www.boe.es/gazeta/dias/1820/11/05/pdfs/GGB-1820-130.pdf#page=4","Abrir facsímil")</f>
        <v>Abrir facsímil</v>
      </c>
      <c r="K2633" s="3" t="s">
        <v>23</v>
      </c>
    </row>
    <row r="2634" spans="1:11" ht="42" customHeight="1">
      <c r="A2634" s="2" t="s">
        <v>5566</v>
      </c>
      <c r="B2634" s="2" t="s">
        <v>5567</v>
      </c>
      <c r="C2634" s="2" t="s">
        <v>35</v>
      </c>
      <c r="D2634" s="2" t="s">
        <v>36</v>
      </c>
      <c r="E2634" s="5">
        <v>-28934</v>
      </c>
      <c r="F2634" s="3" t="s">
        <v>163</v>
      </c>
      <c r="G2634" s="3" t="s">
        <v>1539</v>
      </c>
      <c r="H2634" s="2" t="s">
        <v>21</v>
      </c>
      <c r="I2634" s="2" t="s">
        <v>5568</v>
      </c>
      <c r="J2634" s="3" t="str">
        <f>HYPERLINK("https://www.boe.es/gazeta/dias/1820/10/11/pdfs/GGB-1820-105.pdf#page=2","Abrir facsímil")</f>
        <v>Abrir facsímil</v>
      </c>
      <c r="K2634" s="3" t="s">
        <v>23</v>
      </c>
    </row>
    <row r="2635" spans="1:11" ht="42" customHeight="1">
      <c r="A2635" s="2" t="s">
        <v>5566</v>
      </c>
      <c r="B2635" s="2" t="s">
        <v>5567</v>
      </c>
      <c r="C2635" s="2" t="s">
        <v>17</v>
      </c>
      <c r="D2635" s="2" t="s">
        <v>18</v>
      </c>
      <c r="E2635" s="5">
        <v>-28912</v>
      </c>
      <c r="F2635" s="3" t="s">
        <v>1329</v>
      </c>
      <c r="G2635" s="3" t="s">
        <v>62</v>
      </c>
      <c r="H2635" s="2" t="s">
        <v>21</v>
      </c>
      <c r="I2635" s="2" t="s">
        <v>5569</v>
      </c>
      <c r="J2635" s="3" t="str">
        <f>HYPERLINK("https://www.boe.es/gazeta/dias/1820/11/02/pdfs/GGB-1820-127.pdf#page=3","Abrir facsímil")</f>
        <v>Abrir facsímil</v>
      </c>
      <c r="K2635" s="3" t="s">
        <v>23</v>
      </c>
    </row>
    <row r="2636" spans="1:11" ht="42" customHeight="1">
      <c r="A2636" s="2" t="s">
        <v>5570</v>
      </c>
      <c r="B2636" s="2" t="s">
        <v>5571</v>
      </c>
      <c r="C2636" s="2" t="s">
        <v>26</v>
      </c>
      <c r="D2636" s="2" t="s">
        <v>27</v>
      </c>
      <c r="E2636" s="5">
        <v>-29145</v>
      </c>
      <c r="F2636" s="3" t="s">
        <v>3537</v>
      </c>
      <c r="G2636" s="3" t="s">
        <v>4091</v>
      </c>
      <c r="H2636" s="2" t="s">
        <v>21</v>
      </c>
      <c r="I2636" s="2" t="s">
        <v>5572</v>
      </c>
      <c r="J2636" s="3" t="str">
        <f>HYPERLINK("https://www.boe.es/gazeta/dias/1820/03/14/pdfs/GMD-1820-39.pdf#page=5","Abrir facsímil")</f>
        <v>Abrir facsímil</v>
      </c>
      <c r="K2636" s="3" t="s">
        <v>23</v>
      </c>
    </row>
    <row r="2637" spans="1:11" ht="42" customHeight="1">
      <c r="A2637" s="2" t="s">
        <v>5573</v>
      </c>
      <c r="B2637" s="2" t="s">
        <v>5574</v>
      </c>
      <c r="C2637" s="2" t="s">
        <v>107</v>
      </c>
      <c r="D2637" s="2" t="s">
        <v>18</v>
      </c>
      <c r="E2637" s="5">
        <v>-29159</v>
      </c>
      <c r="F2637" s="3" t="s">
        <v>1022</v>
      </c>
      <c r="G2637" s="3" t="s">
        <v>1023</v>
      </c>
      <c r="H2637" s="2" t="s">
        <v>21</v>
      </c>
      <c r="I2637" s="2" t="s">
        <v>5575</v>
      </c>
      <c r="J2637" s="3" t="str">
        <f>HYPERLINK("https://www.boe.es/gazeta/dias/1820/02/29/pdfs/GMD-1820-26.pdf#page=4","Abrir facsímil")</f>
        <v>Abrir facsímil</v>
      </c>
      <c r="K2637" s="3" t="s">
        <v>23</v>
      </c>
    </row>
    <row r="2638" spans="1:11" ht="42" customHeight="1">
      <c r="A2638" s="2" t="s">
        <v>5576</v>
      </c>
      <c r="B2638" s="2" t="s">
        <v>5577</v>
      </c>
      <c r="C2638" s="2" t="s">
        <v>26</v>
      </c>
      <c r="D2638" s="2" t="s">
        <v>27</v>
      </c>
      <c r="E2638" s="5">
        <v>-29022</v>
      </c>
      <c r="F2638" s="3" t="s">
        <v>1310</v>
      </c>
      <c r="G2638" s="3" t="s">
        <v>20</v>
      </c>
      <c r="H2638" s="2" t="s">
        <v>21</v>
      </c>
      <c r="I2638" s="2" t="s">
        <v>5578</v>
      </c>
      <c r="J2638" s="3" t="str">
        <f>HYPERLINK("https://www.boe.es/gazeta/dias/1820/07/15/pdfs/GGB-1820-17.pdf#page=4","Abrir facsímil")</f>
        <v>Abrir facsímil</v>
      </c>
      <c r="K2638" s="3" t="s">
        <v>23</v>
      </c>
    </row>
    <row r="2639" spans="1:11" ht="42" customHeight="1">
      <c r="A2639" s="2" t="s">
        <v>5579</v>
      </c>
      <c r="B2639" s="2" t="s">
        <v>5579</v>
      </c>
      <c r="C2639" s="2" t="s">
        <v>35</v>
      </c>
      <c r="D2639" s="2" t="s">
        <v>36</v>
      </c>
      <c r="E2639" s="5">
        <v>-29016</v>
      </c>
      <c r="F2639" s="3" t="s">
        <v>657</v>
      </c>
      <c r="G2639" s="3" t="s">
        <v>43</v>
      </c>
      <c r="H2639" s="2" t="s">
        <v>21</v>
      </c>
      <c r="I2639" s="2" t="s">
        <v>5580</v>
      </c>
      <c r="J2639" s="3" t="str">
        <f>HYPERLINK("https://www.boe.es/gazeta/dias/1820/07/21/pdfs/GGB-1820-23.pdf#page=2","Abrir facsímil")</f>
        <v>Abrir facsímil</v>
      </c>
      <c r="K2639" s="3" t="s">
        <v>23</v>
      </c>
    </row>
    <row r="2640" spans="1:11" ht="42" customHeight="1">
      <c r="A2640" s="2" t="s">
        <v>5581</v>
      </c>
      <c r="B2640" s="2" t="s">
        <v>5581</v>
      </c>
      <c r="C2640" s="2" t="s">
        <v>293</v>
      </c>
      <c r="D2640" s="2" t="s">
        <v>18</v>
      </c>
      <c r="E2640" s="5">
        <v>-28987</v>
      </c>
      <c r="F2640" s="3" t="s">
        <v>680</v>
      </c>
      <c r="G2640" s="3" t="s">
        <v>20</v>
      </c>
      <c r="H2640" s="2" t="s">
        <v>21</v>
      </c>
      <c r="I2640" s="2" t="s">
        <v>5582</v>
      </c>
      <c r="J2640" s="3" t="str">
        <f>HYPERLINK("https://www.boe.es/gazeta/dias/1820/08/19/pdfs/GGB-1820-52.pdf#page=4","Abrir facsímil")</f>
        <v>Abrir facsímil</v>
      </c>
      <c r="K2640" s="3" t="s">
        <v>23</v>
      </c>
    </row>
    <row r="2641" spans="1:11" ht="42" customHeight="1">
      <c r="A2641" s="2" t="s">
        <v>5583</v>
      </c>
      <c r="B2641" s="2" t="s">
        <v>5583</v>
      </c>
      <c r="C2641" s="2" t="s">
        <v>17</v>
      </c>
      <c r="D2641" s="2" t="s">
        <v>18</v>
      </c>
      <c r="E2641" s="5">
        <v>-29005</v>
      </c>
      <c r="F2641" s="3" t="s">
        <v>1656</v>
      </c>
      <c r="G2641" s="3" t="s">
        <v>43</v>
      </c>
      <c r="H2641" s="2" t="s">
        <v>21</v>
      </c>
      <c r="I2641" s="2" t="s">
        <v>5584</v>
      </c>
      <c r="J2641" s="3" t="str">
        <f>HYPERLINK("https://www.boe.es/gazeta/dias/1820/08/01/pdfs/GGB-1820-34.pdf#page=2","Abrir facsímil")</f>
        <v>Abrir facsímil</v>
      </c>
      <c r="K2641" s="3" t="s">
        <v>23</v>
      </c>
    </row>
    <row r="2642" spans="1:11" ht="42" customHeight="1">
      <c r="A2642" s="2" t="s">
        <v>5585</v>
      </c>
      <c r="B2642" s="2" t="s">
        <v>5585</v>
      </c>
      <c r="C2642" s="2" t="s">
        <v>74</v>
      </c>
      <c r="D2642" s="2" t="s">
        <v>18</v>
      </c>
      <c r="E2642" s="5">
        <v>-29002</v>
      </c>
      <c r="F2642" s="3" t="s">
        <v>124</v>
      </c>
      <c r="G2642" s="3" t="s">
        <v>62</v>
      </c>
      <c r="H2642" s="2" t="s">
        <v>21</v>
      </c>
      <c r="I2642" s="2" t="s">
        <v>5586</v>
      </c>
      <c r="J2642" s="3" t="str">
        <f>HYPERLINK("https://www.boe.es/gazeta/dias/1820/08/04/pdfs/GGB-1820-37.pdf#page=3","Abrir facsímil")</f>
        <v>Abrir facsímil</v>
      </c>
      <c r="K2642" s="3" t="s">
        <v>23</v>
      </c>
    </row>
    <row r="2643" spans="1:11" ht="42" customHeight="1">
      <c r="A2643" s="2" t="s">
        <v>5585</v>
      </c>
      <c r="B2643" s="2" t="s">
        <v>5585</v>
      </c>
      <c r="C2643" s="2" t="s">
        <v>111</v>
      </c>
      <c r="D2643" s="2" t="s">
        <v>18</v>
      </c>
      <c r="E2643" s="5">
        <v>-28988</v>
      </c>
      <c r="F2643" s="3" t="s">
        <v>618</v>
      </c>
      <c r="G2643" s="3" t="s">
        <v>62</v>
      </c>
      <c r="H2643" s="2" t="s">
        <v>21</v>
      </c>
      <c r="I2643" s="2" t="s">
        <v>5587</v>
      </c>
      <c r="J2643" s="3" t="str">
        <f>HYPERLINK("https://www.boe.es/gazeta/dias/1820/08/18/pdfs/GGB-1820-51.pdf#page=3","Abrir facsímil")</f>
        <v>Abrir facsímil</v>
      </c>
      <c r="K2643" s="3" t="s">
        <v>23</v>
      </c>
    </row>
    <row r="2644" spans="1:11" ht="42" customHeight="1">
      <c r="A2644" s="2" t="s">
        <v>5585</v>
      </c>
      <c r="B2644" s="2" t="s">
        <v>5585</v>
      </c>
      <c r="C2644" s="2" t="s">
        <v>74</v>
      </c>
      <c r="D2644" s="2" t="s">
        <v>18</v>
      </c>
      <c r="E2644" s="5">
        <v>-28984</v>
      </c>
      <c r="F2644" s="3" t="s">
        <v>520</v>
      </c>
      <c r="G2644" s="3" t="s">
        <v>20</v>
      </c>
      <c r="H2644" s="2" t="s">
        <v>21</v>
      </c>
      <c r="I2644" s="2" t="s">
        <v>5588</v>
      </c>
      <c r="J2644" s="3" t="str">
        <f>HYPERLINK("https://www.boe.es/gazeta/dias/1820/08/22/pdfs/GGB-1820-55.pdf#page=4","Abrir facsímil")</f>
        <v>Abrir facsímil</v>
      </c>
      <c r="K2644" s="3" t="s">
        <v>23</v>
      </c>
    </row>
    <row r="2645" spans="1:11" ht="42" customHeight="1">
      <c r="A2645" s="2" t="s">
        <v>5585</v>
      </c>
      <c r="B2645" s="2" t="s">
        <v>5585</v>
      </c>
      <c r="C2645" s="2" t="s">
        <v>26</v>
      </c>
      <c r="D2645" s="2" t="s">
        <v>27</v>
      </c>
      <c r="E2645" s="5">
        <v>-28981</v>
      </c>
      <c r="F2645" s="3" t="s">
        <v>42</v>
      </c>
      <c r="G2645" s="3" t="s">
        <v>62</v>
      </c>
      <c r="H2645" s="2" t="s">
        <v>21</v>
      </c>
      <c r="I2645" s="2" t="s">
        <v>5589</v>
      </c>
      <c r="J2645" s="3" t="str">
        <f>HYPERLINK("https://www.boe.es/gazeta/dias/1820/08/25/pdfs/GGB-1820-58.pdf#page=3","Abrir facsímil")</f>
        <v>Abrir facsímil</v>
      </c>
      <c r="K2645" s="3" t="s">
        <v>23</v>
      </c>
    </row>
    <row r="2646" spans="1:11" ht="42" customHeight="1">
      <c r="A2646" s="2" t="s">
        <v>5583</v>
      </c>
      <c r="B2646" s="2" t="s">
        <v>5583</v>
      </c>
      <c r="C2646" s="2" t="s">
        <v>17</v>
      </c>
      <c r="D2646" s="2" t="s">
        <v>18</v>
      </c>
      <c r="E2646" s="5">
        <v>-28979</v>
      </c>
      <c r="F2646" s="3" t="s">
        <v>218</v>
      </c>
      <c r="G2646" s="3" t="s">
        <v>20</v>
      </c>
      <c r="H2646" s="2" t="s">
        <v>21</v>
      </c>
      <c r="I2646" s="2" t="s">
        <v>5590</v>
      </c>
      <c r="J2646" s="3" t="str">
        <f>HYPERLINK("https://www.boe.es/gazeta/dias/1820/08/27/pdfs/GGB-1820-60.pdf#page=4","Abrir facsímil")</f>
        <v>Abrir facsímil</v>
      </c>
      <c r="K2646" s="3" t="s">
        <v>23</v>
      </c>
    </row>
    <row r="2647" spans="1:11" ht="42" customHeight="1">
      <c r="A2647" s="2" t="s">
        <v>5585</v>
      </c>
      <c r="B2647" s="2" t="s">
        <v>5585</v>
      </c>
      <c r="C2647" s="2" t="s">
        <v>35</v>
      </c>
      <c r="D2647" s="2" t="s">
        <v>36</v>
      </c>
      <c r="E2647" s="5">
        <v>-28970</v>
      </c>
      <c r="F2647" s="3" t="s">
        <v>693</v>
      </c>
      <c r="G2647" s="3" t="s">
        <v>43</v>
      </c>
      <c r="H2647" s="2" t="s">
        <v>21</v>
      </c>
      <c r="I2647" s="2" t="s">
        <v>5591</v>
      </c>
      <c r="J2647" s="3" t="str">
        <f>HYPERLINK("https://www.boe.es/gazeta/dias/1820/09/05/pdfs/GGB-1820-69.pdf#page=2","Abrir facsímil")</f>
        <v>Abrir facsímil</v>
      </c>
      <c r="K2647" s="3" t="s">
        <v>23</v>
      </c>
    </row>
    <row r="2648" spans="1:11" ht="42" customHeight="1">
      <c r="A2648" s="2" t="s">
        <v>5585</v>
      </c>
      <c r="B2648" s="2" t="s">
        <v>5585</v>
      </c>
      <c r="C2648" s="2" t="s">
        <v>111</v>
      </c>
      <c r="D2648" s="2" t="s">
        <v>18</v>
      </c>
      <c r="E2648" s="5">
        <v>-28965</v>
      </c>
      <c r="F2648" s="3" t="s">
        <v>1520</v>
      </c>
      <c r="G2648" s="3" t="s">
        <v>62</v>
      </c>
      <c r="H2648" s="2" t="s">
        <v>21</v>
      </c>
      <c r="I2648" s="2" t="s">
        <v>5592</v>
      </c>
      <c r="J2648" s="3" t="str">
        <f>HYPERLINK("https://www.boe.es/gazeta/dias/1820/09/10/pdfs/GGB-1820-74.pdf#page=3","Abrir facsímil")</f>
        <v>Abrir facsímil</v>
      </c>
      <c r="K2648" s="3" t="s">
        <v>23</v>
      </c>
    </row>
    <row r="2649" spans="1:11" ht="42" customHeight="1">
      <c r="A2649" s="2" t="s">
        <v>5585</v>
      </c>
      <c r="B2649" s="2" t="s">
        <v>5585</v>
      </c>
      <c r="C2649" s="2" t="s">
        <v>74</v>
      </c>
      <c r="D2649" s="2" t="s">
        <v>18</v>
      </c>
      <c r="E2649" s="5">
        <v>-28958</v>
      </c>
      <c r="F2649" s="3" t="s">
        <v>706</v>
      </c>
      <c r="G2649" s="3" t="s">
        <v>43</v>
      </c>
      <c r="H2649" s="2" t="s">
        <v>21</v>
      </c>
      <c r="I2649" s="2" t="s">
        <v>5593</v>
      </c>
      <c r="J2649" s="3" t="str">
        <f>HYPERLINK("https://www.boe.es/gazeta/dias/1820/09/17/pdfs/GGB-1820-81.pdf#page=2","Abrir facsímil")</f>
        <v>Abrir facsímil</v>
      </c>
      <c r="K2649" s="3" t="s">
        <v>23</v>
      </c>
    </row>
    <row r="2650" spans="1:11" ht="42" customHeight="1">
      <c r="A2650" s="2" t="s">
        <v>5585</v>
      </c>
      <c r="B2650" s="2" t="s">
        <v>5585</v>
      </c>
      <c r="C2650" s="2" t="s">
        <v>74</v>
      </c>
      <c r="D2650" s="2" t="s">
        <v>18</v>
      </c>
      <c r="E2650" s="5">
        <v>-28952</v>
      </c>
      <c r="F2650" s="3" t="s">
        <v>370</v>
      </c>
      <c r="G2650" s="3" t="s">
        <v>43</v>
      </c>
      <c r="H2650" s="2" t="s">
        <v>21</v>
      </c>
      <c r="I2650" s="2" t="s">
        <v>5594</v>
      </c>
      <c r="J2650" s="3" t="str">
        <f>HYPERLINK("https://www.boe.es/gazeta/dias/1820/09/23/pdfs/GGB-1820-87.pdf#page=2","Abrir facsímil")</f>
        <v>Abrir facsímil</v>
      </c>
      <c r="K2650" s="3" t="s">
        <v>23</v>
      </c>
    </row>
    <row r="2651" spans="1:11" ht="42" customHeight="1">
      <c r="A2651" s="2" t="s">
        <v>5585</v>
      </c>
      <c r="B2651" s="2" t="s">
        <v>5585</v>
      </c>
      <c r="C2651" s="2" t="s">
        <v>74</v>
      </c>
      <c r="D2651" s="2" t="s">
        <v>18</v>
      </c>
      <c r="E2651" s="5">
        <v>-28950</v>
      </c>
      <c r="F2651" s="3" t="s">
        <v>1052</v>
      </c>
      <c r="G2651" s="3" t="s">
        <v>62</v>
      </c>
      <c r="H2651" s="2" t="s">
        <v>21</v>
      </c>
      <c r="I2651" s="2" t="s">
        <v>5595</v>
      </c>
      <c r="J2651" s="3" t="str">
        <f>HYPERLINK("https://www.boe.es/gazeta/dias/1820/09/25/pdfs/GGB-1820-89.pdf#page=3","Abrir facsímil")</f>
        <v>Abrir facsímil</v>
      </c>
      <c r="K2651" s="3" t="s">
        <v>23</v>
      </c>
    </row>
    <row r="2652" spans="1:11" ht="42" customHeight="1">
      <c r="A2652" s="2" t="s">
        <v>5585</v>
      </c>
      <c r="B2652" s="2" t="s">
        <v>5585</v>
      </c>
      <c r="C2652" s="2" t="s">
        <v>35</v>
      </c>
      <c r="D2652" s="2" t="s">
        <v>36</v>
      </c>
      <c r="E2652" s="5">
        <v>-28946</v>
      </c>
      <c r="F2652" s="3" t="s">
        <v>1055</v>
      </c>
      <c r="G2652" s="3" t="s">
        <v>4558</v>
      </c>
      <c r="H2652" s="2" t="s">
        <v>21</v>
      </c>
      <c r="I2652" s="2" t="s">
        <v>5596</v>
      </c>
      <c r="J2652" s="3" t="str">
        <f>HYPERLINK("https://www.boe.es/gazeta/dias/1820/09/29/pdfs/GGB-1820-93.pdf#page=3","Abrir facsímil")</f>
        <v>Abrir facsímil</v>
      </c>
      <c r="K2652" s="3" t="s">
        <v>23</v>
      </c>
    </row>
    <row r="2653" spans="1:11" ht="42" customHeight="1">
      <c r="A2653" s="2" t="s">
        <v>5585</v>
      </c>
      <c r="B2653" s="2" t="s">
        <v>5585</v>
      </c>
      <c r="C2653" s="2" t="s">
        <v>107</v>
      </c>
      <c r="D2653" s="2" t="s">
        <v>18</v>
      </c>
      <c r="E2653" s="5">
        <v>-28944</v>
      </c>
      <c r="F2653" s="3" t="s">
        <v>990</v>
      </c>
      <c r="G2653" s="3" t="s">
        <v>1548</v>
      </c>
      <c r="H2653" s="2" t="s">
        <v>21</v>
      </c>
      <c r="I2653" s="2" t="s">
        <v>5597</v>
      </c>
      <c r="J2653" s="3" t="str">
        <f>HYPERLINK("https://www.boe.es/gazeta/dias/1820/10/01/pdfs/GGB-1820-95.pdf#page=2","Abrir facsímil")</f>
        <v>Abrir facsímil</v>
      </c>
      <c r="K2653" s="3" t="s">
        <v>23</v>
      </c>
    </row>
    <row r="2654" spans="1:11" ht="42" customHeight="1">
      <c r="A2654" s="2" t="s">
        <v>5585</v>
      </c>
      <c r="B2654" s="2" t="s">
        <v>5585</v>
      </c>
      <c r="C2654" s="2" t="s">
        <v>17</v>
      </c>
      <c r="D2654" s="2" t="s">
        <v>18</v>
      </c>
      <c r="E2654" s="5">
        <v>-28942</v>
      </c>
      <c r="F2654" s="3" t="s">
        <v>244</v>
      </c>
      <c r="G2654" s="3" t="s">
        <v>43</v>
      </c>
      <c r="H2654" s="2" t="s">
        <v>21</v>
      </c>
      <c r="I2654" s="2" t="s">
        <v>5598</v>
      </c>
      <c r="J2654" s="3" t="str">
        <f>HYPERLINK("https://www.boe.es/gazeta/dias/1820/10/03/pdfs/GGB-1820-97.pdf#page=2","Abrir facsímil")</f>
        <v>Abrir facsímil</v>
      </c>
      <c r="K2654" s="3" t="s">
        <v>23</v>
      </c>
    </row>
    <row r="2655" spans="1:11" ht="42" customHeight="1">
      <c r="A2655" s="2" t="s">
        <v>5585</v>
      </c>
      <c r="B2655" s="2" t="s">
        <v>5585</v>
      </c>
      <c r="C2655" s="2" t="s">
        <v>26</v>
      </c>
      <c r="D2655" s="2" t="s">
        <v>27</v>
      </c>
      <c r="E2655" s="5">
        <v>-28929</v>
      </c>
      <c r="F2655" s="3" t="s">
        <v>728</v>
      </c>
      <c r="G2655" s="3" t="s">
        <v>43</v>
      </c>
      <c r="H2655" s="2" t="s">
        <v>21</v>
      </c>
      <c r="I2655" s="2" t="s">
        <v>5599</v>
      </c>
      <c r="J2655" s="3" t="str">
        <f>HYPERLINK("https://www.boe.es/gazeta/dias/1820/10/16/pdfs/GGB-1820-110.pdf#page=2","Abrir facsímil")</f>
        <v>Abrir facsímil</v>
      </c>
      <c r="K2655" s="3" t="s">
        <v>23</v>
      </c>
    </row>
    <row r="2656" spans="1:11" ht="42" customHeight="1">
      <c r="A2656" s="2" t="s">
        <v>5585</v>
      </c>
      <c r="B2656" s="2" t="s">
        <v>5585</v>
      </c>
      <c r="C2656" s="2" t="s">
        <v>35</v>
      </c>
      <c r="D2656" s="2" t="s">
        <v>36</v>
      </c>
      <c r="E2656" s="5">
        <v>-28929</v>
      </c>
      <c r="F2656" s="3" t="s">
        <v>728</v>
      </c>
      <c r="G2656" s="3" t="s">
        <v>20</v>
      </c>
      <c r="H2656" s="2" t="s">
        <v>21</v>
      </c>
      <c r="I2656" s="2" t="s">
        <v>5600</v>
      </c>
      <c r="J2656" s="3" t="str">
        <f>HYPERLINK("https://www.boe.es/gazeta/dias/1820/10/16/pdfs/GGB-1820-110.pdf#page=4","Abrir facsímil")</f>
        <v>Abrir facsímil</v>
      </c>
      <c r="K2656" s="3" t="s">
        <v>23</v>
      </c>
    </row>
    <row r="2657" spans="1:11" ht="42" customHeight="1">
      <c r="A2657" s="2" t="s">
        <v>5585</v>
      </c>
      <c r="B2657" s="2" t="s">
        <v>5585</v>
      </c>
      <c r="C2657" s="2" t="s">
        <v>26</v>
      </c>
      <c r="D2657" s="2" t="s">
        <v>27</v>
      </c>
      <c r="E2657" s="5">
        <v>-28922</v>
      </c>
      <c r="F2657" s="3" t="s">
        <v>735</v>
      </c>
      <c r="G2657" s="3" t="s">
        <v>128</v>
      </c>
      <c r="H2657" s="2" t="s">
        <v>21</v>
      </c>
      <c r="I2657" s="2" t="s">
        <v>5601</v>
      </c>
      <c r="J2657" s="3" t="str">
        <f>HYPERLINK("https://www.boe.es/gazeta/dias/1820/10/23/pdfs/GGB-1820-117.pdf#page=1","Abrir facsímil")</f>
        <v>Abrir facsímil</v>
      </c>
      <c r="K2657" s="3" t="s">
        <v>23</v>
      </c>
    </row>
    <row r="2658" spans="1:11" ht="42" customHeight="1">
      <c r="A2658" s="2" t="s">
        <v>5585</v>
      </c>
      <c r="B2658" s="2" t="s">
        <v>5585</v>
      </c>
      <c r="C2658" s="2" t="s">
        <v>26</v>
      </c>
      <c r="D2658" s="2" t="s">
        <v>27</v>
      </c>
      <c r="E2658" s="5">
        <v>-28919</v>
      </c>
      <c r="F2658" s="3" t="s">
        <v>516</v>
      </c>
      <c r="G2658" s="3" t="s">
        <v>20</v>
      </c>
      <c r="H2658" s="2" t="s">
        <v>21</v>
      </c>
      <c r="I2658" s="2" t="s">
        <v>5602</v>
      </c>
      <c r="J2658" s="3" t="str">
        <f>HYPERLINK("https://www.boe.es/gazeta/dias/1820/10/26/pdfs/GGB-1820-120.pdf#page=4","Abrir facsímil")</f>
        <v>Abrir facsímil</v>
      </c>
      <c r="K2658" s="3" t="s">
        <v>23</v>
      </c>
    </row>
    <row r="2659" spans="1:11" ht="42" customHeight="1">
      <c r="A2659" s="2" t="s">
        <v>5585</v>
      </c>
      <c r="B2659" s="2" t="s">
        <v>5585</v>
      </c>
      <c r="C2659" s="2" t="s">
        <v>26</v>
      </c>
      <c r="D2659" s="2" t="s">
        <v>27</v>
      </c>
      <c r="E2659" s="5">
        <v>-28916</v>
      </c>
      <c r="F2659" s="3" t="s">
        <v>2688</v>
      </c>
      <c r="G2659" s="3" t="s">
        <v>62</v>
      </c>
      <c r="H2659" s="2" t="s">
        <v>21</v>
      </c>
      <c r="I2659" s="2" t="s">
        <v>5603</v>
      </c>
      <c r="J2659" s="3" t="str">
        <f>HYPERLINK("https://www.boe.es/gazeta/dias/1820/10/29/pdfs/GGB-1820-123.pdf#page=3","Abrir facsímil")</f>
        <v>Abrir facsímil</v>
      </c>
      <c r="K2659" s="3" t="s">
        <v>23</v>
      </c>
    </row>
    <row r="2660" spans="1:11" ht="42" customHeight="1">
      <c r="A2660" s="2" t="s">
        <v>5604</v>
      </c>
      <c r="B2660" s="2" t="s">
        <v>5604</v>
      </c>
      <c r="C2660" s="2" t="s">
        <v>26</v>
      </c>
      <c r="D2660" s="2" t="s">
        <v>27</v>
      </c>
      <c r="E2660" s="5">
        <v>-28913</v>
      </c>
      <c r="F2660" s="3" t="s">
        <v>230</v>
      </c>
      <c r="G2660" s="3" t="s">
        <v>128</v>
      </c>
      <c r="H2660" s="2" t="s">
        <v>21</v>
      </c>
      <c r="I2660" s="2" t="s">
        <v>5605</v>
      </c>
      <c r="J2660" s="3" t="str">
        <f>HYPERLINK("https://www.boe.es/gazeta/dias/1820/11/01/pdfs/GGB-1820-126.pdf#page=1","Abrir facsímil")</f>
        <v>Abrir facsímil</v>
      </c>
      <c r="K2660" s="3" t="s">
        <v>23</v>
      </c>
    </row>
    <row r="2661" spans="1:11" ht="42" customHeight="1">
      <c r="A2661" s="2" t="s">
        <v>5606</v>
      </c>
      <c r="B2661" s="2" t="s">
        <v>5607</v>
      </c>
      <c r="C2661" s="2" t="s">
        <v>26</v>
      </c>
      <c r="D2661" s="2" t="s">
        <v>27</v>
      </c>
      <c r="E2661" s="5">
        <v>-28858</v>
      </c>
      <c r="F2661" s="3" t="s">
        <v>117</v>
      </c>
      <c r="G2661" s="3" t="s">
        <v>20</v>
      </c>
      <c r="H2661" s="2" t="s">
        <v>21</v>
      </c>
      <c r="I2661" s="2" t="s">
        <v>5608</v>
      </c>
      <c r="J2661" s="3" t="str">
        <f>HYPERLINK("https://www.boe.es/gazeta/dias/1820/12/26/pdfs/GGB-1820-183.pdf#page=4","Abrir facsímil")</f>
        <v>Abrir facsímil</v>
      </c>
      <c r="K2661" s="3" t="s">
        <v>23</v>
      </c>
    </row>
    <row r="2662" spans="1:11" ht="42" customHeight="1">
      <c r="A2662" s="2" t="s">
        <v>5609</v>
      </c>
      <c r="B2662" s="2" t="s">
        <v>5610</v>
      </c>
      <c r="C2662" s="2" t="s">
        <v>35</v>
      </c>
      <c r="D2662" s="2" t="s">
        <v>36</v>
      </c>
      <c r="E2662" s="5">
        <v>-28877</v>
      </c>
      <c r="F2662" s="3" t="s">
        <v>5611</v>
      </c>
      <c r="G2662" s="3" t="s">
        <v>20</v>
      </c>
      <c r="H2662" s="2" t="s">
        <v>21</v>
      </c>
      <c r="I2662" s="2" t="s">
        <v>5612</v>
      </c>
      <c r="J2662" s="3" t="str">
        <f>HYPERLINK("https://www.boe.es/gazeta/dias/1820/12/07/pdfs/GGB-1820-164.pdf#page=4","Abrir facsímil")</f>
        <v>Abrir facsímil</v>
      </c>
      <c r="K2662" s="3" t="s">
        <v>23</v>
      </c>
    </row>
    <row r="2663" spans="1:11" ht="42" customHeight="1">
      <c r="A2663" s="2" t="s">
        <v>5613</v>
      </c>
      <c r="B2663" s="2" t="s">
        <v>5614</v>
      </c>
      <c r="C2663" s="2" t="s">
        <v>293</v>
      </c>
      <c r="D2663" s="2" t="s">
        <v>18</v>
      </c>
      <c r="E2663" s="5">
        <v>-29150</v>
      </c>
      <c r="F2663" s="3" t="s">
        <v>299</v>
      </c>
      <c r="G2663" s="3" t="s">
        <v>300</v>
      </c>
      <c r="H2663" s="2" t="s">
        <v>21</v>
      </c>
      <c r="I2663" s="2" t="s">
        <v>5615</v>
      </c>
      <c r="J2663" s="3" t="str">
        <f>HYPERLINK("https://www.boe.es/gazeta/dias/1820/03/09/pdfs/GMD-1820-32.pdf#page=8","Abrir facsímil")</f>
        <v>Abrir facsímil</v>
      </c>
      <c r="K2663" s="3" t="s">
        <v>23</v>
      </c>
    </row>
    <row r="2664" spans="1:11" ht="42" customHeight="1">
      <c r="A2664" s="2" t="s">
        <v>5613</v>
      </c>
      <c r="B2664" s="2" t="s">
        <v>5614</v>
      </c>
      <c r="C2664" s="2" t="s">
        <v>293</v>
      </c>
      <c r="D2664" s="2" t="s">
        <v>18</v>
      </c>
      <c r="E2664" s="5">
        <v>-29101</v>
      </c>
      <c r="F2664" s="3" t="s">
        <v>999</v>
      </c>
      <c r="G2664" s="3" t="s">
        <v>479</v>
      </c>
      <c r="H2664" s="2" t="s">
        <v>21</v>
      </c>
      <c r="I2664" s="2" t="s">
        <v>5616</v>
      </c>
      <c r="J2664" s="3" t="str">
        <f>HYPERLINK("https://www.boe.es/gazeta/dias/1820/04/27/pdfs/GMD-1820-72.pdf#page=12","Abrir facsímil")</f>
        <v>Abrir facsímil</v>
      </c>
      <c r="K2664" s="3" t="s">
        <v>23</v>
      </c>
    </row>
    <row r="2665" spans="1:11" ht="42" customHeight="1">
      <c r="A2665" s="2" t="s">
        <v>5617</v>
      </c>
      <c r="B2665" s="2" t="s">
        <v>5618</v>
      </c>
      <c r="C2665" s="2" t="s">
        <v>35</v>
      </c>
      <c r="D2665" s="2" t="s">
        <v>36</v>
      </c>
      <c r="E2665" s="5">
        <v>-28866</v>
      </c>
      <c r="F2665" s="3" t="s">
        <v>507</v>
      </c>
      <c r="G2665" s="3" t="s">
        <v>62</v>
      </c>
      <c r="H2665" s="2" t="s">
        <v>21</v>
      </c>
      <c r="I2665" s="2" t="s">
        <v>5619</v>
      </c>
      <c r="J2665" s="3" t="str">
        <f>HYPERLINK("https://www.boe.es/gazeta/dias/1820/12/18/pdfs/GGB-1820-175.pdf#page=3","Abrir facsímil")</f>
        <v>Abrir facsímil</v>
      </c>
      <c r="K2665" s="3" t="s">
        <v>23</v>
      </c>
    </row>
    <row r="2666" spans="1:11" ht="42" customHeight="1">
      <c r="A2666" s="2" t="s">
        <v>5620</v>
      </c>
      <c r="B2666" s="2" t="s">
        <v>5621</v>
      </c>
      <c r="C2666" s="2" t="s">
        <v>35</v>
      </c>
      <c r="D2666" s="2" t="s">
        <v>310</v>
      </c>
      <c r="E2666" s="5">
        <v>-29137</v>
      </c>
      <c r="F2666" s="3" t="s">
        <v>573</v>
      </c>
      <c r="G2666" s="3" t="s">
        <v>43</v>
      </c>
      <c r="H2666" s="2" t="s">
        <v>21</v>
      </c>
      <c r="I2666" s="2" t="s">
        <v>5622</v>
      </c>
      <c r="J2666" s="3" t="str">
        <f>HYPERLINK("https://www.boe.es/gazeta/dias/1820/03/22/pdfs/GMD-1820-50E.pdf#page=2","Abrir facsímil")</f>
        <v>Abrir facsímil</v>
      </c>
      <c r="K2666" s="3" t="s">
        <v>23</v>
      </c>
    </row>
    <row r="2667" spans="1:11" ht="42" customHeight="1">
      <c r="A2667" s="2" t="s">
        <v>5623</v>
      </c>
      <c r="B2667" s="2" t="s">
        <v>5624</v>
      </c>
      <c r="C2667" s="2" t="s">
        <v>17</v>
      </c>
      <c r="D2667" s="2" t="s">
        <v>18</v>
      </c>
      <c r="E2667" s="5">
        <v>-28919</v>
      </c>
      <c r="F2667" s="3" t="s">
        <v>516</v>
      </c>
      <c r="G2667" s="3" t="s">
        <v>62</v>
      </c>
      <c r="H2667" s="2" t="s">
        <v>21</v>
      </c>
      <c r="I2667" s="2" t="s">
        <v>5625</v>
      </c>
      <c r="J2667" s="3" t="str">
        <f>HYPERLINK("https://www.boe.es/gazeta/dias/1820/10/26/pdfs/GGB-1820-120.pdf#page=3","Abrir facsímil")</f>
        <v>Abrir facsímil</v>
      </c>
      <c r="K2667" s="3" t="s">
        <v>23</v>
      </c>
    </row>
    <row r="2668" spans="1:11" ht="42" customHeight="1">
      <c r="A2668" s="2" t="s">
        <v>5626</v>
      </c>
      <c r="B2668" s="2" t="s">
        <v>5627</v>
      </c>
      <c r="C2668" s="2" t="s">
        <v>26</v>
      </c>
      <c r="D2668" s="2" t="s">
        <v>27</v>
      </c>
      <c r="E2668" s="5">
        <v>-28887</v>
      </c>
      <c r="F2668" s="3" t="s">
        <v>2098</v>
      </c>
      <c r="G2668" s="3" t="s">
        <v>5628</v>
      </c>
      <c r="H2668" s="2" t="s">
        <v>21</v>
      </c>
      <c r="I2668" s="2" t="s">
        <v>5629</v>
      </c>
      <c r="J2668" s="3" t="str">
        <f>HYPERLINK("https://www.boe.es/gazeta/dias/1820/11/27/pdfs/GGB-1820-154.pdf#page=4","Abrir facsímil")</f>
        <v>Abrir facsímil</v>
      </c>
      <c r="K2668" s="3" t="s">
        <v>23</v>
      </c>
    </row>
    <row r="2669" spans="1:11" ht="42" customHeight="1">
      <c r="A2669" s="2" t="s">
        <v>5630</v>
      </c>
      <c r="B2669" s="2" t="s">
        <v>5630</v>
      </c>
      <c r="C2669" s="2" t="s">
        <v>47</v>
      </c>
      <c r="D2669" s="2" t="s">
        <v>18</v>
      </c>
      <c r="E2669" s="5">
        <v>-29002</v>
      </c>
      <c r="F2669" s="3" t="s">
        <v>124</v>
      </c>
      <c r="G2669" s="3" t="s">
        <v>20</v>
      </c>
      <c r="H2669" s="2" t="s">
        <v>21</v>
      </c>
      <c r="I2669" s="2" t="s">
        <v>5631</v>
      </c>
      <c r="J2669" s="3" t="str">
        <f>HYPERLINK("https://www.boe.es/gazeta/dias/1820/08/04/pdfs/GGB-1820-37.pdf#page=4","Abrir facsímil")</f>
        <v>Abrir facsímil</v>
      </c>
      <c r="K2669" s="3" t="s">
        <v>23</v>
      </c>
    </row>
    <row r="2670" spans="1:11" ht="42" customHeight="1">
      <c r="A2670" s="2" t="s">
        <v>5632</v>
      </c>
      <c r="B2670" s="2" t="s">
        <v>5632</v>
      </c>
      <c r="C2670" s="2" t="s">
        <v>17</v>
      </c>
      <c r="D2670" s="2" t="s">
        <v>18</v>
      </c>
      <c r="E2670" s="5">
        <v>-28950</v>
      </c>
      <c r="F2670" s="3" t="s">
        <v>1052</v>
      </c>
      <c r="G2670" s="3" t="s">
        <v>20</v>
      </c>
      <c r="H2670" s="2" t="s">
        <v>21</v>
      </c>
      <c r="I2670" s="2" t="s">
        <v>5633</v>
      </c>
      <c r="J2670" s="3" t="str">
        <f>HYPERLINK("https://www.boe.es/gazeta/dias/1820/09/25/pdfs/GGB-1820-89.pdf#page=4","Abrir facsímil")</f>
        <v>Abrir facsímil</v>
      </c>
      <c r="K2670" s="3" t="s">
        <v>23</v>
      </c>
    </row>
    <row r="2671" spans="1:11" ht="42" customHeight="1">
      <c r="A2671" s="2" t="s">
        <v>5634</v>
      </c>
      <c r="B2671" s="2" t="s">
        <v>5634</v>
      </c>
      <c r="C2671" s="2" t="s">
        <v>26</v>
      </c>
      <c r="D2671" s="2" t="s">
        <v>27</v>
      </c>
      <c r="E2671" s="5">
        <v>-29124</v>
      </c>
      <c r="F2671" s="3" t="s">
        <v>4097</v>
      </c>
      <c r="G2671" s="3" t="s">
        <v>43</v>
      </c>
      <c r="H2671" s="2" t="s">
        <v>21</v>
      </c>
      <c r="I2671" s="2" t="s">
        <v>5635</v>
      </c>
      <c r="J2671" s="3" t="str">
        <f>HYPERLINK("https://www.boe.es/gazeta/dias/1820/04/04/pdfs/GMD-1820-60.pdf#page=2","Abrir facsímil")</f>
        <v>Abrir facsímil</v>
      </c>
      <c r="K2671" s="3" t="s">
        <v>23</v>
      </c>
    </row>
    <row r="2672" spans="1:11" ht="42" customHeight="1">
      <c r="A2672" s="2" t="s">
        <v>5636</v>
      </c>
      <c r="B2672" s="2" t="s">
        <v>5636</v>
      </c>
      <c r="C2672" s="2" t="s">
        <v>26</v>
      </c>
      <c r="D2672" s="2" t="s">
        <v>27</v>
      </c>
      <c r="E2672" s="5">
        <v>-29120</v>
      </c>
      <c r="F2672" s="3" t="s">
        <v>852</v>
      </c>
      <c r="G2672" s="3" t="s">
        <v>20</v>
      </c>
      <c r="H2672" s="2" t="s">
        <v>21</v>
      </c>
      <c r="I2672" s="2" t="s">
        <v>5637</v>
      </c>
      <c r="J2672" s="3" t="str">
        <f>HYPERLINK("https://www.boe.es/gazeta/dias/1820/04/08/pdfs/GMD-1820-63.pdf#page=4","Abrir facsímil")</f>
        <v>Abrir facsímil</v>
      </c>
      <c r="K2672" s="3" t="s">
        <v>23</v>
      </c>
    </row>
    <row r="2673" spans="1:11" ht="42" customHeight="1">
      <c r="A2673" s="2" t="s">
        <v>5638</v>
      </c>
      <c r="B2673" s="2" t="s">
        <v>5638</v>
      </c>
      <c r="C2673" s="2" t="s">
        <v>74</v>
      </c>
      <c r="D2673" s="2" t="s">
        <v>18</v>
      </c>
      <c r="E2673" s="5">
        <v>-29013</v>
      </c>
      <c r="F2673" s="3" t="s">
        <v>52</v>
      </c>
      <c r="G2673" s="3" t="s">
        <v>20</v>
      </c>
      <c r="H2673" s="2" t="s">
        <v>21</v>
      </c>
      <c r="I2673" s="2" t="s">
        <v>5639</v>
      </c>
      <c r="J2673" s="3" t="str">
        <f>HYPERLINK("https://www.boe.es/gazeta/dias/1820/07/24/pdfs/GGB-1820-26.pdf#page=4","Abrir facsímil")</f>
        <v>Abrir facsímil</v>
      </c>
      <c r="K2673" s="3" t="s">
        <v>23</v>
      </c>
    </row>
    <row r="2674" spans="1:11" ht="42" customHeight="1">
      <c r="A2674" s="2" t="s">
        <v>5638</v>
      </c>
      <c r="B2674" s="2" t="s">
        <v>5638</v>
      </c>
      <c r="C2674" s="2" t="s">
        <v>17</v>
      </c>
      <c r="D2674" s="2" t="s">
        <v>18</v>
      </c>
      <c r="E2674" s="5">
        <v>-29009</v>
      </c>
      <c r="F2674" s="3" t="s">
        <v>605</v>
      </c>
      <c r="G2674" s="3" t="s">
        <v>62</v>
      </c>
      <c r="H2674" s="2" t="s">
        <v>21</v>
      </c>
      <c r="I2674" s="2" t="s">
        <v>5640</v>
      </c>
      <c r="J2674" s="3" t="str">
        <f>HYPERLINK("https://www.boe.es/gazeta/dias/1820/07/28/pdfs/GGB-1820-30.pdf#page=3","Abrir facsímil")</f>
        <v>Abrir facsímil</v>
      </c>
      <c r="K2674" s="3" t="s">
        <v>23</v>
      </c>
    </row>
    <row r="2675" spans="1:11" ht="42" customHeight="1">
      <c r="A2675" s="2" t="s">
        <v>5638</v>
      </c>
      <c r="B2675" s="2" t="s">
        <v>5638</v>
      </c>
      <c r="C2675" s="2" t="s">
        <v>35</v>
      </c>
      <c r="D2675" s="2" t="s">
        <v>36</v>
      </c>
      <c r="E2675" s="5">
        <v>-29008</v>
      </c>
      <c r="F2675" s="3" t="s">
        <v>2250</v>
      </c>
      <c r="G2675" s="3" t="s">
        <v>62</v>
      </c>
      <c r="H2675" s="2" t="s">
        <v>21</v>
      </c>
      <c r="I2675" s="2" t="s">
        <v>5641</v>
      </c>
      <c r="J2675" s="3" t="str">
        <f>HYPERLINK("https://www.boe.es/gazeta/dias/1820/07/29/pdfs/GGB-1820-31.pdf#page=3","Abrir facsímil")</f>
        <v>Abrir facsímil</v>
      </c>
      <c r="K2675" s="3" t="s">
        <v>23</v>
      </c>
    </row>
    <row r="2676" spans="1:11" ht="42" customHeight="1">
      <c r="A2676" s="2" t="s">
        <v>5638</v>
      </c>
      <c r="B2676" s="2" t="s">
        <v>5638</v>
      </c>
      <c r="C2676" s="2" t="s">
        <v>35</v>
      </c>
      <c r="D2676" s="2" t="s">
        <v>36</v>
      </c>
      <c r="E2676" s="5">
        <v>-29004</v>
      </c>
      <c r="F2676" s="3" t="s">
        <v>75</v>
      </c>
      <c r="G2676" s="3" t="s">
        <v>76</v>
      </c>
      <c r="H2676" s="2" t="s">
        <v>21</v>
      </c>
      <c r="I2676" s="2" t="s">
        <v>5642</v>
      </c>
      <c r="J2676" s="3" t="str">
        <f>HYPERLINK("https://www.boe.es/gazeta/dias/1820/08/02/pdfs/GGB-1820-35.pdf#page=2","Abrir facsímil")</f>
        <v>Abrir facsímil</v>
      </c>
      <c r="K2676" s="3" t="s">
        <v>23</v>
      </c>
    </row>
    <row r="2677" spans="1:11" ht="42" customHeight="1">
      <c r="A2677" s="2" t="s">
        <v>5638</v>
      </c>
      <c r="B2677" s="2" t="s">
        <v>5638</v>
      </c>
      <c r="C2677" s="2" t="s">
        <v>17</v>
      </c>
      <c r="D2677" s="2" t="s">
        <v>18</v>
      </c>
      <c r="E2677" s="5">
        <v>-29003</v>
      </c>
      <c r="F2677" s="3" t="s">
        <v>340</v>
      </c>
      <c r="G2677" s="3" t="s">
        <v>20</v>
      </c>
      <c r="H2677" s="2" t="s">
        <v>21</v>
      </c>
      <c r="I2677" s="2" t="s">
        <v>5643</v>
      </c>
      <c r="J2677" s="3" t="str">
        <f>HYPERLINK("https://www.boe.es/gazeta/dias/1820/08/03/pdfs/GGB-1820-36.pdf#page=4","Abrir facsímil")</f>
        <v>Abrir facsímil</v>
      </c>
      <c r="K2677" s="3" t="s">
        <v>23</v>
      </c>
    </row>
    <row r="2678" spans="1:11" ht="42" customHeight="1">
      <c r="A2678" s="2" t="s">
        <v>5638</v>
      </c>
      <c r="B2678" s="2" t="s">
        <v>5638</v>
      </c>
      <c r="C2678" s="2" t="s">
        <v>35</v>
      </c>
      <c r="D2678" s="2" t="s">
        <v>36</v>
      </c>
      <c r="E2678" s="5">
        <v>-29002</v>
      </c>
      <c r="F2678" s="3" t="s">
        <v>124</v>
      </c>
      <c r="G2678" s="3" t="s">
        <v>20</v>
      </c>
      <c r="H2678" s="2" t="s">
        <v>21</v>
      </c>
      <c r="I2678" s="2" t="s">
        <v>5644</v>
      </c>
      <c r="J2678" s="3" t="str">
        <f>HYPERLINK("https://www.boe.es/gazeta/dias/1820/08/04/pdfs/GGB-1820-37.pdf#page=4","Abrir facsímil")</f>
        <v>Abrir facsímil</v>
      </c>
      <c r="K2678" s="3" t="s">
        <v>23</v>
      </c>
    </row>
    <row r="2679" spans="1:11" ht="42" customHeight="1">
      <c r="A2679" s="2" t="s">
        <v>5638</v>
      </c>
      <c r="B2679" s="2" t="s">
        <v>5638</v>
      </c>
      <c r="C2679" s="2" t="s">
        <v>17</v>
      </c>
      <c r="D2679" s="2" t="s">
        <v>18</v>
      </c>
      <c r="E2679" s="5">
        <v>-28997</v>
      </c>
      <c r="F2679" s="3" t="s">
        <v>1471</v>
      </c>
      <c r="G2679" s="3" t="s">
        <v>43</v>
      </c>
      <c r="H2679" s="2" t="s">
        <v>21</v>
      </c>
      <c r="I2679" s="2" t="s">
        <v>5645</v>
      </c>
      <c r="J2679" s="3" t="str">
        <f>HYPERLINK("https://www.boe.es/gazeta/dias/1820/08/09/pdfs/GGB-1820-42.pdf#page=2","Abrir facsímil")</f>
        <v>Abrir facsímil</v>
      </c>
      <c r="K2679" s="3" t="s">
        <v>23</v>
      </c>
    </row>
    <row r="2680" spans="1:11" ht="42" customHeight="1">
      <c r="A2680" s="2" t="s">
        <v>5638</v>
      </c>
      <c r="B2680" s="2" t="s">
        <v>5638</v>
      </c>
      <c r="C2680" s="2" t="s">
        <v>74</v>
      </c>
      <c r="D2680" s="2" t="s">
        <v>18</v>
      </c>
      <c r="E2680" s="5">
        <v>-28995</v>
      </c>
      <c r="F2680" s="3" t="s">
        <v>672</v>
      </c>
      <c r="G2680" s="3" t="s">
        <v>62</v>
      </c>
      <c r="H2680" s="2" t="s">
        <v>21</v>
      </c>
      <c r="I2680" s="2" t="s">
        <v>5646</v>
      </c>
      <c r="J2680" s="3" t="str">
        <f>HYPERLINK("https://www.boe.es/gazeta/dias/1820/08/11/pdfs/GGB-1820-44.pdf#page=3","Abrir facsímil")</f>
        <v>Abrir facsímil</v>
      </c>
      <c r="K2680" s="3" t="s">
        <v>23</v>
      </c>
    </row>
    <row r="2681" spans="1:11" ht="42" customHeight="1">
      <c r="A2681" s="2" t="s">
        <v>5638</v>
      </c>
      <c r="B2681" s="2" t="s">
        <v>5638</v>
      </c>
      <c r="C2681" s="2" t="s">
        <v>74</v>
      </c>
      <c r="D2681" s="2" t="s">
        <v>18</v>
      </c>
      <c r="E2681" s="5">
        <v>-28994</v>
      </c>
      <c r="F2681" s="3" t="s">
        <v>1612</v>
      </c>
      <c r="G2681" s="3" t="s">
        <v>43</v>
      </c>
      <c r="H2681" s="2" t="s">
        <v>21</v>
      </c>
      <c r="I2681" s="2" t="s">
        <v>5647</v>
      </c>
      <c r="J2681" s="3" t="str">
        <f>HYPERLINK("https://www.boe.es/gazeta/dias/1820/08/12/pdfs/GGB-1820-45.pdf#page=2","Abrir facsímil")</f>
        <v>Abrir facsímil</v>
      </c>
      <c r="K2681" s="3" t="s">
        <v>23</v>
      </c>
    </row>
    <row r="2682" spans="1:11" ht="42" customHeight="1">
      <c r="A2682" s="2" t="s">
        <v>5638</v>
      </c>
      <c r="B2682" s="2" t="s">
        <v>5638</v>
      </c>
      <c r="C2682" s="2" t="s">
        <v>17</v>
      </c>
      <c r="D2682" s="2" t="s">
        <v>18</v>
      </c>
      <c r="E2682" s="5">
        <v>-28994</v>
      </c>
      <c r="F2682" s="3" t="s">
        <v>1612</v>
      </c>
      <c r="G2682" s="3" t="s">
        <v>20</v>
      </c>
      <c r="H2682" s="2" t="s">
        <v>21</v>
      </c>
      <c r="I2682" s="2" t="s">
        <v>5648</v>
      </c>
      <c r="J2682" s="3" t="str">
        <f>HYPERLINK("https://www.boe.es/gazeta/dias/1820/08/12/pdfs/GGB-1820-45.pdf#page=4","Abrir facsímil")</f>
        <v>Abrir facsímil</v>
      </c>
      <c r="K2682" s="3" t="s">
        <v>23</v>
      </c>
    </row>
    <row r="2683" spans="1:11" ht="42" customHeight="1">
      <c r="A2683" s="2" t="s">
        <v>5638</v>
      </c>
      <c r="B2683" s="2" t="s">
        <v>5638</v>
      </c>
      <c r="C2683" s="2" t="s">
        <v>1808</v>
      </c>
      <c r="D2683" s="2" t="s">
        <v>36</v>
      </c>
      <c r="E2683" s="5">
        <v>-28993</v>
      </c>
      <c r="F2683" s="3" t="s">
        <v>465</v>
      </c>
      <c r="G2683" s="3" t="s">
        <v>62</v>
      </c>
      <c r="H2683" s="2" t="s">
        <v>21</v>
      </c>
      <c r="I2683" s="2" t="s">
        <v>5649</v>
      </c>
      <c r="J2683" s="3" t="str">
        <f>HYPERLINK("https://www.boe.es/gazeta/dias/1820/08/13/pdfs/GGB-1820-46.pdf#page=3","Abrir facsímil")</f>
        <v>Abrir facsímil</v>
      </c>
      <c r="K2683" s="3" t="s">
        <v>23</v>
      </c>
    </row>
    <row r="2684" spans="1:11" ht="42" customHeight="1">
      <c r="A2684" s="2" t="s">
        <v>5638</v>
      </c>
      <c r="B2684" s="2" t="s">
        <v>5638</v>
      </c>
      <c r="C2684" s="2" t="s">
        <v>293</v>
      </c>
      <c r="D2684" s="2" t="s">
        <v>18</v>
      </c>
      <c r="E2684" s="5">
        <v>-28992</v>
      </c>
      <c r="F2684" s="3" t="s">
        <v>587</v>
      </c>
      <c r="G2684" s="3" t="s">
        <v>43</v>
      </c>
      <c r="H2684" s="2" t="s">
        <v>21</v>
      </c>
      <c r="I2684" s="2" t="s">
        <v>5650</v>
      </c>
      <c r="J2684" s="3" t="str">
        <f>HYPERLINK("https://www.boe.es/gazeta/dias/1820/08/14/pdfs/GGB-1820-47.pdf#page=2","Abrir facsímil")</f>
        <v>Abrir facsímil</v>
      </c>
      <c r="K2684" s="3" t="s">
        <v>23</v>
      </c>
    </row>
    <row r="2685" spans="1:11" ht="42" customHeight="1">
      <c r="A2685" s="2" t="s">
        <v>5638</v>
      </c>
      <c r="B2685" s="2" t="s">
        <v>5638</v>
      </c>
      <c r="C2685" s="2" t="s">
        <v>74</v>
      </c>
      <c r="D2685" s="2" t="s">
        <v>18</v>
      </c>
      <c r="E2685" s="5">
        <v>-28992</v>
      </c>
      <c r="F2685" s="3" t="s">
        <v>587</v>
      </c>
      <c r="G2685" s="3" t="s">
        <v>62</v>
      </c>
      <c r="H2685" s="2" t="s">
        <v>21</v>
      </c>
      <c r="I2685" s="2" t="s">
        <v>5651</v>
      </c>
      <c r="J2685" s="3" t="str">
        <f>HYPERLINK("https://www.boe.es/gazeta/dias/1820/08/14/pdfs/GGB-1820-47.pdf#page=3","Abrir facsímil")</f>
        <v>Abrir facsímil</v>
      </c>
      <c r="K2685" s="3" t="s">
        <v>23</v>
      </c>
    </row>
    <row r="2686" spans="1:11" ht="42" customHeight="1">
      <c r="A2686" s="2" t="s">
        <v>5638</v>
      </c>
      <c r="B2686" s="2" t="s">
        <v>5638</v>
      </c>
      <c r="C2686" s="2" t="s">
        <v>26</v>
      </c>
      <c r="D2686" s="2" t="s">
        <v>27</v>
      </c>
      <c r="E2686" s="5">
        <v>-28990</v>
      </c>
      <c r="F2686" s="3" t="s">
        <v>61</v>
      </c>
      <c r="G2686" s="3" t="s">
        <v>62</v>
      </c>
      <c r="H2686" s="2" t="s">
        <v>21</v>
      </c>
      <c r="I2686" s="2" t="s">
        <v>5652</v>
      </c>
      <c r="J2686" s="3" t="str">
        <f>HYPERLINK("https://www.boe.es/gazeta/dias/1820/08/16/pdfs/GGB-1820-49.pdf#page=3","Abrir facsímil")</f>
        <v>Abrir facsímil</v>
      </c>
      <c r="K2686" s="3" t="s">
        <v>23</v>
      </c>
    </row>
    <row r="2687" spans="1:11" ht="42" customHeight="1">
      <c r="A2687" s="2" t="s">
        <v>5638</v>
      </c>
      <c r="B2687" s="2" t="s">
        <v>5638</v>
      </c>
      <c r="C2687" s="2" t="s">
        <v>293</v>
      </c>
      <c r="D2687" s="2" t="s">
        <v>18</v>
      </c>
      <c r="E2687" s="5">
        <v>-28989</v>
      </c>
      <c r="F2687" s="3" t="s">
        <v>809</v>
      </c>
      <c r="G2687" s="3" t="s">
        <v>62</v>
      </c>
      <c r="H2687" s="2" t="s">
        <v>21</v>
      </c>
      <c r="I2687" s="2" t="s">
        <v>5653</v>
      </c>
      <c r="J2687" s="3" t="str">
        <f>HYPERLINK("https://www.boe.es/gazeta/dias/1820/08/17/pdfs/GGB-1820-50.pdf#page=3","Abrir facsímil")</f>
        <v>Abrir facsímil</v>
      </c>
      <c r="K2687" s="3" t="s">
        <v>23</v>
      </c>
    </row>
    <row r="2688" spans="1:11" ht="42" customHeight="1">
      <c r="A2688" s="2" t="s">
        <v>5638</v>
      </c>
      <c r="B2688" s="2" t="s">
        <v>5638</v>
      </c>
      <c r="C2688" s="2" t="s">
        <v>26</v>
      </c>
      <c r="D2688" s="2" t="s">
        <v>27</v>
      </c>
      <c r="E2688" s="5">
        <v>-28988</v>
      </c>
      <c r="F2688" s="3" t="s">
        <v>618</v>
      </c>
      <c r="G2688" s="3" t="s">
        <v>62</v>
      </c>
      <c r="H2688" s="2" t="s">
        <v>21</v>
      </c>
      <c r="I2688" s="2" t="s">
        <v>5654</v>
      </c>
      <c r="J2688" s="3" t="str">
        <f>HYPERLINK("https://www.boe.es/gazeta/dias/1820/08/18/pdfs/GGB-1820-51.pdf#page=3","Abrir facsímil")</f>
        <v>Abrir facsímil</v>
      </c>
      <c r="K2688" s="3" t="s">
        <v>23</v>
      </c>
    </row>
    <row r="2689" spans="1:11" ht="42" customHeight="1">
      <c r="A2689" s="2" t="s">
        <v>5638</v>
      </c>
      <c r="B2689" s="2" t="s">
        <v>5638</v>
      </c>
      <c r="C2689" s="2" t="s">
        <v>74</v>
      </c>
      <c r="D2689" s="2" t="s">
        <v>18</v>
      </c>
      <c r="E2689" s="5">
        <v>-28984</v>
      </c>
      <c r="F2689" s="3" t="s">
        <v>520</v>
      </c>
      <c r="G2689" s="3" t="s">
        <v>20</v>
      </c>
      <c r="H2689" s="2" t="s">
        <v>21</v>
      </c>
      <c r="I2689" s="2" t="s">
        <v>5655</v>
      </c>
      <c r="J2689" s="3" t="str">
        <f>HYPERLINK("https://www.boe.es/gazeta/dias/1820/08/22/pdfs/GGB-1820-55.pdf#page=4","Abrir facsímil")</f>
        <v>Abrir facsímil</v>
      </c>
      <c r="K2689" s="3" t="s">
        <v>23</v>
      </c>
    </row>
    <row r="2690" spans="1:11" ht="42" customHeight="1">
      <c r="A2690" s="2" t="s">
        <v>5638</v>
      </c>
      <c r="B2690" s="2" t="s">
        <v>5638</v>
      </c>
      <c r="C2690" s="2" t="s">
        <v>17</v>
      </c>
      <c r="D2690" s="2" t="s">
        <v>18</v>
      </c>
      <c r="E2690" s="5">
        <v>-28982</v>
      </c>
      <c r="F2690" s="3" t="s">
        <v>173</v>
      </c>
      <c r="G2690" s="3" t="s">
        <v>62</v>
      </c>
      <c r="H2690" s="2" t="s">
        <v>21</v>
      </c>
      <c r="I2690" s="2" t="s">
        <v>5656</v>
      </c>
      <c r="J2690" s="3" t="str">
        <f>HYPERLINK("https://www.boe.es/gazeta/dias/1820/08/24/pdfs/GGB-1820-57.pdf#page=3","Abrir facsímil")</f>
        <v>Abrir facsímil</v>
      </c>
      <c r="K2690" s="3" t="s">
        <v>23</v>
      </c>
    </row>
    <row r="2691" spans="1:11" ht="42" customHeight="1">
      <c r="A2691" s="2" t="s">
        <v>5638</v>
      </c>
      <c r="B2691" s="2" t="s">
        <v>5638</v>
      </c>
      <c r="C2691" s="2" t="s">
        <v>17</v>
      </c>
      <c r="D2691" s="2" t="s">
        <v>18</v>
      </c>
      <c r="E2691" s="5">
        <v>-28978</v>
      </c>
      <c r="F2691" s="3" t="s">
        <v>203</v>
      </c>
      <c r="G2691" s="3" t="s">
        <v>62</v>
      </c>
      <c r="H2691" s="2" t="s">
        <v>21</v>
      </c>
      <c r="I2691" s="2" t="s">
        <v>5657</v>
      </c>
      <c r="J2691" s="3" t="str">
        <f>HYPERLINK("https://www.boe.es/gazeta/dias/1820/08/28/pdfs/GGB-1820-61.pdf#page=3","Abrir facsímil")</f>
        <v>Abrir facsímil</v>
      </c>
      <c r="K2691" s="3" t="s">
        <v>23</v>
      </c>
    </row>
    <row r="2692" spans="1:11" ht="42" customHeight="1">
      <c r="A2692" s="2" t="s">
        <v>5638</v>
      </c>
      <c r="B2692" s="2" t="s">
        <v>5638</v>
      </c>
      <c r="C2692" s="2" t="s">
        <v>35</v>
      </c>
      <c r="D2692" s="2" t="s">
        <v>36</v>
      </c>
      <c r="E2692" s="5">
        <v>-28977</v>
      </c>
      <c r="F2692" s="3" t="s">
        <v>687</v>
      </c>
      <c r="G2692" s="3" t="s">
        <v>43</v>
      </c>
      <c r="H2692" s="2" t="s">
        <v>21</v>
      </c>
      <c r="I2692" s="2" t="s">
        <v>5658</v>
      </c>
      <c r="J2692" s="3" t="str">
        <f>HYPERLINK("https://www.boe.es/gazeta/dias/1820/08/29/pdfs/GGB-1820-62.pdf#page=2","Abrir facsímil")</f>
        <v>Abrir facsímil</v>
      </c>
      <c r="K2692" s="3" t="s">
        <v>23</v>
      </c>
    </row>
    <row r="2693" spans="1:11" ht="42" customHeight="1">
      <c r="A2693" s="2" t="s">
        <v>5638</v>
      </c>
      <c r="B2693" s="2" t="s">
        <v>5638</v>
      </c>
      <c r="C2693" s="2" t="s">
        <v>17</v>
      </c>
      <c r="D2693" s="2" t="s">
        <v>18</v>
      </c>
      <c r="E2693" s="5">
        <v>-28977</v>
      </c>
      <c r="F2693" s="3" t="s">
        <v>687</v>
      </c>
      <c r="G2693" s="3" t="s">
        <v>20</v>
      </c>
      <c r="H2693" s="2" t="s">
        <v>21</v>
      </c>
      <c r="I2693" s="2" t="s">
        <v>5659</v>
      </c>
      <c r="J2693" s="3" t="str">
        <f>HYPERLINK("https://www.boe.es/gazeta/dias/1820/08/29/pdfs/GGB-1820-62.pdf#page=4","Abrir facsímil")</f>
        <v>Abrir facsímil</v>
      </c>
      <c r="K2693" s="3" t="s">
        <v>23</v>
      </c>
    </row>
    <row r="2694" spans="1:11" ht="42" customHeight="1">
      <c r="A2694" s="2" t="s">
        <v>5638</v>
      </c>
      <c r="B2694" s="2" t="s">
        <v>5638</v>
      </c>
      <c r="C2694" s="2" t="s">
        <v>17</v>
      </c>
      <c r="D2694" s="2" t="s">
        <v>18</v>
      </c>
      <c r="E2694" s="5">
        <v>-28973</v>
      </c>
      <c r="F2694" s="3" t="s">
        <v>151</v>
      </c>
      <c r="G2694" s="3" t="s">
        <v>62</v>
      </c>
      <c r="H2694" s="2" t="s">
        <v>21</v>
      </c>
      <c r="I2694" s="2" t="s">
        <v>5660</v>
      </c>
      <c r="J2694" s="3" t="str">
        <f>HYPERLINK("https://www.boe.es/gazeta/dias/1820/09/02/pdfs/GGB-1820-66.pdf#page=3","Abrir facsímil")</f>
        <v>Abrir facsímil</v>
      </c>
      <c r="K2694" s="3" t="s">
        <v>23</v>
      </c>
    </row>
    <row r="2695" spans="1:11" ht="42" customHeight="1">
      <c r="A2695" s="2" t="s">
        <v>5638</v>
      </c>
      <c r="B2695" s="2" t="s">
        <v>5638</v>
      </c>
      <c r="C2695" s="2" t="s">
        <v>293</v>
      </c>
      <c r="D2695" s="2" t="s">
        <v>18</v>
      </c>
      <c r="E2695" s="5">
        <v>-28969</v>
      </c>
      <c r="F2695" s="3" t="s">
        <v>225</v>
      </c>
      <c r="G2695" s="3" t="s">
        <v>20</v>
      </c>
      <c r="H2695" s="2" t="s">
        <v>21</v>
      </c>
      <c r="I2695" s="2" t="s">
        <v>5661</v>
      </c>
      <c r="J2695" s="3" t="str">
        <f>HYPERLINK("https://www.boe.es/gazeta/dias/1820/09/06/pdfs/GGB-1820-70.pdf#page=4","Abrir facsímil")</f>
        <v>Abrir facsímil</v>
      </c>
      <c r="K2695" s="3" t="s">
        <v>23</v>
      </c>
    </row>
    <row r="2696" spans="1:11" ht="42" customHeight="1">
      <c r="A2696" s="2" t="s">
        <v>5638</v>
      </c>
      <c r="B2696" s="2" t="s">
        <v>5638</v>
      </c>
      <c r="C2696" s="2" t="s">
        <v>26</v>
      </c>
      <c r="D2696" s="2" t="s">
        <v>27</v>
      </c>
      <c r="E2696" s="5">
        <v>-28967</v>
      </c>
      <c r="F2696" s="3" t="s">
        <v>238</v>
      </c>
      <c r="G2696" s="3" t="s">
        <v>256</v>
      </c>
      <c r="H2696" s="2" t="s">
        <v>21</v>
      </c>
      <c r="I2696" s="2" t="s">
        <v>5662</v>
      </c>
      <c r="J2696" s="3" t="str">
        <f>HYPERLINK("https://www.boe.es/gazeta/dias/1820/09/08/pdfs/GGB-1820-72.pdf#page=5","Abrir facsímil")</f>
        <v>Abrir facsímil</v>
      </c>
      <c r="K2696" s="3" t="s">
        <v>23</v>
      </c>
    </row>
    <row r="2697" spans="1:11" ht="42" customHeight="1">
      <c r="A2697" s="2" t="s">
        <v>5638</v>
      </c>
      <c r="B2697" s="2" t="s">
        <v>5638</v>
      </c>
      <c r="C2697" s="2" t="s">
        <v>17</v>
      </c>
      <c r="D2697" s="2" t="s">
        <v>18</v>
      </c>
      <c r="E2697" s="5">
        <v>-28964</v>
      </c>
      <c r="F2697" s="3" t="s">
        <v>240</v>
      </c>
      <c r="G2697" s="3" t="s">
        <v>43</v>
      </c>
      <c r="H2697" s="2" t="s">
        <v>21</v>
      </c>
      <c r="I2697" s="2" t="s">
        <v>5663</v>
      </c>
      <c r="J2697" s="3" t="str">
        <f>HYPERLINK("https://www.boe.es/gazeta/dias/1820/09/11/pdfs/GGB-1820-75.pdf#page=2","Abrir facsímil")</f>
        <v>Abrir facsímil</v>
      </c>
      <c r="K2697" s="3" t="s">
        <v>23</v>
      </c>
    </row>
    <row r="2698" spans="1:11" ht="42" customHeight="1">
      <c r="A2698" s="2" t="s">
        <v>5638</v>
      </c>
      <c r="B2698" s="2" t="s">
        <v>5638</v>
      </c>
      <c r="C2698" s="2" t="s">
        <v>35</v>
      </c>
      <c r="D2698" s="2" t="s">
        <v>36</v>
      </c>
      <c r="E2698" s="5">
        <v>-28964</v>
      </c>
      <c r="F2698" s="3" t="s">
        <v>240</v>
      </c>
      <c r="G2698" s="3" t="s">
        <v>62</v>
      </c>
      <c r="H2698" s="2" t="s">
        <v>21</v>
      </c>
      <c r="I2698" s="2" t="s">
        <v>5664</v>
      </c>
      <c r="J2698" s="3" t="str">
        <f>HYPERLINK("https://www.boe.es/gazeta/dias/1820/09/11/pdfs/GGB-1820-75.pdf#page=3","Abrir facsímil")</f>
        <v>Abrir facsímil</v>
      </c>
      <c r="K2698" s="3" t="s">
        <v>23</v>
      </c>
    </row>
    <row r="2699" spans="1:11" ht="42" customHeight="1">
      <c r="A2699" s="2" t="s">
        <v>5638</v>
      </c>
      <c r="B2699" s="2" t="s">
        <v>5638</v>
      </c>
      <c r="C2699" s="2" t="s">
        <v>74</v>
      </c>
      <c r="D2699" s="2" t="s">
        <v>18</v>
      </c>
      <c r="E2699" s="5">
        <v>-28961</v>
      </c>
      <c r="F2699" s="3" t="s">
        <v>242</v>
      </c>
      <c r="G2699" s="3" t="s">
        <v>2442</v>
      </c>
      <c r="H2699" s="2" t="s">
        <v>21</v>
      </c>
      <c r="I2699" s="2" t="s">
        <v>5665</v>
      </c>
      <c r="J2699" s="3" t="str">
        <f>HYPERLINK("https://www.boe.es/gazeta/dias/1820/09/14/pdfs/GGB-1820-78.pdf#page=4","Abrir facsímil")</f>
        <v>Abrir facsímil</v>
      </c>
      <c r="K2699" s="3" t="s">
        <v>23</v>
      </c>
    </row>
    <row r="2700" spans="1:11" ht="42" customHeight="1">
      <c r="A2700" s="2" t="s">
        <v>5638</v>
      </c>
      <c r="B2700" s="2" t="s">
        <v>5638</v>
      </c>
      <c r="C2700" s="2" t="s">
        <v>35</v>
      </c>
      <c r="D2700" s="2" t="s">
        <v>36</v>
      </c>
      <c r="E2700" s="5">
        <v>-28961</v>
      </c>
      <c r="F2700" s="3" t="s">
        <v>242</v>
      </c>
      <c r="G2700" s="3" t="s">
        <v>62</v>
      </c>
      <c r="H2700" s="2" t="s">
        <v>21</v>
      </c>
      <c r="I2700" s="2" t="s">
        <v>5666</v>
      </c>
      <c r="J2700" s="3" t="str">
        <f>HYPERLINK("https://www.boe.es/gazeta/dias/1820/09/14/pdfs/GGB-1820-78.pdf#page=3","Abrir facsímil")</f>
        <v>Abrir facsímil</v>
      </c>
      <c r="K2700" s="3" t="s">
        <v>23</v>
      </c>
    </row>
    <row r="2701" spans="1:11" ht="42" customHeight="1">
      <c r="A2701" s="2" t="s">
        <v>5638</v>
      </c>
      <c r="B2701" s="2" t="s">
        <v>5638</v>
      </c>
      <c r="C2701" s="2" t="s">
        <v>293</v>
      </c>
      <c r="D2701" s="2" t="s">
        <v>18</v>
      </c>
      <c r="E2701" s="5">
        <v>-28959</v>
      </c>
      <c r="F2701" s="3" t="s">
        <v>37</v>
      </c>
      <c r="G2701" s="3" t="s">
        <v>256</v>
      </c>
      <c r="H2701" s="2" t="s">
        <v>21</v>
      </c>
      <c r="I2701" s="2" t="s">
        <v>5667</v>
      </c>
      <c r="J2701" s="3" t="str">
        <f>HYPERLINK("https://www.boe.es/gazeta/dias/1820/09/16/pdfs/GGB-1820-80.pdf#page=5","Abrir facsímil")</f>
        <v>Abrir facsímil</v>
      </c>
      <c r="K2701" s="3" t="s">
        <v>23</v>
      </c>
    </row>
    <row r="2702" spans="1:11" ht="42" customHeight="1">
      <c r="A2702" s="2" t="s">
        <v>5638</v>
      </c>
      <c r="B2702" s="2" t="s">
        <v>5638</v>
      </c>
      <c r="C2702" s="2" t="s">
        <v>74</v>
      </c>
      <c r="D2702" s="2" t="s">
        <v>18</v>
      </c>
      <c r="E2702" s="5">
        <v>-28956</v>
      </c>
      <c r="F2702" s="3" t="s">
        <v>190</v>
      </c>
      <c r="G2702" s="3" t="s">
        <v>62</v>
      </c>
      <c r="H2702" s="2" t="s">
        <v>21</v>
      </c>
      <c r="I2702" s="2" t="s">
        <v>5668</v>
      </c>
      <c r="J2702" s="3" t="str">
        <f>HYPERLINK("https://www.boe.es/gazeta/dias/1820/09/19/pdfs/GGB-1820-83.pdf#page=3","Abrir facsímil")</f>
        <v>Abrir facsímil</v>
      </c>
      <c r="K2702" s="3" t="s">
        <v>23</v>
      </c>
    </row>
    <row r="2703" spans="1:11" ht="42" customHeight="1">
      <c r="A2703" s="2" t="s">
        <v>5638</v>
      </c>
      <c r="B2703" s="2" t="s">
        <v>5638</v>
      </c>
      <c r="C2703" s="2" t="s">
        <v>17</v>
      </c>
      <c r="D2703" s="2" t="s">
        <v>18</v>
      </c>
      <c r="E2703" s="5">
        <v>-28954</v>
      </c>
      <c r="F2703" s="3" t="s">
        <v>28</v>
      </c>
      <c r="G2703" s="3" t="s">
        <v>20</v>
      </c>
      <c r="H2703" s="2" t="s">
        <v>21</v>
      </c>
      <c r="I2703" s="2" t="s">
        <v>5669</v>
      </c>
      <c r="J2703" s="3" t="str">
        <f>HYPERLINK("https://www.boe.es/gazeta/dias/1820/09/21/pdfs/GGB-1820-85.pdf#page=4","Abrir facsímil")</f>
        <v>Abrir facsímil</v>
      </c>
      <c r="K2703" s="3" t="s">
        <v>23</v>
      </c>
    </row>
    <row r="2704" spans="1:11" ht="42" customHeight="1">
      <c r="A2704" s="2" t="s">
        <v>5638</v>
      </c>
      <c r="B2704" s="2" t="s">
        <v>5638</v>
      </c>
      <c r="C2704" s="2" t="s">
        <v>74</v>
      </c>
      <c r="D2704" s="2" t="s">
        <v>18</v>
      </c>
      <c r="E2704" s="5">
        <v>-28949</v>
      </c>
      <c r="F2704" s="3" t="s">
        <v>178</v>
      </c>
      <c r="G2704" s="3" t="s">
        <v>20</v>
      </c>
      <c r="H2704" s="2" t="s">
        <v>21</v>
      </c>
      <c r="I2704" s="2" t="s">
        <v>5670</v>
      </c>
      <c r="J2704" s="3" t="str">
        <f>HYPERLINK("https://www.boe.es/gazeta/dias/1820/09/26/pdfs/GGB-1820-90.pdf#page=4","Abrir facsímil")</f>
        <v>Abrir facsímil</v>
      </c>
      <c r="K2704" s="3" t="s">
        <v>23</v>
      </c>
    </row>
    <row r="2705" spans="1:11" ht="42" customHeight="1">
      <c r="A2705" s="2" t="s">
        <v>5638</v>
      </c>
      <c r="B2705" s="2" t="s">
        <v>5638</v>
      </c>
      <c r="C2705" s="2" t="s">
        <v>35</v>
      </c>
      <c r="D2705" s="2" t="s">
        <v>36</v>
      </c>
      <c r="E2705" s="5">
        <v>-28945</v>
      </c>
      <c r="F2705" s="3" t="s">
        <v>99</v>
      </c>
      <c r="G2705" s="3" t="s">
        <v>20</v>
      </c>
      <c r="H2705" s="2" t="s">
        <v>21</v>
      </c>
      <c r="I2705" s="2" t="s">
        <v>5671</v>
      </c>
      <c r="J2705" s="3" t="str">
        <f>HYPERLINK("https://www.boe.es/gazeta/dias/1820/09/30/pdfs/GGB-1820-94.pdf#page=4","Abrir facsímil")</f>
        <v>Abrir facsímil</v>
      </c>
      <c r="K2705" s="3" t="s">
        <v>23</v>
      </c>
    </row>
    <row r="2706" spans="1:11" ht="42" customHeight="1">
      <c r="A2706" s="2" t="s">
        <v>5638</v>
      </c>
      <c r="B2706" s="2" t="s">
        <v>5638</v>
      </c>
      <c r="C2706" s="2" t="s">
        <v>111</v>
      </c>
      <c r="D2706" s="2" t="s">
        <v>18</v>
      </c>
      <c r="E2706" s="5">
        <v>-28944</v>
      </c>
      <c r="F2706" s="3" t="s">
        <v>990</v>
      </c>
      <c r="G2706" s="3" t="s">
        <v>1174</v>
      </c>
      <c r="H2706" s="2" t="s">
        <v>21</v>
      </c>
      <c r="I2706" s="2" t="s">
        <v>5672</v>
      </c>
      <c r="J2706" s="3" t="str">
        <f>HYPERLINK("https://www.boe.es/gazeta/dias/1820/10/01/pdfs/GGB-1820-95.pdf#page=4","Abrir facsímil")</f>
        <v>Abrir facsímil</v>
      </c>
      <c r="K2706" s="3" t="s">
        <v>23</v>
      </c>
    </row>
    <row r="2707" spans="1:11" ht="42" customHeight="1">
      <c r="A2707" s="2" t="s">
        <v>5638</v>
      </c>
      <c r="B2707" s="2" t="s">
        <v>5638</v>
      </c>
      <c r="C2707" s="2" t="s">
        <v>26</v>
      </c>
      <c r="D2707" s="2" t="s">
        <v>27</v>
      </c>
      <c r="E2707" s="5">
        <v>-28943</v>
      </c>
      <c r="F2707" s="3" t="s">
        <v>1403</v>
      </c>
      <c r="G2707" s="3" t="s">
        <v>1710</v>
      </c>
      <c r="H2707" s="2" t="s">
        <v>21</v>
      </c>
      <c r="I2707" s="2" t="s">
        <v>5673</v>
      </c>
      <c r="J2707" s="3" t="str">
        <f>HYPERLINK("https://www.boe.es/gazeta/dias/1820/10/02/pdfs/GGB-1820-96.pdf#page=4","Abrir facsímil")</f>
        <v>Abrir facsímil</v>
      </c>
      <c r="K2707" s="3" t="s">
        <v>23</v>
      </c>
    </row>
    <row r="2708" spans="1:11" ht="42" customHeight="1">
      <c r="A2708" s="2" t="s">
        <v>5638</v>
      </c>
      <c r="B2708" s="2" t="s">
        <v>5638</v>
      </c>
      <c r="C2708" s="2" t="s">
        <v>26</v>
      </c>
      <c r="D2708" s="2" t="s">
        <v>27</v>
      </c>
      <c r="E2708" s="5">
        <v>-28936</v>
      </c>
      <c r="F2708" s="3" t="s">
        <v>167</v>
      </c>
      <c r="G2708" s="3" t="s">
        <v>20</v>
      </c>
      <c r="H2708" s="2" t="s">
        <v>21</v>
      </c>
      <c r="I2708" s="2" t="s">
        <v>5674</v>
      </c>
      <c r="J2708" s="3" t="str">
        <f>HYPERLINK("https://www.boe.es/gazeta/dias/1820/10/09/pdfs/GGB-1820-103.pdf#page=4","Abrir facsímil")</f>
        <v>Abrir facsímil</v>
      </c>
      <c r="K2708" s="3" t="s">
        <v>23</v>
      </c>
    </row>
    <row r="2709" spans="1:11" ht="42" customHeight="1">
      <c r="A2709" s="2" t="s">
        <v>5638</v>
      </c>
      <c r="B2709" s="2" t="s">
        <v>5638</v>
      </c>
      <c r="C2709" s="2" t="s">
        <v>26</v>
      </c>
      <c r="D2709" s="2" t="s">
        <v>27</v>
      </c>
      <c r="E2709" s="5">
        <v>-28933</v>
      </c>
      <c r="F2709" s="3" t="s">
        <v>720</v>
      </c>
      <c r="G2709" s="3" t="s">
        <v>20</v>
      </c>
      <c r="H2709" s="2" t="s">
        <v>21</v>
      </c>
      <c r="I2709" s="2" t="s">
        <v>5675</v>
      </c>
      <c r="J2709" s="3" t="str">
        <f>HYPERLINK("https://www.boe.es/gazeta/dias/1820/10/12/pdfs/GGB-1820-106.pdf#page=4","Abrir facsímil")</f>
        <v>Abrir facsímil</v>
      </c>
      <c r="K2709" s="3" t="s">
        <v>23</v>
      </c>
    </row>
    <row r="2710" spans="1:11" ht="42" customHeight="1">
      <c r="A2710" s="2" t="s">
        <v>5638</v>
      </c>
      <c r="B2710" s="2" t="s">
        <v>5638</v>
      </c>
      <c r="C2710" s="2" t="s">
        <v>47</v>
      </c>
      <c r="D2710" s="2" t="s">
        <v>18</v>
      </c>
      <c r="E2710" s="5">
        <v>-28932</v>
      </c>
      <c r="F2710" s="3" t="s">
        <v>407</v>
      </c>
      <c r="G2710" s="3" t="s">
        <v>43</v>
      </c>
      <c r="H2710" s="2" t="s">
        <v>21</v>
      </c>
      <c r="I2710" s="2" t="s">
        <v>5676</v>
      </c>
      <c r="J2710" s="3" t="str">
        <f>HYPERLINK("https://www.boe.es/gazeta/dias/1820/10/13/pdfs/GGB-1820-107.pdf#page=2","Abrir facsímil")</f>
        <v>Abrir facsímil</v>
      </c>
      <c r="K2710" s="3" t="s">
        <v>23</v>
      </c>
    </row>
    <row r="2711" spans="1:11" ht="42" customHeight="1">
      <c r="A2711" s="2" t="s">
        <v>5638</v>
      </c>
      <c r="B2711" s="2" t="s">
        <v>5638</v>
      </c>
      <c r="C2711" s="2" t="s">
        <v>35</v>
      </c>
      <c r="D2711" s="2" t="s">
        <v>36</v>
      </c>
      <c r="E2711" s="5">
        <v>-28927</v>
      </c>
      <c r="F2711" s="3" t="s">
        <v>345</v>
      </c>
      <c r="G2711" s="3" t="s">
        <v>43</v>
      </c>
      <c r="H2711" s="2" t="s">
        <v>21</v>
      </c>
      <c r="I2711" s="2" t="s">
        <v>5677</v>
      </c>
      <c r="J2711" s="3" t="str">
        <f>HYPERLINK("https://www.boe.es/gazeta/dias/1820/10/18/pdfs/GGB-1820-112.pdf#page=2","Abrir facsímil")</f>
        <v>Abrir facsímil</v>
      </c>
      <c r="K2711" s="3" t="s">
        <v>23</v>
      </c>
    </row>
    <row r="2712" spans="1:11" ht="42" customHeight="1">
      <c r="A2712" s="2" t="s">
        <v>5638</v>
      </c>
      <c r="B2712" s="2" t="s">
        <v>5638</v>
      </c>
      <c r="C2712" s="2" t="s">
        <v>35</v>
      </c>
      <c r="D2712" s="2" t="s">
        <v>36</v>
      </c>
      <c r="E2712" s="5">
        <v>-28915</v>
      </c>
      <c r="F2712" s="3" t="s">
        <v>525</v>
      </c>
      <c r="G2712" s="3" t="s">
        <v>62</v>
      </c>
      <c r="H2712" s="2" t="s">
        <v>21</v>
      </c>
      <c r="I2712" s="2" t="s">
        <v>5678</v>
      </c>
      <c r="J2712" s="3" t="str">
        <f>HYPERLINK("https://www.boe.es/gazeta/dias/1820/10/30/pdfs/GGB-1820-124.pdf#page=3","Abrir facsímil")</f>
        <v>Abrir facsímil</v>
      </c>
      <c r="K2712" s="3" t="s">
        <v>23</v>
      </c>
    </row>
    <row r="2713" spans="1:11" ht="42" customHeight="1">
      <c r="A2713" s="2" t="s">
        <v>5638</v>
      </c>
      <c r="B2713" s="2" t="s">
        <v>5638</v>
      </c>
      <c r="C2713" s="2" t="s">
        <v>35</v>
      </c>
      <c r="D2713" s="2" t="s">
        <v>36</v>
      </c>
      <c r="E2713" s="5">
        <v>-28910</v>
      </c>
      <c r="F2713" s="3" t="s">
        <v>746</v>
      </c>
      <c r="G2713" s="3" t="s">
        <v>62</v>
      </c>
      <c r="H2713" s="2" t="s">
        <v>21</v>
      </c>
      <c r="I2713" s="2" t="s">
        <v>5679</v>
      </c>
      <c r="J2713" s="3" t="str">
        <f>HYPERLINK("https://www.boe.es/gazeta/dias/1820/11/04/pdfs/GGB-1820-129.pdf#page=3","Abrir facsímil")</f>
        <v>Abrir facsímil</v>
      </c>
      <c r="K2713" s="3" t="s">
        <v>23</v>
      </c>
    </row>
    <row r="2714" spans="1:11" ht="42" customHeight="1">
      <c r="A2714" s="2" t="s">
        <v>5638</v>
      </c>
      <c r="B2714" s="2" t="s">
        <v>5638</v>
      </c>
      <c r="C2714" s="2" t="s">
        <v>35</v>
      </c>
      <c r="D2714" s="2" t="s">
        <v>36</v>
      </c>
      <c r="E2714" s="5">
        <v>-28907</v>
      </c>
      <c r="F2714" s="3" t="s">
        <v>374</v>
      </c>
      <c r="G2714" s="3" t="s">
        <v>62</v>
      </c>
      <c r="H2714" s="2" t="s">
        <v>21</v>
      </c>
      <c r="I2714" s="2" t="s">
        <v>5680</v>
      </c>
      <c r="J2714" s="3" t="str">
        <f>HYPERLINK("https://www.boe.es/gazeta/dias/1820/11/07/pdfs/GGB-1820-132.pdf#page=3","Abrir facsímil")</f>
        <v>Abrir facsímil</v>
      </c>
      <c r="K2714" s="3" t="s">
        <v>23</v>
      </c>
    </row>
    <row r="2715" spans="1:11" ht="42" customHeight="1">
      <c r="A2715" s="2" t="s">
        <v>5638</v>
      </c>
      <c r="B2715" s="2" t="s">
        <v>5638</v>
      </c>
      <c r="C2715" s="2" t="s">
        <v>35</v>
      </c>
      <c r="D2715" s="2" t="s">
        <v>36</v>
      </c>
      <c r="E2715" s="5">
        <v>-28907</v>
      </c>
      <c r="F2715" s="3" t="s">
        <v>374</v>
      </c>
      <c r="G2715" s="3" t="s">
        <v>20</v>
      </c>
      <c r="H2715" s="2" t="s">
        <v>21</v>
      </c>
      <c r="I2715" s="2" t="s">
        <v>5681</v>
      </c>
      <c r="J2715" s="3" t="str">
        <f>HYPERLINK("https://www.boe.es/gazeta/dias/1820/11/07/pdfs/GGB-1820-132.pdf#page=4","Abrir facsímil")</f>
        <v>Abrir facsímil</v>
      </c>
      <c r="K2715" s="3" t="s">
        <v>23</v>
      </c>
    </row>
    <row r="2716" spans="1:11" ht="42" customHeight="1">
      <c r="A2716" s="2" t="s">
        <v>5638</v>
      </c>
      <c r="B2716" s="2" t="s">
        <v>5638</v>
      </c>
      <c r="C2716" s="2" t="s">
        <v>293</v>
      </c>
      <c r="D2716" s="2" t="s">
        <v>18</v>
      </c>
      <c r="E2716" s="5">
        <v>-28906</v>
      </c>
      <c r="F2716" s="3" t="s">
        <v>232</v>
      </c>
      <c r="G2716" s="3" t="s">
        <v>43</v>
      </c>
      <c r="H2716" s="2" t="s">
        <v>21</v>
      </c>
      <c r="I2716" s="2" t="s">
        <v>5682</v>
      </c>
      <c r="J2716" s="3" t="str">
        <f>HYPERLINK("https://www.boe.es/gazeta/dias/1820/11/08/pdfs/GGB-1820-133.pdf#page=2","Abrir facsímil")</f>
        <v>Abrir facsímil</v>
      </c>
      <c r="K2716" s="3" t="s">
        <v>23</v>
      </c>
    </row>
    <row r="2717" spans="1:11" ht="42" customHeight="1">
      <c r="A2717" s="2" t="s">
        <v>5683</v>
      </c>
      <c r="B2717" s="2" t="s">
        <v>5683</v>
      </c>
      <c r="C2717" s="2" t="s">
        <v>26</v>
      </c>
      <c r="D2717" s="2" t="s">
        <v>27</v>
      </c>
      <c r="E2717" s="5">
        <v>-29101</v>
      </c>
      <c r="F2717" s="3" t="s">
        <v>999</v>
      </c>
      <c r="G2717" s="3" t="s">
        <v>479</v>
      </c>
      <c r="H2717" s="2" t="s">
        <v>21</v>
      </c>
      <c r="I2717" s="2" t="s">
        <v>5684</v>
      </c>
      <c r="J2717" s="3" t="str">
        <f>HYPERLINK("https://www.boe.es/gazeta/dias/1820/04/27/pdfs/GMD-1820-72.pdf#page=12","Abrir facsímil")</f>
        <v>Abrir facsímil</v>
      </c>
      <c r="K2717" s="3" t="s">
        <v>23</v>
      </c>
    </row>
    <row r="2718" spans="1:11" ht="42" customHeight="1">
      <c r="A2718" s="2" t="s">
        <v>5683</v>
      </c>
      <c r="B2718" s="2" t="s">
        <v>5683</v>
      </c>
      <c r="C2718" s="2" t="s">
        <v>47</v>
      </c>
      <c r="D2718" s="2" t="s">
        <v>18</v>
      </c>
      <c r="E2718" s="5">
        <v>-29000</v>
      </c>
      <c r="F2718" s="3" t="s">
        <v>670</v>
      </c>
      <c r="G2718" s="3" t="s">
        <v>62</v>
      </c>
      <c r="H2718" s="2" t="s">
        <v>21</v>
      </c>
      <c r="I2718" s="2" t="s">
        <v>5685</v>
      </c>
      <c r="J2718" s="3" t="str">
        <f>HYPERLINK("https://www.boe.es/gazeta/dias/1820/08/06/pdfs/GGB-1820-39.pdf#page=3","Abrir facsímil")</f>
        <v>Abrir facsímil</v>
      </c>
      <c r="K2718" s="3" t="s">
        <v>23</v>
      </c>
    </row>
    <row r="2719" spans="1:11" ht="42" customHeight="1">
      <c r="A2719" s="2" t="s">
        <v>5683</v>
      </c>
      <c r="B2719" s="2" t="s">
        <v>5683</v>
      </c>
      <c r="C2719" s="2" t="s">
        <v>35</v>
      </c>
      <c r="D2719" s="2" t="s">
        <v>36</v>
      </c>
      <c r="E2719" s="5">
        <v>-28999</v>
      </c>
      <c r="F2719" s="3" t="s">
        <v>342</v>
      </c>
      <c r="G2719" s="3" t="s">
        <v>343</v>
      </c>
      <c r="H2719" s="2" t="s">
        <v>21</v>
      </c>
      <c r="I2719" s="2" t="s">
        <v>5686</v>
      </c>
      <c r="J2719" s="3" t="str">
        <f>HYPERLINK("https://www.boe.es/gazeta/dias/1820/08/07/pdfs/GGB-1820-40.pdf#page=2","Abrir facsímil")</f>
        <v>Abrir facsímil</v>
      </c>
      <c r="K2719" s="3" t="s">
        <v>23</v>
      </c>
    </row>
    <row r="2720" spans="1:11" ht="42" customHeight="1">
      <c r="A2720" s="2" t="s">
        <v>5683</v>
      </c>
      <c r="B2720" s="2" t="s">
        <v>5683</v>
      </c>
      <c r="C2720" s="2" t="s">
        <v>26</v>
      </c>
      <c r="D2720" s="2" t="s">
        <v>27</v>
      </c>
      <c r="E2720" s="5">
        <v>-28946</v>
      </c>
      <c r="F2720" s="3" t="s">
        <v>1055</v>
      </c>
      <c r="G2720" s="3" t="s">
        <v>20</v>
      </c>
      <c r="H2720" s="2" t="s">
        <v>21</v>
      </c>
      <c r="I2720" s="2" t="s">
        <v>5687</v>
      </c>
      <c r="J2720" s="3" t="str">
        <f>HYPERLINK("https://www.boe.es/gazeta/dias/1820/09/29/pdfs/GGB-1820-93.pdf#page=4","Abrir facsímil")</f>
        <v>Abrir facsímil</v>
      </c>
      <c r="K2720" s="3" t="s">
        <v>23</v>
      </c>
    </row>
    <row r="2721" spans="1:11" ht="42" customHeight="1">
      <c r="A2721" s="2" t="s">
        <v>5683</v>
      </c>
      <c r="B2721" s="2" t="s">
        <v>5683</v>
      </c>
      <c r="C2721" s="2" t="s">
        <v>26</v>
      </c>
      <c r="D2721" s="2" t="s">
        <v>27</v>
      </c>
      <c r="E2721" s="5">
        <v>-28896</v>
      </c>
      <c r="F2721" s="3" t="s">
        <v>1268</v>
      </c>
      <c r="G2721" s="3" t="s">
        <v>62</v>
      </c>
      <c r="H2721" s="2" t="s">
        <v>21</v>
      </c>
      <c r="I2721" s="2" t="s">
        <v>5688</v>
      </c>
      <c r="J2721" s="3" t="str">
        <f>HYPERLINK("https://www.boe.es/gazeta/dias/1820/11/18/pdfs/GGB-1820-144.pdf#page=3","Abrir facsímil")</f>
        <v>Abrir facsímil</v>
      </c>
      <c r="K2721" s="3" t="s">
        <v>23</v>
      </c>
    </row>
    <row r="2722" spans="1:11" ht="42" customHeight="1">
      <c r="A2722" s="2" t="s">
        <v>5689</v>
      </c>
      <c r="B2722" s="2" t="s">
        <v>5690</v>
      </c>
      <c r="C2722" s="2" t="s">
        <v>35</v>
      </c>
      <c r="D2722" s="2" t="s">
        <v>36</v>
      </c>
      <c r="E2722" s="5">
        <v>-29021</v>
      </c>
      <c r="F2722" s="3" t="s">
        <v>377</v>
      </c>
      <c r="G2722" s="3" t="s">
        <v>43</v>
      </c>
      <c r="H2722" s="2" t="s">
        <v>21</v>
      </c>
      <c r="I2722" s="2" t="s">
        <v>5691</v>
      </c>
      <c r="J2722" s="3" t="str">
        <f>HYPERLINK("https://www.boe.es/gazeta/dias/1820/07/16/pdfs/GGB-1820-18.pdf#page=2","Abrir facsímil")</f>
        <v>Abrir facsímil</v>
      </c>
      <c r="K2722" s="3" t="s">
        <v>23</v>
      </c>
    </row>
    <row r="2723" spans="1:11" ht="42" customHeight="1">
      <c r="A2723" s="2" t="s">
        <v>5692</v>
      </c>
      <c r="B2723" s="2" t="s">
        <v>5693</v>
      </c>
      <c r="C2723" s="2" t="s">
        <v>26</v>
      </c>
      <c r="D2723" s="2" t="s">
        <v>27</v>
      </c>
      <c r="E2723" s="5">
        <v>-29120</v>
      </c>
      <c r="F2723" s="3" t="s">
        <v>852</v>
      </c>
      <c r="G2723" s="3" t="s">
        <v>295</v>
      </c>
      <c r="H2723" s="2" t="s">
        <v>21</v>
      </c>
      <c r="I2723" s="2" t="s">
        <v>5694</v>
      </c>
      <c r="J2723" s="3" t="str">
        <f>HYPERLINK("https://www.boe.es/gazeta/dias/1820/04/08/pdfs/GMD-1820-63.pdf#page=8","Abrir facsímil")</f>
        <v>Abrir facsímil</v>
      </c>
      <c r="K2723" s="3" t="s">
        <v>23</v>
      </c>
    </row>
    <row r="2724" spans="1:11" ht="42" customHeight="1">
      <c r="A2724" s="2" t="s">
        <v>5695</v>
      </c>
      <c r="B2724" s="2" t="s">
        <v>5695</v>
      </c>
      <c r="C2724" s="2" t="s">
        <v>17</v>
      </c>
      <c r="D2724" s="2" t="s">
        <v>18</v>
      </c>
      <c r="E2724" s="5">
        <v>-29043</v>
      </c>
      <c r="F2724" s="3" t="s">
        <v>5696</v>
      </c>
      <c r="G2724" s="3" t="s">
        <v>62</v>
      </c>
      <c r="H2724" s="2" t="s">
        <v>21</v>
      </c>
      <c r="I2724" s="2" t="s">
        <v>5697</v>
      </c>
      <c r="J2724" s="3" t="str">
        <f>HYPERLINK("https://www.boe.es/gazeta/dias/1820/06/24/pdfs/GMD-1820-98.pdf#page=3","Abrir facsímil")</f>
        <v>Abrir facsímil</v>
      </c>
      <c r="K2724" s="3" t="s">
        <v>23</v>
      </c>
    </row>
    <row r="2725" spans="1:11" ht="42" customHeight="1">
      <c r="A2725" s="2" t="s">
        <v>5698</v>
      </c>
      <c r="B2725" s="2" t="s">
        <v>5699</v>
      </c>
      <c r="C2725" s="2" t="s">
        <v>35</v>
      </c>
      <c r="D2725" s="2" t="s">
        <v>36</v>
      </c>
      <c r="E2725" s="5">
        <v>-29054</v>
      </c>
      <c r="F2725" s="3" t="s">
        <v>481</v>
      </c>
      <c r="G2725" s="3" t="s">
        <v>553</v>
      </c>
      <c r="H2725" s="2" t="s">
        <v>21</v>
      </c>
      <c r="I2725" s="2" t="s">
        <v>5700</v>
      </c>
      <c r="J2725" s="3" t="str">
        <f>HYPERLINK("https://www.boe.es/gazeta/dias/1820/06/13/pdfs/GMD-1820-93.pdf#page=10","Abrir facsímil")</f>
        <v>Abrir facsímil</v>
      </c>
      <c r="K2725" s="3" t="s">
        <v>23</v>
      </c>
    </row>
    <row r="2726" spans="1:11" ht="42" customHeight="1">
      <c r="A2726" s="2" t="s">
        <v>5701</v>
      </c>
      <c r="B2726" s="2" t="s">
        <v>5701</v>
      </c>
      <c r="C2726" s="2" t="s">
        <v>26</v>
      </c>
      <c r="D2726" s="2" t="s">
        <v>27</v>
      </c>
      <c r="E2726" s="5">
        <v>-28908</v>
      </c>
      <c r="F2726" s="3" t="s">
        <v>1060</v>
      </c>
      <c r="G2726" s="3" t="s">
        <v>128</v>
      </c>
      <c r="H2726" s="2" t="s">
        <v>21</v>
      </c>
      <c r="I2726" s="2" t="s">
        <v>5702</v>
      </c>
      <c r="J2726" s="3" t="str">
        <f>HYPERLINK("https://www.boe.es/gazeta/dias/1820/11/06/pdfs/GGB-1820-131.pdf#page=1","Abrir facsímil")</f>
        <v>Abrir facsímil</v>
      </c>
      <c r="K2726" s="3" t="s">
        <v>23</v>
      </c>
    </row>
    <row r="2727" spans="1:11" ht="42" customHeight="1">
      <c r="A2727" s="2" t="s">
        <v>5703</v>
      </c>
      <c r="B2727" s="2" t="s">
        <v>5704</v>
      </c>
      <c r="C2727" s="2" t="s">
        <v>26</v>
      </c>
      <c r="D2727" s="2" t="s">
        <v>27</v>
      </c>
      <c r="E2727" s="5">
        <v>-28950</v>
      </c>
      <c r="F2727" s="3" t="s">
        <v>1052</v>
      </c>
      <c r="G2727" s="3" t="s">
        <v>62</v>
      </c>
      <c r="H2727" s="2" t="s">
        <v>21</v>
      </c>
      <c r="I2727" s="2" t="s">
        <v>5705</v>
      </c>
      <c r="J2727" s="3" t="str">
        <f>HYPERLINK("https://www.boe.es/gazeta/dias/1820/09/25/pdfs/GGB-1820-89.pdf#page=3","Abrir facsímil")</f>
        <v>Abrir facsímil</v>
      </c>
      <c r="K2727" s="3" t="s">
        <v>23</v>
      </c>
    </row>
    <row r="2728" spans="1:11" ht="42" customHeight="1">
      <c r="A2728" s="2" t="s">
        <v>5706</v>
      </c>
      <c r="B2728" s="2" t="s">
        <v>5706</v>
      </c>
      <c r="C2728" s="2" t="s">
        <v>35</v>
      </c>
      <c r="D2728" s="2" t="s">
        <v>36</v>
      </c>
      <c r="E2728" s="5">
        <v>-28965</v>
      </c>
      <c r="F2728" s="3" t="s">
        <v>1520</v>
      </c>
      <c r="G2728" s="3" t="s">
        <v>62</v>
      </c>
      <c r="H2728" s="2" t="s">
        <v>21</v>
      </c>
      <c r="I2728" s="2" t="s">
        <v>5707</v>
      </c>
      <c r="J2728" s="3" t="str">
        <f>HYPERLINK("https://www.boe.es/gazeta/dias/1820/09/10/pdfs/GGB-1820-74.pdf#page=3","Abrir facsímil")</f>
        <v>Abrir facsímil</v>
      </c>
      <c r="K2728" s="3" t="s">
        <v>23</v>
      </c>
    </row>
    <row r="2729" spans="1:11" ht="42" customHeight="1">
      <c r="A2729" s="2" t="s">
        <v>5708</v>
      </c>
      <c r="B2729" s="2" t="s">
        <v>5709</v>
      </c>
      <c r="C2729" s="2" t="s">
        <v>35</v>
      </c>
      <c r="D2729" s="2" t="s">
        <v>36</v>
      </c>
      <c r="E2729" s="5">
        <v>-29127</v>
      </c>
      <c r="F2729" s="3" t="s">
        <v>583</v>
      </c>
      <c r="G2729" s="3" t="s">
        <v>295</v>
      </c>
      <c r="H2729" s="2" t="s">
        <v>21</v>
      </c>
      <c r="I2729" s="2" t="s">
        <v>5710</v>
      </c>
      <c r="J2729" s="3" t="str">
        <f>HYPERLINK("https://www.boe.es/gazeta/dias/1820/04/01/pdfs/GMD-1820-59.pdf#page=8","Abrir facsímil")</f>
        <v>Abrir facsímil</v>
      </c>
      <c r="K2729" s="3" t="s">
        <v>23</v>
      </c>
    </row>
    <row r="2730" spans="1:11" ht="42" customHeight="1">
      <c r="A2730" s="2" t="s">
        <v>5711</v>
      </c>
      <c r="B2730" s="2" t="s">
        <v>5712</v>
      </c>
      <c r="C2730" s="2" t="s">
        <v>35</v>
      </c>
      <c r="D2730" s="2" t="s">
        <v>310</v>
      </c>
      <c r="E2730" s="5">
        <v>-29149</v>
      </c>
      <c r="F2730" s="3" t="s">
        <v>5530</v>
      </c>
      <c r="G2730" s="3" t="s">
        <v>128</v>
      </c>
      <c r="H2730" s="2" t="s">
        <v>21</v>
      </c>
      <c r="I2730" s="2" t="s">
        <v>5713</v>
      </c>
      <c r="J2730" s="3" t="str">
        <f>HYPERLINK("https://www.boe.es/gazeta/dias/1820/03/10/pdfs/GMD-1820-35E.pdf#page=1","Abrir facsímil")</f>
        <v>Abrir facsímil</v>
      </c>
      <c r="K2730" s="3" t="s">
        <v>23</v>
      </c>
    </row>
    <row r="2731" spans="1:11" ht="42" customHeight="1">
      <c r="A2731" s="2" t="s">
        <v>5714</v>
      </c>
      <c r="B2731" s="2" t="s">
        <v>5715</v>
      </c>
      <c r="C2731" s="2" t="s">
        <v>26</v>
      </c>
      <c r="D2731" s="2" t="s">
        <v>27</v>
      </c>
      <c r="E2731" s="5">
        <v>-28973</v>
      </c>
      <c r="F2731" s="3" t="s">
        <v>151</v>
      </c>
      <c r="G2731" s="3" t="s">
        <v>20</v>
      </c>
      <c r="H2731" s="2" t="s">
        <v>21</v>
      </c>
      <c r="I2731" s="2" t="s">
        <v>5716</v>
      </c>
      <c r="J2731" s="3" t="str">
        <f>HYPERLINK("https://www.boe.es/gazeta/dias/1820/09/02/pdfs/GGB-1820-66.pdf#page=4","Abrir facsímil")</f>
        <v>Abrir facsímil</v>
      </c>
      <c r="K2731" s="3" t="s">
        <v>23</v>
      </c>
    </row>
    <row r="2732" spans="1:11" ht="42" customHeight="1">
      <c r="A2732" s="2" t="s">
        <v>5717</v>
      </c>
      <c r="B2732" s="2" t="s">
        <v>5718</v>
      </c>
      <c r="C2732" s="2" t="s">
        <v>35</v>
      </c>
      <c r="D2732" s="2" t="s">
        <v>36</v>
      </c>
      <c r="E2732" s="5">
        <v>-29143</v>
      </c>
      <c r="F2732" s="3" t="s">
        <v>334</v>
      </c>
      <c r="G2732" s="3" t="s">
        <v>38</v>
      </c>
      <c r="H2732" s="2" t="s">
        <v>21</v>
      </c>
      <c r="I2732" s="2" t="s">
        <v>5719</v>
      </c>
      <c r="J2732" s="3" t="str">
        <f>HYPERLINK("https://www.boe.es/gazeta/dias/1820/03/16/pdfs/GMD-1820-42.pdf#page=6","Abrir facsímil")</f>
        <v>Abrir facsímil</v>
      </c>
      <c r="K2732" s="3" t="s">
        <v>23</v>
      </c>
    </row>
    <row r="2733" spans="1:11" ht="42" customHeight="1">
      <c r="A2733" s="2" t="s">
        <v>5720</v>
      </c>
      <c r="B2733" s="2" t="s">
        <v>5721</v>
      </c>
      <c r="C2733" s="2" t="s">
        <v>26</v>
      </c>
      <c r="D2733" s="2" t="s">
        <v>27</v>
      </c>
      <c r="E2733" s="5">
        <v>-28915</v>
      </c>
      <c r="F2733" s="3" t="s">
        <v>525</v>
      </c>
      <c r="G2733" s="3" t="s">
        <v>43</v>
      </c>
      <c r="H2733" s="2" t="s">
        <v>21</v>
      </c>
      <c r="I2733" s="2" t="s">
        <v>5722</v>
      </c>
      <c r="J2733" s="3" t="str">
        <f>HYPERLINK("https://www.boe.es/gazeta/dias/1820/10/30/pdfs/GGB-1820-124.pdf#page=2","Abrir facsímil")</f>
        <v>Abrir facsímil</v>
      </c>
      <c r="K2733" s="3" t="s">
        <v>23</v>
      </c>
    </row>
    <row r="2734" spans="1:11" ht="42" customHeight="1">
      <c r="A2734" s="2" t="s">
        <v>5723</v>
      </c>
      <c r="B2734" s="2" t="s">
        <v>5724</v>
      </c>
      <c r="C2734" s="2" t="s">
        <v>35</v>
      </c>
      <c r="D2734" s="2" t="s">
        <v>36</v>
      </c>
      <c r="E2734" s="5">
        <v>-29194</v>
      </c>
      <c r="F2734" s="3" t="s">
        <v>416</v>
      </c>
      <c r="G2734" s="3" t="s">
        <v>1391</v>
      </c>
      <c r="H2734" s="2" t="s">
        <v>21</v>
      </c>
      <c r="I2734" s="2" t="s">
        <v>5725</v>
      </c>
      <c r="J2734" s="3" t="str">
        <f>HYPERLINK("https://www.boe.es/gazeta/dias/1820/01/25/pdfs/GMD-1820-11.pdf#page=8","Abrir facsímil")</f>
        <v>Abrir facsímil</v>
      </c>
      <c r="K2734" s="3" t="s">
        <v>23</v>
      </c>
    </row>
    <row r="2735" spans="1:11" ht="42" customHeight="1">
      <c r="A2735" s="2" t="s">
        <v>5723</v>
      </c>
      <c r="B2735" s="2" t="s">
        <v>5724</v>
      </c>
      <c r="C2735" s="2" t="s">
        <v>35</v>
      </c>
      <c r="D2735" s="2" t="s">
        <v>36</v>
      </c>
      <c r="E2735" s="5">
        <v>-29192</v>
      </c>
      <c r="F2735" s="3" t="s">
        <v>497</v>
      </c>
      <c r="G2735" s="3" t="s">
        <v>295</v>
      </c>
      <c r="H2735" s="2" t="s">
        <v>21</v>
      </c>
      <c r="I2735" s="2" t="s">
        <v>5726</v>
      </c>
      <c r="J2735" s="3" t="str">
        <f>HYPERLINK("https://www.boe.es/gazeta/dias/1820/01/27/pdfs/GMD-1820-12.pdf#page=8","Abrir facsímil")</f>
        <v>Abrir facsímil</v>
      </c>
      <c r="K2735" s="3" t="s">
        <v>23</v>
      </c>
    </row>
    <row r="2736" spans="1:11" ht="42" customHeight="1">
      <c r="A2736" s="2" t="s">
        <v>5727</v>
      </c>
      <c r="B2736" s="2" t="s">
        <v>5728</v>
      </c>
      <c r="C2736" s="2" t="s">
        <v>26</v>
      </c>
      <c r="D2736" s="2" t="s">
        <v>27</v>
      </c>
      <c r="E2736" s="5">
        <v>-29136</v>
      </c>
      <c r="F2736" s="3" t="s">
        <v>2972</v>
      </c>
      <c r="G2736" s="3" t="s">
        <v>38</v>
      </c>
      <c r="H2736" s="2" t="s">
        <v>21</v>
      </c>
      <c r="I2736" s="2" t="s">
        <v>5729</v>
      </c>
      <c r="J2736" s="3" t="str">
        <f>HYPERLINK("https://www.boe.es/gazeta/dias/1820/03/23/pdfs/GMD-1820-51.pdf#page=6","Abrir facsímil")</f>
        <v>Abrir facsímil</v>
      </c>
      <c r="K2736" s="3" t="s">
        <v>23</v>
      </c>
    </row>
    <row r="2737" spans="1:11" ht="42" customHeight="1">
      <c r="A2737" s="2" t="s">
        <v>5730</v>
      </c>
      <c r="B2737" s="2" t="s">
        <v>5730</v>
      </c>
      <c r="C2737" s="2" t="s">
        <v>74</v>
      </c>
      <c r="D2737" s="2" t="s">
        <v>18</v>
      </c>
      <c r="E2737" s="5">
        <v>-29169</v>
      </c>
      <c r="F2737" s="3" t="s">
        <v>962</v>
      </c>
      <c r="G2737" s="3" t="s">
        <v>20</v>
      </c>
      <c r="H2737" s="2" t="s">
        <v>21</v>
      </c>
      <c r="I2737" s="2" t="s">
        <v>5731</v>
      </c>
      <c r="J2737" s="3" t="str">
        <f>HYPERLINK("https://www.boe.es/gazeta/dias/1820/02/19/pdfs/GMD-1820-22.pdf#page=4","Abrir facsímil")</f>
        <v>Abrir facsímil</v>
      </c>
      <c r="K2737" s="3" t="s">
        <v>23</v>
      </c>
    </row>
    <row r="2738" spans="1:11" ht="42" customHeight="1">
      <c r="A2738" s="2" t="s">
        <v>5732</v>
      </c>
      <c r="B2738" s="2" t="s">
        <v>5732</v>
      </c>
      <c r="C2738" s="2" t="s">
        <v>17</v>
      </c>
      <c r="D2738" s="2" t="s">
        <v>18</v>
      </c>
      <c r="E2738" s="5">
        <v>-29122</v>
      </c>
      <c r="F2738" s="3" t="s">
        <v>844</v>
      </c>
      <c r="G2738" s="3" t="s">
        <v>1895</v>
      </c>
      <c r="H2738" s="2" t="s">
        <v>21</v>
      </c>
      <c r="I2738" s="2" t="s">
        <v>5733</v>
      </c>
      <c r="J2738" s="3" t="str">
        <f>HYPERLINK("https://www.boe.es/gazeta/dias/1820/04/06/pdfs/GMD-1820-62.pdf#page=4","Abrir facsímil")</f>
        <v>Abrir facsímil</v>
      </c>
      <c r="K2738" s="3" t="s">
        <v>23</v>
      </c>
    </row>
    <row r="2739" spans="1:11" ht="42" customHeight="1">
      <c r="A2739" s="2" t="s">
        <v>5732</v>
      </c>
      <c r="B2739" s="2" t="s">
        <v>5732</v>
      </c>
      <c r="C2739" s="2" t="s">
        <v>35</v>
      </c>
      <c r="D2739" s="2" t="s">
        <v>36</v>
      </c>
      <c r="E2739" s="5">
        <v>-29024</v>
      </c>
      <c r="F2739" s="3" t="s">
        <v>1916</v>
      </c>
      <c r="G2739" s="3" t="s">
        <v>43</v>
      </c>
      <c r="H2739" s="2" t="s">
        <v>21</v>
      </c>
      <c r="I2739" s="2" t="s">
        <v>5734</v>
      </c>
      <c r="J2739" s="3" t="str">
        <f>HYPERLINK("https://www.boe.es/gazeta/dias/1820/07/13/pdfs/GGB-1820-15.pdf#page=2","Abrir facsímil")</f>
        <v>Abrir facsímil</v>
      </c>
      <c r="K2739" s="3" t="s">
        <v>23</v>
      </c>
    </row>
    <row r="2740" spans="1:11" ht="42" customHeight="1">
      <c r="A2740" s="2" t="s">
        <v>5732</v>
      </c>
      <c r="B2740" s="2" t="s">
        <v>5732</v>
      </c>
      <c r="C2740" s="2" t="s">
        <v>35</v>
      </c>
      <c r="D2740" s="2" t="s">
        <v>36</v>
      </c>
      <c r="E2740" s="5">
        <v>-29022</v>
      </c>
      <c r="F2740" s="3" t="s">
        <v>1310</v>
      </c>
      <c r="G2740" s="3" t="s">
        <v>20</v>
      </c>
      <c r="H2740" s="2" t="s">
        <v>21</v>
      </c>
      <c r="I2740" s="2" t="s">
        <v>5735</v>
      </c>
      <c r="J2740" s="3" t="str">
        <f>HYPERLINK("https://www.boe.es/gazeta/dias/1820/07/15/pdfs/GGB-1820-17.pdf#page=4","Abrir facsímil")</f>
        <v>Abrir facsímil</v>
      </c>
      <c r="K2740" s="3" t="s">
        <v>23</v>
      </c>
    </row>
    <row r="2741" spans="1:11" ht="42" customHeight="1">
      <c r="A2741" s="2" t="s">
        <v>5732</v>
      </c>
      <c r="B2741" s="2" t="s">
        <v>5732</v>
      </c>
      <c r="C2741" s="2" t="s">
        <v>26</v>
      </c>
      <c r="D2741" s="2" t="s">
        <v>27</v>
      </c>
      <c r="E2741" s="5">
        <v>-28994</v>
      </c>
      <c r="F2741" s="3" t="s">
        <v>1612</v>
      </c>
      <c r="G2741" s="3" t="s">
        <v>43</v>
      </c>
      <c r="H2741" s="2" t="s">
        <v>21</v>
      </c>
      <c r="I2741" s="2" t="s">
        <v>5736</v>
      </c>
      <c r="J2741" s="3" t="str">
        <f>HYPERLINK("https://www.boe.es/gazeta/dias/1820/08/12/pdfs/GGB-1820-45.pdf#page=2","Abrir facsímil")</f>
        <v>Abrir facsímil</v>
      </c>
      <c r="K2741" s="3" t="s">
        <v>23</v>
      </c>
    </row>
    <row r="2742" spans="1:11" ht="42" customHeight="1">
      <c r="A2742" s="2" t="s">
        <v>5732</v>
      </c>
      <c r="B2742" s="2" t="s">
        <v>5732</v>
      </c>
      <c r="C2742" s="2" t="s">
        <v>17</v>
      </c>
      <c r="D2742" s="2" t="s">
        <v>18</v>
      </c>
      <c r="E2742" s="5">
        <v>-28965</v>
      </c>
      <c r="F2742" s="3" t="s">
        <v>1520</v>
      </c>
      <c r="G2742" s="3" t="s">
        <v>20</v>
      </c>
      <c r="H2742" s="2" t="s">
        <v>21</v>
      </c>
      <c r="I2742" s="2" t="s">
        <v>5737</v>
      </c>
      <c r="J2742" s="3" t="str">
        <f>HYPERLINK("https://www.boe.es/gazeta/dias/1820/09/10/pdfs/GGB-1820-74.pdf#page=4","Abrir facsímil")</f>
        <v>Abrir facsímil</v>
      </c>
      <c r="K2742" s="3" t="s">
        <v>23</v>
      </c>
    </row>
    <row r="2743" spans="1:11" ht="42" customHeight="1">
      <c r="A2743" s="2" t="s">
        <v>5732</v>
      </c>
      <c r="B2743" s="2" t="s">
        <v>5732</v>
      </c>
      <c r="C2743" s="2" t="s">
        <v>293</v>
      </c>
      <c r="D2743" s="2" t="s">
        <v>18</v>
      </c>
      <c r="E2743" s="5">
        <v>-28953</v>
      </c>
      <c r="F2743" s="3" t="s">
        <v>367</v>
      </c>
      <c r="G2743" s="3" t="s">
        <v>2925</v>
      </c>
      <c r="H2743" s="2" t="s">
        <v>21</v>
      </c>
      <c r="I2743" s="2" t="s">
        <v>5738</v>
      </c>
      <c r="J2743" s="3" t="str">
        <f>HYPERLINK("https://www.boe.es/gazeta/dias/1820/09/22/pdfs/GGB-1820-86.pdf#page=2","Abrir facsímil")</f>
        <v>Abrir facsímil</v>
      </c>
      <c r="K2743" s="3" t="s">
        <v>23</v>
      </c>
    </row>
    <row r="2744" spans="1:11" ht="42" customHeight="1">
      <c r="A2744" s="2" t="s">
        <v>5732</v>
      </c>
      <c r="B2744" s="2" t="s">
        <v>5732</v>
      </c>
      <c r="C2744" s="2" t="s">
        <v>17</v>
      </c>
      <c r="D2744" s="2" t="s">
        <v>18</v>
      </c>
      <c r="E2744" s="5">
        <v>-28929</v>
      </c>
      <c r="F2744" s="3" t="s">
        <v>728</v>
      </c>
      <c r="G2744" s="3" t="s">
        <v>43</v>
      </c>
      <c r="H2744" s="2" t="s">
        <v>21</v>
      </c>
      <c r="I2744" s="2" t="s">
        <v>5739</v>
      </c>
      <c r="J2744" s="3" t="str">
        <f>HYPERLINK("https://www.boe.es/gazeta/dias/1820/10/16/pdfs/GGB-1820-110.pdf#page=2","Abrir facsímil")</f>
        <v>Abrir facsímil</v>
      </c>
      <c r="K2744" s="3" t="s">
        <v>23</v>
      </c>
    </row>
    <row r="2745" spans="1:11" ht="42" customHeight="1">
      <c r="A2745" s="2" t="s">
        <v>5732</v>
      </c>
      <c r="B2745" s="2" t="s">
        <v>5732</v>
      </c>
      <c r="C2745" s="2" t="s">
        <v>17</v>
      </c>
      <c r="D2745" s="2" t="s">
        <v>18</v>
      </c>
      <c r="E2745" s="5">
        <v>-28895</v>
      </c>
      <c r="F2745" s="3" t="s">
        <v>347</v>
      </c>
      <c r="G2745" s="3" t="s">
        <v>20</v>
      </c>
      <c r="H2745" s="2" t="s">
        <v>21</v>
      </c>
      <c r="I2745" s="2" t="s">
        <v>5740</v>
      </c>
      <c r="J2745" s="3" t="str">
        <f>HYPERLINK("https://www.boe.es/gazeta/dias/1820/11/19/pdfs/GGB-1820-146.pdf#page=4","Abrir facsímil")</f>
        <v>Abrir facsímil</v>
      </c>
      <c r="K2745" s="3" t="s">
        <v>23</v>
      </c>
    </row>
    <row r="2746" spans="1:11" ht="42" customHeight="1">
      <c r="A2746" s="2" t="s">
        <v>5732</v>
      </c>
      <c r="B2746" s="2" t="s">
        <v>5732</v>
      </c>
      <c r="C2746" s="2" t="s">
        <v>111</v>
      </c>
      <c r="D2746" s="2" t="s">
        <v>18</v>
      </c>
      <c r="E2746" s="5">
        <v>-28878</v>
      </c>
      <c r="F2746" s="3" t="s">
        <v>866</v>
      </c>
      <c r="G2746" s="3" t="s">
        <v>62</v>
      </c>
      <c r="H2746" s="2" t="s">
        <v>21</v>
      </c>
      <c r="I2746" s="2" t="s">
        <v>5741</v>
      </c>
      <c r="J2746" s="3" t="str">
        <f>HYPERLINK("https://www.boe.es/gazeta/dias/1820/12/06/pdfs/GGB-1820-163.pdf#page=3","Abrir facsímil")</f>
        <v>Abrir facsímil</v>
      </c>
      <c r="K2746" s="3" t="s">
        <v>23</v>
      </c>
    </row>
    <row r="2747" spans="1:11" ht="42" customHeight="1">
      <c r="A2747" s="2" t="s">
        <v>5732</v>
      </c>
      <c r="B2747" s="2" t="s">
        <v>5732</v>
      </c>
      <c r="C2747" s="2" t="s">
        <v>26</v>
      </c>
      <c r="D2747" s="2" t="s">
        <v>27</v>
      </c>
      <c r="E2747" s="5">
        <v>-28870</v>
      </c>
      <c r="F2747" s="3" t="s">
        <v>1014</v>
      </c>
      <c r="G2747" s="3" t="s">
        <v>62</v>
      </c>
      <c r="H2747" s="2" t="s">
        <v>21</v>
      </c>
      <c r="I2747" s="2" t="s">
        <v>5742</v>
      </c>
      <c r="J2747" s="3" t="str">
        <f>HYPERLINK("https://www.boe.es/gazeta/dias/1820/12/14/pdfs/GGB-1820-171.pdf#page=3","Abrir facsímil")</f>
        <v>Abrir facsímil</v>
      </c>
      <c r="K2747" s="3" t="s">
        <v>23</v>
      </c>
    </row>
    <row r="2748" spans="1:11" ht="42" customHeight="1">
      <c r="A2748" s="2" t="s">
        <v>5743</v>
      </c>
      <c r="B2748" s="2" t="s">
        <v>5743</v>
      </c>
      <c r="C2748" s="2" t="s">
        <v>35</v>
      </c>
      <c r="D2748" s="2" t="s">
        <v>36</v>
      </c>
      <c r="E2748" s="5">
        <v>-28966</v>
      </c>
      <c r="F2748" s="3" t="s">
        <v>701</v>
      </c>
      <c r="G2748" s="3" t="s">
        <v>62</v>
      </c>
      <c r="H2748" s="2" t="s">
        <v>21</v>
      </c>
      <c r="I2748" s="2" t="s">
        <v>5744</v>
      </c>
      <c r="J2748" s="3" t="str">
        <f>HYPERLINK("https://www.boe.es/gazeta/dias/1820/09/09/pdfs/GGB-1820-73.pdf#page=3","Abrir facsímil")</f>
        <v>Abrir facsímil</v>
      </c>
      <c r="K2748" s="3" t="s">
        <v>23</v>
      </c>
    </row>
    <row r="2749" spans="1:11" ht="42" customHeight="1">
      <c r="A2749" s="2" t="s">
        <v>5745</v>
      </c>
      <c r="B2749" s="2" t="s">
        <v>5746</v>
      </c>
      <c r="C2749" s="2" t="s">
        <v>26</v>
      </c>
      <c r="D2749" s="2" t="s">
        <v>27</v>
      </c>
      <c r="E2749" s="5">
        <v>-28968</v>
      </c>
      <c r="F2749" s="3" t="s">
        <v>66</v>
      </c>
      <c r="G2749" s="3" t="s">
        <v>62</v>
      </c>
      <c r="H2749" s="2" t="s">
        <v>21</v>
      </c>
      <c r="I2749" s="2" t="s">
        <v>5747</v>
      </c>
      <c r="J2749" s="3" t="str">
        <f>HYPERLINK("https://www.boe.es/gazeta/dias/1820/09/07/pdfs/GGB-1820-71.pdf#page=3","Abrir facsímil")</f>
        <v>Abrir facsímil</v>
      </c>
      <c r="K2749" s="3" t="s">
        <v>23</v>
      </c>
    </row>
    <row r="2750" spans="1:11" ht="42" customHeight="1">
      <c r="A2750" s="2" t="s">
        <v>5748</v>
      </c>
      <c r="B2750" s="2" t="s">
        <v>5748</v>
      </c>
      <c r="C2750" s="2" t="s">
        <v>35</v>
      </c>
      <c r="D2750" s="2" t="s">
        <v>36</v>
      </c>
      <c r="E2750" s="5">
        <v>-29094</v>
      </c>
      <c r="F2750" s="3" t="s">
        <v>560</v>
      </c>
      <c r="G2750" s="3" t="s">
        <v>295</v>
      </c>
      <c r="H2750" s="2" t="s">
        <v>21</v>
      </c>
      <c r="I2750" s="2" t="s">
        <v>5749</v>
      </c>
      <c r="J2750" s="3" t="str">
        <f>HYPERLINK("https://www.boe.es/gazeta/dias/1820/05/04/pdfs/GMD-1820-75.pdf#page=8","Abrir facsímil")</f>
        <v>Abrir facsímil</v>
      </c>
      <c r="K2750" s="3" t="s">
        <v>23</v>
      </c>
    </row>
    <row r="2751" spans="1:11" ht="42" customHeight="1">
      <c r="A2751" s="2" t="s">
        <v>5750</v>
      </c>
      <c r="B2751" s="2" t="s">
        <v>5750</v>
      </c>
      <c r="C2751" s="2" t="s">
        <v>17</v>
      </c>
      <c r="D2751" s="2" t="s">
        <v>18</v>
      </c>
      <c r="E2751" s="5">
        <v>-29199</v>
      </c>
      <c r="F2751" s="3" t="s">
        <v>1178</v>
      </c>
      <c r="G2751" s="3" t="s">
        <v>62</v>
      </c>
      <c r="H2751" s="2" t="s">
        <v>21</v>
      </c>
      <c r="I2751" s="2" t="s">
        <v>5751</v>
      </c>
      <c r="J2751" s="3" t="str">
        <f>HYPERLINK("https://www.boe.es/gazeta/dias/1820/01/20/pdfs/GMD-1820-9.pdf#page=3","Abrir facsímil")</f>
        <v>Abrir facsímil</v>
      </c>
      <c r="K2751" s="3" t="s">
        <v>23</v>
      </c>
    </row>
    <row r="2752" spans="1:11" ht="42" customHeight="1">
      <c r="A2752" s="2" t="s">
        <v>5752</v>
      </c>
      <c r="B2752" s="2" t="s">
        <v>5752</v>
      </c>
      <c r="C2752" s="2" t="s">
        <v>74</v>
      </c>
      <c r="D2752" s="2" t="s">
        <v>18</v>
      </c>
      <c r="E2752" s="5">
        <v>-29015</v>
      </c>
      <c r="F2752" s="3" t="s">
        <v>359</v>
      </c>
      <c r="G2752" s="3" t="s">
        <v>43</v>
      </c>
      <c r="H2752" s="2" t="s">
        <v>21</v>
      </c>
      <c r="I2752" s="2" t="s">
        <v>5753</v>
      </c>
      <c r="J2752" s="3" t="str">
        <f>HYPERLINK("https://www.boe.es/gazeta/dias/1820/07/22/pdfs/GGB-1820-24.pdf#page=2","Abrir facsímil")</f>
        <v>Abrir facsímil</v>
      </c>
      <c r="K2752" s="3" t="s">
        <v>23</v>
      </c>
    </row>
    <row r="2753" spans="1:11" ht="42" customHeight="1">
      <c r="A2753" s="2" t="s">
        <v>5752</v>
      </c>
      <c r="B2753" s="2" t="s">
        <v>5752</v>
      </c>
      <c r="C2753" s="2" t="s">
        <v>35</v>
      </c>
      <c r="D2753" s="2" t="s">
        <v>36</v>
      </c>
      <c r="E2753" s="5">
        <v>-28917</v>
      </c>
      <c r="F2753" s="3" t="s">
        <v>19</v>
      </c>
      <c r="G2753" s="3" t="s">
        <v>20</v>
      </c>
      <c r="H2753" s="2" t="s">
        <v>21</v>
      </c>
      <c r="I2753" s="2" t="s">
        <v>5754</v>
      </c>
      <c r="J2753" s="3" t="str">
        <f>HYPERLINK("https://www.boe.es/gazeta/dias/1820/10/28/pdfs/GGB-1820-122.pdf#page=4","Abrir facsímil")</f>
        <v>Abrir facsímil</v>
      </c>
      <c r="K2753" s="3" t="s">
        <v>23</v>
      </c>
    </row>
    <row r="2754" spans="1:11" ht="42" customHeight="1">
      <c r="A2754" s="2" t="s">
        <v>5752</v>
      </c>
      <c r="B2754" s="2" t="s">
        <v>5752</v>
      </c>
      <c r="C2754" s="2" t="s">
        <v>35</v>
      </c>
      <c r="D2754" s="2" t="s">
        <v>36</v>
      </c>
      <c r="E2754" s="5">
        <v>-28910</v>
      </c>
      <c r="F2754" s="3" t="s">
        <v>746</v>
      </c>
      <c r="G2754" s="3" t="s">
        <v>62</v>
      </c>
      <c r="H2754" s="2" t="s">
        <v>21</v>
      </c>
      <c r="I2754" s="2" t="s">
        <v>5755</v>
      </c>
      <c r="J2754" s="3" t="str">
        <f>HYPERLINK("https://www.boe.es/gazeta/dias/1820/11/04/pdfs/GGB-1820-129.pdf#page=3","Abrir facsímil")</f>
        <v>Abrir facsímil</v>
      </c>
      <c r="K2754" s="3" t="s">
        <v>23</v>
      </c>
    </row>
    <row r="2755" spans="1:11" ht="42" customHeight="1">
      <c r="A2755" s="2" t="s">
        <v>5756</v>
      </c>
      <c r="B2755" s="2" t="s">
        <v>5757</v>
      </c>
      <c r="C2755" s="2" t="s">
        <v>26</v>
      </c>
      <c r="D2755" s="2" t="s">
        <v>27</v>
      </c>
      <c r="E2755" s="5">
        <v>-28858</v>
      </c>
      <c r="F2755" s="3" t="s">
        <v>117</v>
      </c>
      <c r="G2755" s="3" t="s">
        <v>20</v>
      </c>
      <c r="H2755" s="2" t="s">
        <v>21</v>
      </c>
      <c r="I2755" s="2" t="s">
        <v>5758</v>
      </c>
      <c r="J2755" s="3" t="str">
        <f>HYPERLINK("https://www.boe.es/gazeta/dias/1820/12/26/pdfs/GGB-1820-183.pdf#page=4","Abrir facsímil")</f>
        <v>Abrir facsímil</v>
      </c>
      <c r="K2755" s="3" t="s">
        <v>23</v>
      </c>
    </row>
    <row r="2756" spans="1:11" ht="42" customHeight="1">
      <c r="A2756" s="2" t="s">
        <v>5759</v>
      </c>
      <c r="B2756" s="2" t="s">
        <v>5760</v>
      </c>
      <c r="C2756" s="2" t="s">
        <v>26</v>
      </c>
      <c r="D2756" s="2" t="s">
        <v>27</v>
      </c>
      <c r="E2756" s="5">
        <v>-28924</v>
      </c>
      <c r="F2756" s="3" t="s">
        <v>78</v>
      </c>
      <c r="G2756" s="3" t="s">
        <v>20</v>
      </c>
      <c r="H2756" s="2" t="s">
        <v>21</v>
      </c>
      <c r="I2756" s="2" t="s">
        <v>5761</v>
      </c>
      <c r="J2756" s="3" t="str">
        <f>HYPERLINK("https://www.boe.es/gazeta/dias/1820/10/21/pdfs/GGB-1820-115.pdf#page=4","Abrir facsímil")</f>
        <v>Abrir facsímil</v>
      </c>
      <c r="K2756" s="3" t="s">
        <v>23</v>
      </c>
    </row>
    <row r="2757" spans="1:11" ht="42" customHeight="1">
      <c r="A2757" s="2" t="s">
        <v>5762</v>
      </c>
      <c r="B2757" s="2" t="s">
        <v>5763</v>
      </c>
      <c r="C2757" s="2" t="s">
        <v>26</v>
      </c>
      <c r="D2757" s="2" t="s">
        <v>27</v>
      </c>
      <c r="E2757" s="5">
        <v>-28880</v>
      </c>
      <c r="F2757" s="3" t="s">
        <v>1574</v>
      </c>
      <c r="G2757" s="3" t="s">
        <v>20</v>
      </c>
      <c r="H2757" s="2" t="s">
        <v>21</v>
      </c>
      <c r="I2757" s="2" t="s">
        <v>5764</v>
      </c>
      <c r="J2757" s="3" t="str">
        <f>HYPERLINK("https://www.boe.es/gazeta/dias/1820/12/04/pdfs/GGB-1820-161.pdf#page=4","Abrir facsímil")</f>
        <v>Abrir facsímil</v>
      </c>
      <c r="K2757" s="3" t="s">
        <v>23</v>
      </c>
    </row>
    <row r="2758" spans="1:11" ht="42" customHeight="1">
      <c r="A2758" s="2" t="s">
        <v>5765</v>
      </c>
      <c r="B2758" s="2" t="s">
        <v>5766</v>
      </c>
      <c r="C2758" s="2" t="s">
        <v>111</v>
      </c>
      <c r="D2758" s="2" t="s">
        <v>18</v>
      </c>
      <c r="E2758" s="5">
        <v>-29017</v>
      </c>
      <c r="F2758" s="3" t="s">
        <v>274</v>
      </c>
      <c r="G2758" s="3" t="s">
        <v>43</v>
      </c>
      <c r="H2758" s="2" t="s">
        <v>21</v>
      </c>
      <c r="I2758" s="2" t="s">
        <v>5767</v>
      </c>
      <c r="J2758" s="3" t="str">
        <f>HYPERLINK("https://www.boe.es/gazeta/dias/1820/07/20/pdfs/GGB-1820-22.pdf#page=2","Abrir facsímil")</f>
        <v>Abrir facsímil</v>
      </c>
      <c r="K2758" s="3" t="s">
        <v>23</v>
      </c>
    </row>
    <row r="2759" spans="1:11" ht="42" customHeight="1">
      <c r="A2759" s="2" t="s">
        <v>5765</v>
      </c>
      <c r="B2759" s="2" t="s">
        <v>5766</v>
      </c>
      <c r="C2759" s="2" t="s">
        <v>74</v>
      </c>
      <c r="D2759" s="2" t="s">
        <v>18</v>
      </c>
      <c r="E2759" s="5">
        <v>-28951</v>
      </c>
      <c r="F2759" s="3" t="s">
        <v>622</v>
      </c>
      <c r="G2759" s="3" t="s">
        <v>1370</v>
      </c>
      <c r="H2759" s="2" t="s">
        <v>21</v>
      </c>
      <c r="I2759" s="2" t="s">
        <v>5768</v>
      </c>
      <c r="J2759" s="3" t="str">
        <f>HYPERLINK("https://www.boe.es/gazeta/dias/1820/09/24/pdfs/GGB-1820-88.pdf#page=2","Abrir facsímil")</f>
        <v>Abrir facsímil</v>
      </c>
      <c r="K2759" s="3" t="s">
        <v>23</v>
      </c>
    </row>
    <row r="2760" spans="1:11" ht="42" customHeight="1">
      <c r="A2760" s="2" t="s">
        <v>5769</v>
      </c>
      <c r="B2760" s="2" t="s">
        <v>5770</v>
      </c>
      <c r="C2760" s="2" t="s">
        <v>26</v>
      </c>
      <c r="D2760" s="2" t="s">
        <v>27</v>
      </c>
      <c r="E2760" s="5">
        <v>-28992</v>
      </c>
      <c r="F2760" s="3" t="s">
        <v>587</v>
      </c>
      <c r="G2760" s="3" t="s">
        <v>128</v>
      </c>
      <c r="H2760" s="2" t="s">
        <v>21</v>
      </c>
      <c r="I2760" s="2" t="s">
        <v>5771</v>
      </c>
      <c r="J2760" s="3" t="str">
        <f>HYPERLINK("https://www.boe.es/gazeta/dias/1820/08/14/pdfs/GGB-1820-47.pdf#page=1","Abrir facsímil")</f>
        <v>Abrir facsímil</v>
      </c>
      <c r="K2760" s="3" t="s">
        <v>23</v>
      </c>
    </row>
    <row r="2761" spans="1:11" ht="42" customHeight="1">
      <c r="A2761" s="2" t="s">
        <v>5772</v>
      </c>
      <c r="B2761" s="2" t="s">
        <v>5773</v>
      </c>
      <c r="C2761" s="2" t="s">
        <v>35</v>
      </c>
      <c r="D2761" s="2" t="s">
        <v>36</v>
      </c>
      <c r="E2761" s="5">
        <v>-28882</v>
      </c>
      <c r="F2761" s="3" t="s">
        <v>1245</v>
      </c>
      <c r="G2761" s="3" t="s">
        <v>1246</v>
      </c>
      <c r="H2761" s="2" t="s">
        <v>21</v>
      </c>
      <c r="I2761" s="2" t="s">
        <v>5774</v>
      </c>
      <c r="J2761" s="3" t="str">
        <f>HYPERLINK("https://www.boe.es/gazeta/dias/1820/12/02/pdfs/GGB-1820-159.pdf#page=3","Abrir facsímil")</f>
        <v>Abrir facsímil</v>
      </c>
      <c r="K2761" s="3" t="s">
        <v>23</v>
      </c>
    </row>
    <row r="2762" spans="1:11" ht="42" customHeight="1">
      <c r="A2762" s="2" t="s">
        <v>5775</v>
      </c>
      <c r="B2762" s="2" t="s">
        <v>5776</v>
      </c>
      <c r="C2762" s="2" t="s">
        <v>26</v>
      </c>
      <c r="D2762" s="2" t="s">
        <v>27</v>
      </c>
      <c r="E2762" s="5">
        <v>-29218</v>
      </c>
      <c r="F2762" s="3" t="s">
        <v>834</v>
      </c>
      <c r="G2762" s="3" t="s">
        <v>286</v>
      </c>
      <c r="H2762" s="2" t="s">
        <v>21</v>
      </c>
      <c r="I2762" s="2" t="s">
        <v>5777</v>
      </c>
      <c r="J2762" s="3" t="str">
        <f>HYPERLINK("https://www.boe.es/gazeta/dias/1820/01/01/pdfs/GMD-1820-1.pdf#page=8","Abrir facsímil")</f>
        <v>Abrir facsímil</v>
      </c>
      <c r="K2762" s="3" t="s">
        <v>23</v>
      </c>
    </row>
    <row r="2763" spans="1:11" ht="42" customHeight="1">
      <c r="A2763" s="2" t="s">
        <v>5778</v>
      </c>
      <c r="B2763" s="2" t="s">
        <v>5779</v>
      </c>
      <c r="C2763" s="2" t="s">
        <v>293</v>
      </c>
      <c r="D2763" s="2" t="s">
        <v>18</v>
      </c>
      <c r="E2763" s="5">
        <v>-28856</v>
      </c>
      <c r="F2763" s="3" t="s">
        <v>1217</v>
      </c>
      <c r="G2763" s="3" t="s">
        <v>20</v>
      </c>
      <c r="H2763" s="2" t="s">
        <v>21</v>
      </c>
      <c r="I2763" s="2" t="s">
        <v>5780</v>
      </c>
      <c r="J2763" s="3" t="str">
        <f>HYPERLINK("https://www.boe.es/gazeta/dias/1820/12/28/pdfs/GGB-1820-185.pdf#page=4","Abrir facsímil")</f>
        <v>Abrir facsímil</v>
      </c>
      <c r="K2763" s="3" t="s">
        <v>23</v>
      </c>
    </row>
    <row r="2764" spans="1:11" ht="42" customHeight="1">
      <c r="A2764" s="2" t="s">
        <v>5781</v>
      </c>
      <c r="B2764" s="2" t="s">
        <v>5782</v>
      </c>
      <c r="C2764" s="2" t="s">
        <v>17</v>
      </c>
      <c r="D2764" s="2" t="s">
        <v>18</v>
      </c>
      <c r="E2764" s="5">
        <v>-29020</v>
      </c>
      <c r="F2764" s="3" t="s">
        <v>756</v>
      </c>
      <c r="G2764" s="3" t="s">
        <v>128</v>
      </c>
      <c r="H2764" s="2" t="s">
        <v>21</v>
      </c>
      <c r="I2764" s="2" t="s">
        <v>5783</v>
      </c>
      <c r="J2764" s="3" t="str">
        <f>HYPERLINK("https://www.boe.es/gazeta/dias/1820/07/17/pdfs/GGB-1820-19.pdf#page=1","Abrir facsímil")</f>
        <v>Abrir facsímil</v>
      </c>
      <c r="K2764" s="3" t="s">
        <v>23</v>
      </c>
    </row>
    <row r="2765" spans="1:11" ht="42" customHeight="1">
      <c r="A2765" s="2" t="s">
        <v>5784</v>
      </c>
      <c r="B2765" s="2" t="s">
        <v>5785</v>
      </c>
      <c r="C2765" s="2" t="s">
        <v>107</v>
      </c>
      <c r="D2765" s="2" t="s">
        <v>18</v>
      </c>
      <c r="E2765" s="5">
        <v>-28877</v>
      </c>
      <c r="F2765" s="3" t="s">
        <v>5611</v>
      </c>
      <c r="G2765" s="3" t="s">
        <v>20</v>
      </c>
      <c r="H2765" s="2" t="s">
        <v>21</v>
      </c>
      <c r="I2765" s="2" t="s">
        <v>5786</v>
      </c>
      <c r="J2765" s="3" t="str">
        <f>HYPERLINK("https://www.boe.es/gazeta/dias/1820/12/07/pdfs/GGB-1820-164.pdf#page=4","Abrir facsímil")</f>
        <v>Abrir facsímil</v>
      </c>
      <c r="K2765" s="3" t="s">
        <v>23</v>
      </c>
    </row>
    <row r="2766" spans="1:11" ht="42" customHeight="1">
      <c r="A2766" s="2" t="s">
        <v>5787</v>
      </c>
      <c r="B2766" s="2" t="s">
        <v>5788</v>
      </c>
      <c r="C2766" s="2" t="s">
        <v>74</v>
      </c>
      <c r="D2766" s="2" t="s">
        <v>18</v>
      </c>
      <c r="E2766" s="5">
        <v>-29020</v>
      </c>
      <c r="F2766" s="3" t="s">
        <v>756</v>
      </c>
      <c r="G2766" s="3" t="s">
        <v>43</v>
      </c>
      <c r="H2766" s="2" t="s">
        <v>21</v>
      </c>
      <c r="I2766" s="2" t="s">
        <v>5789</v>
      </c>
      <c r="J2766" s="3" t="str">
        <f>HYPERLINK("https://www.boe.es/gazeta/dias/1820/07/17/pdfs/GGB-1820-19.pdf#page=2","Abrir facsímil")</f>
        <v>Abrir facsímil</v>
      </c>
      <c r="K2766" s="3" t="s">
        <v>23</v>
      </c>
    </row>
    <row r="2767" spans="1:11" ht="42" customHeight="1">
      <c r="A2767" s="2" t="s">
        <v>5790</v>
      </c>
      <c r="B2767" s="2" t="s">
        <v>5791</v>
      </c>
      <c r="C2767" s="2" t="s">
        <v>74</v>
      </c>
      <c r="D2767" s="2" t="s">
        <v>18</v>
      </c>
      <c r="E2767" s="5">
        <v>-28945</v>
      </c>
      <c r="F2767" s="3" t="s">
        <v>99</v>
      </c>
      <c r="G2767" s="3" t="s">
        <v>20</v>
      </c>
      <c r="H2767" s="2" t="s">
        <v>21</v>
      </c>
      <c r="I2767" s="2" t="s">
        <v>5792</v>
      </c>
      <c r="J2767" s="3" t="str">
        <f>HYPERLINK("https://www.boe.es/gazeta/dias/1820/09/30/pdfs/GGB-1820-94.pdf#page=4","Abrir facsímil")</f>
        <v>Abrir facsímil</v>
      </c>
      <c r="K2767" s="3" t="s">
        <v>23</v>
      </c>
    </row>
    <row r="2768" spans="1:11" ht="42" customHeight="1">
      <c r="A2768" s="2" t="s">
        <v>5793</v>
      </c>
      <c r="B2768" s="2" t="s">
        <v>5793</v>
      </c>
      <c r="C2768" s="2" t="s">
        <v>26</v>
      </c>
      <c r="D2768" s="2" t="s">
        <v>27</v>
      </c>
      <c r="E2768" s="5">
        <v>-28959</v>
      </c>
      <c r="F2768" s="3" t="s">
        <v>37</v>
      </c>
      <c r="G2768" s="3" t="s">
        <v>62</v>
      </c>
      <c r="H2768" s="2" t="s">
        <v>21</v>
      </c>
      <c r="I2768" s="2" t="s">
        <v>5794</v>
      </c>
      <c r="J2768" s="3" t="str">
        <f>HYPERLINK("https://www.boe.es/gazeta/dias/1820/09/16/pdfs/GGB-1820-80.pdf#page=3","Abrir facsímil")</f>
        <v>Abrir facsímil</v>
      </c>
      <c r="K2768" s="3" t="s">
        <v>23</v>
      </c>
    </row>
    <row r="2769" spans="1:11" ht="42" customHeight="1">
      <c r="A2769" s="2" t="s">
        <v>5795</v>
      </c>
      <c r="B2769" s="2" t="s">
        <v>5795</v>
      </c>
      <c r="C2769" s="2" t="s">
        <v>35</v>
      </c>
      <c r="D2769" s="2" t="s">
        <v>36</v>
      </c>
      <c r="E2769" s="5">
        <v>-28891</v>
      </c>
      <c r="F2769" s="3" t="s">
        <v>965</v>
      </c>
      <c r="G2769" s="3" t="s">
        <v>128</v>
      </c>
      <c r="H2769" s="2" t="s">
        <v>21</v>
      </c>
      <c r="I2769" s="2" t="s">
        <v>5796</v>
      </c>
      <c r="J2769" s="3" t="str">
        <f>HYPERLINK("https://www.boe.es/gazeta/dias/1820/11/23/pdfs/GGB-1820-150.pdf#page=1","Abrir facsímil")</f>
        <v>Abrir facsímil</v>
      </c>
      <c r="K2769" s="3" t="s">
        <v>23</v>
      </c>
    </row>
    <row r="2770" spans="1:11" ht="42" customHeight="1">
      <c r="A2770" s="2" t="s">
        <v>5797</v>
      </c>
      <c r="B2770" s="2" t="s">
        <v>5797</v>
      </c>
      <c r="C2770" s="2" t="s">
        <v>26</v>
      </c>
      <c r="D2770" s="2" t="s">
        <v>27</v>
      </c>
      <c r="E2770" s="5">
        <v>-29009</v>
      </c>
      <c r="F2770" s="3" t="s">
        <v>605</v>
      </c>
      <c r="G2770" s="3" t="s">
        <v>43</v>
      </c>
      <c r="H2770" s="2" t="s">
        <v>21</v>
      </c>
      <c r="I2770" s="2" t="s">
        <v>5798</v>
      </c>
      <c r="J2770" s="3" t="str">
        <f>HYPERLINK("https://www.boe.es/gazeta/dias/1820/07/28/pdfs/GGB-1820-30.pdf#page=2","Abrir facsímil")</f>
        <v>Abrir facsímil</v>
      </c>
      <c r="K2770" s="3" t="s">
        <v>23</v>
      </c>
    </row>
    <row r="2771" spans="1:11" ht="42" customHeight="1">
      <c r="A2771" s="2" t="s">
        <v>5799</v>
      </c>
      <c r="B2771" s="2" t="s">
        <v>5799</v>
      </c>
      <c r="C2771" s="2" t="s">
        <v>26</v>
      </c>
      <c r="D2771" s="2" t="s">
        <v>27</v>
      </c>
      <c r="E2771" s="5">
        <v>-29026</v>
      </c>
      <c r="F2771" s="3" t="s">
        <v>1197</v>
      </c>
      <c r="G2771" s="3" t="s">
        <v>62</v>
      </c>
      <c r="H2771" s="2" t="s">
        <v>21</v>
      </c>
      <c r="I2771" s="2" t="s">
        <v>5800</v>
      </c>
      <c r="J2771" s="3" t="str">
        <f>HYPERLINK("https://www.boe.es/gazeta/dias/1820/07/11/pdfs/GGB-1820-13.pdf#page=3","Abrir facsímil")</f>
        <v>Abrir facsímil</v>
      </c>
      <c r="K2771" s="3" t="s">
        <v>23</v>
      </c>
    </row>
    <row r="2772" spans="1:11" ht="42" customHeight="1">
      <c r="A2772" s="2" t="s">
        <v>5799</v>
      </c>
      <c r="B2772" s="2" t="s">
        <v>5799</v>
      </c>
      <c r="C2772" s="2" t="s">
        <v>26</v>
      </c>
      <c r="D2772" s="2" t="s">
        <v>27</v>
      </c>
      <c r="E2772" s="5">
        <v>-29009</v>
      </c>
      <c r="F2772" s="3" t="s">
        <v>605</v>
      </c>
      <c r="G2772" s="3" t="s">
        <v>62</v>
      </c>
      <c r="H2772" s="2" t="s">
        <v>21</v>
      </c>
      <c r="I2772" s="2" t="s">
        <v>5801</v>
      </c>
      <c r="J2772" s="3" t="str">
        <f>HYPERLINK("https://www.boe.es/gazeta/dias/1820/07/28/pdfs/GGB-1820-30.pdf#page=3","Abrir facsímil")</f>
        <v>Abrir facsímil</v>
      </c>
      <c r="K2772" s="3" t="s">
        <v>23</v>
      </c>
    </row>
    <row r="2773" spans="1:11" ht="42" customHeight="1">
      <c r="A2773" s="2" t="s">
        <v>5799</v>
      </c>
      <c r="B2773" s="2" t="s">
        <v>5799</v>
      </c>
      <c r="C2773" s="2" t="s">
        <v>35</v>
      </c>
      <c r="D2773" s="2" t="s">
        <v>36</v>
      </c>
      <c r="E2773" s="5">
        <v>-28963</v>
      </c>
      <c r="F2773" s="3" t="s">
        <v>94</v>
      </c>
      <c r="G2773" s="3" t="s">
        <v>43</v>
      </c>
      <c r="H2773" s="2" t="s">
        <v>21</v>
      </c>
      <c r="I2773" s="2" t="s">
        <v>5802</v>
      </c>
      <c r="J2773" s="3" t="str">
        <f>HYPERLINK("https://www.boe.es/gazeta/dias/1820/09/12/pdfs/GGB-1820-76.pdf#page=2","Abrir facsímil")</f>
        <v>Abrir facsímil</v>
      </c>
      <c r="K2773" s="3" t="s">
        <v>23</v>
      </c>
    </row>
    <row r="2774" spans="1:11" ht="42" customHeight="1">
      <c r="A2774" s="2" t="s">
        <v>5799</v>
      </c>
      <c r="B2774" s="2" t="s">
        <v>5799</v>
      </c>
      <c r="C2774" s="2" t="s">
        <v>35</v>
      </c>
      <c r="D2774" s="2" t="s">
        <v>36</v>
      </c>
      <c r="E2774" s="5">
        <v>-28951</v>
      </c>
      <c r="F2774" s="3" t="s">
        <v>622</v>
      </c>
      <c r="G2774" s="3" t="s">
        <v>62</v>
      </c>
      <c r="H2774" s="2" t="s">
        <v>21</v>
      </c>
      <c r="I2774" s="2" t="s">
        <v>5803</v>
      </c>
      <c r="J2774" s="3" t="str">
        <f>HYPERLINK("https://www.boe.es/gazeta/dias/1820/09/24/pdfs/GGB-1820-88.pdf#page=3","Abrir facsímil")</f>
        <v>Abrir facsímil</v>
      </c>
      <c r="K2774" s="3" t="s">
        <v>23</v>
      </c>
    </row>
    <row r="2775" spans="1:11" ht="42" customHeight="1">
      <c r="A2775" s="2" t="s">
        <v>5799</v>
      </c>
      <c r="B2775" s="2" t="s">
        <v>5799</v>
      </c>
      <c r="C2775" s="2" t="s">
        <v>26</v>
      </c>
      <c r="D2775" s="2" t="s">
        <v>27</v>
      </c>
      <c r="E2775" s="5">
        <v>-28922</v>
      </c>
      <c r="F2775" s="3" t="s">
        <v>735</v>
      </c>
      <c r="G2775" s="3" t="s">
        <v>20</v>
      </c>
      <c r="H2775" s="2" t="s">
        <v>21</v>
      </c>
      <c r="I2775" s="2" t="s">
        <v>5804</v>
      </c>
      <c r="J2775" s="3" t="str">
        <f>HYPERLINK("https://www.boe.es/gazeta/dias/1820/10/23/pdfs/GGB-1820-117.pdf#page=4","Abrir facsímil")</f>
        <v>Abrir facsímil</v>
      </c>
      <c r="K2775" s="3" t="s">
        <v>23</v>
      </c>
    </row>
    <row r="2776" spans="1:11" ht="42" customHeight="1">
      <c r="A2776" s="2" t="s">
        <v>5799</v>
      </c>
      <c r="B2776" s="2" t="s">
        <v>5799</v>
      </c>
      <c r="C2776" s="2" t="s">
        <v>26</v>
      </c>
      <c r="D2776" s="2" t="s">
        <v>27</v>
      </c>
      <c r="E2776" s="5">
        <v>-28919</v>
      </c>
      <c r="F2776" s="3" t="s">
        <v>516</v>
      </c>
      <c r="G2776" s="3" t="s">
        <v>43</v>
      </c>
      <c r="H2776" s="2" t="s">
        <v>21</v>
      </c>
      <c r="I2776" s="2" t="s">
        <v>5805</v>
      </c>
      <c r="J2776" s="3" t="str">
        <f>HYPERLINK("https://www.boe.es/gazeta/dias/1820/10/26/pdfs/GGB-1820-120.pdf#page=2","Abrir facsímil")</f>
        <v>Abrir facsímil</v>
      </c>
      <c r="K2776" s="3" t="s">
        <v>23</v>
      </c>
    </row>
    <row r="2777" spans="1:11" ht="42" customHeight="1">
      <c r="A2777" s="2" t="s">
        <v>5799</v>
      </c>
      <c r="B2777" s="2" t="s">
        <v>5799</v>
      </c>
      <c r="C2777" s="2" t="s">
        <v>26</v>
      </c>
      <c r="D2777" s="2" t="s">
        <v>27</v>
      </c>
      <c r="E2777" s="5">
        <v>-28917</v>
      </c>
      <c r="F2777" s="3" t="s">
        <v>19</v>
      </c>
      <c r="G2777" s="3" t="s">
        <v>62</v>
      </c>
      <c r="H2777" s="2" t="s">
        <v>21</v>
      </c>
      <c r="I2777" s="2" t="s">
        <v>5806</v>
      </c>
      <c r="J2777" s="3" t="str">
        <f>HYPERLINK("https://www.boe.es/gazeta/dias/1820/10/28/pdfs/GGB-1820-122.pdf#page=3","Abrir facsímil")</f>
        <v>Abrir facsímil</v>
      </c>
      <c r="K2777" s="3" t="s">
        <v>23</v>
      </c>
    </row>
    <row r="2778" spans="1:11" ht="42" customHeight="1">
      <c r="A2778" s="2" t="s">
        <v>5807</v>
      </c>
      <c r="B2778" s="2" t="s">
        <v>5807</v>
      </c>
      <c r="C2778" s="2" t="s">
        <v>111</v>
      </c>
      <c r="D2778" s="2" t="s">
        <v>18</v>
      </c>
      <c r="E2778" s="5">
        <v>-29005</v>
      </c>
      <c r="F2778" s="3" t="s">
        <v>1656</v>
      </c>
      <c r="G2778" s="3" t="s">
        <v>1657</v>
      </c>
      <c r="H2778" s="2" t="s">
        <v>21</v>
      </c>
      <c r="I2778" s="2" t="s">
        <v>5808</v>
      </c>
      <c r="J2778" s="3" t="str">
        <f>HYPERLINK("https://www.boe.es/gazeta/dias/1820/08/01/pdfs/GGB-1820-34.pdf#page=4","Abrir facsímil")</f>
        <v>Abrir facsímil</v>
      </c>
      <c r="K2778" s="3" t="s">
        <v>23</v>
      </c>
    </row>
    <row r="2779" spans="1:11" ht="42" customHeight="1">
      <c r="A2779" s="2" t="s">
        <v>5807</v>
      </c>
      <c r="B2779" s="2" t="s">
        <v>5807</v>
      </c>
      <c r="C2779" s="2" t="s">
        <v>17</v>
      </c>
      <c r="D2779" s="2" t="s">
        <v>18</v>
      </c>
      <c r="E2779" s="5">
        <v>-28958</v>
      </c>
      <c r="F2779" s="3" t="s">
        <v>706</v>
      </c>
      <c r="G2779" s="3" t="s">
        <v>62</v>
      </c>
      <c r="H2779" s="2" t="s">
        <v>21</v>
      </c>
      <c r="I2779" s="2" t="s">
        <v>5809</v>
      </c>
      <c r="J2779" s="3" t="str">
        <f>HYPERLINK("https://www.boe.es/gazeta/dias/1820/09/17/pdfs/GGB-1820-81.pdf#page=3","Abrir facsímil")</f>
        <v>Abrir facsímil</v>
      </c>
      <c r="K2779" s="3" t="s">
        <v>23</v>
      </c>
    </row>
    <row r="2780" spans="1:11" ht="42" customHeight="1">
      <c r="A2780" s="2" t="s">
        <v>5807</v>
      </c>
      <c r="B2780" s="2" t="s">
        <v>5807</v>
      </c>
      <c r="C2780" s="2" t="s">
        <v>35</v>
      </c>
      <c r="D2780" s="2" t="s">
        <v>36</v>
      </c>
      <c r="E2780" s="5">
        <v>-28949</v>
      </c>
      <c r="F2780" s="3" t="s">
        <v>178</v>
      </c>
      <c r="G2780" s="3" t="s">
        <v>20</v>
      </c>
      <c r="H2780" s="2" t="s">
        <v>21</v>
      </c>
      <c r="I2780" s="2" t="s">
        <v>5810</v>
      </c>
      <c r="J2780" s="3" t="str">
        <f>HYPERLINK("https://www.boe.es/gazeta/dias/1820/09/26/pdfs/GGB-1820-90.pdf#page=4","Abrir facsímil")</f>
        <v>Abrir facsímil</v>
      </c>
      <c r="K2780" s="3" t="s">
        <v>23</v>
      </c>
    </row>
    <row r="2781" spans="1:11" ht="42" customHeight="1">
      <c r="A2781" s="2" t="s">
        <v>5811</v>
      </c>
      <c r="B2781" s="2" t="s">
        <v>5811</v>
      </c>
      <c r="C2781" s="2" t="s">
        <v>35</v>
      </c>
      <c r="D2781" s="2" t="s">
        <v>36</v>
      </c>
      <c r="E2781" s="5">
        <v>-29038</v>
      </c>
      <c r="F2781" s="3" t="s">
        <v>957</v>
      </c>
      <c r="G2781" s="3" t="s">
        <v>256</v>
      </c>
      <c r="H2781" s="2" t="s">
        <v>21</v>
      </c>
      <c r="I2781" s="2" t="s">
        <v>5812</v>
      </c>
      <c r="J2781" s="3" t="str">
        <f>HYPERLINK("https://www.boe.es/gazeta/dias/1820/06/29/pdfs/GMD-1820-100.pdf#page=5","Abrir facsímil")</f>
        <v>Abrir facsímil</v>
      </c>
      <c r="K2781" s="3" t="s">
        <v>23</v>
      </c>
    </row>
    <row r="2782" spans="1:11" ht="42" customHeight="1">
      <c r="A2782" s="2" t="s">
        <v>5811</v>
      </c>
      <c r="B2782" s="2" t="s">
        <v>5811</v>
      </c>
      <c r="C2782" s="2" t="s">
        <v>74</v>
      </c>
      <c r="D2782" s="2" t="s">
        <v>18</v>
      </c>
      <c r="E2782" s="5">
        <v>-29025</v>
      </c>
      <c r="F2782" s="3" t="s">
        <v>902</v>
      </c>
      <c r="G2782" s="3" t="s">
        <v>62</v>
      </c>
      <c r="H2782" s="2" t="s">
        <v>21</v>
      </c>
      <c r="I2782" s="2" t="s">
        <v>5813</v>
      </c>
      <c r="J2782" s="3" t="str">
        <f>HYPERLINK("https://www.boe.es/gazeta/dias/1820/07/12/pdfs/GGB-1820-14.pdf#page=3","Abrir facsímil")</f>
        <v>Abrir facsímil</v>
      </c>
      <c r="K2782" s="3" t="s">
        <v>23</v>
      </c>
    </row>
    <row r="2783" spans="1:11" ht="42" customHeight="1">
      <c r="A2783" s="2" t="s">
        <v>5811</v>
      </c>
      <c r="B2783" s="2" t="s">
        <v>5811</v>
      </c>
      <c r="C2783" s="2" t="s">
        <v>35</v>
      </c>
      <c r="D2783" s="2" t="s">
        <v>36</v>
      </c>
      <c r="E2783" s="5">
        <v>-29023</v>
      </c>
      <c r="F2783" s="3" t="s">
        <v>1662</v>
      </c>
      <c r="G2783" s="3" t="s">
        <v>1663</v>
      </c>
      <c r="H2783" s="2" t="s">
        <v>21</v>
      </c>
      <c r="I2783" s="2" t="s">
        <v>5814</v>
      </c>
      <c r="J2783" s="3" t="str">
        <f>HYPERLINK("https://www.boe.es/gazeta/dias/1820/07/14/pdfs/GGB-1820-16.pdf#page=3","Abrir facsímil")</f>
        <v>Abrir facsímil</v>
      </c>
      <c r="K2783" s="3" t="s">
        <v>23</v>
      </c>
    </row>
    <row r="2784" spans="1:11" ht="42" customHeight="1">
      <c r="A2784" s="2" t="s">
        <v>5811</v>
      </c>
      <c r="B2784" s="2" t="s">
        <v>5811</v>
      </c>
      <c r="C2784" s="2" t="s">
        <v>74</v>
      </c>
      <c r="D2784" s="2" t="s">
        <v>18</v>
      </c>
      <c r="E2784" s="5">
        <v>-29022</v>
      </c>
      <c r="F2784" s="3" t="s">
        <v>1310</v>
      </c>
      <c r="G2784" s="3" t="s">
        <v>62</v>
      </c>
      <c r="H2784" s="2" t="s">
        <v>21</v>
      </c>
      <c r="I2784" s="2" t="s">
        <v>5815</v>
      </c>
      <c r="J2784" s="3" t="str">
        <f>HYPERLINK("https://www.boe.es/gazeta/dias/1820/07/15/pdfs/GGB-1820-17.pdf#page=3","Abrir facsímil")</f>
        <v>Abrir facsímil</v>
      </c>
      <c r="K2784" s="3" t="s">
        <v>23</v>
      </c>
    </row>
    <row r="2785" spans="1:11" ht="42" customHeight="1">
      <c r="A2785" s="2" t="s">
        <v>5811</v>
      </c>
      <c r="B2785" s="2" t="s">
        <v>5811</v>
      </c>
      <c r="C2785" s="2" t="s">
        <v>35</v>
      </c>
      <c r="D2785" s="2" t="s">
        <v>36</v>
      </c>
      <c r="E2785" s="5">
        <v>-29021</v>
      </c>
      <c r="F2785" s="3" t="s">
        <v>377</v>
      </c>
      <c r="G2785" s="3" t="s">
        <v>43</v>
      </c>
      <c r="H2785" s="2" t="s">
        <v>21</v>
      </c>
      <c r="I2785" s="2" t="s">
        <v>5816</v>
      </c>
      <c r="J2785" s="3" t="str">
        <f>HYPERLINK("https://www.boe.es/gazeta/dias/1820/07/16/pdfs/GGB-1820-18.pdf#page=2","Abrir facsímil")</f>
        <v>Abrir facsímil</v>
      </c>
      <c r="K2785" s="3" t="s">
        <v>23</v>
      </c>
    </row>
    <row r="2786" spans="1:11" ht="42" customHeight="1">
      <c r="A2786" s="2" t="s">
        <v>5811</v>
      </c>
      <c r="B2786" s="2" t="s">
        <v>5811</v>
      </c>
      <c r="C2786" s="2" t="s">
        <v>17</v>
      </c>
      <c r="D2786" s="2" t="s">
        <v>18</v>
      </c>
      <c r="E2786" s="5">
        <v>-29016</v>
      </c>
      <c r="F2786" s="3" t="s">
        <v>657</v>
      </c>
      <c r="G2786" s="3" t="s">
        <v>62</v>
      </c>
      <c r="H2786" s="2" t="s">
        <v>21</v>
      </c>
      <c r="I2786" s="2" t="s">
        <v>5817</v>
      </c>
      <c r="J2786" s="3" t="str">
        <f>HYPERLINK("https://www.boe.es/gazeta/dias/1820/07/21/pdfs/GGB-1820-23.pdf#page=3","Abrir facsímil")</f>
        <v>Abrir facsímil</v>
      </c>
      <c r="K2786" s="3" t="s">
        <v>23</v>
      </c>
    </row>
    <row r="2787" spans="1:11" ht="42" customHeight="1">
      <c r="A2787" s="2" t="s">
        <v>5811</v>
      </c>
      <c r="B2787" s="2" t="s">
        <v>5811</v>
      </c>
      <c r="C2787" s="2" t="s">
        <v>35</v>
      </c>
      <c r="D2787" s="2" t="s">
        <v>36</v>
      </c>
      <c r="E2787" s="5">
        <v>-29012</v>
      </c>
      <c r="F2787" s="3" t="s">
        <v>72</v>
      </c>
      <c r="G2787" s="3" t="s">
        <v>62</v>
      </c>
      <c r="H2787" s="2" t="s">
        <v>21</v>
      </c>
      <c r="I2787" s="2" t="s">
        <v>5818</v>
      </c>
      <c r="J2787" s="3" t="str">
        <f>HYPERLINK("https://www.boe.es/gazeta/dias/1820/07/25/pdfs/GGB-1820-27.pdf#page=3","Abrir facsímil")</f>
        <v>Abrir facsímil</v>
      </c>
      <c r="K2787" s="3" t="s">
        <v>23</v>
      </c>
    </row>
    <row r="2788" spans="1:11" ht="42" customHeight="1">
      <c r="A2788" s="2" t="s">
        <v>5811</v>
      </c>
      <c r="B2788" s="2" t="s">
        <v>5811</v>
      </c>
      <c r="C2788" s="2" t="s">
        <v>35</v>
      </c>
      <c r="D2788" s="2" t="s">
        <v>36</v>
      </c>
      <c r="E2788" s="5">
        <v>-29011</v>
      </c>
      <c r="F2788" s="3" t="s">
        <v>338</v>
      </c>
      <c r="G2788" s="3" t="s">
        <v>62</v>
      </c>
      <c r="H2788" s="2" t="s">
        <v>21</v>
      </c>
      <c r="I2788" s="2" t="s">
        <v>5819</v>
      </c>
      <c r="J2788" s="3" t="str">
        <f>HYPERLINK("https://www.boe.es/gazeta/dias/1820/07/26/pdfs/GGB-1820-28.pdf#page=3","Abrir facsímil")</f>
        <v>Abrir facsímil</v>
      </c>
      <c r="K2788" s="3" t="s">
        <v>23</v>
      </c>
    </row>
    <row r="2789" spans="1:11" ht="42" customHeight="1">
      <c r="A2789" s="2" t="s">
        <v>5811</v>
      </c>
      <c r="B2789" s="2" t="s">
        <v>5811</v>
      </c>
      <c r="C2789" s="2" t="s">
        <v>35</v>
      </c>
      <c r="D2789" s="2" t="s">
        <v>36</v>
      </c>
      <c r="E2789" s="5">
        <v>-29010</v>
      </c>
      <c r="F2789" s="3" t="s">
        <v>664</v>
      </c>
      <c r="G2789" s="3" t="s">
        <v>62</v>
      </c>
      <c r="H2789" s="2" t="s">
        <v>21</v>
      </c>
      <c r="I2789" s="2" t="s">
        <v>5820</v>
      </c>
      <c r="J2789" s="3" t="str">
        <f>HYPERLINK("https://www.boe.es/gazeta/dias/1820/07/27/pdfs/GGB-1820-29.pdf#page=3","Abrir facsímil")</f>
        <v>Abrir facsímil</v>
      </c>
      <c r="K2789" s="3" t="s">
        <v>23</v>
      </c>
    </row>
    <row r="2790" spans="1:11" ht="42" customHeight="1">
      <c r="A2790" s="2" t="s">
        <v>5811</v>
      </c>
      <c r="B2790" s="2" t="s">
        <v>5811</v>
      </c>
      <c r="C2790" s="2" t="s">
        <v>74</v>
      </c>
      <c r="D2790" s="2" t="s">
        <v>18</v>
      </c>
      <c r="E2790" s="5">
        <v>-29005</v>
      </c>
      <c r="F2790" s="3" t="s">
        <v>1656</v>
      </c>
      <c r="G2790" s="3" t="s">
        <v>62</v>
      </c>
      <c r="H2790" s="2" t="s">
        <v>21</v>
      </c>
      <c r="I2790" s="2" t="s">
        <v>5821</v>
      </c>
      <c r="J2790" s="3" t="str">
        <f>HYPERLINK("https://www.boe.es/gazeta/dias/1820/08/01/pdfs/GGB-1820-34.pdf#page=3","Abrir facsímil")</f>
        <v>Abrir facsímil</v>
      </c>
      <c r="K2790" s="3" t="s">
        <v>23</v>
      </c>
    </row>
    <row r="2791" spans="1:11" ht="42" customHeight="1">
      <c r="A2791" s="2" t="s">
        <v>5811</v>
      </c>
      <c r="B2791" s="2" t="s">
        <v>5811</v>
      </c>
      <c r="C2791" s="2" t="s">
        <v>17</v>
      </c>
      <c r="D2791" s="2" t="s">
        <v>18</v>
      </c>
      <c r="E2791" s="5">
        <v>-29003</v>
      </c>
      <c r="F2791" s="3" t="s">
        <v>340</v>
      </c>
      <c r="G2791" s="3" t="s">
        <v>20</v>
      </c>
      <c r="H2791" s="2" t="s">
        <v>21</v>
      </c>
      <c r="I2791" s="2" t="s">
        <v>5822</v>
      </c>
      <c r="J2791" s="3" t="str">
        <f>HYPERLINK("https://www.boe.es/gazeta/dias/1820/08/03/pdfs/GGB-1820-36.pdf#page=4","Abrir facsímil")</f>
        <v>Abrir facsímil</v>
      </c>
      <c r="K2791" s="3" t="s">
        <v>23</v>
      </c>
    </row>
    <row r="2792" spans="1:11" ht="42" customHeight="1">
      <c r="A2792" s="2" t="s">
        <v>5811</v>
      </c>
      <c r="B2792" s="2" t="s">
        <v>5811</v>
      </c>
      <c r="C2792" s="2" t="s">
        <v>35</v>
      </c>
      <c r="D2792" s="2" t="s">
        <v>36</v>
      </c>
      <c r="E2792" s="5">
        <v>-28998</v>
      </c>
      <c r="F2792" s="3" t="s">
        <v>629</v>
      </c>
      <c r="G2792" s="3" t="s">
        <v>62</v>
      </c>
      <c r="H2792" s="2" t="s">
        <v>21</v>
      </c>
      <c r="I2792" s="2" t="s">
        <v>5823</v>
      </c>
      <c r="J2792" s="3" t="str">
        <f>HYPERLINK("https://www.boe.es/gazeta/dias/1820/08/08/pdfs/GGB-1820-41.pdf#page=3","Abrir facsímil")</f>
        <v>Abrir facsímil</v>
      </c>
      <c r="K2792" s="3" t="s">
        <v>23</v>
      </c>
    </row>
    <row r="2793" spans="1:11" ht="42" customHeight="1">
      <c r="A2793" s="2" t="s">
        <v>5824</v>
      </c>
      <c r="B2793" s="2" t="s">
        <v>5824</v>
      </c>
      <c r="C2793" s="2" t="s">
        <v>35</v>
      </c>
      <c r="D2793" s="2" t="s">
        <v>36</v>
      </c>
      <c r="E2793" s="5">
        <v>-28996</v>
      </c>
      <c r="F2793" s="3" t="s">
        <v>636</v>
      </c>
      <c r="G2793" s="3" t="s">
        <v>1039</v>
      </c>
      <c r="H2793" s="2" t="s">
        <v>21</v>
      </c>
      <c r="I2793" s="2" t="s">
        <v>5825</v>
      </c>
      <c r="J2793" s="3" t="str">
        <f>HYPERLINK("https://www.boe.es/gazeta/dias/1820/08/10/pdfs/GGB-1820-43.pdf#page=2","Abrir facsímil")</f>
        <v>Abrir facsímil</v>
      </c>
      <c r="K2793" s="3" t="s">
        <v>23</v>
      </c>
    </row>
    <row r="2794" spans="1:11" ht="42" customHeight="1">
      <c r="A2794" s="2" t="s">
        <v>5811</v>
      </c>
      <c r="B2794" s="2" t="s">
        <v>5811</v>
      </c>
      <c r="C2794" s="2" t="s">
        <v>111</v>
      </c>
      <c r="D2794" s="2" t="s">
        <v>18</v>
      </c>
      <c r="E2794" s="5">
        <v>-28981</v>
      </c>
      <c r="F2794" s="3" t="s">
        <v>42</v>
      </c>
      <c r="G2794" s="3" t="s">
        <v>20</v>
      </c>
      <c r="H2794" s="2" t="s">
        <v>21</v>
      </c>
      <c r="I2794" s="2" t="s">
        <v>5826</v>
      </c>
      <c r="J2794" s="3" t="str">
        <f>HYPERLINK("https://www.boe.es/gazeta/dias/1820/08/25/pdfs/GGB-1820-58.pdf#page=4","Abrir facsímil")</f>
        <v>Abrir facsímil</v>
      </c>
      <c r="K2794" s="3" t="s">
        <v>23</v>
      </c>
    </row>
    <row r="2795" spans="1:11" ht="42" customHeight="1">
      <c r="A2795" s="2" t="s">
        <v>5811</v>
      </c>
      <c r="B2795" s="2" t="s">
        <v>5811</v>
      </c>
      <c r="C2795" s="2" t="s">
        <v>17</v>
      </c>
      <c r="D2795" s="2" t="s">
        <v>18</v>
      </c>
      <c r="E2795" s="5">
        <v>-28961</v>
      </c>
      <c r="F2795" s="3" t="s">
        <v>242</v>
      </c>
      <c r="G2795" s="3" t="s">
        <v>2442</v>
      </c>
      <c r="H2795" s="2" t="s">
        <v>21</v>
      </c>
      <c r="I2795" s="2" t="s">
        <v>5827</v>
      </c>
      <c r="J2795" s="3" t="str">
        <f>HYPERLINK("https://www.boe.es/gazeta/dias/1820/09/14/pdfs/GGB-1820-78.pdf#page=4","Abrir facsímil")</f>
        <v>Abrir facsímil</v>
      </c>
      <c r="K2795" s="3" t="s">
        <v>23</v>
      </c>
    </row>
    <row r="2796" spans="1:11" ht="42" customHeight="1">
      <c r="A2796" s="2" t="s">
        <v>5811</v>
      </c>
      <c r="B2796" s="2" t="s">
        <v>5811</v>
      </c>
      <c r="C2796" s="2" t="s">
        <v>293</v>
      </c>
      <c r="D2796" s="2" t="s">
        <v>18</v>
      </c>
      <c r="E2796" s="5">
        <v>-28959</v>
      </c>
      <c r="F2796" s="3" t="s">
        <v>37</v>
      </c>
      <c r="G2796" s="3" t="s">
        <v>20</v>
      </c>
      <c r="H2796" s="2" t="s">
        <v>21</v>
      </c>
      <c r="I2796" s="2" t="s">
        <v>5828</v>
      </c>
      <c r="J2796" s="3" t="str">
        <f>HYPERLINK("https://www.boe.es/gazeta/dias/1820/09/16/pdfs/GGB-1820-80.pdf#page=4","Abrir facsímil")</f>
        <v>Abrir facsímil</v>
      </c>
      <c r="K2796" s="3" t="s">
        <v>23</v>
      </c>
    </row>
    <row r="2797" spans="1:11" ht="42" customHeight="1">
      <c r="A2797" s="2" t="s">
        <v>5811</v>
      </c>
      <c r="B2797" s="2" t="s">
        <v>5811</v>
      </c>
      <c r="C2797" s="2" t="s">
        <v>293</v>
      </c>
      <c r="D2797" s="2" t="s">
        <v>18</v>
      </c>
      <c r="E2797" s="5">
        <v>-28958</v>
      </c>
      <c r="F2797" s="3" t="s">
        <v>706</v>
      </c>
      <c r="G2797" s="3" t="s">
        <v>62</v>
      </c>
      <c r="H2797" s="2" t="s">
        <v>21</v>
      </c>
      <c r="I2797" s="2" t="s">
        <v>5829</v>
      </c>
      <c r="J2797" s="3" t="str">
        <f>HYPERLINK("https://www.boe.es/gazeta/dias/1820/09/17/pdfs/GGB-1820-81.pdf#page=3","Abrir facsímil")</f>
        <v>Abrir facsímil</v>
      </c>
      <c r="K2797" s="3" t="s">
        <v>23</v>
      </c>
    </row>
    <row r="2798" spans="1:11" ht="42" customHeight="1">
      <c r="A2798" s="2" t="s">
        <v>5811</v>
      </c>
      <c r="B2798" s="2" t="s">
        <v>5811</v>
      </c>
      <c r="C2798" s="2" t="s">
        <v>17</v>
      </c>
      <c r="D2798" s="2" t="s">
        <v>18</v>
      </c>
      <c r="E2798" s="5">
        <v>-28951</v>
      </c>
      <c r="F2798" s="3" t="s">
        <v>622</v>
      </c>
      <c r="G2798" s="3" t="s">
        <v>62</v>
      </c>
      <c r="H2798" s="2" t="s">
        <v>21</v>
      </c>
      <c r="I2798" s="2" t="s">
        <v>5830</v>
      </c>
      <c r="J2798" s="3" t="str">
        <f>HYPERLINK("https://www.boe.es/gazeta/dias/1820/09/24/pdfs/GGB-1820-88.pdf#page=3","Abrir facsímil")</f>
        <v>Abrir facsímil</v>
      </c>
      <c r="K2798" s="3" t="s">
        <v>23</v>
      </c>
    </row>
    <row r="2799" spans="1:11" ht="42" customHeight="1">
      <c r="A2799" s="2" t="s">
        <v>5811</v>
      </c>
      <c r="B2799" s="2" t="s">
        <v>5811</v>
      </c>
      <c r="C2799" s="2" t="s">
        <v>26</v>
      </c>
      <c r="D2799" s="2" t="s">
        <v>27</v>
      </c>
      <c r="E2799" s="5">
        <v>-28941</v>
      </c>
      <c r="F2799" s="3" t="s">
        <v>1727</v>
      </c>
      <c r="G2799" s="3" t="s">
        <v>43</v>
      </c>
      <c r="H2799" s="2" t="s">
        <v>21</v>
      </c>
      <c r="I2799" s="2" t="s">
        <v>5831</v>
      </c>
      <c r="J2799" s="3" t="str">
        <f>HYPERLINK("https://www.boe.es/gazeta/dias/1820/10/04/pdfs/GGB-1820-98.pdf#page=2","Abrir facsímil")</f>
        <v>Abrir facsímil</v>
      </c>
      <c r="K2799" s="3" t="s">
        <v>23</v>
      </c>
    </row>
    <row r="2800" spans="1:11" ht="42" customHeight="1">
      <c r="A2800" s="2" t="s">
        <v>5811</v>
      </c>
      <c r="B2800" s="2" t="s">
        <v>5811</v>
      </c>
      <c r="C2800" s="2" t="s">
        <v>26</v>
      </c>
      <c r="D2800" s="2" t="s">
        <v>27</v>
      </c>
      <c r="E2800" s="5">
        <v>-28938</v>
      </c>
      <c r="F2800" s="3" t="s">
        <v>716</v>
      </c>
      <c r="G2800" s="3" t="s">
        <v>62</v>
      </c>
      <c r="H2800" s="2" t="s">
        <v>21</v>
      </c>
      <c r="I2800" s="2" t="s">
        <v>5832</v>
      </c>
      <c r="J2800" s="3" t="str">
        <f>HYPERLINK("https://www.boe.es/gazeta/dias/1820/10/07/pdfs/GGB-1820-101.pdf#page=3","Abrir facsímil")</f>
        <v>Abrir facsímil</v>
      </c>
      <c r="K2800" s="3" t="s">
        <v>23</v>
      </c>
    </row>
    <row r="2801" spans="1:11" ht="42" customHeight="1">
      <c r="A2801" s="2" t="s">
        <v>5811</v>
      </c>
      <c r="B2801" s="2" t="s">
        <v>5811</v>
      </c>
      <c r="C2801" s="2" t="s">
        <v>74</v>
      </c>
      <c r="D2801" s="2" t="s">
        <v>18</v>
      </c>
      <c r="E2801" s="5">
        <v>-28936</v>
      </c>
      <c r="F2801" s="3" t="s">
        <v>167</v>
      </c>
      <c r="G2801" s="3" t="s">
        <v>43</v>
      </c>
      <c r="H2801" s="2" t="s">
        <v>21</v>
      </c>
      <c r="I2801" s="2" t="s">
        <v>5833</v>
      </c>
      <c r="J2801" s="3" t="str">
        <f>HYPERLINK("https://www.boe.es/gazeta/dias/1820/10/09/pdfs/GGB-1820-103.pdf#page=2","Abrir facsímil")</f>
        <v>Abrir facsímil</v>
      </c>
      <c r="K2801" s="3" t="s">
        <v>23</v>
      </c>
    </row>
    <row r="2802" spans="1:11" ht="42" customHeight="1">
      <c r="A2802" s="2" t="s">
        <v>5811</v>
      </c>
      <c r="B2802" s="2" t="s">
        <v>5811</v>
      </c>
      <c r="C2802" s="2" t="s">
        <v>26</v>
      </c>
      <c r="D2802" s="2" t="s">
        <v>27</v>
      </c>
      <c r="E2802" s="5">
        <v>-28935</v>
      </c>
      <c r="F2802" s="3" t="s">
        <v>2464</v>
      </c>
      <c r="G2802" s="3" t="s">
        <v>62</v>
      </c>
      <c r="H2802" s="2" t="s">
        <v>21</v>
      </c>
      <c r="I2802" s="2" t="s">
        <v>5834</v>
      </c>
      <c r="J2802" s="3" t="str">
        <f>HYPERLINK("https://www.boe.es/gazeta/dias/1820/10/10/pdfs/GGB-1820-104.pdf#page=3","Abrir facsímil")</f>
        <v>Abrir facsímil</v>
      </c>
      <c r="K2802" s="3" t="s">
        <v>23</v>
      </c>
    </row>
    <row r="2803" spans="1:11" ht="42" customHeight="1">
      <c r="A2803" s="2" t="s">
        <v>5811</v>
      </c>
      <c r="B2803" s="2" t="s">
        <v>5811</v>
      </c>
      <c r="C2803" s="2" t="s">
        <v>47</v>
      </c>
      <c r="D2803" s="2" t="s">
        <v>18</v>
      </c>
      <c r="E2803" s="5">
        <v>-28934</v>
      </c>
      <c r="F2803" s="3" t="s">
        <v>163</v>
      </c>
      <c r="G2803" s="3" t="s">
        <v>1539</v>
      </c>
      <c r="H2803" s="2" t="s">
        <v>21</v>
      </c>
      <c r="I2803" s="2" t="s">
        <v>5835</v>
      </c>
      <c r="J2803" s="3" t="str">
        <f>HYPERLINK("https://www.boe.es/gazeta/dias/1820/10/11/pdfs/GGB-1820-105.pdf#page=2","Abrir facsímil")</f>
        <v>Abrir facsímil</v>
      </c>
      <c r="K2803" s="3" t="s">
        <v>23</v>
      </c>
    </row>
    <row r="2804" spans="1:11" ht="42" customHeight="1">
      <c r="A2804" s="2" t="s">
        <v>5811</v>
      </c>
      <c r="B2804" s="2" t="s">
        <v>5811</v>
      </c>
      <c r="C2804" s="2" t="s">
        <v>35</v>
      </c>
      <c r="D2804" s="2" t="s">
        <v>36</v>
      </c>
      <c r="E2804" s="5">
        <v>-28931</v>
      </c>
      <c r="F2804" s="3" t="s">
        <v>724</v>
      </c>
      <c r="G2804" s="3" t="s">
        <v>43</v>
      </c>
      <c r="H2804" s="2" t="s">
        <v>21</v>
      </c>
      <c r="I2804" s="2" t="s">
        <v>5836</v>
      </c>
      <c r="J2804" s="3" t="str">
        <f>HYPERLINK("https://www.boe.es/gazeta/dias/1820/10/14/pdfs/GGB-1820-108.pdf#page=2","Abrir facsímil")</f>
        <v>Abrir facsímil</v>
      </c>
      <c r="K2804" s="3" t="s">
        <v>23</v>
      </c>
    </row>
    <row r="2805" spans="1:11" ht="42" customHeight="1">
      <c r="A2805" s="2" t="s">
        <v>5811</v>
      </c>
      <c r="B2805" s="2" t="s">
        <v>5811</v>
      </c>
      <c r="C2805" s="2" t="s">
        <v>111</v>
      </c>
      <c r="D2805" s="2" t="s">
        <v>18</v>
      </c>
      <c r="E2805" s="5">
        <v>-28919</v>
      </c>
      <c r="F2805" s="3" t="s">
        <v>516</v>
      </c>
      <c r="G2805" s="3" t="s">
        <v>20</v>
      </c>
      <c r="H2805" s="2" t="s">
        <v>21</v>
      </c>
      <c r="I2805" s="2" t="s">
        <v>5837</v>
      </c>
      <c r="J2805" s="3" t="str">
        <f>HYPERLINK("https://www.boe.es/gazeta/dias/1820/10/26/pdfs/GGB-1820-120.pdf#page=4","Abrir facsímil")</f>
        <v>Abrir facsímil</v>
      </c>
      <c r="K2805" s="3" t="s">
        <v>23</v>
      </c>
    </row>
    <row r="2806" spans="1:11" ht="42" customHeight="1">
      <c r="A2806" s="2" t="s">
        <v>5811</v>
      </c>
      <c r="B2806" s="2" t="s">
        <v>5811</v>
      </c>
      <c r="C2806" s="2" t="s">
        <v>26</v>
      </c>
      <c r="D2806" s="2" t="s">
        <v>27</v>
      </c>
      <c r="E2806" s="5">
        <v>-28909</v>
      </c>
      <c r="F2806" s="3" t="s">
        <v>278</v>
      </c>
      <c r="G2806" s="3" t="s">
        <v>43</v>
      </c>
      <c r="H2806" s="2" t="s">
        <v>21</v>
      </c>
      <c r="I2806" s="2" t="s">
        <v>5838</v>
      </c>
      <c r="J2806" s="3" t="str">
        <f>HYPERLINK("https://www.boe.es/gazeta/dias/1820/11/05/pdfs/GGB-1820-130.pdf#page=2","Abrir facsímil")</f>
        <v>Abrir facsímil</v>
      </c>
      <c r="K2806" s="3" t="s">
        <v>23</v>
      </c>
    </row>
    <row r="2807" spans="1:11" ht="42" customHeight="1">
      <c r="A2807" s="2" t="s">
        <v>5811</v>
      </c>
      <c r="B2807" s="2" t="s">
        <v>5811</v>
      </c>
      <c r="C2807" s="2" t="s">
        <v>35</v>
      </c>
      <c r="D2807" s="2" t="s">
        <v>36</v>
      </c>
      <c r="E2807" s="5">
        <v>-28908</v>
      </c>
      <c r="F2807" s="3" t="s">
        <v>1060</v>
      </c>
      <c r="G2807" s="3" t="s">
        <v>43</v>
      </c>
      <c r="H2807" s="2" t="s">
        <v>21</v>
      </c>
      <c r="I2807" s="2" t="s">
        <v>5839</v>
      </c>
      <c r="J2807" s="3" t="str">
        <f>HYPERLINK("https://www.boe.es/gazeta/dias/1820/11/06/pdfs/GGB-1820-131.pdf#page=2","Abrir facsímil")</f>
        <v>Abrir facsímil</v>
      </c>
      <c r="K2807" s="3" t="s">
        <v>23</v>
      </c>
    </row>
    <row r="2808" spans="1:11" ht="42" customHeight="1">
      <c r="A2808" s="2" t="s">
        <v>5811</v>
      </c>
      <c r="B2808" s="2" t="s">
        <v>5811</v>
      </c>
      <c r="C2808" s="2" t="s">
        <v>47</v>
      </c>
      <c r="D2808" s="2" t="s">
        <v>18</v>
      </c>
      <c r="E2808" s="5">
        <v>-28904</v>
      </c>
      <c r="F2808" s="3" t="s">
        <v>541</v>
      </c>
      <c r="G2808" s="3" t="s">
        <v>43</v>
      </c>
      <c r="H2808" s="2" t="s">
        <v>21</v>
      </c>
      <c r="I2808" s="2" t="s">
        <v>5840</v>
      </c>
      <c r="J2808" s="3" t="str">
        <f>HYPERLINK("https://www.boe.es/gazeta/dias/1820/11/10/pdfs/GGB-1820-136.pdf#page=2","Abrir facsímil")</f>
        <v>Abrir facsímil</v>
      </c>
      <c r="K2808" s="3" t="s">
        <v>23</v>
      </c>
    </row>
    <row r="2809" spans="1:11" ht="42" customHeight="1">
      <c r="A2809" s="2" t="s">
        <v>5841</v>
      </c>
      <c r="B2809" s="2" t="s">
        <v>5842</v>
      </c>
      <c r="C2809" s="2" t="s">
        <v>26</v>
      </c>
      <c r="D2809" s="2" t="s">
        <v>27</v>
      </c>
      <c r="E2809" s="5">
        <v>-28979</v>
      </c>
      <c r="F2809" s="3" t="s">
        <v>218</v>
      </c>
      <c r="G2809" s="3" t="s">
        <v>20</v>
      </c>
      <c r="H2809" s="2" t="s">
        <v>21</v>
      </c>
      <c r="I2809" s="2" t="s">
        <v>5843</v>
      </c>
      <c r="J2809" s="3" t="str">
        <f>HYPERLINK("https://www.boe.es/gazeta/dias/1820/08/27/pdfs/GGB-1820-60.pdf#page=4","Abrir facsímil")</f>
        <v>Abrir facsímil</v>
      </c>
      <c r="K2809" s="3" t="s">
        <v>23</v>
      </c>
    </row>
    <row r="2810" spans="1:11" ht="42" customHeight="1">
      <c r="A2810" s="2" t="s">
        <v>5844</v>
      </c>
      <c r="B2810" s="2" t="s">
        <v>5845</v>
      </c>
      <c r="C2810" s="2" t="s">
        <v>293</v>
      </c>
      <c r="D2810" s="2" t="s">
        <v>18</v>
      </c>
      <c r="E2810" s="5">
        <v>-29045</v>
      </c>
      <c r="F2810" s="3" t="s">
        <v>155</v>
      </c>
      <c r="G2810" s="3" t="s">
        <v>38</v>
      </c>
      <c r="H2810" s="2" t="s">
        <v>21</v>
      </c>
      <c r="I2810" s="2" t="s">
        <v>5846</v>
      </c>
      <c r="J2810" s="3" t="str">
        <f>HYPERLINK("https://www.boe.es/gazeta/dias/1820/06/22/pdfs/GMD-1820-97.pdf#page=6","Abrir facsímil")</f>
        <v>Abrir facsímil</v>
      </c>
      <c r="K2810" s="3" t="s">
        <v>23</v>
      </c>
    </row>
    <row r="2811" spans="1:11" ht="42" customHeight="1">
      <c r="A2811" s="2" t="s">
        <v>5844</v>
      </c>
      <c r="B2811" s="2" t="s">
        <v>5845</v>
      </c>
      <c r="C2811" s="2" t="s">
        <v>35</v>
      </c>
      <c r="D2811" s="2" t="s">
        <v>36</v>
      </c>
      <c r="E2811" s="5">
        <v>-28995</v>
      </c>
      <c r="F2811" s="3" t="s">
        <v>672</v>
      </c>
      <c r="G2811" s="3" t="s">
        <v>20</v>
      </c>
      <c r="H2811" s="2" t="s">
        <v>21</v>
      </c>
      <c r="I2811" s="2" t="s">
        <v>5847</v>
      </c>
      <c r="J2811" s="3" t="str">
        <f>HYPERLINK("https://www.boe.es/gazeta/dias/1820/08/11/pdfs/GGB-1820-44.pdf#page=4","Abrir facsímil")</f>
        <v>Abrir facsímil</v>
      </c>
      <c r="K2811" s="3" t="s">
        <v>23</v>
      </c>
    </row>
    <row r="2812" spans="1:11" ht="42" customHeight="1">
      <c r="A2812" s="2" t="s">
        <v>5848</v>
      </c>
      <c r="B2812" s="2" t="s">
        <v>5848</v>
      </c>
      <c r="C2812" s="2" t="s">
        <v>17</v>
      </c>
      <c r="D2812" s="2" t="s">
        <v>18</v>
      </c>
      <c r="E2812" s="5">
        <v>-29218</v>
      </c>
      <c r="F2812" s="3" t="s">
        <v>834</v>
      </c>
      <c r="G2812" s="3" t="s">
        <v>20</v>
      </c>
      <c r="H2812" s="2" t="s">
        <v>21</v>
      </c>
      <c r="I2812" s="2" t="s">
        <v>5849</v>
      </c>
      <c r="J2812" s="3" t="str">
        <f>HYPERLINK("https://www.boe.es/gazeta/dias/1820/01/01/pdfs/GMD-1820-1.pdf#page=4","Abrir facsímil")</f>
        <v>Abrir facsímil</v>
      </c>
      <c r="K2812" s="3" t="s">
        <v>23</v>
      </c>
    </row>
    <row r="2813" spans="1:11" ht="42" customHeight="1">
      <c r="A2813" s="2" t="s">
        <v>5850</v>
      </c>
      <c r="B2813" s="2" t="s">
        <v>5850</v>
      </c>
      <c r="C2813" s="2" t="s">
        <v>111</v>
      </c>
      <c r="D2813" s="2" t="s">
        <v>18</v>
      </c>
      <c r="E2813" s="5">
        <v>-29180</v>
      </c>
      <c r="F2813" s="3" t="s">
        <v>294</v>
      </c>
      <c r="G2813" s="3" t="s">
        <v>20</v>
      </c>
      <c r="H2813" s="2" t="s">
        <v>21</v>
      </c>
      <c r="I2813" s="2" t="s">
        <v>5851</v>
      </c>
      <c r="J2813" s="3" t="str">
        <f>HYPERLINK("https://www.boe.es/gazeta/dias/1820/02/08/pdfs/GMD-1820-17.pdf#page=4","Abrir facsímil")</f>
        <v>Abrir facsímil</v>
      </c>
      <c r="K2813" s="3" t="s">
        <v>23</v>
      </c>
    </row>
    <row r="2814" spans="1:11" ht="42" customHeight="1">
      <c r="A2814" s="2" t="s">
        <v>5852</v>
      </c>
      <c r="B2814" s="2" t="s">
        <v>5853</v>
      </c>
      <c r="C2814" s="2" t="s">
        <v>17</v>
      </c>
      <c r="D2814" s="2" t="s">
        <v>18</v>
      </c>
      <c r="E2814" s="5">
        <v>-29011</v>
      </c>
      <c r="F2814" s="3" t="s">
        <v>338</v>
      </c>
      <c r="G2814" s="3" t="s">
        <v>43</v>
      </c>
      <c r="H2814" s="2" t="s">
        <v>21</v>
      </c>
      <c r="I2814" s="2" t="s">
        <v>5854</v>
      </c>
      <c r="J2814" s="3" t="str">
        <f>HYPERLINK("https://www.boe.es/gazeta/dias/1820/07/26/pdfs/GGB-1820-28.pdf#page=2","Abrir facsímil")</f>
        <v>Abrir facsímil</v>
      </c>
      <c r="K2814" s="3" t="s">
        <v>23</v>
      </c>
    </row>
    <row r="2815" spans="1:11" ht="42" customHeight="1">
      <c r="A2815" s="2" t="s">
        <v>5855</v>
      </c>
      <c r="B2815" s="2" t="s">
        <v>5856</v>
      </c>
      <c r="C2815" s="2" t="s">
        <v>17</v>
      </c>
      <c r="D2815" s="2" t="s">
        <v>18</v>
      </c>
      <c r="E2815" s="5">
        <v>-29124</v>
      </c>
      <c r="F2815" s="3" t="s">
        <v>4097</v>
      </c>
      <c r="G2815" s="3" t="s">
        <v>20</v>
      </c>
      <c r="H2815" s="2" t="s">
        <v>21</v>
      </c>
      <c r="I2815" s="2" t="s">
        <v>5857</v>
      </c>
      <c r="J2815" s="3" t="str">
        <f>HYPERLINK("https://www.boe.es/gazeta/dias/1820/04/04/pdfs/GMD-1820-60.pdf#page=4","Abrir facsímil")</f>
        <v>Abrir facsímil</v>
      </c>
      <c r="K2815" s="3" t="s">
        <v>23</v>
      </c>
    </row>
    <row r="2816" spans="1:11" ht="42" customHeight="1">
      <c r="A2816" s="2" t="s">
        <v>5855</v>
      </c>
      <c r="B2816" s="2" t="s">
        <v>5856</v>
      </c>
      <c r="C2816" s="2" t="s">
        <v>293</v>
      </c>
      <c r="D2816" s="2" t="s">
        <v>18</v>
      </c>
      <c r="E2816" s="5">
        <v>-29120</v>
      </c>
      <c r="F2816" s="3" t="s">
        <v>852</v>
      </c>
      <c r="G2816" s="3" t="s">
        <v>201</v>
      </c>
      <c r="H2816" s="2" t="s">
        <v>21</v>
      </c>
      <c r="I2816" s="2" t="s">
        <v>5858</v>
      </c>
      <c r="J2816" s="3" t="str">
        <f>HYPERLINK("https://www.boe.es/gazeta/dias/1820/04/08/pdfs/GMD-1820-63.pdf#page=7","Abrir facsímil")</f>
        <v>Abrir facsímil</v>
      </c>
      <c r="K2816" s="3" t="s">
        <v>23</v>
      </c>
    </row>
    <row r="2817" spans="1:11" ht="42" customHeight="1">
      <c r="A2817" s="2" t="s">
        <v>5855</v>
      </c>
      <c r="B2817" s="2" t="s">
        <v>5856</v>
      </c>
      <c r="C2817" s="2" t="s">
        <v>293</v>
      </c>
      <c r="D2817" s="2" t="s">
        <v>18</v>
      </c>
      <c r="E2817" s="5">
        <v>-29117</v>
      </c>
      <c r="F2817" s="3" t="s">
        <v>1451</v>
      </c>
      <c r="G2817" s="3" t="s">
        <v>1710</v>
      </c>
      <c r="H2817" s="2" t="s">
        <v>21</v>
      </c>
      <c r="I2817" s="2" t="s">
        <v>5859</v>
      </c>
      <c r="J2817" s="3" t="str">
        <f>HYPERLINK("https://www.boe.es/gazeta/dias/1820/04/11/pdfs/GMD-1820-64.pdf#page=4","Abrir facsímil")</f>
        <v>Abrir facsímil</v>
      </c>
      <c r="K2817" s="3" t="s">
        <v>23</v>
      </c>
    </row>
    <row r="2818" spans="1:11" ht="42" customHeight="1">
      <c r="A2818" s="2" t="s">
        <v>5860</v>
      </c>
      <c r="B2818" s="2" t="s">
        <v>5861</v>
      </c>
      <c r="C2818" s="2" t="s">
        <v>35</v>
      </c>
      <c r="D2818" s="2" t="s">
        <v>36</v>
      </c>
      <c r="E2818" s="5">
        <v>-28934</v>
      </c>
      <c r="F2818" s="3" t="s">
        <v>163</v>
      </c>
      <c r="G2818" s="3" t="s">
        <v>62</v>
      </c>
      <c r="H2818" s="2" t="s">
        <v>21</v>
      </c>
      <c r="I2818" s="2" t="s">
        <v>5862</v>
      </c>
      <c r="J2818" s="3" t="str">
        <f>HYPERLINK("https://www.boe.es/gazeta/dias/1820/10/11/pdfs/GGB-1820-105.pdf#page=3","Abrir facsímil")</f>
        <v>Abrir facsímil</v>
      </c>
      <c r="K2818" s="3" t="s">
        <v>23</v>
      </c>
    </row>
    <row r="2819" spans="1:11" ht="42" customHeight="1">
      <c r="A2819" s="2" t="s">
        <v>5863</v>
      </c>
      <c r="B2819" s="2" t="s">
        <v>5863</v>
      </c>
      <c r="C2819" s="2" t="s">
        <v>74</v>
      </c>
      <c r="D2819" s="2" t="s">
        <v>18</v>
      </c>
      <c r="E2819" s="5">
        <v>-28976</v>
      </c>
      <c r="F2819" s="3" t="s">
        <v>689</v>
      </c>
      <c r="G2819" s="3" t="s">
        <v>62</v>
      </c>
      <c r="H2819" s="2" t="s">
        <v>21</v>
      </c>
      <c r="I2819" s="2" t="s">
        <v>5864</v>
      </c>
      <c r="J2819" s="3" t="str">
        <f>HYPERLINK("https://www.boe.es/gazeta/dias/1820/08/30/pdfs/GGB-1820-63.pdf#page=3","Abrir facsímil")</f>
        <v>Abrir facsímil</v>
      </c>
      <c r="K2819" s="3" t="s">
        <v>23</v>
      </c>
    </row>
    <row r="2820" spans="1:11" ht="42" customHeight="1">
      <c r="A2820" s="2" t="s">
        <v>5865</v>
      </c>
      <c r="B2820" s="2" t="s">
        <v>5865</v>
      </c>
      <c r="C2820" s="2" t="s">
        <v>111</v>
      </c>
      <c r="D2820" s="2" t="s">
        <v>18</v>
      </c>
      <c r="E2820" s="5">
        <v>-28930</v>
      </c>
      <c r="F2820" s="3" t="s">
        <v>372</v>
      </c>
      <c r="G2820" s="3" t="s">
        <v>62</v>
      </c>
      <c r="H2820" s="2" t="s">
        <v>21</v>
      </c>
      <c r="I2820" s="2" t="s">
        <v>5866</v>
      </c>
      <c r="J2820" s="3" t="str">
        <f>HYPERLINK("https://www.boe.es/gazeta/dias/1820/10/15/pdfs/GGB-1820-109.pdf#page=3","Abrir facsímil")</f>
        <v>Abrir facsímil</v>
      </c>
      <c r="K2820" s="3" t="s">
        <v>23</v>
      </c>
    </row>
    <row r="2821" spans="1:11" ht="42" customHeight="1">
      <c r="A2821" s="2" t="s">
        <v>5867</v>
      </c>
      <c r="B2821" s="2" t="s">
        <v>5867</v>
      </c>
      <c r="C2821" s="2" t="s">
        <v>17</v>
      </c>
      <c r="D2821" s="2" t="s">
        <v>18</v>
      </c>
      <c r="E2821" s="5">
        <v>-28978</v>
      </c>
      <c r="F2821" s="3" t="s">
        <v>203</v>
      </c>
      <c r="G2821" s="3" t="s">
        <v>62</v>
      </c>
      <c r="H2821" s="2" t="s">
        <v>21</v>
      </c>
      <c r="I2821" s="2" t="s">
        <v>5868</v>
      </c>
      <c r="J2821" s="3" t="str">
        <f>HYPERLINK("https://www.boe.es/gazeta/dias/1820/08/28/pdfs/GGB-1820-61.pdf#page=3","Abrir facsímil")</f>
        <v>Abrir facsímil</v>
      </c>
      <c r="K2821" s="3" t="s">
        <v>23</v>
      </c>
    </row>
    <row r="2822" spans="1:11" ht="42" customHeight="1">
      <c r="A2822" s="2" t="s">
        <v>5867</v>
      </c>
      <c r="B2822" s="2" t="s">
        <v>5867</v>
      </c>
      <c r="C2822" s="2" t="s">
        <v>26</v>
      </c>
      <c r="D2822" s="2" t="s">
        <v>27</v>
      </c>
      <c r="E2822" s="5">
        <v>-28952</v>
      </c>
      <c r="F2822" s="3" t="s">
        <v>370</v>
      </c>
      <c r="G2822" s="3" t="s">
        <v>43</v>
      </c>
      <c r="H2822" s="2" t="s">
        <v>21</v>
      </c>
      <c r="I2822" s="2" t="s">
        <v>5869</v>
      </c>
      <c r="J2822" s="3" t="str">
        <f>HYPERLINK("https://www.boe.es/gazeta/dias/1820/09/23/pdfs/GGB-1820-87.pdf#page=2","Abrir facsímil")</f>
        <v>Abrir facsímil</v>
      </c>
      <c r="K2822" s="3" t="s">
        <v>23</v>
      </c>
    </row>
    <row r="2823" spans="1:11" ht="42" customHeight="1">
      <c r="A2823" s="2" t="s">
        <v>5867</v>
      </c>
      <c r="B2823" s="2" t="s">
        <v>5867</v>
      </c>
      <c r="C2823" s="2" t="s">
        <v>111</v>
      </c>
      <c r="D2823" s="2" t="s">
        <v>18</v>
      </c>
      <c r="E2823" s="5">
        <v>-28928</v>
      </c>
      <c r="F2823" s="3" t="s">
        <v>86</v>
      </c>
      <c r="G2823" s="3" t="s">
        <v>62</v>
      </c>
      <c r="H2823" s="2" t="s">
        <v>21</v>
      </c>
      <c r="I2823" s="2" t="s">
        <v>5870</v>
      </c>
      <c r="J2823" s="3" t="str">
        <f>HYPERLINK("https://www.boe.es/gazeta/dias/1820/10/17/pdfs/GGB-1820-111.pdf#page=3","Abrir facsímil")</f>
        <v>Abrir facsímil</v>
      </c>
      <c r="K2823" s="3" t="s">
        <v>23</v>
      </c>
    </row>
    <row r="2824" spans="1:11" ht="42" customHeight="1">
      <c r="A2824" s="2" t="s">
        <v>5867</v>
      </c>
      <c r="B2824" s="2" t="s">
        <v>5867</v>
      </c>
      <c r="C2824" s="2" t="s">
        <v>35</v>
      </c>
      <c r="D2824" s="2" t="s">
        <v>36</v>
      </c>
      <c r="E2824" s="5">
        <v>-28927</v>
      </c>
      <c r="F2824" s="3" t="s">
        <v>345</v>
      </c>
      <c r="G2824" s="3" t="s">
        <v>20</v>
      </c>
      <c r="H2824" s="2" t="s">
        <v>21</v>
      </c>
      <c r="I2824" s="2" t="s">
        <v>5871</v>
      </c>
      <c r="J2824" s="3" t="str">
        <f>HYPERLINK("https://www.boe.es/gazeta/dias/1820/10/18/pdfs/GGB-1820-112.pdf#page=4","Abrir facsímil")</f>
        <v>Abrir facsímil</v>
      </c>
      <c r="K2824" s="3" t="s">
        <v>23</v>
      </c>
    </row>
    <row r="2825" spans="1:11" ht="42" customHeight="1">
      <c r="A2825" s="2" t="s">
        <v>5867</v>
      </c>
      <c r="B2825" s="2" t="s">
        <v>5867</v>
      </c>
      <c r="C2825" s="2" t="s">
        <v>35</v>
      </c>
      <c r="D2825" s="2" t="s">
        <v>36</v>
      </c>
      <c r="E2825" s="5">
        <v>-28920</v>
      </c>
      <c r="F2825" s="3" t="s">
        <v>399</v>
      </c>
      <c r="G2825" s="3" t="s">
        <v>43</v>
      </c>
      <c r="H2825" s="2" t="s">
        <v>21</v>
      </c>
      <c r="I2825" s="2" t="s">
        <v>5872</v>
      </c>
      <c r="J2825" s="3" t="str">
        <f>HYPERLINK("https://www.boe.es/gazeta/dias/1820/10/25/pdfs/GGB-1820-119.pdf#page=2","Abrir facsímil")</f>
        <v>Abrir facsímil</v>
      </c>
      <c r="K2825" s="3" t="s">
        <v>23</v>
      </c>
    </row>
    <row r="2826" spans="1:11" ht="42" customHeight="1">
      <c r="A2826" s="2" t="s">
        <v>5867</v>
      </c>
      <c r="B2826" s="2" t="s">
        <v>5867</v>
      </c>
      <c r="C2826" s="2" t="s">
        <v>74</v>
      </c>
      <c r="D2826" s="2" t="s">
        <v>18</v>
      </c>
      <c r="E2826" s="5">
        <v>-28919</v>
      </c>
      <c r="F2826" s="3" t="s">
        <v>516</v>
      </c>
      <c r="G2826" s="3" t="s">
        <v>20</v>
      </c>
      <c r="H2826" s="2" t="s">
        <v>21</v>
      </c>
      <c r="I2826" s="2" t="s">
        <v>5873</v>
      </c>
      <c r="J2826" s="3" t="str">
        <f>HYPERLINK("https://www.boe.es/gazeta/dias/1820/10/26/pdfs/GGB-1820-120.pdf#page=4","Abrir facsímil")</f>
        <v>Abrir facsímil</v>
      </c>
      <c r="K2826" s="3" t="s">
        <v>23</v>
      </c>
    </row>
    <row r="2827" spans="1:11" ht="42" customHeight="1">
      <c r="A2827" s="2" t="s">
        <v>5867</v>
      </c>
      <c r="B2827" s="2" t="s">
        <v>5867</v>
      </c>
      <c r="C2827" s="2" t="s">
        <v>17</v>
      </c>
      <c r="D2827" s="2" t="s">
        <v>18</v>
      </c>
      <c r="E2827" s="5">
        <v>-28912</v>
      </c>
      <c r="F2827" s="3" t="s">
        <v>1329</v>
      </c>
      <c r="G2827" s="3" t="s">
        <v>62</v>
      </c>
      <c r="H2827" s="2" t="s">
        <v>21</v>
      </c>
      <c r="I2827" s="2" t="s">
        <v>5874</v>
      </c>
      <c r="J2827" s="3" t="str">
        <f>HYPERLINK("https://www.boe.es/gazeta/dias/1820/11/02/pdfs/GGB-1820-127.pdf#page=3","Abrir facsímil")</f>
        <v>Abrir facsímil</v>
      </c>
      <c r="K2827" s="3" t="s">
        <v>23</v>
      </c>
    </row>
    <row r="2828" spans="1:11" ht="42" customHeight="1">
      <c r="A2828" s="2" t="s">
        <v>5875</v>
      </c>
      <c r="B2828" s="2" t="s">
        <v>5876</v>
      </c>
      <c r="C2828" s="2" t="s">
        <v>111</v>
      </c>
      <c r="D2828" s="2" t="s">
        <v>18</v>
      </c>
      <c r="E2828" s="5">
        <v>-29068</v>
      </c>
      <c r="F2828" s="3" t="s">
        <v>943</v>
      </c>
      <c r="G2828" s="3" t="s">
        <v>975</v>
      </c>
      <c r="H2828" s="2" t="s">
        <v>21</v>
      </c>
      <c r="I2828" s="2" t="s">
        <v>5877</v>
      </c>
      <c r="J2828" s="3" t="str">
        <f>HYPERLINK("https://www.boe.es/gazeta/dias/1820/05/30/pdfs/GMD-1820-87.pdf#page=12","Abrir facsímil")</f>
        <v>Abrir facsímil</v>
      </c>
      <c r="K2828" s="3" t="s">
        <v>23</v>
      </c>
    </row>
    <row r="2829" spans="1:11" ht="42" customHeight="1">
      <c r="A2829" s="2" t="s">
        <v>5878</v>
      </c>
      <c r="B2829" s="2" t="s">
        <v>5878</v>
      </c>
      <c r="C2829" s="2" t="s">
        <v>107</v>
      </c>
      <c r="D2829" s="2" t="s">
        <v>18</v>
      </c>
      <c r="E2829" s="5">
        <v>-28917</v>
      </c>
      <c r="F2829" s="3" t="s">
        <v>19</v>
      </c>
      <c r="G2829" s="3" t="s">
        <v>128</v>
      </c>
      <c r="H2829" s="2" t="s">
        <v>21</v>
      </c>
      <c r="I2829" s="2" t="s">
        <v>5879</v>
      </c>
      <c r="J2829" s="3" t="str">
        <f>HYPERLINK("https://www.boe.es/gazeta/dias/1820/10/28/pdfs/GGB-1820-122.pdf#page=1","Abrir facsímil")</f>
        <v>Abrir facsímil</v>
      </c>
      <c r="K2829" s="3" t="s">
        <v>23</v>
      </c>
    </row>
    <row r="2830" spans="1:11" ht="42" customHeight="1">
      <c r="A2830" s="2" t="s">
        <v>5880</v>
      </c>
      <c r="B2830" s="2" t="s">
        <v>5881</v>
      </c>
      <c r="C2830" s="2" t="s">
        <v>26</v>
      </c>
      <c r="D2830" s="2" t="s">
        <v>27</v>
      </c>
      <c r="E2830" s="5">
        <v>-29197</v>
      </c>
      <c r="F2830" s="3" t="s">
        <v>48</v>
      </c>
      <c r="G2830" s="3" t="s">
        <v>201</v>
      </c>
      <c r="H2830" s="2" t="s">
        <v>21</v>
      </c>
      <c r="I2830" s="2" t="s">
        <v>5882</v>
      </c>
      <c r="J2830" s="3" t="str">
        <f>HYPERLINK("https://www.boe.es/gazeta/dias/1820/01/22/pdfs/GMD-1820-10.pdf#page=7","Abrir facsímil")</f>
        <v>Abrir facsímil</v>
      </c>
      <c r="K2830" s="3" t="s">
        <v>23</v>
      </c>
    </row>
    <row r="2831" spans="1:11" ht="42" customHeight="1">
      <c r="A2831" s="2" t="s">
        <v>5883</v>
      </c>
      <c r="B2831" s="2" t="s">
        <v>5884</v>
      </c>
      <c r="C2831" s="2" t="s">
        <v>26</v>
      </c>
      <c r="D2831" s="2" t="s">
        <v>27</v>
      </c>
      <c r="E2831" s="5">
        <v>-28969</v>
      </c>
      <c r="F2831" s="3" t="s">
        <v>225</v>
      </c>
      <c r="G2831" s="3" t="s">
        <v>43</v>
      </c>
      <c r="H2831" s="2" t="s">
        <v>21</v>
      </c>
      <c r="I2831" s="2" t="s">
        <v>5885</v>
      </c>
      <c r="J2831" s="3" t="str">
        <f>HYPERLINK("https://www.boe.es/gazeta/dias/1820/09/06/pdfs/GGB-1820-70.pdf#page=2","Abrir facsímil")</f>
        <v>Abrir facsímil</v>
      </c>
      <c r="K2831" s="3" t="s">
        <v>23</v>
      </c>
    </row>
    <row r="2832" spans="1:11" ht="42" customHeight="1">
      <c r="A2832" s="2" t="s">
        <v>5886</v>
      </c>
      <c r="B2832" s="2" t="s">
        <v>5887</v>
      </c>
      <c r="C2832" s="2" t="s">
        <v>26</v>
      </c>
      <c r="D2832" s="2" t="s">
        <v>27</v>
      </c>
      <c r="E2832" s="5">
        <v>-28946</v>
      </c>
      <c r="F2832" s="3" t="s">
        <v>1055</v>
      </c>
      <c r="G2832" s="3" t="s">
        <v>20</v>
      </c>
      <c r="H2832" s="2" t="s">
        <v>21</v>
      </c>
      <c r="I2832" s="2" t="s">
        <v>5888</v>
      </c>
      <c r="J2832" s="3" t="str">
        <f>HYPERLINK("https://www.boe.es/gazeta/dias/1820/09/29/pdfs/GGB-1820-93.pdf#page=4","Abrir facsímil")</f>
        <v>Abrir facsímil</v>
      </c>
      <c r="K2832" s="3" t="s">
        <v>23</v>
      </c>
    </row>
    <row r="2833" spans="1:11" ht="42" customHeight="1">
      <c r="A2833" s="2" t="s">
        <v>5889</v>
      </c>
      <c r="B2833" s="2" t="s">
        <v>5890</v>
      </c>
      <c r="C2833" s="2" t="s">
        <v>26</v>
      </c>
      <c r="D2833" s="2" t="s">
        <v>27</v>
      </c>
      <c r="E2833" s="5">
        <v>-28856</v>
      </c>
      <c r="F2833" s="3" t="s">
        <v>1217</v>
      </c>
      <c r="G2833" s="3" t="s">
        <v>20</v>
      </c>
      <c r="H2833" s="2" t="s">
        <v>21</v>
      </c>
      <c r="I2833" s="2" t="s">
        <v>5891</v>
      </c>
      <c r="J2833" s="3" t="str">
        <f>HYPERLINK("https://www.boe.es/gazeta/dias/1820/12/28/pdfs/GGB-1820-185.pdf#page=4","Abrir facsímil")</f>
        <v>Abrir facsímil</v>
      </c>
      <c r="K2833" s="3" t="s">
        <v>23</v>
      </c>
    </row>
    <row r="2834" spans="1:11" ht="42" customHeight="1">
      <c r="A2834" s="2" t="s">
        <v>5892</v>
      </c>
      <c r="B2834" s="2" t="s">
        <v>5893</v>
      </c>
      <c r="C2834" s="2" t="s">
        <v>293</v>
      </c>
      <c r="D2834" s="2" t="s">
        <v>18</v>
      </c>
      <c r="E2834" s="5">
        <v>-28888</v>
      </c>
      <c r="F2834" s="3" t="s">
        <v>112</v>
      </c>
      <c r="G2834" s="3" t="s">
        <v>20</v>
      </c>
      <c r="H2834" s="2" t="s">
        <v>30</v>
      </c>
      <c r="I2834" s="2" t="s">
        <v>5894</v>
      </c>
      <c r="J2834" s="3" t="str">
        <f>HYPERLINK("https://www.boe.es/gazeta/dias/1820/11/26/pdfs/GGB-1820-153.pdf#page=4","Abrir facsímil")</f>
        <v>Abrir facsímil</v>
      </c>
      <c r="K2834" s="3" t="s">
        <v>32</v>
      </c>
    </row>
    <row r="2835" spans="1:11" ht="42" customHeight="1">
      <c r="A2835" s="2" t="s">
        <v>5895</v>
      </c>
      <c r="B2835" s="2" t="s">
        <v>5896</v>
      </c>
      <c r="C2835" s="2" t="s">
        <v>35</v>
      </c>
      <c r="D2835" s="2" t="s">
        <v>36</v>
      </c>
      <c r="E2835" s="5">
        <v>-28922</v>
      </c>
      <c r="F2835" s="3" t="s">
        <v>735</v>
      </c>
      <c r="G2835" s="3" t="s">
        <v>62</v>
      </c>
      <c r="H2835" s="2" t="s">
        <v>21</v>
      </c>
      <c r="I2835" s="2" t="s">
        <v>5897</v>
      </c>
      <c r="J2835" s="3" t="str">
        <f>HYPERLINK("https://www.boe.es/gazeta/dias/1820/10/23/pdfs/GGB-1820-117.pdf#page=3","Abrir facsímil")</f>
        <v>Abrir facsímil</v>
      </c>
      <c r="K2835" s="3" t="s">
        <v>23</v>
      </c>
    </row>
    <row r="2836" spans="1:11" ht="42" customHeight="1">
      <c r="A2836" s="2" t="s">
        <v>5898</v>
      </c>
      <c r="B2836" s="2" t="s">
        <v>5899</v>
      </c>
      <c r="C2836" s="2" t="s">
        <v>35</v>
      </c>
      <c r="D2836" s="2" t="s">
        <v>36</v>
      </c>
      <c r="E2836" s="5">
        <v>-28984</v>
      </c>
      <c r="F2836" s="3" t="s">
        <v>520</v>
      </c>
      <c r="G2836" s="3" t="s">
        <v>20</v>
      </c>
      <c r="H2836" s="2" t="s">
        <v>21</v>
      </c>
      <c r="I2836" s="2" t="s">
        <v>5900</v>
      </c>
      <c r="J2836" s="3" t="str">
        <f>HYPERLINK("https://www.boe.es/gazeta/dias/1820/08/22/pdfs/GGB-1820-55.pdf#page=4","Abrir facsímil")</f>
        <v>Abrir facsímil</v>
      </c>
      <c r="K2836" s="3" t="s">
        <v>23</v>
      </c>
    </row>
    <row r="2837" spans="1:11" ht="42" customHeight="1">
      <c r="A2837" s="2" t="s">
        <v>5901</v>
      </c>
      <c r="B2837" s="2" t="s">
        <v>5902</v>
      </c>
      <c r="C2837" s="2" t="s">
        <v>47</v>
      </c>
      <c r="D2837" s="2" t="s">
        <v>18</v>
      </c>
      <c r="E2837" s="5">
        <v>-28914</v>
      </c>
      <c r="F2837" s="3" t="s">
        <v>434</v>
      </c>
      <c r="G2837" s="3" t="s">
        <v>20</v>
      </c>
      <c r="H2837" s="2" t="s">
        <v>21</v>
      </c>
      <c r="I2837" s="2" t="s">
        <v>5903</v>
      </c>
      <c r="J2837" s="3" t="str">
        <f>HYPERLINK("https://www.boe.es/gazeta/dias/1820/10/31/pdfs/GGB-1820-125.pdf#page=4","Abrir facsímil")</f>
        <v>Abrir facsímil</v>
      </c>
      <c r="K2837" s="3" t="s">
        <v>23</v>
      </c>
    </row>
    <row r="2838" spans="1:11" ht="42" customHeight="1">
      <c r="A2838" s="2" t="s">
        <v>5901</v>
      </c>
      <c r="B2838" s="2" t="s">
        <v>5902</v>
      </c>
      <c r="C2838" s="2" t="s">
        <v>47</v>
      </c>
      <c r="D2838" s="2" t="s">
        <v>18</v>
      </c>
      <c r="E2838" s="5">
        <v>-28884</v>
      </c>
      <c r="F2838" s="3" t="s">
        <v>882</v>
      </c>
      <c r="G2838" s="3" t="s">
        <v>256</v>
      </c>
      <c r="H2838" s="2" t="s">
        <v>21</v>
      </c>
      <c r="I2838" s="2" t="s">
        <v>5904</v>
      </c>
      <c r="J2838" s="3" t="str">
        <f>HYPERLINK("https://www.boe.es/gazeta/dias/1820/11/30/pdfs/GGB-1820-157.pdf#page=5","Abrir facsímil")</f>
        <v>Abrir facsímil</v>
      </c>
      <c r="K2838" s="3" t="s">
        <v>23</v>
      </c>
    </row>
    <row r="2839" spans="1:11" ht="42" customHeight="1">
      <c r="A2839" s="2" t="s">
        <v>5905</v>
      </c>
      <c r="B2839" s="2" t="s">
        <v>5906</v>
      </c>
      <c r="C2839" s="2" t="s">
        <v>17</v>
      </c>
      <c r="D2839" s="2" t="s">
        <v>18</v>
      </c>
      <c r="E2839" s="5">
        <v>-28959</v>
      </c>
      <c r="F2839" s="3" t="s">
        <v>37</v>
      </c>
      <c r="G2839" s="3" t="s">
        <v>20</v>
      </c>
      <c r="H2839" s="2" t="s">
        <v>21</v>
      </c>
      <c r="I2839" s="2" t="s">
        <v>5907</v>
      </c>
      <c r="J2839" s="3" t="str">
        <f>HYPERLINK("https://www.boe.es/gazeta/dias/1820/09/16/pdfs/GGB-1820-80.pdf#page=4","Abrir facsímil")</f>
        <v>Abrir facsímil</v>
      </c>
      <c r="K2839" s="3" t="s">
        <v>23</v>
      </c>
    </row>
    <row r="2840" spans="1:11" ht="42" customHeight="1">
      <c r="A2840" s="2" t="s">
        <v>5908</v>
      </c>
      <c r="B2840" s="2" t="s">
        <v>5908</v>
      </c>
      <c r="C2840" s="2" t="s">
        <v>17</v>
      </c>
      <c r="D2840" s="2" t="s">
        <v>18</v>
      </c>
      <c r="E2840" s="5">
        <v>-28993</v>
      </c>
      <c r="F2840" s="3" t="s">
        <v>465</v>
      </c>
      <c r="G2840" s="3" t="s">
        <v>62</v>
      </c>
      <c r="H2840" s="2" t="s">
        <v>21</v>
      </c>
      <c r="I2840" s="2" t="s">
        <v>5909</v>
      </c>
      <c r="J2840" s="3" t="str">
        <f>HYPERLINK("https://www.boe.es/gazeta/dias/1820/08/13/pdfs/GGB-1820-46.pdf#page=3","Abrir facsímil")</f>
        <v>Abrir facsímil</v>
      </c>
      <c r="K2840" s="3" t="s">
        <v>23</v>
      </c>
    </row>
    <row r="2841" spans="1:11" ht="42" customHeight="1">
      <c r="A2841" s="2" t="s">
        <v>5908</v>
      </c>
      <c r="B2841" s="2" t="s">
        <v>5908</v>
      </c>
      <c r="C2841" s="2" t="s">
        <v>293</v>
      </c>
      <c r="D2841" s="2" t="s">
        <v>18</v>
      </c>
      <c r="E2841" s="5">
        <v>-28965</v>
      </c>
      <c r="F2841" s="3" t="s">
        <v>1520</v>
      </c>
      <c r="G2841" s="3" t="s">
        <v>62</v>
      </c>
      <c r="H2841" s="2" t="s">
        <v>21</v>
      </c>
      <c r="I2841" s="2" t="s">
        <v>5910</v>
      </c>
      <c r="J2841" s="3" t="str">
        <f>HYPERLINK("https://www.boe.es/gazeta/dias/1820/09/10/pdfs/GGB-1820-74.pdf#page=3","Abrir facsímil")</f>
        <v>Abrir facsímil</v>
      </c>
      <c r="K2841" s="3" t="s">
        <v>23</v>
      </c>
    </row>
    <row r="2842" spans="1:11" ht="42" customHeight="1">
      <c r="A2842" s="2" t="s">
        <v>5911</v>
      </c>
      <c r="B2842" s="2" t="s">
        <v>5911</v>
      </c>
      <c r="C2842" s="2" t="s">
        <v>35</v>
      </c>
      <c r="D2842" s="2" t="s">
        <v>36</v>
      </c>
      <c r="E2842" s="5">
        <v>-29026</v>
      </c>
      <c r="F2842" s="3" t="s">
        <v>1197</v>
      </c>
      <c r="G2842" s="3" t="s">
        <v>43</v>
      </c>
      <c r="H2842" s="2" t="s">
        <v>21</v>
      </c>
      <c r="I2842" s="2" t="s">
        <v>5912</v>
      </c>
      <c r="J2842" s="3" t="str">
        <f>HYPERLINK("https://www.boe.es/gazeta/dias/1820/07/11/pdfs/GGB-1820-13.pdf#page=2","Abrir facsímil")</f>
        <v>Abrir facsímil</v>
      </c>
      <c r="K2842" s="3" t="s">
        <v>23</v>
      </c>
    </row>
    <row r="2843" spans="1:11" ht="42" customHeight="1">
      <c r="A2843" s="2" t="s">
        <v>5911</v>
      </c>
      <c r="B2843" s="2" t="s">
        <v>5911</v>
      </c>
      <c r="C2843" s="2" t="s">
        <v>111</v>
      </c>
      <c r="D2843" s="2" t="s">
        <v>18</v>
      </c>
      <c r="E2843" s="5">
        <v>-29023</v>
      </c>
      <c r="F2843" s="3" t="s">
        <v>1662</v>
      </c>
      <c r="G2843" s="3" t="s">
        <v>3662</v>
      </c>
      <c r="H2843" s="2" t="s">
        <v>21</v>
      </c>
      <c r="I2843" s="2" t="s">
        <v>5913</v>
      </c>
      <c r="J2843" s="3" t="str">
        <f>HYPERLINK("https://www.boe.es/gazeta/dias/1820/07/14/pdfs/GGB-1820-16.pdf#page=2","Abrir facsímil")</f>
        <v>Abrir facsímil</v>
      </c>
      <c r="K2843" s="3" t="s">
        <v>23</v>
      </c>
    </row>
    <row r="2844" spans="1:11" ht="42" customHeight="1">
      <c r="A2844" s="2" t="s">
        <v>5911</v>
      </c>
      <c r="B2844" s="2" t="s">
        <v>5911</v>
      </c>
      <c r="C2844" s="2" t="s">
        <v>26</v>
      </c>
      <c r="D2844" s="2" t="s">
        <v>27</v>
      </c>
      <c r="E2844" s="5">
        <v>-29021</v>
      </c>
      <c r="F2844" s="3" t="s">
        <v>377</v>
      </c>
      <c r="G2844" s="3" t="s">
        <v>43</v>
      </c>
      <c r="H2844" s="2" t="s">
        <v>21</v>
      </c>
      <c r="I2844" s="2" t="s">
        <v>5914</v>
      </c>
      <c r="J2844" s="3" t="str">
        <f>HYPERLINK("https://www.boe.es/gazeta/dias/1820/07/16/pdfs/GGB-1820-18.pdf#page=2","Abrir facsímil")</f>
        <v>Abrir facsímil</v>
      </c>
      <c r="K2844" s="3" t="s">
        <v>23</v>
      </c>
    </row>
    <row r="2845" spans="1:11" ht="42" customHeight="1">
      <c r="A2845" s="2" t="s">
        <v>5911</v>
      </c>
      <c r="B2845" s="2" t="s">
        <v>5911</v>
      </c>
      <c r="C2845" s="2" t="s">
        <v>74</v>
      </c>
      <c r="D2845" s="2" t="s">
        <v>18</v>
      </c>
      <c r="E2845" s="5">
        <v>-29019</v>
      </c>
      <c r="F2845" s="3" t="s">
        <v>655</v>
      </c>
      <c r="G2845" s="3" t="s">
        <v>945</v>
      </c>
      <c r="H2845" s="2" t="s">
        <v>21</v>
      </c>
      <c r="I2845" s="2" t="s">
        <v>5915</v>
      </c>
      <c r="J2845" s="3" t="str">
        <f>HYPERLINK("https://www.boe.es/gazeta/dias/1820/07/18/pdfs/GGB-1820-20.pdf#page=2","Abrir facsímil")</f>
        <v>Abrir facsímil</v>
      </c>
      <c r="K2845" s="3" t="s">
        <v>23</v>
      </c>
    </row>
    <row r="2846" spans="1:11" ht="42" customHeight="1">
      <c r="A2846" s="2" t="s">
        <v>5911</v>
      </c>
      <c r="B2846" s="2" t="s">
        <v>5911</v>
      </c>
      <c r="C2846" s="2" t="s">
        <v>26</v>
      </c>
      <c r="D2846" s="2" t="s">
        <v>27</v>
      </c>
      <c r="E2846" s="5">
        <v>-29019</v>
      </c>
      <c r="F2846" s="3" t="s">
        <v>655</v>
      </c>
      <c r="G2846" s="3" t="s">
        <v>62</v>
      </c>
      <c r="H2846" s="2" t="s">
        <v>21</v>
      </c>
      <c r="I2846" s="2" t="s">
        <v>5916</v>
      </c>
      <c r="J2846" s="3" t="str">
        <f>HYPERLINK("https://www.boe.es/gazeta/dias/1820/07/18/pdfs/GGB-1820-20.pdf#page=3","Abrir facsímil")</f>
        <v>Abrir facsímil</v>
      </c>
      <c r="K2846" s="3" t="s">
        <v>23</v>
      </c>
    </row>
    <row r="2847" spans="1:11" ht="42" customHeight="1">
      <c r="A2847" s="2" t="s">
        <v>5911</v>
      </c>
      <c r="B2847" s="2" t="s">
        <v>5911</v>
      </c>
      <c r="C2847" s="2" t="s">
        <v>35</v>
      </c>
      <c r="D2847" s="2" t="s">
        <v>36</v>
      </c>
      <c r="E2847" s="5">
        <v>-29014</v>
      </c>
      <c r="F2847" s="3" t="s">
        <v>70</v>
      </c>
      <c r="G2847" s="3" t="s">
        <v>62</v>
      </c>
      <c r="H2847" s="2" t="s">
        <v>21</v>
      </c>
      <c r="I2847" s="2" t="s">
        <v>5917</v>
      </c>
      <c r="J2847" s="3" t="str">
        <f>HYPERLINK("https://www.boe.es/gazeta/dias/1820/07/23/pdfs/GGB-1820-25.pdf#page=3","Abrir facsímil")</f>
        <v>Abrir facsímil</v>
      </c>
      <c r="K2847" s="3" t="s">
        <v>23</v>
      </c>
    </row>
    <row r="2848" spans="1:11" ht="42" customHeight="1">
      <c r="A2848" s="2" t="s">
        <v>5911</v>
      </c>
      <c r="B2848" s="2" t="s">
        <v>5911</v>
      </c>
      <c r="C2848" s="2" t="s">
        <v>35</v>
      </c>
      <c r="D2848" s="2" t="s">
        <v>36</v>
      </c>
      <c r="E2848" s="5">
        <v>-29012</v>
      </c>
      <c r="F2848" s="3" t="s">
        <v>72</v>
      </c>
      <c r="G2848" s="3" t="s">
        <v>661</v>
      </c>
      <c r="H2848" s="2" t="s">
        <v>21</v>
      </c>
      <c r="I2848" s="2" t="s">
        <v>5918</v>
      </c>
      <c r="J2848" s="3" t="str">
        <f>HYPERLINK("https://www.boe.es/gazeta/dias/1820/07/25/pdfs/GGB-1820-27.pdf#page=2","Abrir facsímil")</f>
        <v>Abrir facsímil</v>
      </c>
      <c r="K2848" s="3" t="s">
        <v>23</v>
      </c>
    </row>
    <row r="2849" spans="1:11" ht="42" customHeight="1">
      <c r="A2849" s="2" t="s">
        <v>5911</v>
      </c>
      <c r="B2849" s="2" t="s">
        <v>5911</v>
      </c>
      <c r="C2849" s="2" t="s">
        <v>17</v>
      </c>
      <c r="D2849" s="2" t="s">
        <v>18</v>
      </c>
      <c r="E2849" s="5">
        <v>-29005</v>
      </c>
      <c r="F2849" s="3" t="s">
        <v>1656</v>
      </c>
      <c r="G2849" s="3" t="s">
        <v>43</v>
      </c>
      <c r="H2849" s="2" t="s">
        <v>21</v>
      </c>
      <c r="I2849" s="2" t="s">
        <v>5919</v>
      </c>
      <c r="J2849" s="3" t="str">
        <f>HYPERLINK("https://www.boe.es/gazeta/dias/1820/08/01/pdfs/GGB-1820-34.pdf#page=2","Abrir facsímil")</f>
        <v>Abrir facsímil</v>
      </c>
      <c r="K2849" s="3" t="s">
        <v>23</v>
      </c>
    </row>
    <row r="2850" spans="1:11" ht="42" customHeight="1">
      <c r="A2850" s="2" t="s">
        <v>5920</v>
      </c>
      <c r="B2850" s="2" t="s">
        <v>5920</v>
      </c>
      <c r="C2850" s="2" t="s">
        <v>17</v>
      </c>
      <c r="D2850" s="2" t="s">
        <v>18</v>
      </c>
      <c r="E2850" s="5">
        <v>-28995</v>
      </c>
      <c r="F2850" s="3" t="s">
        <v>672</v>
      </c>
      <c r="G2850" s="3" t="s">
        <v>62</v>
      </c>
      <c r="H2850" s="2" t="s">
        <v>21</v>
      </c>
      <c r="I2850" s="2" t="s">
        <v>5921</v>
      </c>
      <c r="J2850" s="3" t="str">
        <f>HYPERLINK("https://www.boe.es/gazeta/dias/1820/08/11/pdfs/GGB-1820-44.pdf#page=3","Abrir facsímil")</f>
        <v>Abrir facsímil</v>
      </c>
      <c r="K2850" s="3" t="s">
        <v>23</v>
      </c>
    </row>
    <row r="2851" spans="1:11" ht="42" customHeight="1">
      <c r="A2851" s="2" t="s">
        <v>5911</v>
      </c>
      <c r="B2851" s="2" t="s">
        <v>5911</v>
      </c>
      <c r="C2851" s="2" t="s">
        <v>107</v>
      </c>
      <c r="D2851" s="2" t="s">
        <v>18</v>
      </c>
      <c r="E2851" s="5">
        <v>-28995</v>
      </c>
      <c r="F2851" s="3" t="s">
        <v>672</v>
      </c>
      <c r="G2851" s="3" t="s">
        <v>20</v>
      </c>
      <c r="H2851" s="2" t="s">
        <v>21</v>
      </c>
      <c r="I2851" s="2" t="s">
        <v>5922</v>
      </c>
      <c r="J2851" s="3" t="str">
        <f>HYPERLINK("https://www.boe.es/gazeta/dias/1820/08/11/pdfs/GGB-1820-44.pdf#page=4","Abrir facsímil")</f>
        <v>Abrir facsímil</v>
      </c>
      <c r="K2851" s="3" t="s">
        <v>23</v>
      </c>
    </row>
    <row r="2852" spans="1:11" ht="42" customHeight="1">
      <c r="A2852" s="2" t="s">
        <v>5911</v>
      </c>
      <c r="B2852" s="2" t="s">
        <v>5911</v>
      </c>
      <c r="C2852" s="2" t="s">
        <v>35</v>
      </c>
      <c r="D2852" s="2" t="s">
        <v>36</v>
      </c>
      <c r="E2852" s="5">
        <v>-28994</v>
      </c>
      <c r="F2852" s="3" t="s">
        <v>1612</v>
      </c>
      <c r="G2852" s="3" t="s">
        <v>20</v>
      </c>
      <c r="H2852" s="2" t="s">
        <v>21</v>
      </c>
      <c r="I2852" s="2" t="s">
        <v>5923</v>
      </c>
      <c r="J2852" s="3" t="str">
        <f>HYPERLINK("https://www.boe.es/gazeta/dias/1820/08/12/pdfs/GGB-1820-45.pdf#page=4","Abrir facsímil")</f>
        <v>Abrir facsímil</v>
      </c>
      <c r="K2852" s="3" t="s">
        <v>23</v>
      </c>
    </row>
    <row r="2853" spans="1:11" ht="42" customHeight="1">
      <c r="A2853" s="2" t="s">
        <v>5911</v>
      </c>
      <c r="B2853" s="2" t="s">
        <v>5911</v>
      </c>
      <c r="C2853" s="2" t="s">
        <v>17</v>
      </c>
      <c r="D2853" s="2" t="s">
        <v>18</v>
      </c>
      <c r="E2853" s="5">
        <v>-28992</v>
      </c>
      <c r="F2853" s="3" t="s">
        <v>587</v>
      </c>
      <c r="G2853" s="3" t="s">
        <v>62</v>
      </c>
      <c r="H2853" s="2" t="s">
        <v>21</v>
      </c>
      <c r="I2853" s="2" t="s">
        <v>5924</v>
      </c>
      <c r="J2853" s="3" t="str">
        <f>HYPERLINK("https://www.boe.es/gazeta/dias/1820/08/14/pdfs/GGB-1820-47.pdf#page=3","Abrir facsímil")</f>
        <v>Abrir facsímil</v>
      </c>
      <c r="K2853" s="3" t="s">
        <v>23</v>
      </c>
    </row>
    <row r="2854" spans="1:11" ht="42" customHeight="1">
      <c r="A2854" s="2" t="s">
        <v>5920</v>
      </c>
      <c r="B2854" s="2" t="s">
        <v>5920</v>
      </c>
      <c r="C2854" s="2" t="s">
        <v>74</v>
      </c>
      <c r="D2854" s="2" t="s">
        <v>18</v>
      </c>
      <c r="E2854" s="5">
        <v>-28989</v>
      </c>
      <c r="F2854" s="3" t="s">
        <v>809</v>
      </c>
      <c r="G2854" s="3" t="s">
        <v>62</v>
      </c>
      <c r="H2854" s="2" t="s">
        <v>21</v>
      </c>
      <c r="I2854" s="2" t="s">
        <v>5925</v>
      </c>
      <c r="J2854" s="3" t="str">
        <f>HYPERLINK("https://www.boe.es/gazeta/dias/1820/08/17/pdfs/GGB-1820-50.pdf#page=3","Abrir facsímil")</f>
        <v>Abrir facsímil</v>
      </c>
      <c r="K2854" s="3" t="s">
        <v>23</v>
      </c>
    </row>
    <row r="2855" spans="1:11" ht="42" customHeight="1">
      <c r="A2855" s="2" t="s">
        <v>5911</v>
      </c>
      <c r="B2855" s="2" t="s">
        <v>5911</v>
      </c>
      <c r="C2855" s="2" t="s">
        <v>111</v>
      </c>
      <c r="D2855" s="2" t="s">
        <v>18</v>
      </c>
      <c r="E2855" s="5">
        <v>-28983</v>
      </c>
      <c r="F2855" s="3" t="s">
        <v>682</v>
      </c>
      <c r="G2855" s="3" t="s">
        <v>62</v>
      </c>
      <c r="H2855" s="2" t="s">
        <v>21</v>
      </c>
      <c r="I2855" s="2" t="s">
        <v>5926</v>
      </c>
      <c r="J2855" s="3" t="str">
        <f>HYPERLINK("https://www.boe.es/gazeta/dias/1820/08/23/pdfs/GGB-1820-56.pdf#page=3","Abrir facsímil")</f>
        <v>Abrir facsímil</v>
      </c>
      <c r="K2855" s="3" t="s">
        <v>23</v>
      </c>
    </row>
    <row r="2856" spans="1:11" ht="42" customHeight="1">
      <c r="A2856" s="2" t="s">
        <v>5911</v>
      </c>
      <c r="B2856" s="2" t="s">
        <v>5911</v>
      </c>
      <c r="C2856" s="2" t="s">
        <v>26</v>
      </c>
      <c r="D2856" s="2" t="s">
        <v>27</v>
      </c>
      <c r="E2856" s="5">
        <v>-28982</v>
      </c>
      <c r="F2856" s="3" t="s">
        <v>173</v>
      </c>
      <c r="G2856" s="3" t="s">
        <v>62</v>
      </c>
      <c r="H2856" s="2" t="s">
        <v>21</v>
      </c>
      <c r="I2856" s="2" t="s">
        <v>5927</v>
      </c>
      <c r="J2856" s="3" t="str">
        <f>HYPERLINK("https://www.boe.es/gazeta/dias/1820/08/24/pdfs/GGB-1820-57.pdf#page=3","Abrir facsímil")</f>
        <v>Abrir facsímil</v>
      </c>
      <c r="K2856" s="3" t="s">
        <v>23</v>
      </c>
    </row>
    <row r="2857" spans="1:11" ht="42" customHeight="1">
      <c r="A2857" s="2" t="s">
        <v>5911</v>
      </c>
      <c r="B2857" s="2" t="s">
        <v>5911</v>
      </c>
      <c r="C2857" s="2" t="s">
        <v>111</v>
      </c>
      <c r="D2857" s="2" t="s">
        <v>18</v>
      </c>
      <c r="E2857" s="5">
        <v>-28969</v>
      </c>
      <c r="F2857" s="3" t="s">
        <v>225</v>
      </c>
      <c r="G2857" s="3" t="s">
        <v>20</v>
      </c>
      <c r="H2857" s="2" t="s">
        <v>21</v>
      </c>
      <c r="I2857" s="2" t="s">
        <v>5928</v>
      </c>
      <c r="J2857" s="3" t="str">
        <f>HYPERLINK("https://www.boe.es/gazeta/dias/1820/09/06/pdfs/GGB-1820-70.pdf#page=4","Abrir facsímil")</f>
        <v>Abrir facsímil</v>
      </c>
      <c r="K2857" s="3" t="s">
        <v>23</v>
      </c>
    </row>
    <row r="2858" spans="1:11" ht="42" customHeight="1">
      <c r="A2858" s="2" t="s">
        <v>5911</v>
      </c>
      <c r="B2858" s="2" t="s">
        <v>5911</v>
      </c>
      <c r="C2858" s="2" t="s">
        <v>74</v>
      </c>
      <c r="D2858" s="2" t="s">
        <v>18</v>
      </c>
      <c r="E2858" s="5">
        <v>-28964</v>
      </c>
      <c r="F2858" s="3" t="s">
        <v>240</v>
      </c>
      <c r="G2858" s="3" t="s">
        <v>43</v>
      </c>
      <c r="H2858" s="2" t="s">
        <v>21</v>
      </c>
      <c r="I2858" s="2" t="s">
        <v>5929</v>
      </c>
      <c r="J2858" s="3" t="str">
        <f>HYPERLINK("https://www.boe.es/gazeta/dias/1820/09/11/pdfs/GGB-1820-75.pdf#page=2","Abrir facsímil")</f>
        <v>Abrir facsímil</v>
      </c>
      <c r="K2858" s="3" t="s">
        <v>23</v>
      </c>
    </row>
    <row r="2859" spans="1:11" ht="42" customHeight="1">
      <c r="A2859" s="2" t="s">
        <v>5911</v>
      </c>
      <c r="B2859" s="2" t="s">
        <v>5911</v>
      </c>
      <c r="C2859" s="2" t="s">
        <v>35</v>
      </c>
      <c r="D2859" s="2" t="s">
        <v>36</v>
      </c>
      <c r="E2859" s="5">
        <v>-28961</v>
      </c>
      <c r="F2859" s="3" t="s">
        <v>242</v>
      </c>
      <c r="G2859" s="3" t="s">
        <v>62</v>
      </c>
      <c r="H2859" s="2" t="s">
        <v>21</v>
      </c>
      <c r="I2859" s="2" t="s">
        <v>5930</v>
      </c>
      <c r="J2859" s="3" t="str">
        <f>HYPERLINK("https://www.boe.es/gazeta/dias/1820/09/14/pdfs/GGB-1820-78.pdf#page=3","Abrir facsímil")</f>
        <v>Abrir facsímil</v>
      </c>
      <c r="K2859" s="3" t="s">
        <v>23</v>
      </c>
    </row>
    <row r="2860" spans="1:11" ht="42" customHeight="1">
      <c r="A2860" s="2" t="s">
        <v>5911</v>
      </c>
      <c r="B2860" s="2" t="s">
        <v>5911</v>
      </c>
      <c r="C2860" s="2" t="s">
        <v>26</v>
      </c>
      <c r="D2860" s="2" t="s">
        <v>27</v>
      </c>
      <c r="E2860" s="5">
        <v>-28956</v>
      </c>
      <c r="F2860" s="3" t="s">
        <v>190</v>
      </c>
      <c r="G2860" s="3" t="s">
        <v>43</v>
      </c>
      <c r="H2860" s="2" t="s">
        <v>21</v>
      </c>
      <c r="I2860" s="2" t="s">
        <v>5931</v>
      </c>
      <c r="J2860" s="3" t="str">
        <f>HYPERLINK("https://www.boe.es/gazeta/dias/1820/09/19/pdfs/GGB-1820-83.pdf#page=2","Abrir facsímil")</f>
        <v>Abrir facsímil</v>
      </c>
      <c r="K2860" s="3" t="s">
        <v>23</v>
      </c>
    </row>
    <row r="2861" spans="1:11" ht="42" customHeight="1">
      <c r="A2861" s="2" t="s">
        <v>5911</v>
      </c>
      <c r="B2861" s="2" t="s">
        <v>5911</v>
      </c>
      <c r="C2861" s="2" t="s">
        <v>74</v>
      </c>
      <c r="D2861" s="2" t="s">
        <v>18</v>
      </c>
      <c r="E2861" s="5">
        <v>-28956</v>
      </c>
      <c r="F2861" s="3" t="s">
        <v>190</v>
      </c>
      <c r="G2861" s="3" t="s">
        <v>62</v>
      </c>
      <c r="H2861" s="2" t="s">
        <v>21</v>
      </c>
      <c r="I2861" s="2" t="s">
        <v>5932</v>
      </c>
      <c r="J2861" s="3" t="str">
        <f>HYPERLINK("https://www.boe.es/gazeta/dias/1820/09/19/pdfs/GGB-1820-83.pdf#page=3","Abrir facsímil")</f>
        <v>Abrir facsímil</v>
      </c>
      <c r="K2861" s="3" t="s">
        <v>23</v>
      </c>
    </row>
    <row r="2862" spans="1:11" ht="42" customHeight="1">
      <c r="A2862" s="2" t="s">
        <v>5911</v>
      </c>
      <c r="B2862" s="2" t="s">
        <v>5911</v>
      </c>
      <c r="C2862" s="2" t="s">
        <v>74</v>
      </c>
      <c r="D2862" s="2" t="s">
        <v>18</v>
      </c>
      <c r="E2862" s="5">
        <v>-28953</v>
      </c>
      <c r="F2862" s="3" t="s">
        <v>367</v>
      </c>
      <c r="G2862" s="3" t="s">
        <v>2925</v>
      </c>
      <c r="H2862" s="2" t="s">
        <v>21</v>
      </c>
      <c r="I2862" s="2" t="s">
        <v>5933</v>
      </c>
      <c r="J2862" s="3" t="str">
        <f>HYPERLINK("https://www.boe.es/gazeta/dias/1820/09/22/pdfs/GGB-1820-86.pdf#page=2","Abrir facsímil")</f>
        <v>Abrir facsímil</v>
      </c>
      <c r="K2862" s="3" t="s">
        <v>23</v>
      </c>
    </row>
    <row r="2863" spans="1:11" ht="42" customHeight="1">
      <c r="A2863" s="2" t="s">
        <v>5911</v>
      </c>
      <c r="B2863" s="2" t="s">
        <v>5911</v>
      </c>
      <c r="C2863" s="2" t="s">
        <v>74</v>
      </c>
      <c r="D2863" s="2" t="s">
        <v>18</v>
      </c>
      <c r="E2863" s="5">
        <v>-28952</v>
      </c>
      <c r="F2863" s="3" t="s">
        <v>370</v>
      </c>
      <c r="G2863" s="3" t="s">
        <v>62</v>
      </c>
      <c r="H2863" s="2" t="s">
        <v>21</v>
      </c>
      <c r="I2863" s="2" t="s">
        <v>5934</v>
      </c>
      <c r="J2863" s="3" t="str">
        <f>HYPERLINK("https://www.boe.es/gazeta/dias/1820/09/23/pdfs/GGB-1820-87.pdf#page=3","Abrir facsímil")</f>
        <v>Abrir facsímil</v>
      </c>
      <c r="K2863" s="3" t="s">
        <v>23</v>
      </c>
    </row>
    <row r="2864" spans="1:11" ht="42" customHeight="1">
      <c r="A2864" s="2" t="s">
        <v>5911</v>
      </c>
      <c r="B2864" s="2" t="s">
        <v>5911</v>
      </c>
      <c r="C2864" s="2" t="s">
        <v>111</v>
      </c>
      <c r="D2864" s="2" t="s">
        <v>18</v>
      </c>
      <c r="E2864" s="5">
        <v>-28943</v>
      </c>
      <c r="F2864" s="3" t="s">
        <v>1403</v>
      </c>
      <c r="G2864" s="3" t="s">
        <v>43</v>
      </c>
      <c r="H2864" s="2" t="s">
        <v>21</v>
      </c>
      <c r="I2864" s="2" t="s">
        <v>5935</v>
      </c>
      <c r="J2864" s="3" t="str">
        <f>HYPERLINK("https://www.boe.es/gazeta/dias/1820/10/02/pdfs/GGB-1820-96.pdf#page=2","Abrir facsímil")</f>
        <v>Abrir facsímil</v>
      </c>
      <c r="K2864" s="3" t="s">
        <v>23</v>
      </c>
    </row>
    <row r="2865" spans="1:11" ht="42" customHeight="1">
      <c r="A2865" s="2" t="s">
        <v>5920</v>
      </c>
      <c r="B2865" s="2" t="s">
        <v>5920</v>
      </c>
      <c r="C2865" s="2" t="s">
        <v>293</v>
      </c>
      <c r="D2865" s="2" t="s">
        <v>18</v>
      </c>
      <c r="E2865" s="5">
        <v>-28942</v>
      </c>
      <c r="F2865" s="3" t="s">
        <v>244</v>
      </c>
      <c r="G2865" s="3" t="s">
        <v>62</v>
      </c>
      <c r="H2865" s="2" t="s">
        <v>21</v>
      </c>
      <c r="I2865" s="2" t="s">
        <v>5936</v>
      </c>
      <c r="J2865" s="3" t="str">
        <f>HYPERLINK("https://www.boe.es/gazeta/dias/1820/10/03/pdfs/GGB-1820-97.pdf#page=3","Abrir facsímil")</f>
        <v>Abrir facsímil</v>
      </c>
      <c r="K2865" s="3" t="s">
        <v>23</v>
      </c>
    </row>
    <row r="2866" spans="1:11" ht="42" customHeight="1">
      <c r="A2866" s="2" t="s">
        <v>5911</v>
      </c>
      <c r="B2866" s="2" t="s">
        <v>5911</v>
      </c>
      <c r="C2866" s="2" t="s">
        <v>35</v>
      </c>
      <c r="D2866" s="2" t="s">
        <v>36</v>
      </c>
      <c r="E2866" s="5">
        <v>-28938</v>
      </c>
      <c r="F2866" s="3" t="s">
        <v>716</v>
      </c>
      <c r="G2866" s="3" t="s">
        <v>717</v>
      </c>
      <c r="H2866" s="2" t="s">
        <v>21</v>
      </c>
      <c r="I2866" s="2" t="s">
        <v>5937</v>
      </c>
      <c r="J2866" s="3" t="str">
        <f>HYPERLINK("https://www.boe.es/gazeta/dias/1820/10/07/pdfs/GGB-1820-101.pdf#page=2","Abrir facsímil")</f>
        <v>Abrir facsímil</v>
      </c>
      <c r="K2866" s="3" t="s">
        <v>23</v>
      </c>
    </row>
    <row r="2867" spans="1:11" ht="42" customHeight="1">
      <c r="A2867" s="2" t="s">
        <v>5911</v>
      </c>
      <c r="B2867" s="2" t="s">
        <v>5911</v>
      </c>
      <c r="C2867" s="2" t="s">
        <v>74</v>
      </c>
      <c r="D2867" s="2" t="s">
        <v>18</v>
      </c>
      <c r="E2867" s="5">
        <v>-28936</v>
      </c>
      <c r="F2867" s="3" t="s">
        <v>167</v>
      </c>
      <c r="G2867" s="3" t="s">
        <v>62</v>
      </c>
      <c r="H2867" s="2" t="s">
        <v>21</v>
      </c>
      <c r="I2867" s="2" t="s">
        <v>5938</v>
      </c>
      <c r="J2867" s="3" t="str">
        <f>HYPERLINK("https://www.boe.es/gazeta/dias/1820/10/09/pdfs/GGB-1820-103.pdf#page=3","Abrir facsímil")</f>
        <v>Abrir facsímil</v>
      </c>
      <c r="K2867" s="3" t="s">
        <v>23</v>
      </c>
    </row>
    <row r="2868" spans="1:11" ht="42" customHeight="1">
      <c r="A2868" s="2" t="s">
        <v>5911</v>
      </c>
      <c r="B2868" s="2" t="s">
        <v>5911</v>
      </c>
      <c r="C2868" s="2" t="s">
        <v>26</v>
      </c>
      <c r="D2868" s="2" t="s">
        <v>27</v>
      </c>
      <c r="E2868" s="5">
        <v>-28925</v>
      </c>
      <c r="F2868" s="3" t="s">
        <v>228</v>
      </c>
      <c r="G2868" s="3" t="s">
        <v>62</v>
      </c>
      <c r="H2868" s="2" t="s">
        <v>21</v>
      </c>
      <c r="I2868" s="2" t="s">
        <v>5939</v>
      </c>
      <c r="J2868" s="3" t="str">
        <f>HYPERLINK("https://www.boe.es/gazeta/dias/1820/10/20/pdfs/GGB-1820-114.pdf#page=3","Abrir facsímil")</f>
        <v>Abrir facsímil</v>
      </c>
      <c r="K2868" s="3" t="s">
        <v>23</v>
      </c>
    </row>
    <row r="2869" spans="1:11" ht="42" customHeight="1">
      <c r="A2869" s="2" t="s">
        <v>5911</v>
      </c>
      <c r="B2869" s="2" t="s">
        <v>5911</v>
      </c>
      <c r="C2869" s="2" t="s">
        <v>74</v>
      </c>
      <c r="D2869" s="2" t="s">
        <v>18</v>
      </c>
      <c r="E2869" s="5">
        <v>-28923</v>
      </c>
      <c r="F2869" s="3" t="s">
        <v>648</v>
      </c>
      <c r="G2869" s="3" t="s">
        <v>43</v>
      </c>
      <c r="H2869" s="2" t="s">
        <v>21</v>
      </c>
      <c r="I2869" s="2" t="s">
        <v>5940</v>
      </c>
      <c r="J2869" s="3" t="str">
        <f>HYPERLINK("https://www.boe.es/gazeta/dias/1820/10/22/pdfs/GGB-1820-116.pdf#page=2","Abrir facsímil")</f>
        <v>Abrir facsímil</v>
      </c>
      <c r="K2869" s="3" t="s">
        <v>23</v>
      </c>
    </row>
    <row r="2870" spans="1:11" ht="42" customHeight="1">
      <c r="A2870" s="2" t="s">
        <v>5911</v>
      </c>
      <c r="B2870" s="2" t="s">
        <v>5911</v>
      </c>
      <c r="C2870" s="2" t="s">
        <v>107</v>
      </c>
      <c r="D2870" s="2" t="s">
        <v>18</v>
      </c>
      <c r="E2870" s="5">
        <v>-28920</v>
      </c>
      <c r="F2870" s="3" t="s">
        <v>399</v>
      </c>
      <c r="G2870" s="3" t="s">
        <v>62</v>
      </c>
      <c r="H2870" s="2" t="s">
        <v>21</v>
      </c>
      <c r="I2870" s="2" t="s">
        <v>5941</v>
      </c>
      <c r="J2870" s="3" t="str">
        <f>HYPERLINK("https://www.boe.es/gazeta/dias/1820/10/25/pdfs/GGB-1820-119.pdf#page=3","Abrir facsímil")</f>
        <v>Abrir facsímil</v>
      </c>
      <c r="K2870" s="3" t="s">
        <v>23</v>
      </c>
    </row>
    <row r="2871" spans="1:11" ht="42" customHeight="1">
      <c r="A2871" s="2" t="s">
        <v>5942</v>
      </c>
      <c r="B2871" s="2" t="s">
        <v>5943</v>
      </c>
      <c r="C2871" s="2" t="s">
        <v>35</v>
      </c>
      <c r="D2871" s="2" t="s">
        <v>36</v>
      </c>
      <c r="E2871" s="5">
        <v>-28988</v>
      </c>
      <c r="F2871" s="3" t="s">
        <v>618</v>
      </c>
      <c r="G2871" s="3" t="s">
        <v>20</v>
      </c>
      <c r="H2871" s="2" t="s">
        <v>21</v>
      </c>
      <c r="I2871" s="2" t="s">
        <v>5944</v>
      </c>
      <c r="J2871" s="3" t="str">
        <f>HYPERLINK("https://www.boe.es/gazeta/dias/1820/08/18/pdfs/GGB-1820-51.pdf#page=4","Abrir facsímil")</f>
        <v>Abrir facsímil</v>
      </c>
      <c r="K2871" s="3" t="s">
        <v>23</v>
      </c>
    </row>
    <row r="2872" spans="1:11" ht="42" customHeight="1">
      <c r="A2872" s="2" t="s">
        <v>5945</v>
      </c>
      <c r="B2872" s="2" t="s">
        <v>5946</v>
      </c>
      <c r="C2872" s="2" t="s">
        <v>26</v>
      </c>
      <c r="D2872" s="2" t="s">
        <v>27</v>
      </c>
      <c r="E2872" s="5">
        <v>-29148</v>
      </c>
      <c r="F2872" s="3" t="s">
        <v>493</v>
      </c>
      <c r="G2872" s="3" t="s">
        <v>295</v>
      </c>
      <c r="H2872" s="2" t="s">
        <v>21</v>
      </c>
      <c r="I2872" s="2" t="s">
        <v>5947</v>
      </c>
      <c r="J2872" s="3" t="str">
        <f>HYPERLINK("https://www.boe.es/gazeta/dias/1820/03/11/pdfs/GMD-1820-36.pdf#page=8","Abrir facsímil")</f>
        <v>Abrir facsímil</v>
      </c>
      <c r="K2872" s="3" t="s">
        <v>23</v>
      </c>
    </row>
    <row r="2873" spans="1:11" ht="42" customHeight="1">
      <c r="A2873" s="2" t="s">
        <v>5948</v>
      </c>
      <c r="B2873" s="2" t="s">
        <v>5948</v>
      </c>
      <c r="C2873" s="2" t="s">
        <v>74</v>
      </c>
      <c r="D2873" s="2" t="s">
        <v>18</v>
      </c>
      <c r="E2873" s="5">
        <v>-29010</v>
      </c>
      <c r="F2873" s="3" t="s">
        <v>664</v>
      </c>
      <c r="G2873" s="3" t="s">
        <v>773</v>
      </c>
      <c r="H2873" s="2" t="s">
        <v>21</v>
      </c>
      <c r="I2873" s="2" t="s">
        <v>5949</v>
      </c>
      <c r="J2873" s="3" t="str">
        <f>HYPERLINK("https://www.boe.es/gazeta/dias/1820/07/27/pdfs/GGB-1820-29.pdf#page=4","Abrir facsímil")</f>
        <v>Abrir facsímil</v>
      </c>
      <c r="K2873" s="3" t="s">
        <v>23</v>
      </c>
    </row>
    <row r="2874" spans="1:11" ht="42" customHeight="1">
      <c r="A2874" s="2" t="s">
        <v>5950</v>
      </c>
      <c r="B2874" s="2" t="s">
        <v>5951</v>
      </c>
      <c r="C2874" s="2" t="s">
        <v>17</v>
      </c>
      <c r="D2874" s="2" t="s">
        <v>18</v>
      </c>
      <c r="E2874" s="5">
        <v>-29011</v>
      </c>
      <c r="F2874" s="3" t="s">
        <v>338</v>
      </c>
      <c r="G2874" s="3" t="s">
        <v>43</v>
      </c>
      <c r="H2874" s="2" t="s">
        <v>21</v>
      </c>
      <c r="I2874" s="2" t="s">
        <v>5952</v>
      </c>
      <c r="J2874" s="3" t="str">
        <f>HYPERLINK("https://www.boe.es/gazeta/dias/1820/07/26/pdfs/GGB-1820-28.pdf#page=2","Abrir facsímil")</f>
        <v>Abrir facsímil</v>
      </c>
      <c r="K2874" s="3" t="s">
        <v>23</v>
      </c>
    </row>
    <row r="2875" spans="1:11" ht="42" customHeight="1">
      <c r="A2875" s="2" t="s">
        <v>5953</v>
      </c>
      <c r="B2875" s="2" t="s">
        <v>5953</v>
      </c>
      <c r="C2875" s="2" t="s">
        <v>26</v>
      </c>
      <c r="D2875" s="2" t="s">
        <v>27</v>
      </c>
      <c r="E2875" s="5">
        <v>-28910</v>
      </c>
      <c r="F2875" s="3" t="s">
        <v>746</v>
      </c>
      <c r="G2875" s="3" t="s">
        <v>128</v>
      </c>
      <c r="H2875" s="2" t="s">
        <v>21</v>
      </c>
      <c r="I2875" s="2" t="s">
        <v>5954</v>
      </c>
      <c r="J2875" s="3" t="str">
        <f>HYPERLINK("https://www.boe.es/gazeta/dias/1820/11/04/pdfs/GGB-1820-129.pdf#page=1","Abrir facsímil")</f>
        <v>Abrir facsímil</v>
      </c>
      <c r="K2875" s="3" t="s">
        <v>23</v>
      </c>
    </row>
    <row r="2876" spans="1:11" ht="42" customHeight="1">
      <c r="A2876" s="2" t="s">
        <v>5953</v>
      </c>
      <c r="B2876" s="2" t="s">
        <v>5953</v>
      </c>
      <c r="C2876" s="2" t="s">
        <v>17</v>
      </c>
      <c r="D2876" s="2" t="s">
        <v>18</v>
      </c>
      <c r="E2876" s="5">
        <v>-28902</v>
      </c>
      <c r="F2876" s="3" t="s">
        <v>440</v>
      </c>
      <c r="G2876" s="3" t="s">
        <v>1080</v>
      </c>
      <c r="H2876" s="2" t="s">
        <v>21</v>
      </c>
      <c r="I2876" s="2" t="s">
        <v>5955</v>
      </c>
      <c r="J2876" s="3" t="str">
        <f>HYPERLINK("https://www.boe.es/gazeta/dias/1820/11/12/pdfs/GGB-1820-138.pdf#page=1","Abrir facsímil")</f>
        <v>Abrir facsímil</v>
      </c>
      <c r="K2876" s="3" t="s">
        <v>23</v>
      </c>
    </row>
    <row r="2877" spans="1:11" ht="42" customHeight="1">
      <c r="A2877" s="2" t="s">
        <v>5956</v>
      </c>
      <c r="B2877" s="2" t="s">
        <v>5956</v>
      </c>
      <c r="C2877" s="2" t="s">
        <v>47</v>
      </c>
      <c r="D2877" s="2" t="s">
        <v>18</v>
      </c>
      <c r="E2877" s="5">
        <v>-28962</v>
      </c>
      <c r="F2877" s="3" t="s">
        <v>90</v>
      </c>
      <c r="G2877" s="3" t="s">
        <v>62</v>
      </c>
      <c r="H2877" s="2" t="s">
        <v>21</v>
      </c>
      <c r="I2877" s="2" t="s">
        <v>5957</v>
      </c>
      <c r="J2877" s="3" t="str">
        <f>HYPERLINK("https://www.boe.es/gazeta/dias/1820/09/13/pdfs/GGB-1820-77.pdf#page=3","Abrir facsímil")</f>
        <v>Abrir facsímil</v>
      </c>
      <c r="K2877" s="3" t="s">
        <v>23</v>
      </c>
    </row>
    <row r="2878" spans="1:11" ht="42" customHeight="1">
      <c r="A2878" s="2" t="s">
        <v>5958</v>
      </c>
      <c r="B2878" s="2" t="s">
        <v>5958</v>
      </c>
      <c r="C2878" s="2" t="s">
        <v>26</v>
      </c>
      <c r="D2878" s="2" t="s">
        <v>27</v>
      </c>
      <c r="E2878" s="5">
        <v>-29003</v>
      </c>
      <c r="F2878" s="3" t="s">
        <v>340</v>
      </c>
      <c r="G2878" s="3" t="s">
        <v>128</v>
      </c>
      <c r="H2878" s="2" t="s">
        <v>21</v>
      </c>
      <c r="I2878" s="2" t="s">
        <v>5959</v>
      </c>
      <c r="J2878" s="3" t="str">
        <f>HYPERLINK("https://www.boe.es/gazeta/dias/1820/08/03/pdfs/GGB-1820-36.pdf#page=1","Abrir facsímil")</f>
        <v>Abrir facsímil</v>
      </c>
      <c r="K2878" s="3" t="s">
        <v>23</v>
      </c>
    </row>
    <row r="2879" spans="1:11" ht="42" customHeight="1">
      <c r="A2879" s="2" t="s">
        <v>5960</v>
      </c>
      <c r="B2879" s="2" t="s">
        <v>5960</v>
      </c>
      <c r="C2879" s="2" t="s">
        <v>17</v>
      </c>
      <c r="D2879" s="2" t="s">
        <v>18</v>
      </c>
      <c r="E2879" s="5">
        <v>-29187</v>
      </c>
      <c r="F2879" s="3" t="s">
        <v>859</v>
      </c>
      <c r="G2879" s="3" t="s">
        <v>5471</v>
      </c>
      <c r="H2879" s="2" t="s">
        <v>21</v>
      </c>
      <c r="I2879" s="2" t="s">
        <v>5961</v>
      </c>
      <c r="J2879" s="3" t="str">
        <f>HYPERLINK("https://www.boe.es/gazeta/dias/1820/02/01/pdfs/GMD-1820-14.pdf#page=4","Abrir facsímil")</f>
        <v>Abrir facsímil</v>
      </c>
      <c r="K2879" s="3" t="s">
        <v>23</v>
      </c>
    </row>
    <row r="2880" spans="1:11" ht="42" customHeight="1">
      <c r="A2880" s="2" t="s">
        <v>5962</v>
      </c>
      <c r="B2880" s="2" t="s">
        <v>5963</v>
      </c>
      <c r="C2880" s="2" t="s">
        <v>111</v>
      </c>
      <c r="D2880" s="2" t="s">
        <v>18</v>
      </c>
      <c r="E2880" s="5">
        <v>-29015</v>
      </c>
      <c r="F2880" s="3" t="s">
        <v>359</v>
      </c>
      <c r="G2880" s="3" t="s">
        <v>20</v>
      </c>
      <c r="H2880" s="2" t="s">
        <v>21</v>
      </c>
      <c r="I2880" s="2" t="s">
        <v>5964</v>
      </c>
      <c r="J2880" s="3" t="str">
        <f>HYPERLINK("https://www.boe.es/gazeta/dias/1820/07/22/pdfs/GGB-1820-24.pdf#page=4","Abrir facsímil")</f>
        <v>Abrir facsímil</v>
      </c>
      <c r="K2880" s="3" t="s">
        <v>23</v>
      </c>
    </row>
    <row r="2881" spans="1:11" ht="42" customHeight="1">
      <c r="A2881" s="2" t="s">
        <v>5965</v>
      </c>
      <c r="B2881" s="2" t="s">
        <v>5966</v>
      </c>
      <c r="C2881" s="2" t="s">
        <v>17</v>
      </c>
      <c r="D2881" s="2" t="s">
        <v>18</v>
      </c>
      <c r="E2881" s="5">
        <v>-28965</v>
      </c>
      <c r="F2881" s="3" t="s">
        <v>1520</v>
      </c>
      <c r="G2881" s="3" t="s">
        <v>20</v>
      </c>
      <c r="H2881" s="2" t="s">
        <v>21</v>
      </c>
      <c r="I2881" s="2" t="s">
        <v>5967</v>
      </c>
      <c r="J2881" s="3" t="str">
        <f>HYPERLINK("https://www.boe.es/gazeta/dias/1820/09/10/pdfs/GGB-1820-74.pdf#page=4","Abrir facsímil")</f>
        <v>Abrir facsímil</v>
      </c>
      <c r="K2881" s="3" t="s">
        <v>23</v>
      </c>
    </row>
    <row r="2882" spans="1:11" ht="42" customHeight="1">
      <c r="A2882" s="2" t="s">
        <v>5968</v>
      </c>
      <c r="B2882" s="2" t="s">
        <v>5969</v>
      </c>
      <c r="C2882" s="2" t="s">
        <v>26</v>
      </c>
      <c r="D2882" s="2" t="s">
        <v>27</v>
      </c>
      <c r="E2882" s="5">
        <v>-29113</v>
      </c>
      <c r="F2882" s="3" t="s">
        <v>501</v>
      </c>
      <c r="G2882" s="3" t="s">
        <v>295</v>
      </c>
      <c r="H2882" s="2" t="s">
        <v>21</v>
      </c>
      <c r="I2882" s="2" t="s">
        <v>5970</v>
      </c>
      <c r="J2882" s="3" t="str">
        <f>HYPERLINK("https://www.boe.es/gazeta/dias/1820/04/15/pdfs/GMD-1820-66.pdf#page=8","Abrir facsímil")</f>
        <v>Abrir facsímil</v>
      </c>
      <c r="K2882" s="3" t="s">
        <v>23</v>
      </c>
    </row>
    <row r="2883" spans="1:11" ht="42" customHeight="1">
      <c r="A2883" s="2" t="s">
        <v>5971</v>
      </c>
      <c r="B2883" s="2" t="s">
        <v>5972</v>
      </c>
      <c r="C2883" s="2" t="s">
        <v>26</v>
      </c>
      <c r="D2883" s="2" t="s">
        <v>27</v>
      </c>
      <c r="E2883" s="5">
        <v>-28999</v>
      </c>
      <c r="F2883" s="3" t="s">
        <v>342</v>
      </c>
      <c r="G2883" s="3" t="s">
        <v>20</v>
      </c>
      <c r="H2883" s="2" t="s">
        <v>21</v>
      </c>
      <c r="I2883" s="2" t="s">
        <v>5973</v>
      </c>
      <c r="J2883" s="3" t="str">
        <f>HYPERLINK("https://www.boe.es/gazeta/dias/1820/08/07/pdfs/GGB-1820-40.pdf#page=4","Abrir facsímil")</f>
        <v>Abrir facsímil</v>
      </c>
      <c r="K2883" s="3" t="s">
        <v>23</v>
      </c>
    </row>
    <row r="2884" spans="1:11" ht="42" customHeight="1">
      <c r="A2884" s="2" t="s">
        <v>5974</v>
      </c>
      <c r="B2884" s="2" t="s">
        <v>5975</v>
      </c>
      <c r="C2884" s="2" t="s">
        <v>26</v>
      </c>
      <c r="D2884" s="2" t="s">
        <v>310</v>
      </c>
      <c r="E2884" s="5">
        <v>-29142</v>
      </c>
      <c r="F2884" s="3" t="s">
        <v>2712</v>
      </c>
      <c r="G2884" s="3" t="s">
        <v>43</v>
      </c>
      <c r="H2884" s="2" t="s">
        <v>21</v>
      </c>
      <c r="I2884" s="2" t="s">
        <v>5976</v>
      </c>
      <c r="J2884" s="3" t="str">
        <f>HYPERLINK("https://www.boe.es/gazeta/dias/1820/03/17/pdfs/GMD-1820-43E.pdf#page=2","Abrir facsímil")</f>
        <v>Abrir facsímil</v>
      </c>
      <c r="K2884" s="3" t="s">
        <v>23</v>
      </c>
    </row>
    <row r="2885" spans="1:11" ht="42" customHeight="1">
      <c r="A2885" s="2" t="s">
        <v>5977</v>
      </c>
      <c r="B2885" s="2" t="s">
        <v>5978</v>
      </c>
      <c r="C2885" s="2" t="s">
        <v>17</v>
      </c>
      <c r="D2885" s="2" t="s">
        <v>18</v>
      </c>
      <c r="E2885" s="5">
        <v>-28949</v>
      </c>
      <c r="F2885" s="3" t="s">
        <v>178</v>
      </c>
      <c r="G2885" s="3" t="s">
        <v>43</v>
      </c>
      <c r="H2885" s="2" t="s">
        <v>21</v>
      </c>
      <c r="I2885" s="2" t="s">
        <v>5979</v>
      </c>
      <c r="J2885" s="3" t="str">
        <f>HYPERLINK("https://www.boe.es/gazeta/dias/1820/09/26/pdfs/GGB-1820-90.pdf#page=2","Abrir facsímil")</f>
        <v>Abrir facsímil</v>
      </c>
      <c r="K2885" s="3" t="s">
        <v>23</v>
      </c>
    </row>
    <row r="2886" spans="1:11" ht="42" customHeight="1">
      <c r="A2886" s="2" t="s">
        <v>5980</v>
      </c>
      <c r="B2886" s="2" t="s">
        <v>5981</v>
      </c>
      <c r="C2886" s="2" t="s">
        <v>293</v>
      </c>
      <c r="D2886" s="2" t="s">
        <v>18</v>
      </c>
      <c r="E2886" s="5">
        <v>-28869</v>
      </c>
      <c r="F2886" s="3" t="s">
        <v>449</v>
      </c>
      <c r="G2886" s="3" t="s">
        <v>450</v>
      </c>
      <c r="H2886" s="2" t="s">
        <v>21</v>
      </c>
      <c r="I2886" s="2" t="s">
        <v>5982</v>
      </c>
      <c r="J2886" s="3" t="str">
        <f>HYPERLINK("https://www.boe.es/gazeta/dias/1820/12/15/pdfs/GGB-1820-172.pdf#page=4","Abrir facsímil")</f>
        <v>Abrir facsímil</v>
      </c>
      <c r="K2886" s="3" t="s">
        <v>23</v>
      </c>
    </row>
    <row r="2887" spans="1:11" ht="42" customHeight="1">
      <c r="A2887" s="2" t="s">
        <v>5983</v>
      </c>
      <c r="B2887" s="2" t="s">
        <v>5984</v>
      </c>
      <c r="C2887" s="2" t="s">
        <v>17</v>
      </c>
      <c r="D2887" s="2" t="s">
        <v>18</v>
      </c>
      <c r="E2887" s="5">
        <v>-29035</v>
      </c>
      <c r="F2887" s="3" t="s">
        <v>2267</v>
      </c>
      <c r="G2887" s="3" t="s">
        <v>20</v>
      </c>
      <c r="H2887" s="2" t="s">
        <v>21</v>
      </c>
      <c r="I2887" s="2" t="s">
        <v>5985</v>
      </c>
      <c r="J2887" s="3" t="str">
        <f>HYPERLINK("https://www.boe.es/gazeta/dias/1820/07/02/pdfs/GGB-1820-2.pdf#page=4","Abrir facsímil")</f>
        <v>Abrir facsímil</v>
      </c>
      <c r="K2887" s="3" t="s">
        <v>23</v>
      </c>
    </row>
    <row r="2888" spans="1:11" ht="42" customHeight="1">
      <c r="A2888" s="2" t="s">
        <v>5983</v>
      </c>
      <c r="B2888" s="2" t="s">
        <v>5984</v>
      </c>
      <c r="C2888" s="2" t="s">
        <v>35</v>
      </c>
      <c r="D2888" s="2" t="s">
        <v>36</v>
      </c>
      <c r="E2888" s="5">
        <v>-28899</v>
      </c>
      <c r="F2888" s="3" t="s">
        <v>285</v>
      </c>
      <c r="G2888" s="3" t="s">
        <v>20</v>
      </c>
      <c r="H2888" s="2" t="s">
        <v>21</v>
      </c>
      <c r="I2888" s="2" t="s">
        <v>5986</v>
      </c>
      <c r="J2888" s="3" t="str">
        <f>HYPERLINK("https://www.boe.es/gazeta/dias/1820/11/15/pdfs/GGB-1820-141.pdf#page=4","Abrir facsímil")</f>
        <v>Abrir facsímil</v>
      </c>
      <c r="K2888" s="3" t="s">
        <v>23</v>
      </c>
    </row>
    <row r="2889" spans="1:11" ht="42" customHeight="1">
      <c r="A2889" s="2" t="s">
        <v>5987</v>
      </c>
      <c r="B2889" s="2" t="s">
        <v>5988</v>
      </c>
      <c r="C2889" s="2" t="s">
        <v>26</v>
      </c>
      <c r="D2889" s="2" t="s">
        <v>27</v>
      </c>
      <c r="E2889" s="5">
        <v>-29187</v>
      </c>
      <c r="F2889" s="3" t="s">
        <v>859</v>
      </c>
      <c r="G2889" s="3" t="s">
        <v>38</v>
      </c>
      <c r="H2889" s="2" t="s">
        <v>21</v>
      </c>
      <c r="I2889" s="2" t="s">
        <v>5989</v>
      </c>
      <c r="J2889" s="3" t="str">
        <f>HYPERLINK("https://www.boe.es/gazeta/dias/1820/02/01/pdfs/GMD-1820-14.pdf#page=6","Abrir facsímil")</f>
        <v>Abrir facsímil</v>
      </c>
      <c r="K2889" s="3" t="s">
        <v>23</v>
      </c>
    </row>
    <row r="2890" spans="1:11" ht="42" customHeight="1">
      <c r="A2890" s="2" t="s">
        <v>5990</v>
      </c>
      <c r="B2890" s="2" t="s">
        <v>5991</v>
      </c>
      <c r="C2890" s="2" t="s">
        <v>26</v>
      </c>
      <c r="D2890" s="2" t="s">
        <v>27</v>
      </c>
      <c r="E2890" s="5">
        <v>-29187</v>
      </c>
      <c r="F2890" s="3" t="s">
        <v>859</v>
      </c>
      <c r="G2890" s="3" t="s">
        <v>5471</v>
      </c>
      <c r="H2890" s="2" t="s">
        <v>21</v>
      </c>
      <c r="I2890" s="2" t="s">
        <v>5992</v>
      </c>
      <c r="J2890" s="3" t="str">
        <f>HYPERLINK("https://www.boe.es/gazeta/dias/1820/02/01/pdfs/GMD-1820-14.pdf#page=4","Abrir facsímil")</f>
        <v>Abrir facsímil</v>
      </c>
      <c r="K2890" s="3" t="s">
        <v>23</v>
      </c>
    </row>
    <row r="2891" spans="1:11" ht="42" customHeight="1">
      <c r="A2891" s="2" t="s">
        <v>5990</v>
      </c>
      <c r="B2891" s="2" t="s">
        <v>5991</v>
      </c>
      <c r="C2891" s="2" t="s">
        <v>35</v>
      </c>
      <c r="D2891" s="2" t="s">
        <v>36</v>
      </c>
      <c r="E2891" s="5">
        <v>-28971</v>
      </c>
      <c r="F2891" s="3" t="s">
        <v>691</v>
      </c>
      <c r="G2891" s="3" t="s">
        <v>43</v>
      </c>
      <c r="H2891" s="2" t="s">
        <v>21</v>
      </c>
      <c r="I2891" s="2" t="s">
        <v>5993</v>
      </c>
      <c r="J2891" s="3" t="str">
        <f>HYPERLINK("https://www.boe.es/gazeta/dias/1820/09/04/pdfs/GGB-1820-68.pdf#page=2","Abrir facsímil")</f>
        <v>Abrir facsímil</v>
      </c>
      <c r="K2891" s="3" t="s">
        <v>23</v>
      </c>
    </row>
    <row r="2892" spans="1:11" ht="42" customHeight="1">
      <c r="A2892" s="2" t="s">
        <v>5994</v>
      </c>
      <c r="B2892" s="2" t="s">
        <v>5995</v>
      </c>
      <c r="C2892" s="2" t="s">
        <v>26</v>
      </c>
      <c r="D2892" s="2" t="s">
        <v>27</v>
      </c>
      <c r="E2892" s="5">
        <v>-28971</v>
      </c>
      <c r="F2892" s="3" t="s">
        <v>691</v>
      </c>
      <c r="G2892" s="3" t="s">
        <v>43</v>
      </c>
      <c r="H2892" s="2" t="s">
        <v>21</v>
      </c>
      <c r="I2892" s="2" t="s">
        <v>5996</v>
      </c>
      <c r="J2892" s="3" t="str">
        <f>HYPERLINK("https://www.boe.es/gazeta/dias/1820/09/04/pdfs/GGB-1820-68.pdf#page=2","Abrir facsímil")</f>
        <v>Abrir facsímil</v>
      </c>
      <c r="K2892" s="3" t="s">
        <v>23</v>
      </c>
    </row>
    <row r="2893" spans="1:11" ht="42" customHeight="1">
      <c r="A2893" s="2" t="s">
        <v>5997</v>
      </c>
      <c r="B2893" s="2" t="s">
        <v>5998</v>
      </c>
      <c r="C2893" s="2" t="s">
        <v>17</v>
      </c>
      <c r="D2893" s="2" t="s">
        <v>18</v>
      </c>
      <c r="E2893" s="5">
        <v>-29110</v>
      </c>
      <c r="F2893" s="3" t="s">
        <v>272</v>
      </c>
      <c r="G2893" s="3" t="s">
        <v>38</v>
      </c>
      <c r="H2893" s="2" t="s">
        <v>21</v>
      </c>
      <c r="I2893" s="2" t="s">
        <v>5999</v>
      </c>
      <c r="J2893" s="3" t="str">
        <f>HYPERLINK("https://www.boe.es/gazeta/dias/1820/04/18/pdfs/GMD-1820-67.pdf#page=6","Abrir facsímil")</f>
        <v>Abrir facsímil</v>
      </c>
      <c r="K2893" s="3" t="s">
        <v>23</v>
      </c>
    </row>
    <row r="2894" spans="1:11" ht="42" customHeight="1">
      <c r="A2894" s="2" t="s">
        <v>6000</v>
      </c>
      <c r="B2894" s="2" t="s">
        <v>6001</v>
      </c>
      <c r="C2894" s="2" t="s">
        <v>17</v>
      </c>
      <c r="D2894" s="2" t="s">
        <v>18</v>
      </c>
      <c r="E2894" s="5">
        <v>-28990</v>
      </c>
      <c r="F2894" s="3" t="s">
        <v>61</v>
      </c>
      <c r="G2894" s="3" t="s">
        <v>62</v>
      </c>
      <c r="H2894" s="2" t="s">
        <v>21</v>
      </c>
      <c r="I2894" s="2" t="s">
        <v>6002</v>
      </c>
      <c r="J2894" s="3" t="str">
        <f>HYPERLINK("https://www.boe.es/gazeta/dias/1820/08/16/pdfs/GGB-1820-49.pdf#page=3","Abrir facsímil")</f>
        <v>Abrir facsímil</v>
      </c>
      <c r="K2894" s="3" t="s">
        <v>23</v>
      </c>
    </row>
    <row r="2895" spans="1:11" ht="42" customHeight="1">
      <c r="A2895" s="2" t="s">
        <v>6003</v>
      </c>
      <c r="B2895" s="2" t="s">
        <v>6004</v>
      </c>
      <c r="C2895" s="2" t="s">
        <v>107</v>
      </c>
      <c r="D2895" s="2" t="s">
        <v>18</v>
      </c>
      <c r="E2895" s="5">
        <v>-29054</v>
      </c>
      <c r="F2895" s="3" t="s">
        <v>481</v>
      </c>
      <c r="G2895" s="3" t="s">
        <v>196</v>
      </c>
      <c r="H2895" s="2" t="s">
        <v>21</v>
      </c>
      <c r="I2895" s="2" t="s">
        <v>6005</v>
      </c>
      <c r="J2895" s="3" t="str">
        <f>HYPERLINK("https://www.boe.es/gazeta/dias/1820/06/13/pdfs/GMD-1820-93.pdf#page=11","Abrir facsímil")</f>
        <v>Abrir facsímil</v>
      </c>
      <c r="K2895" s="3" t="s">
        <v>23</v>
      </c>
    </row>
    <row r="2896" spans="1:11" ht="42" customHeight="1">
      <c r="A2896" s="2" t="s">
        <v>6006</v>
      </c>
      <c r="B2896" s="2" t="s">
        <v>6006</v>
      </c>
      <c r="C2896" s="2" t="s">
        <v>111</v>
      </c>
      <c r="D2896" s="2" t="s">
        <v>18</v>
      </c>
      <c r="E2896" s="5">
        <v>-28911</v>
      </c>
      <c r="F2896" s="3" t="s">
        <v>82</v>
      </c>
      <c r="G2896" s="3" t="s">
        <v>128</v>
      </c>
      <c r="H2896" s="2" t="s">
        <v>21</v>
      </c>
      <c r="I2896" s="2" t="s">
        <v>6007</v>
      </c>
      <c r="J2896" s="3" t="str">
        <f>HYPERLINK("https://www.boe.es/gazeta/dias/1820/11/03/pdfs/GGB-1820-128.pdf#page=1","Abrir facsímil")</f>
        <v>Abrir facsímil</v>
      </c>
      <c r="K2896" s="3" t="s">
        <v>23</v>
      </c>
    </row>
    <row r="2897" spans="1:11" ht="42" customHeight="1">
      <c r="A2897" s="2" t="s">
        <v>6006</v>
      </c>
      <c r="B2897" s="2" t="s">
        <v>6006</v>
      </c>
      <c r="C2897" s="2" t="s">
        <v>74</v>
      </c>
      <c r="D2897" s="2" t="s">
        <v>18</v>
      </c>
      <c r="E2897" s="5">
        <v>-28896</v>
      </c>
      <c r="F2897" s="3" t="s">
        <v>1268</v>
      </c>
      <c r="G2897" s="3" t="s">
        <v>43</v>
      </c>
      <c r="H2897" s="2" t="s">
        <v>21</v>
      </c>
      <c r="I2897" s="2" t="s">
        <v>6008</v>
      </c>
      <c r="J2897" s="3" t="str">
        <f>HYPERLINK("https://www.boe.es/gazeta/dias/1820/11/18/pdfs/GGB-1820-144.pdf#page=2","Abrir facsímil")</f>
        <v>Abrir facsímil</v>
      </c>
      <c r="K2897" s="3" t="s">
        <v>23</v>
      </c>
    </row>
    <row r="2898" spans="1:11" ht="42" customHeight="1">
      <c r="A2898" s="2" t="s">
        <v>6009</v>
      </c>
      <c r="B2898" s="2" t="s">
        <v>6009</v>
      </c>
      <c r="C2898" s="2" t="s">
        <v>17</v>
      </c>
      <c r="D2898" s="2" t="s">
        <v>18</v>
      </c>
      <c r="E2898" s="5">
        <v>-28947</v>
      </c>
      <c r="F2898" s="3" t="s">
        <v>127</v>
      </c>
      <c r="G2898" s="3" t="s">
        <v>62</v>
      </c>
      <c r="H2898" s="2" t="s">
        <v>21</v>
      </c>
      <c r="I2898" s="2" t="s">
        <v>6010</v>
      </c>
      <c r="J2898" s="3" t="str">
        <f>HYPERLINK("https://www.boe.es/gazeta/dias/1820/09/28/pdfs/GGB-1820-92.pdf#page=3","Abrir facsímil")</f>
        <v>Abrir facsímil</v>
      </c>
      <c r="K2898" s="3" t="s">
        <v>23</v>
      </c>
    </row>
    <row r="2899" spans="1:11" ht="42" customHeight="1">
      <c r="A2899" s="2" t="s">
        <v>6011</v>
      </c>
      <c r="B2899" s="2" t="s">
        <v>6012</v>
      </c>
      <c r="C2899" s="2" t="s">
        <v>111</v>
      </c>
      <c r="D2899" s="2" t="s">
        <v>18</v>
      </c>
      <c r="E2899" s="5">
        <v>-28931</v>
      </c>
      <c r="F2899" s="3" t="s">
        <v>724</v>
      </c>
      <c r="G2899" s="3" t="s">
        <v>20</v>
      </c>
      <c r="H2899" s="2" t="s">
        <v>21</v>
      </c>
      <c r="I2899" s="2" t="s">
        <v>6013</v>
      </c>
      <c r="J2899" s="3" t="str">
        <f>HYPERLINK("https://www.boe.es/gazeta/dias/1820/10/14/pdfs/GGB-1820-108.pdf#page=4","Abrir facsímil")</f>
        <v>Abrir facsímil</v>
      </c>
      <c r="K2899" s="3" t="s">
        <v>23</v>
      </c>
    </row>
    <row r="2900" spans="1:11" ht="42" customHeight="1">
      <c r="A2900" s="2" t="s">
        <v>6014</v>
      </c>
      <c r="B2900" s="2" t="s">
        <v>6015</v>
      </c>
      <c r="C2900" s="2" t="s">
        <v>17</v>
      </c>
      <c r="D2900" s="2" t="s">
        <v>18</v>
      </c>
      <c r="E2900" s="5">
        <v>-28931</v>
      </c>
      <c r="F2900" s="3" t="s">
        <v>724</v>
      </c>
      <c r="G2900" s="3" t="s">
        <v>20</v>
      </c>
      <c r="H2900" s="2" t="s">
        <v>21</v>
      </c>
      <c r="I2900" s="2" t="s">
        <v>6016</v>
      </c>
      <c r="J2900" s="3" t="str">
        <f>HYPERLINK("https://www.boe.es/gazeta/dias/1820/10/14/pdfs/GGB-1820-108.pdf#page=4","Abrir facsímil")</f>
        <v>Abrir facsímil</v>
      </c>
      <c r="K2900" s="3" t="s">
        <v>23</v>
      </c>
    </row>
    <row r="2901" spans="1:11" ht="42" customHeight="1">
      <c r="A2901" s="2" t="s">
        <v>6017</v>
      </c>
      <c r="B2901" s="2" t="s">
        <v>6018</v>
      </c>
      <c r="C2901" s="2" t="s">
        <v>26</v>
      </c>
      <c r="D2901" s="2" t="s">
        <v>27</v>
      </c>
      <c r="E2901" s="5">
        <v>-29028</v>
      </c>
      <c r="F2901" s="3" t="s">
        <v>132</v>
      </c>
      <c r="G2901" s="3" t="s">
        <v>20</v>
      </c>
      <c r="H2901" s="2" t="s">
        <v>21</v>
      </c>
      <c r="I2901" s="2" t="s">
        <v>6019</v>
      </c>
      <c r="J2901" s="3" t="str">
        <f>HYPERLINK("https://www.boe.es/gazeta/dias/1820/07/09/pdfs/GGB-1820-10.pdf#page=4","Abrir facsímil")</f>
        <v>Abrir facsímil</v>
      </c>
      <c r="K2901" s="3" t="s">
        <v>23</v>
      </c>
    </row>
    <row r="2902" spans="1:11" ht="42" customHeight="1">
      <c r="A2902" s="2" t="s">
        <v>6020</v>
      </c>
      <c r="B2902" s="2" t="s">
        <v>6021</v>
      </c>
      <c r="C2902" s="2" t="s">
        <v>26</v>
      </c>
      <c r="D2902" s="2" t="s">
        <v>27</v>
      </c>
      <c r="E2902" s="5">
        <v>-28921</v>
      </c>
      <c r="F2902" s="3" t="s">
        <v>738</v>
      </c>
      <c r="G2902" s="3" t="s">
        <v>20</v>
      </c>
      <c r="H2902" s="2" t="s">
        <v>21</v>
      </c>
      <c r="I2902" s="2" t="s">
        <v>6022</v>
      </c>
      <c r="J2902" s="3" t="str">
        <f>HYPERLINK("https://www.boe.es/gazeta/dias/1820/10/24/pdfs/GGB-1820-118.pdf#page=4","Abrir facsímil")</f>
        <v>Abrir facsímil</v>
      </c>
      <c r="K2902" s="3" t="s">
        <v>23</v>
      </c>
    </row>
    <row r="2903" spans="1:11" ht="42" customHeight="1">
      <c r="A2903" s="2" t="s">
        <v>6023</v>
      </c>
      <c r="B2903" s="2" t="s">
        <v>6024</v>
      </c>
      <c r="C2903" s="2" t="s">
        <v>17</v>
      </c>
      <c r="D2903" s="2" t="s">
        <v>18</v>
      </c>
      <c r="E2903" s="5">
        <v>-29213</v>
      </c>
      <c r="F2903" s="3" t="s">
        <v>195</v>
      </c>
      <c r="G2903" s="3" t="s">
        <v>196</v>
      </c>
      <c r="H2903" s="2" t="s">
        <v>30</v>
      </c>
      <c r="I2903" s="2" t="s">
        <v>6025</v>
      </c>
      <c r="J2903" s="3" t="str">
        <f>HYPERLINK("https://www.boe.es/gazeta/dias/1820/01/06/pdfs/GMD-1820-3.pdf#page=11","Abrir facsímil")</f>
        <v>Abrir facsímil</v>
      </c>
      <c r="K2903" s="3" t="s">
        <v>32</v>
      </c>
    </row>
    <row r="2904" spans="1:11" ht="42" customHeight="1">
      <c r="A2904" s="2" t="s">
        <v>6026</v>
      </c>
      <c r="B2904" s="2" t="s">
        <v>6027</v>
      </c>
      <c r="C2904" s="2" t="s">
        <v>35</v>
      </c>
      <c r="D2904" s="2" t="s">
        <v>36</v>
      </c>
      <c r="E2904" s="5">
        <v>-28946</v>
      </c>
      <c r="F2904" s="3" t="s">
        <v>1055</v>
      </c>
      <c r="G2904" s="3" t="s">
        <v>43</v>
      </c>
      <c r="H2904" s="2" t="s">
        <v>21</v>
      </c>
      <c r="I2904" s="2" t="s">
        <v>6028</v>
      </c>
      <c r="J2904" s="3" t="str">
        <f>HYPERLINK("https://www.boe.es/gazeta/dias/1820/09/29/pdfs/GGB-1820-93.pdf#page=2","Abrir facsímil")</f>
        <v>Abrir facsímil</v>
      </c>
      <c r="K2904" s="3" t="s">
        <v>23</v>
      </c>
    </row>
    <row r="2905" spans="1:11" ht="42" customHeight="1">
      <c r="A2905" s="2" t="s">
        <v>6029</v>
      </c>
      <c r="B2905" s="2" t="s">
        <v>6030</v>
      </c>
      <c r="C2905" s="2" t="s">
        <v>35</v>
      </c>
      <c r="D2905" s="2" t="s">
        <v>36</v>
      </c>
      <c r="E2905" s="5">
        <v>-28920</v>
      </c>
      <c r="F2905" s="3" t="s">
        <v>399</v>
      </c>
      <c r="G2905" s="3" t="s">
        <v>62</v>
      </c>
      <c r="H2905" s="2" t="s">
        <v>21</v>
      </c>
      <c r="I2905" s="2" t="s">
        <v>6031</v>
      </c>
      <c r="J2905" s="3" t="str">
        <f>HYPERLINK("https://www.boe.es/gazeta/dias/1820/10/25/pdfs/GGB-1820-119.pdf#page=3","Abrir facsímil")</f>
        <v>Abrir facsímil</v>
      </c>
      <c r="K2905" s="3" t="s">
        <v>23</v>
      </c>
    </row>
    <row r="2906" spans="1:11" ht="42" customHeight="1">
      <c r="A2906" s="2" t="s">
        <v>6032</v>
      </c>
      <c r="B2906" s="2" t="s">
        <v>6033</v>
      </c>
      <c r="C2906" s="2" t="s">
        <v>35</v>
      </c>
      <c r="D2906" s="2" t="s">
        <v>36</v>
      </c>
      <c r="E2906" s="5">
        <v>-28907</v>
      </c>
      <c r="F2906" s="3" t="s">
        <v>374</v>
      </c>
      <c r="G2906" s="3" t="s">
        <v>43</v>
      </c>
      <c r="H2906" s="2" t="s">
        <v>21</v>
      </c>
      <c r="I2906" s="2" t="s">
        <v>6034</v>
      </c>
      <c r="J2906" s="3" t="str">
        <f>HYPERLINK("https://www.boe.es/gazeta/dias/1820/11/07/pdfs/GGB-1820-132.pdf#page=2","Abrir facsímil")</f>
        <v>Abrir facsímil</v>
      </c>
      <c r="K2906" s="3" t="s">
        <v>23</v>
      </c>
    </row>
    <row r="2907" spans="1:11" ht="42" customHeight="1">
      <c r="A2907" s="2" t="s">
        <v>6035</v>
      </c>
      <c r="B2907" s="2" t="s">
        <v>6036</v>
      </c>
      <c r="C2907" s="2" t="s">
        <v>26</v>
      </c>
      <c r="D2907" s="2" t="s">
        <v>27</v>
      </c>
      <c r="E2907" s="5">
        <v>-29171</v>
      </c>
      <c r="F2907" s="3" t="s">
        <v>764</v>
      </c>
      <c r="G2907" s="3" t="s">
        <v>256</v>
      </c>
      <c r="H2907" s="2" t="s">
        <v>21</v>
      </c>
      <c r="I2907" s="2" t="s">
        <v>6037</v>
      </c>
      <c r="J2907" s="3" t="str">
        <f>HYPERLINK("https://www.boe.es/gazeta/dias/1820/02/17/pdfs/GMD-1820-21.pdf#page=5","Abrir facsímil")</f>
        <v>Abrir facsímil</v>
      </c>
      <c r="K2907" s="3" t="s">
        <v>23</v>
      </c>
    </row>
    <row r="2908" spans="1:11" ht="42" customHeight="1">
      <c r="A2908" s="2" t="s">
        <v>6038</v>
      </c>
      <c r="B2908" s="2" t="s">
        <v>6039</v>
      </c>
      <c r="C2908" s="2" t="s">
        <v>35</v>
      </c>
      <c r="D2908" s="2" t="s">
        <v>36</v>
      </c>
      <c r="E2908" s="5">
        <v>-29138</v>
      </c>
      <c r="F2908" s="3" t="s">
        <v>200</v>
      </c>
      <c r="G2908" s="3" t="s">
        <v>201</v>
      </c>
      <c r="H2908" s="2" t="s">
        <v>21</v>
      </c>
      <c r="I2908" s="2" t="s">
        <v>6040</v>
      </c>
      <c r="J2908" s="3" t="str">
        <f>HYPERLINK("https://www.boe.es/gazeta/dias/1820/03/21/pdfs/GMD-1820-46.pdf#page=7","Abrir facsímil")</f>
        <v>Abrir facsímil</v>
      </c>
      <c r="K2908" s="3" t="s">
        <v>23</v>
      </c>
    </row>
    <row r="2909" spans="1:11" ht="42" customHeight="1">
      <c r="A2909" s="2" t="s">
        <v>6041</v>
      </c>
      <c r="B2909" s="2" t="s">
        <v>6042</v>
      </c>
      <c r="C2909" s="2" t="s">
        <v>17</v>
      </c>
      <c r="D2909" s="2" t="s">
        <v>18</v>
      </c>
      <c r="E2909" s="5">
        <v>-29178</v>
      </c>
      <c r="F2909" s="3" t="s">
        <v>782</v>
      </c>
      <c r="G2909" s="3" t="s">
        <v>201</v>
      </c>
      <c r="H2909" s="2" t="s">
        <v>21</v>
      </c>
      <c r="I2909" s="2" t="s">
        <v>6043</v>
      </c>
      <c r="J2909" s="3" t="str">
        <f>HYPERLINK("https://www.boe.es/gazeta/dias/1820/02/10/pdfs/GMD-1820-18.pdf#page=7","Abrir facsímil")</f>
        <v>Abrir facsímil</v>
      </c>
      <c r="K2909" s="3" t="s">
        <v>23</v>
      </c>
    </row>
    <row r="2910" spans="1:11" ht="42" customHeight="1">
      <c r="A2910" s="2" t="s">
        <v>6044</v>
      </c>
      <c r="B2910" s="2" t="s">
        <v>6045</v>
      </c>
      <c r="C2910" s="2" t="s">
        <v>26</v>
      </c>
      <c r="D2910" s="2" t="s">
        <v>310</v>
      </c>
      <c r="E2910" s="5">
        <v>-29142</v>
      </c>
      <c r="F2910" s="3" t="s">
        <v>2712</v>
      </c>
      <c r="G2910" s="3" t="s">
        <v>43</v>
      </c>
      <c r="H2910" s="2" t="s">
        <v>21</v>
      </c>
      <c r="I2910" s="2" t="s">
        <v>6046</v>
      </c>
      <c r="J2910" s="3" t="str">
        <f>HYPERLINK("https://www.boe.es/gazeta/dias/1820/03/17/pdfs/GMD-1820-43E.pdf#page=2","Abrir facsímil")</f>
        <v>Abrir facsímil</v>
      </c>
      <c r="K2910" s="3" t="s">
        <v>23</v>
      </c>
    </row>
    <row r="2911" spans="1:11" ht="42" customHeight="1">
      <c r="A2911" s="2" t="s">
        <v>6047</v>
      </c>
      <c r="B2911" s="2" t="s">
        <v>6048</v>
      </c>
      <c r="C2911" s="2" t="s">
        <v>26</v>
      </c>
      <c r="D2911" s="2" t="s">
        <v>27</v>
      </c>
      <c r="E2911" s="5">
        <v>-29208</v>
      </c>
      <c r="F2911" s="3" t="s">
        <v>770</v>
      </c>
      <c r="G2911" s="3" t="s">
        <v>256</v>
      </c>
      <c r="H2911" s="2" t="s">
        <v>21</v>
      </c>
      <c r="I2911" s="2" t="s">
        <v>6049</v>
      </c>
      <c r="J2911" s="3" t="str">
        <f>HYPERLINK("https://www.boe.es/gazeta/dias/1820/01/11/pdfs/GMD-1820-5.pdf#page=5","Abrir facsímil")</f>
        <v>Abrir facsímil</v>
      </c>
      <c r="K2911" s="3" t="s">
        <v>23</v>
      </c>
    </row>
    <row r="2912" spans="1:11" ht="42" customHeight="1">
      <c r="A2912" s="2" t="s">
        <v>6050</v>
      </c>
      <c r="B2912" s="2" t="s">
        <v>6051</v>
      </c>
      <c r="C2912" s="2" t="s">
        <v>26</v>
      </c>
      <c r="D2912" s="2" t="s">
        <v>27</v>
      </c>
      <c r="E2912" s="5">
        <v>-29183</v>
      </c>
      <c r="F2912" s="3" t="s">
        <v>476</v>
      </c>
      <c r="G2912" s="3" t="s">
        <v>256</v>
      </c>
      <c r="H2912" s="2" t="s">
        <v>21</v>
      </c>
      <c r="I2912" s="2" t="s">
        <v>6052</v>
      </c>
      <c r="J2912" s="3" t="str">
        <f>HYPERLINK("https://www.boe.es/gazeta/dias/1820/02/05/pdfs/GMD-1820-16.pdf#page=5","Abrir facsímil")</f>
        <v>Abrir facsímil</v>
      </c>
      <c r="K2912" s="3" t="s">
        <v>23</v>
      </c>
    </row>
    <row r="2913" spans="1:11" ht="42" customHeight="1">
      <c r="A2913" s="2" t="s">
        <v>6053</v>
      </c>
      <c r="B2913" s="2" t="s">
        <v>6054</v>
      </c>
      <c r="C2913" s="2" t="s">
        <v>26</v>
      </c>
      <c r="D2913" s="2" t="s">
        <v>27</v>
      </c>
      <c r="E2913" s="5">
        <v>-29120</v>
      </c>
      <c r="F2913" s="3" t="s">
        <v>852</v>
      </c>
      <c r="G2913" s="3" t="s">
        <v>295</v>
      </c>
      <c r="H2913" s="2" t="s">
        <v>21</v>
      </c>
      <c r="I2913" s="2" t="s">
        <v>6055</v>
      </c>
      <c r="J2913" s="3" t="str">
        <f>HYPERLINK("https://www.boe.es/gazeta/dias/1820/04/08/pdfs/GMD-1820-63.pdf#page=8","Abrir facsímil")</f>
        <v>Abrir facsímil</v>
      </c>
      <c r="K2913" s="3" t="s">
        <v>23</v>
      </c>
    </row>
    <row r="2914" spans="1:11" ht="42" customHeight="1">
      <c r="A2914" s="2" t="s">
        <v>6056</v>
      </c>
      <c r="B2914" s="2" t="s">
        <v>6057</v>
      </c>
      <c r="C2914" s="2" t="s">
        <v>26</v>
      </c>
      <c r="D2914" s="2" t="s">
        <v>27</v>
      </c>
      <c r="E2914" s="5">
        <v>-29183</v>
      </c>
      <c r="F2914" s="3" t="s">
        <v>476</v>
      </c>
      <c r="G2914" s="3" t="s">
        <v>256</v>
      </c>
      <c r="H2914" s="2" t="s">
        <v>21</v>
      </c>
      <c r="I2914" s="2" t="s">
        <v>6058</v>
      </c>
      <c r="J2914" s="3" t="str">
        <f>HYPERLINK("https://www.boe.es/gazeta/dias/1820/02/05/pdfs/GMD-1820-16.pdf#page=5","Abrir facsímil")</f>
        <v>Abrir facsímil</v>
      </c>
      <c r="K2914" s="3" t="s">
        <v>23</v>
      </c>
    </row>
    <row r="2915" spans="1:11" ht="42" customHeight="1">
      <c r="A2915" s="2" t="s">
        <v>6056</v>
      </c>
      <c r="B2915" s="2" t="s">
        <v>6057</v>
      </c>
      <c r="C2915" s="2" t="s">
        <v>17</v>
      </c>
      <c r="D2915" s="2" t="s">
        <v>18</v>
      </c>
      <c r="E2915" s="5">
        <v>-29164</v>
      </c>
      <c r="F2915" s="3" t="s">
        <v>2516</v>
      </c>
      <c r="G2915" s="3" t="s">
        <v>256</v>
      </c>
      <c r="H2915" s="2" t="s">
        <v>21</v>
      </c>
      <c r="I2915" s="2" t="s">
        <v>6059</v>
      </c>
      <c r="J2915" s="3" t="str">
        <f>HYPERLINK("https://www.boe.es/gazeta/dias/1820/02/24/pdfs/GMD-1820-24.pdf#page=5","Abrir facsímil")</f>
        <v>Abrir facsímil</v>
      </c>
      <c r="K2915" s="3" t="s">
        <v>23</v>
      </c>
    </row>
    <row r="2916" spans="1:11" ht="42" customHeight="1">
      <c r="A2916" s="2" t="s">
        <v>6060</v>
      </c>
      <c r="B2916" s="2" t="s">
        <v>6061</v>
      </c>
      <c r="C2916" s="2" t="s">
        <v>26</v>
      </c>
      <c r="D2916" s="2" t="s">
        <v>27</v>
      </c>
      <c r="E2916" s="5">
        <v>-28905</v>
      </c>
      <c r="F2916" s="3" t="s">
        <v>749</v>
      </c>
      <c r="G2916" s="3" t="s">
        <v>43</v>
      </c>
      <c r="H2916" s="2" t="s">
        <v>21</v>
      </c>
      <c r="I2916" s="2" t="s">
        <v>6062</v>
      </c>
      <c r="J2916" s="3" t="str">
        <f>HYPERLINK("https://www.boe.es/gazeta/dias/1820/11/09/pdfs/GGB-1820-134.pdf#page=2","Abrir facsímil")</f>
        <v>Abrir facsímil</v>
      </c>
      <c r="K2916" s="3" t="s">
        <v>23</v>
      </c>
    </row>
    <row r="2917" spans="1:11" ht="42" customHeight="1">
      <c r="A2917" s="2" t="s">
        <v>6063</v>
      </c>
      <c r="B2917" s="2" t="s">
        <v>6064</v>
      </c>
      <c r="C2917" s="2" t="s">
        <v>26</v>
      </c>
      <c r="D2917" s="2" t="s">
        <v>27</v>
      </c>
      <c r="E2917" s="5">
        <v>-28880</v>
      </c>
      <c r="F2917" s="3" t="s">
        <v>1574</v>
      </c>
      <c r="G2917" s="3" t="s">
        <v>20</v>
      </c>
      <c r="H2917" s="2" t="s">
        <v>21</v>
      </c>
      <c r="I2917" s="2" t="s">
        <v>6065</v>
      </c>
      <c r="J2917" s="3" t="str">
        <f>HYPERLINK("https://www.boe.es/gazeta/dias/1820/12/04/pdfs/GGB-1820-161.pdf#page=4","Abrir facsímil")</f>
        <v>Abrir facsímil</v>
      </c>
      <c r="K2917" s="3" t="s">
        <v>23</v>
      </c>
    </row>
    <row r="2918" spans="1:11" ht="42" customHeight="1">
      <c r="A2918" s="2" t="s">
        <v>6066</v>
      </c>
      <c r="B2918" s="2" t="s">
        <v>6067</v>
      </c>
      <c r="C2918" s="2" t="s">
        <v>107</v>
      </c>
      <c r="D2918" s="2" t="s">
        <v>18</v>
      </c>
      <c r="E2918" s="5">
        <v>-29183</v>
      </c>
      <c r="F2918" s="3" t="s">
        <v>476</v>
      </c>
      <c r="G2918" s="3" t="s">
        <v>295</v>
      </c>
      <c r="H2918" s="2" t="s">
        <v>21</v>
      </c>
      <c r="I2918" s="2" t="s">
        <v>6068</v>
      </c>
      <c r="J2918" s="3" t="str">
        <f>HYPERLINK("https://www.boe.es/gazeta/dias/1820/02/05/pdfs/GMD-1820-16.pdf#page=8","Abrir facsímil")</f>
        <v>Abrir facsímil</v>
      </c>
      <c r="K2918" s="3" t="s">
        <v>23</v>
      </c>
    </row>
    <row r="2919" spans="1:11" ht="42" customHeight="1">
      <c r="A2919" s="2" t="s">
        <v>6069</v>
      </c>
      <c r="B2919" s="2" t="s">
        <v>6070</v>
      </c>
      <c r="C2919" s="2" t="s">
        <v>26</v>
      </c>
      <c r="D2919" s="2" t="s">
        <v>27</v>
      </c>
      <c r="E2919" s="5">
        <v>-28946</v>
      </c>
      <c r="F2919" s="3" t="s">
        <v>1055</v>
      </c>
      <c r="G2919" s="3" t="s">
        <v>4558</v>
      </c>
      <c r="H2919" s="2" t="s">
        <v>21</v>
      </c>
      <c r="I2919" s="2" t="s">
        <v>6071</v>
      </c>
      <c r="J2919" s="3" t="str">
        <f>HYPERLINK("https://www.boe.es/gazeta/dias/1820/09/29/pdfs/GGB-1820-93.pdf#page=3","Abrir facsímil")</f>
        <v>Abrir facsímil</v>
      </c>
      <c r="K2919" s="3" t="s">
        <v>23</v>
      </c>
    </row>
    <row r="2920" spans="1:11" ht="42" customHeight="1">
      <c r="A2920" s="2" t="s">
        <v>6072</v>
      </c>
      <c r="B2920" s="2" t="s">
        <v>6073</v>
      </c>
      <c r="C2920" s="2" t="s">
        <v>26</v>
      </c>
      <c r="D2920" s="2" t="s">
        <v>27</v>
      </c>
      <c r="E2920" s="5">
        <v>-29162</v>
      </c>
      <c r="F2920" s="3" t="s">
        <v>2134</v>
      </c>
      <c r="G2920" s="3" t="s">
        <v>38</v>
      </c>
      <c r="H2920" s="2" t="s">
        <v>21</v>
      </c>
      <c r="I2920" s="2" t="s">
        <v>6074</v>
      </c>
      <c r="J2920" s="3" t="str">
        <f>HYPERLINK("https://www.boe.es/gazeta/dias/1820/02/26/pdfs/GMD-1820-25.pdf#page=6","Abrir facsímil")</f>
        <v>Abrir facsímil</v>
      </c>
      <c r="K2920" s="3" t="s">
        <v>23</v>
      </c>
    </row>
    <row r="2921" spans="1:11" ht="42" customHeight="1">
      <c r="A2921" s="2" t="s">
        <v>6075</v>
      </c>
      <c r="B2921" s="2" t="s">
        <v>6076</v>
      </c>
      <c r="C2921" s="2" t="s">
        <v>107</v>
      </c>
      <c r="D2921" s="2" t="s">
        <v>18</v>
      </c>
      <c r="E2921" s="5">
        <v>-28926</v>
      </c>
      <c r="F2921" s="3" t="s">
        <v>597</v>
      </c>
      <c r="G2921" s="3" t="s">
        <v>62</v>
      </c>
      <c r="H2921" s="2" t="s">
        <v>21</v>
      </c>
      <c r="I2921" s="2" t="s">
        <v>6077</v>
      </c>
      <c r="J2921" s="3" t="str">
        <f>HYPERLINK("https://www.boe.es/gazeta/dias/1820/10/19/pdfs/GGB-1820-113.pdf#page=3","Abrir facsímil")</f>
        <v>Abrir facsímil</v>
      </c>
      <c r="K2921" s="3" t="s">
        <v>23</v>
      </c>
    </row>
    <row r="2922" spans="1:11" ht="42" customHeight="1">
      <c r="A2922" s="2" t="s">
        <v>6078</v>
      </c>
      <c r="B2922" s="2" t="s">
        <v>6079</v>
      </c>
      <c r="C2922" s="2" t="s">
        <v>26</v>
      </c>
      <c r="D2922" s="2" t="s">
        <v>27</v>
      </c>
      <c r="E2922" s="5">
        <v>-29101</v>
      </c>
      <c r="F2922" s="3" t="s">
        <v>999</v>
      </c>
      <c r="G2922" s="3" t="s">
        <v>256</v>
      </c>
      <c r="H2922" s="2" t="s">
        <v>21</v>
      </c>
      <c r="I2922" s="2" t="s">
        <v>6080</v>
      </c>
      <c r="J2922" s="3" t="str">
        <f>HYPERLINK("https://www.boe.es/gazeta/dias/1820/04/27/pdfs/GMD-1820-72.pdf#page=5","Abrir facsímil")</f>
        <v>Abrir facsímil</v>
      </c>
      <c r="K2922" s="3" t="s">
        <v>23</v>
      </c>
    </row>
    <row r="2923" spans="1:11" ht="42" customHeight="1">
      <c r="A2923" s="2" t="s">
        <v>6081</v>
      </c>
      <c r="B2923" s="2" t="s">
        <v>6081</v>
      </c>
      <c r="C2923" s="2" t="s">
        <v>17</v>
      </c>
      <c r="D2923" s="2" t="s">
        <v>18</v>
      </c>
      <c r="E2923" s="5">
        <v>-28968</v>
      </c>
      <c r="F2923" s="3" t="s">
        <v>66</v>
      </c>
      <c r="G2923" s="3" t="s">
        <v>403</v>
      </c>
      <c r="H2923" s="2" t="s">
        <v>21</v>
      </c>
      <c r="I2923" s="2" t="s">
        <v>6082</v>
      </c>
      <c r="J2923" s="3" t="str">
        <f>HYPERLINK("https://www.boe.es/gazeta/dias/1820/09/07/pdfs/GGB-1820-71.pdf#page=4","Abrir facsímil")</f>
        <v>Abrir facsímil</v>
      </c>
      <c r="K2923" s="3" t="s">
        <v>23</v>
      </c>
    </row>
    <row r="2924" spans="1:11" ht="42" customHeight="1">
      <c r="A2924" s="2" t="s">
        <v>6081</v>
      </c>
      <c r="B2924" s="2" t="s">
        <v>6081</v>
      </c>
      <c r="C2924" s="2" t="s">
        <v>26</v>
      </c>
      <c r="D2924" s="2" t="s">
        <v>27</v>
      </c>
      <c r="E2924" s="5">
        <v>-28967</v>
      </c>
      <c r="F2924" s="3" t="s">
        <v>238</v>
      </c>
      <c r="G2924" s="3" t="s">
        <v>38</v>
      </c>
      <c r="H2924" s="2" t="s">
        <v>21</v>
      </c>
      <c r="I2924" s="2" t="s">
        <v>6083</v>
      </c>
      <c r="J2924" s="3" t="str">
        <f>HYPERLINK("https://www.boe.es/gazeta/dias/1820/09/08/pdfs/GGB-1820-72.pdf#page=6","Abrir facsímil")</f>
        <v>Abrir facsímil</v>
      </c>
      <c r="K2924" s="3" t="s">
        <v>23</v>
      </c>
    </row>
    <row r="2925" spans="1:11" ht="42" customHeight="1">
      <c r="A2925" s="2" t="s">
        <v>6081</v>
      </c>
      <c r="B2925" s="2" t="s">
        <v>6081</v>
      </c>
      <c r="C2925" s="2" t="s">
        <v>26</v>
      </c>
      <c r="D2925" s="2" t="s">
        <v>27</v>
      </c>
      <c r="E2925" s="5">
        <v>-28966</v>
      </c>
      <c r="F2925" s="3" t="s">
        <v>701</v>
      </c>
      <c r="G2925" s="3" t="s">
        <v>20</v>
      </c>
      <c r="H2925" s="2" t="s">
        <v>21</v>
      </c>
      <c r="I2925" s="2" t="s">
        <v>6084</v>
      </c>
      <c r="J2925" s="3" t="str">
        <f>HYPERLINK("https://www.boe.es/gazeta/dias/1820/09/09/pdfs/GGB-1820-73.pdf#page=4","Abrir facsímil")</f>
        <v>Abrir facsímil</v>
      </c>
      <c r="K2925" s="3" t="s">
        <v>23</v>
      </c>
    </row>
    <row r="2926" spans="1:11" ht="42" customHeight="1">
      <c r="A2926" s="2" t="s">
        <v>6085</v>
      </c>
      <c r="B2926" s="2" t="s">
        <v>6086</v>
      </c>
      <c r="C2926" s="2" t="s">
        <v>293</v>
      </c>
      <c r="D2926" s="2" t="s">
        <v>18</v>
      </c>
      <c r="E2926" s="5">
        <v>-29178</v>
      </c>
      <c r="F2926" s="3" t="s">
        <v>782</v>
      </c>
      <c r="G2926" s="3" t="s">
        <v>6087</v>
      </c>
      <c r="H2926" s="2" t="s">
        <v>21</v>
      </c>
      <c r="I2926" s="2" t="s">
        <v>6088</v>
      </c>
      <c r="J2926" s="3" t="str">
        <f>HYPERLINK("https://www.boe.es/gazeta/dias/1820/02/10/pdfs/GMD-1820-18.pdf#page=8","Abrir facsímil")</f>
        <v>Abrir facsímil</v>
      </c>
      <c r="K2926" s="3" t="s">
        <v>23</v>
      </c>
    </row>
    <row r="2927" spans="1:11" ht="42" customHeight="1">
      <c r="A2927" s="2" t="s">
        <v>6089</v>
      </c>
      <c r="B2927" s="2" t="s">
        <v>6090</v>
      </c>
      <c r="C2927" s="2" t="s">
        <v>35</v>
      </c>
      <c r="D2927" s="2" t="s">
        <v>36</v>
      </c>
      <c r="E2927" s="5">
        <v>-29211</v>
      </c>
      <c r="F2927" s="3" t="s">
        <v>578</v>
      </c>
      <c r="G2927" s="3" t="s">
        <v>201</v>
      </c>
      <c r="H2927" s="2" t="s">
        <v>21</v>
      </c>
      <c r="I2927" s="2" t="s">
        <v>6091</v>
      </c>
      <c r="J2927" s="3" t="str">
        <f>HYPERLINK("https://www.boe.es/gazeta/dias/1820/01/08/pdfs/GMD-1820-4.pdf#page=7","Abrir facsímil")</f>
        <v>Abrir facsímil</v>
      </c>
      <c r="K2927" s="3" t="s">
        <v>23</v>
      </c>
    </row>
    <row r="2928" spans="1:11" ht="42" customHeight="1">
      <c r="A2928" s="2" t="s">
        <v>6092</v>
      </c>
      <c r="B2928" s="2" t="s">
        <v>6093</v>
      </c>
      <c r="C2928" s="2" t="s">
        <v>26</v>
      </c>
      <c r="D2928" s="2" t="s">
        <v>27</v>
      </c>
      <c r="E2928" s="5">
        <v>-29206</v>
      </c>
      <c r="F2928" s="3" t="s">
        <v>897</v>
      </c>
      <c r="G2928" s="3" t="s">
        <v>38</v>
      </c>
      <c r="H2928" s="2" t="s">
        <v>21</v>
      </c>
      <c r="I2928" s="2" t="s">
        <v>6094</v>
      </c>
      <c r="J2928" s="3" t="str">
        <f>HYPERLINK("https://www.boe.es/gazeta/dias/1820/01/13/pdfs/GMD-1820-6.pdf#page=6","Abrir facsímil")</f>
        <v>Abrir facsímil</v>
      </c>
      <c r="K2928" s="3" t="s">
        <v>23</v>
      </c>
    </row>
    <row r="2929" spans="1:11" ht="42" customHeight="1">
      <c r="A2929" s="2" t="s">
        <v>6095</v>
      </c>
      <c r="B2929" s="2" t="s">
        <v>6096</v>
      </c>
      <c r="C2929" s="2" t="s">
        <v>111</v>
      </c>
      <c r="D2929" s="2" t="s">
        <v>18</v>
      </c>
      <c r="E2929" s="5">
        <v>-29199</v>
      </c>
      <c r="F2929" s="3" t="s">
        <v>1178</v>
      </c>
      <c r="G2929" s="3" t="s">
        <v>4793</v>
      </c>
      <c r="H2929" s="2" t="s">
        <v>21</v>
      </c>
      <c r="I2929" s="2" t="s">
        <v>6097</v>
      </c>
      <c r="J2929" s="3" t="str">
        <f>HYPERLINK("https://www.boe.es/gazeta/dias/1820/01/20/pdfs/GMD-1820-9.pdf#page=8","Abrir facsímil")</f>
        <v>Abrir facsímil</v>
      </c>
      <c r="K2929" s="3" t="s">
        <v>23</v>
      </c>
    </row>
    <row r="2930" spans="1:11" ht="42" customHeight="1">
      <c r="A2930" s="2" t="s">
        <v>6098</v>
      </c>
      <c r="B2930" s="2" t="s">
        <v>6099</v>
      </c>
      <c r="C2930" s="2" t="s">
        <v>17</v>
      </c>
      <c r="D2930" s="2" t="s">
        <v>18</v>
      </c>
      <c r="E2930" s="5">
        <v>-29155</v>
      </c>
      <c r="F2930" s="3" t="s">
        <v>2095</v>
      </c>
      <c r="G2930" s="3" t="s">
        <v>6100</v>
      </c>
      <c r="H2930" s="2" t="s">
        <v>21</v>
      </c>
      <c r="I2930" s="2" t="s">
        <v>6101</v>
      </c>
      <c r="J2930" s="3" t="str">
        <f>HYPERLINK("https://www.boe.es/gazeta/dias/1820/03/04/pdfs/GMD-1820-28.pdf#page=7","Abrir facsímil")</f>
        <v>Abrir facsímil</v>
      </c>
      <c r="K2930" s="3" t="s">
        <v>23</v>
      </c>
    </row>
    <row r="2931" spans="1:11" ht="42" customHeight="1">
      <c r="A2931" s="2" t="s">
        <v>6102</v>
      </c>
      <c r="B2931" s="2" t="s">
        <v>6102</v>
      </c>
      <c r="C2931" s="2" t="s">
        <v>111</v>
      </c>
      <c r="D2931" s="2" t="s">
        <v>18</v>
      </c>
      <c r="E2931" s="5">
        <v>-29045</v>
      </c>
      <c r="F2931" s="3" t="s">
        <v>155</v>
      </c>
      <c r="G2931" s="3" t="s">
        <v>295</v>
      </c>
      <c r="H2931" s="2" t="s">
        <v>21</v>
      </c>
      <c r="I2931" s="2" t="s">
        <v>6103</v>
      </c>
      <c r="J2931" s="3" t="str">
        <f>HYPERLINK("https://www.boe.es/gazeta/dias/1820/06/22/pdfs/GMD-1820-97.pdf#page=8","Abrir facsímil")</f>
        <v>Abrir facsímil</v>
      </c>
      <c r="K2931" s="3" t="s">
        <v>23</v>
      </c>
    </row>
    <row r="2932" spans="1:11" ht="42" customHeight="1">
      <c r="A2932" s="2" t="s">
        <v>6104</v>
      </c>
      <c r="B2932" s="2" t="s">
        <v>6104</v>
      </c>
      <c r="C2932" s="2" t="s">
        <v>35</v>
      </c>
      <c r="D2932" s="2" t="s">
        <v>36</v>
      </c>
      <c r="E2932" s="5">
        <v>-28931</v>
      </c>
      <c r="F2932" s="3" t="s">
        <v>724</v>
      </c>
      <c r="G2932" s="3" t="s">
        <v>43</v>
      </c>
      <c r="H2932" s="2" t="s">
        <v>21</v>
      </c>
      <c r="I2932" s="2" t="s">
        <v>6105</v>
      </c>
      <c r="J2932" s="3" t="str">
        <f>HYPERLINK("https://www.boe.es/gazeta/dias/1820/10/14/pdfs/GGB-1820-108.pdf#page=2","Abrir facsímil")</f>
        <v>Abrir facsímil</v>
      </c>
      <c r="K2932" s="3" t="s">
        <v>23</v>
      </c>
    </row>
    <row r="2933" spans="1:11" ht="42" customHeight="1">
      <c r="A2933" s="2" t="s">
        <v>6106</v>
      </c>
      <c r="B2933" s="2" t="s">
        <v>6106</v>
      </c>
      <c r="C2933" s="2" t="s">
        <v>26</v>
      </c>
      <c r="D2933" s="2" t="s">
        <v>27</v>
      </c>
      <c r="E2933" s="5">
        <v>-29023</v>
      </c>
      <c r="F2933" s="3" t="s">
        <v>1662</v>
      </c>
      <c r="G2933" s="3" t="s">
        <v>3662</v>
      </c>
      <c r="H2933" s="2" t="s">
        <v>21</v>
      </c>
      <c r="I2933" s="2" t="s">
        <v>6107</v>
      </c>
      <c r="J2933" s="3" t="str">
        <f>HYPERLINK("https://www.boe.es/gazeta/dias/1820/07/14/pdfs/GGB-1820-16.pdf#page=2","Abrir facsímil")</f>
        <v>Abrir facsímil</v>
      </c>
      <c r="K2933" s="3" t="s">
        <v>23</v>
      </c>
    </row>
    <row r="2934" spans="1:11" ht="42" customHeight="1">
      <c r="A2934" s="2" t="s">
        <v>6106</v>
      </c>
      <c r="B2934" s="2" t="s">
        <v>6106</v>
      </c>
      <c r="C2934" s="2" t="s">
        <v>17</v>
      </c>
      <c r="D2934" s="2" t="s">
        <v>18</v>
      </c>
      <c r="E2934" s="5">
        <v>-29022</v>
      </c>
      <c r="F2934" s="3" t="s">
        <v>1310</v>
      </c>
      <c r="G2934" s="3" t="s">
        <v>43</v>
      </c>
      <c r="H2934" s="2" t="s">
        <v>21</v>
      </c>
      <c r="I2934" s="2" t="s">
        <v>6108</v>
      </c>
      <c r="J2934" s="3" t="str">
        <f>HYPERLINK("https://www.boe.es/gazeta/dias/1820/07/15/pdfs/GGB-1820-17.pdf#page=2","Abrir facsímil")</f>
        <v>Abrir facsímil</v>
      </c>
      <c r="K2934" s="3" t="s">
        <v>23</v>
      </c>
    </row>
    <row r="2935" spans="1:11" ht="42" customHeight="1">
      <c r="A2935" s="2" t="s">
        <v>6109</v>
      </c>
      <c r="B2935" s="2" t="s">
        <v>6110</v>
      </c>
      <c r="C2935" s="2" t="s">
        <v>35</v>
      </c>
      <c r="D2935" s="2" t="s">
        <v>36</v>
      </c>
      <c r="E2935" s="5">
        <v>-28910</v>
      </c>
      <c r="F2935" s="3" t="s">
        <v>746</v>
      </c>
      <c r="G2935" s="3" t="s">
        <v>43</v>
      </c>
      <c r="H2935" s="2" t="s">
        <v>21</v>
      </c>
      <c r="I2935" s="2" t="s">
        <v>6111</v>
      </c>
      <c r="J2935" s="3" t="str">
        <f>HYPERLINK("https://www.boe.es/gazeta/dias/1820/11/04/pdfs/GGB-1820-129.pdf#page=2","Abrir facsímil")</f>
        <v>Abrir facsímil</v>
      </c>
      <c r="K2935" s="3" t="s">
        <v>23</v>
      </c>
    </row>
    <row r="2936" spans="1:11" ht="42" customHeight="1">
      <c r="A2936" s="2" t="s">
        <v>6112</v>
      </c>
      <c r="B2936" s="2" t="s">
        <v>6113</v>
      </c>
      <c r="C2936" s="2" t="s">
        <v>74</v>
      </c>
      <c r="D2936" s="2" t="s">
        <v>18</v>
      </c>
      <c r="E2936" s="5">
        <v>-28894</v>
      </c>
      <c r="F2936" s="3" t="s">
        <v>469</v>
      </c>
      <c r="G2936" s="3" t="s">
        <v>62</v>
      </c>
      <c r="H2936" s="2" t="s">
        <v>21</v>
      </c>
      <c r="I2936" s="2" t="s">
        <v>6114</v>
      </c>
      <c r="J2936" s="3" t="str">
        <f>HYPERLINK("https://www.boe.es/gazeta/dias/1820/11/20/pdfs/GGB-1820-147.pdf#page=3","Abrir facsímil")</f>
        <v>Abrir facsímil</v>
      </c>
      <c r="K2936" s="3" t="s">
        <v>23</v>
      </c>
    </row>
    <row r="2937" spans="1:11" ht="42" customHeight="1">
      <c r="A2937" s="2" t="s">
        <v>6115</v>
      </c>
      <c r="B2937" s="2" t="s">
        <v>6116</v>
      </c>
      <c r="C2937" s="2" t="s">
        <v>17</v>
      </c>
      <c r="D2937" s="2" t="s">
        <v>18</v>
      </c>
      <c r="E2937" s="5">
        <v>-28946</v>
      </c>
      <c r="F2937" s="3" t="s">
        <v>1055</v>
      </c>
      <c r="G2937" s="3" t="s">
        <v>4558</v>
      </c>
      <c r="H2937" s="2" t="s">
        <v>21</v>
      </c>
      <c r="I2937" s="2" t="s">
        <v>6117</v>
      </c>
      <c r="J2937" s="3" t="str">
        <f>HYPERLINK("https://www.boe.es/gazeta/dias/1820/09/29/pdfs/GGB-1820-93.pdf#page=3","Abrir facsímil")</f>
        <v>Abrir facsímil</v>
      </c>
      <c r="K2937" s="3" t="s">
        <v>23</v>
      </c>
    </row>
    <row r="2938" spans="1:11" ht="42" customHeight="1">
      <c r="A2938" s="2" t="s">
        <v>6118</v>
      </c>
      <c r="B2938" s="2" t="s">
        <v>6119</v>
      </c>
      <c r="C2938" s="2" t="s">
        <v>26</v>
      </c>
      <c r="D2938" s="2" t="s">
        <v>27</v>
      </c>
      <c r="E2938" s="5">
        <v>-28985</v>
      </c>
      <c r="F2938" s="3" t="s">
        <v>905</v>
      </c>
      <c r="G2938" s="3" t="s">
        <v>62</v>
      </c>
      <c r="H2938" s="2" t="s">
        <v>21</v>
      </c>
      <c r="I2938" s="2" t="s">
        <v>6120</v>
      </c>
      <c r="J2938" s="3" t="str">
        <f>HYPERLINK("https://www.boe.es/gazeta/dias/1820/08/21/pdfs/GGB-1820-54.pdf#page=3","Abrir facsímil")</f>
        <v>Abrir facsímil</v>
      </c>
      <c r="K2938" s="3" t="s">
        <v>23</v>
      </c>
    </row>
    <row r="2939" spans="1:11" ht="42" customHeight="1">
      <c r="A2939" s="2" t="s">
        <v>6121</v>
      </c>
      <c r="B2939" s="2" t="s">
        <v>6121</v>
      </c>
      <c r="C2939" s="2" t="s">
        <v>293</v>
      </c>
      <c r="D2939" s="2" t="s">
        <v>18</v>
      </c>
      <c r="E2939" s="5">
        <v>-28991</v>
      </c>
      <c r="F2939" s="3" t="s">
        <v>213</v>
      </c>
      <c r="G2939" s="3" t="s">
        <v>62</v>
      </c>
      <c r="H2939" s="2" t="s">
        <v>21</v>
      </c>
      <c r="I2939" s="2" t="s">
        <v>6122</v>
      </c>
      <c r="J2939" s="3" t="str">
        <f>HYPERLINK("https://www.boe.es/gazeta/dias/1820/08/15/pdfs/GGB-1820-48.pdf#page=3","Abrir facsímil")</f>
        <v>Abrir facsímil</v>
      </c>
      <c r="K2939" s="3" t="s">
        <v>23</v>
      </c>
    </row>
    <row r="2940" spans="1:11" ht="42" customHeight="1">
      <c r="A2940" s="2" t="s">
        <v>6123</v>
      </c>
      <c r="B2940" s="2" t="s">
        <v>6123</v>
      </c>
      <c r="C2940" s="2" t="s">
        <v>111</v>
      </c>
      <c r="D2940" s="2" t="s">
        <v>18</v>
      </c>
      <c r="E2940" s="5">
        <v>-28977</v>
      </c>
      <c r="F2940" s="3" t="s">
        <v>687</v>
      </c>
      <c r="G2940" s="3" t="s">
        <v>128</v>
      </c>
      <c r="H2940" s="2" t="s">
        <v>21</v>
      </c>
      <c r="I2940" s="2" t="s">
        <v>6124</v>
      </c>
      <c r="J2940" s="3" t="str">
        <f>HYPERLINK("https://www.boe.es/gazeta/dias/1820/08/29/pdfs/GGB-1820-62.pdf#page=1","Abrir facsímil")</f>
        <v>Abrir facsímil</v>
      </c>
      <c r="K2940" s="3" t="s">
        <v>23</v>
      </c>
    </row>
    <row r="2941" spans="1:11" ht="42" customHeight="1">
      <c r="A2941" s="2" t="s">
        <v>6125</v>
      </c>
      <c r="B2941" s="2" t="s">
        <v>6125</v>
      </c>
      <c r="C2941" s="2" t="s">
        <v>47</v>
      </c>
      <c r="D2941" s="2" t="s">
        <v>18</v>
      </c>
      <c r="E2941" s="5">
        <v>-28884</v>
      </c>
      <c r="F2941" s="3" t="s">
        <v>882</v>
      </c>
      <c r="G2941" s="3" t="s">
        <v>38</v>
      </c>
      <c r="H2941" s="2" t="s">
        <v>21</v>
      </c>
      <c r="I2941" s="2" t="s">
        <v>6126</v>
      </c>
      <c r="J2941" s="3" t="str">
        <f>HYPERLINK("https://www.boe.es/gazeta/dias/1820/11/30/pdfs/GGB-1820-157.pdf#page=6","Abrir facsímil")</f>
        <v>Abrir facsímil</v>
      </c>
      <c r="K2941" s="3" t="s">
        <v>23</v>
      </c>
    </row>
    <row r="2942" spans="1:11" ht="42" customHeight="1">
      <c r="A2942" s="2" t="s">
        <v>6127</v>
      </c>
      <c r="B2942" s="2" t="s">
        <v>6127</v>
      </c>
      <c r="C2942" s="2" t="s">
        <v>26</v>
      </c>
      <c r="D2942" s="2" t="s">
        <v>27</v>
      </c>
      <c r="E2942" s="5">
        <v>-28867</v>
      </c>
      <c r="F2942" s="3" t="s">
        <v>590</v>
      </c>
      <c r="G2942" s="3" t="s">
        <v>43</v>
      </c>
      <c r="H2942" s="2" t="s">
        <v>21</v>
      </c>
      <c r="I2942" s="2" t="s">
        <v>6128</v>
      </c>
      <c r="J2942" s="3" t="str">
        <f>HYPERLINK("https://www.boe.es/gazeta/dias/1820/12/17/pdfs/GGB-1820-174.pdf#page=2","Abrir facsímil")</f>
        <v>Abrir facsímil</v>
      </c>
      <c r="K2942" s="3" t="s">
        <v>23</v>
      </c>
    </row>
    <row r="2943" spans="1:11" ht="42" customHeight="1">
      <c r="A2943" s="2" t="s">
        <v>6127</v>
      </c>
      <c r="B2943" s="2" t="s">
        <v>6127</v>
      </c>
      <c r="C2943" s="2" t="s">
        <v>26</v>
      </c>
      <c r="D2943" s="2" t="s">
        <v>27</v>
      </c>
      <c r="E2943" s="5">
        <v>-28862</v>
      </c>
      <c r="F2943" s="3" t="s">
        <v>1905</v>
      </c>
      <c r="G2943" s="3" t="s">
        <v>43</v>
      </c>
      <c r="H2943" s="2" t="s">
        <v>21</v>
      </c>
      <c r="I2943" s="2" t="s">
        <v>6129</v>
      </c>
      <c r="J2943" s="3" t="str">
        <f>HYPERLINK("https://www.boe.es/gazeta/dias/1820/12/22/pdfs/GGB-1820-179.pdf#page=2","Abrir facsímil")</f>
        <v>Abrir facsímil</v>
      </c>
      <c r="K2943" s="3" t="s">
        <v>23</v>
      </c>
    </row>
    <row r="2944" spans="1:11" ht="42" customHeight="1">
      <c r="A2944" s="2" t="s">
        <v>6130</v>
      </c>
      <c r="B2944" s="2" t="s">
        <v>6131</v>
      </c>
      <c r="C2944" s="2" t="s">
        <v>26</v>
      </c>
      <c r="D2944" s="2" t="s">
        <v>310</v>
      </c>
      <c r="E2944" s="5">
        <v>-29150</v>
      </c>
      <c r="F2944" s="3" t="s">
        <v>4978</v>
      </c>
      <c r="G2944" s="3" t="s">
        <v>128</v>
      </c>
      <c r="H2944" s="2" t="s">
        <v>21</v>
      </c>
      <c r="I2944" s="2" t="s">
        <v>6132</v>
      </c>
      <c r="J2944" s="3" t="str">
        <f>HYPERLINK("https://www.boe.es/gazeta/dias/1820/03/09/pdfs/GMD-1820-34E.pdf#page=1","Abrir facsímil")</f>
        <v>Abrir facsímil</v>
      </c>
      <c r="K2944" s="3" t="s">
        <v>23</v>
      </c>
    </row>
    <row r="2945" spans="1:11" ht="42" customHeight="1">
      <c r="A2945" s="2" t="s">
        <v>6133</v>
      </c>
      <c r="B2945" s="2" t="s">
        <v>6133</v>
      </c>
      <c r="C2945" s="2" t="s">
        <v>17</v>
      </c>
      <c r="D2945" s="2" t="s">
        <v>18</v>
      </c>
      <c r="E2945" s="5">
        <v>-28892</v>
      </c>
      <c r="F2945" s="3" t="s">
        <v>3036</v>
      </c>
      <c r="G2945" s="3" t="s">
        <v>43</v>
      </c>
      <c r="H2945" s="2" t="s">
        <v>21</v>
      </c>
      <c r="I2945" s="2" t="s">
        <v>6134</v>
      </c>
      <c r="J2945" s="3" t="str">
        <f>HYPERLINK("https://www.boe.es/gazeta/dias/1820/11/22/pdfs/GGB-1820-149.pdf#page=2","Abrir facsímil")</f>
        <v>Abrir facsímil</v>
      </c>
      <c r="K2945" s="3" t="s">
        <v>23</v>
      </c>
    </row>
    <row r="2946" spans="1:11" ht="42" customHeight="1">
      <c r="A2946" s="2" t="s">
        <v>6135</v>
      </c>
      <c r="B2946" s="2" t="s">
        <v>6135</v>
      </c>
      <c r="C2946" s="2" t="s">
        <v>35</v>
      </c>
      <c r="D2946" s="2" t="s">
        <v>36</v>
      </c>
      <c r="E2946" s="5">
        <v>-29023</v>
      </c>
      <c r="F2946" s="3" t="s">
        <v>1662</v>
      </c>
      <c r="G2946" s="3" t="s">
        <v>128</v>
      </c>
      <c r="H2946" s="2" t="s">
        <v>21</v>
      </c>
      <c r="I2946" s="2" t="s">
        <v>6136</v>
      </c>
      <c r="J2946" s="3" t="str">
        <f>HYPERLINK("https://www.boe.es/gazeta/dias/1820/07/14/pdfs/GGB-1820-16.pdf#page=1","Abrir facsímil")</f>
        <v>Abrir facsímil</v>
      </c>
      <c r="K2946" s="3" t="s">
        <v>23</v>
      </c>
    </row>
    <row r="2947" spans="1:11" ht="42" customHeight="1">
      <c r="A2947" s="2" t="s">
        <v>6135</v>
      </c>
      <c r="B2947" s="2" t="s">
        <v>6135</v>
      </c>
      <c r="C2947" s="2" t="s">
        <v>35</v>
      </c>
      <c r="D2947" s="2" t="s">
        <v>36</v>
      </c>
      <c r="E2947" s="5">
        <v>-29021</v>
      </c>
      <c r="F2947" s="3" t="s">
        <v>377</v>
      </c>
      <c r="G2947" s="3" t="s">
        <v>128</v>
      </c>
      <c r="H2947" s="2" t="s">
        <v>21</v>
      </c>
      <c r="I2947" s="2" t="s">
        <v>6137</v>
      </c>
      <c r="J2947" s="3" t="str">
        <f>HYPERLINK("https://www.boe.es/gazeta/dias/1820/07/16/pdfs/GGB-1820-18.pdf#page=1","Abrir facsímil")</f>
        <v>Abrir facsímil</v>
      </c>
      <c r="K2947" s="3" t="s">
        <v>23</v>
      </c>
    </row>
    <row r="2948" spans="1:11" ht="42" customHeight="1">
      <c r="A2948" s="2" t="s">
        <v>6135</v>
      </c>
      <c r="B2948" s="2" t="s">
        <v>6135</v>
      </c>
      <c r="C2948" s="2" t="s">
        <v>35</v>
      </c>
      <c r="D2948" s="2" t="s">
        <v>36</v>
      </c>
      <c r="E2948" s="5">
        <v>-29013</v>
      </c>
      <c r="F2948" s="3" t="s">
        <v>52</v>
      </c>
      <c r="G2948" s="3" t="s">
        <v>128</v>
      </c>
      <c r="H2948" s="2" t="s">
        <v>21</v>
      </c>
      <c r="I2948" s="2" t="s">
        <v>6138</v>
      </c>
      <c r="J2948" s="3" t="str">
        <f>HYPERLINK("https://www.boe.es/gazeta/dias/1820/07/24/pdfs/GGB-1820-26.pdf#page=1","Abrir facsímil")</f>
        <v>Abrir facsímil</v>
      </c>
      <c r="K2948" s="3" t="s">
        <v>23</v>
      </c>
    </row>
    <row r="2949" spans="1:11" ht="42" customHeight="1">
      <c r="A2949" s="2" t="s">
        <v>6135</v>
      </c>
      <c r="B2949" s="2" t="s">
        <v>6135</v>
      </c>
      <c r="C2949" s="2" t="s">
        <v>17</v>
      </c>
      <c r="D2949" s="2" t="s">
        <v>18</v>
      </c>
      <c r="E2949" s="5">
        <v>-29010</v>
      </c>
      <c r="F2949" s="3" t="s">
        <v>664</v>
      </c>
      <c r="G2949" s="3" t="s">
        <v>128</v>
      </c>
      <c r="H2949" s="2" t="s">
        <v>21</v>
      </c>
      <c r="I2949" s="2" t="s">
        <v>6139</v>
      </c>
      <c r="J2949" s="3" t="str">
        <f>HYPERLINK("https://www.boe.es/gazeta/dias/1820/07/27/pdfs/GGB-1820-29.pdf#page=1","Abrir facsímil")</f>
        <v>Abrir facsímil</v>
      </c>
      <c r="K2949" s="3" t="s">
        <v>23</v>
      </c>
    </row>
    <row r="2950" spans="1:11" ht="42" customHeight="1">
      <c r="A2950" s="2" t="s">
        <v>6135</v>
      </c>
      <c r="B2950" s="2" t="s">
        <v>6135</v>
      </c>
      <c r="C2950" s="2" t="s">
        <v>293</v>
      </c>
      <c r="D2950" s="2" t="s">
        <v>18</v>
      </c>
      <c r="E2950" s="5">
        <v>-28972</v>
      </c>
      <c r="F2950" s="3" t="s">
        <v>522</v>
      </c>
      <c r="G2950" s="3" t="s">
        <v>128</v>
      </c>
      <c r="H2950" s="2" t="s">
        <v>21</v>
      </c>
      <c r="I2950" s="2" t="s">
        <v>6140</v>
      </c>
      <c r="J2950" s="3" t="str">
        <f>HYPERLINK("https://www.boe.es/gazeta/dias/1820/09/03/pdfs/GGB-1820-67.pdf#page=1","Abrir facsímil")</f>
        <v>Abrir facsímil</v>
      </c>
      <c r="K2950" s="3" t="s">
        <v>23</v>
      </c>
    </row>
    <row r="2951" spans="1:11" ht="42" customHeight="1">
      <c r="A2951" s="2" t="s">
        <v>6135</v>
      </c>
      <c r="B2951" s="2" t="s">
        <v>6135</v>
      </c>
      <c r="C2951" s="2" t="s">
        <v>74</v>
      </c>
      <c r="D2951" s="2" t="s">
        <v>18</v>
      </c>
      <c r="E2951" s="5">
        <v>-28972</v>
      </c>
      <c r="F2951" s="3" t="s">
        <v>522</v>
      </c>
      <c r="G2951" s="3" t="s">
        <v>43</v>
      </c>
      <c r="H2951" s="2" t="s">
        <v>21</v>
      </c>
      <c r="I2951" s="2" t="s">
        <v>6141</v>
      </c>
      <c r="J2951" s="3" t="str">
        <f>HYPERLINK("https://www.boe.es/gazeta/dias/1820/09/03/pdfs/GGB-1820-67.pdf#page=2","Abrir facsímil")</f>
        <v>Abrir facsímil</v>
      </c>
      <c r="K2951" s="3" t="s">
        <v>23</v>
      </c>
    </row>
    <row r="2952" spans="1:11" ht="42" customHeight="1">
      <c r="A2952" s="2" t="s">
        <v>6135</v>
      </c>
      <c r="B2952" s="2" t="s">
        <v>6135</v>
      </c>
      <c r="C2952" s="2" t="s">
        <v>26</v>
      </c>
      <c r="D2952" s="2" t="s">
        <v>27</v>
      </c>
      <c r="E2952" s="5">
        <v>-28963</v>
      </c>
      <c r="F2952" s="3" t="s">
        <v>94</v>
      </c>
      <c r="G2952" s="3" t="s">
        <v>128</v>
      </c>
      <c r="H2952" s="2" t="s">
        <v>21</v>
      </c>
      <c r="I2952" s="2" t="s">
        <v>6142</v>
      </c>
      <c r="J2952" s="3" t="str">
        <f>HYPERLINK("https://www.boe.es/gazeta/dias/1820/09/12/pdfs/GGB-1820-76.pdf#page=1","Abrir facsímil")</f>
        <v>Abrir facsímil</v>
      </c>
      <c r="K2952" s="3" t="s">
        <v>23</v>
      </c>
    </row>
    <row r="2953" spans="1:11" ht="42" customHeight="1">
      <c r="A2953" s="2" t="s">
        <v>6135</v>
      </c>
      <c r="B2953" s="2" t="s">
        <v>6135</v>
      </c>
      <c r="C2953" s="2" t="s">
        <v>74</v>
      </c>
      <c r="D2953" s="2" t="s">
        <v>18</v>
      </c>
      <c r="E2953" s="5">
        <v>-28905</v>
      </c>
      <c r="F2953" s="3" t="s">
        <v>749</v>
      </c>
      <c r="G2953" s="3" t="s">
        <v>43</v>
      </c>
      <c r="H2953" s="2" t="s">
        <v>21</v>
      </c>
      <c r="I2953" s="2" t="s">
        <v>6143</v>
      </c>
      <c r="J2953" s="3" t="str">
        <f>HYPERLINK("https://www.boe.es/gazeta/dias/1820/11/09/pdfs/GGB-1820-134.pdf#page=2","Abrir facsímil")</f>
        <v>Abrir facsímil</v>
      </c>
      <c r="K2953" s="3" t="s">
        <v>23</v>
      </c>
    </row>
    <row r="2954" spans="1:11" ht="42" customHeight="1">
      <c r="A2954" s="2" t="s">
        <v>6135</v>
      </c>
      <c r="B2954" s="2" t="s">
        <v>6135</v>
      </c>
      <c r="C2954" s="2" t="s">
        <v>26</v>
      </c>
      <c r="D2954" s="2" t="s">
        <v>27</v>
      </c>
      <c r="E2954" s="5">
        <v>-28895</v>
      </c>
      <c r="F2954" s="3" t="s">
        <v>347</v>
      </c>
      <c r="G2954" s="3" t="s">
        <v>2318</v>
      </c>
      <c r="H2954" s="2" t="s">
        <v>21</v>
      </c>
      <c r="I2954" s="2" t="s">
        <v>6144</v>
      </c>
      <c r="J2954" s="3" t="str">
        <f>HYPERLINK("https://www.boe.es/gazeta/dias/1820/11/19/pdfs/GGB-1820-146.pdf#page=2","Abrir facsímil")</f>
        <v>Abrir facsímil</v>
      </c>
      <c r="K2954" s="3" t="s">
        <v>23</v>
      </c>
    </row>
    <row r="2955" spans="1:11" ht="42" customHeight="1">
      <c r="A2955" s="2" t="s">
        <v>6135</v>
      </c>
      <c r="B2955" s="2" t="s">
        <v>6135</v>
      </c>
      <c r="C2955" s="2" t="s">
        <v>35</v>
      </c>
      <c r="D2955" s="2" t="s">
        <v>36</v>
      </c>
      <c r="E2955" s="5">
        <v>-28885</v>
      </c>
      <c r="F2955" s="3" t="s">
        <v>2588</v>
      </c>
      <c r="G2955" s="3" t="s">
        <v>128</v>
      </c>
      <c r="H2955" s="2" t="s">
        <v>21</v>
      </c>
      <c r="I2955" s="2" t="s">
        <v>6145</v>
      </c>
      <c r="J2955" s="3" t="str">
        <f>HYPERLINK("https://www.boe.es/gazeta/dias/1820/11/29/pdfs/GGB-1820-156.pdf#page=1","Abrir facsímil")</f>
        <v>Abrir facsímil</v>
      </c>
      <c r="K2955" s="3" t="s">
        <v>23</v>
      </c>
    </row>
    <row r="2956" spans="1:11" ht="42" customHeight="1">
      <c r="A2956" s="2" t="s">
        <v>6135</v>
      </c>
      <c r="B2956" s="2" t="s">
        <v>6135</v>
      </c>
      <c r="C2956" s="2" t="s">
        <v>17</v>
      </c>
      <c r="D2956" s="2" t="s">
        <v>18</v>
      </c>
      <c r="E2956" s="5">
        <v>-28875</v>
      </c>
      <c r="F2956" s="3" t="s">
        <v>2737</v>
      </c>
      <c r="G2956" s="3" t="s">
        <v>43</v>
      </c>
      <c r="H2956" s="2" t="s">
        <v>21</v>
      </c>
      <c r="I2956" s="2" t="s">
        <v>6146</v>
      </c>
      <c r="J2956" s="3" t="str">
        <f>HYPERLINK("https://www.boe.es/gazeta/dias/1820/12/09/pdfs/GGB-1820-166.pdf#page=2","Abrir facsímil")</f>
        <v>Abrir facsímil</v>
      </c>
      <c r="K2956" s="3" t="s">
        <v>23</v>
      </c>
    </row>
    <row r="2957" spans="1:11" ht="42" customHeight="1">
      <c r="A2957" s="2" t="s">
        <v>6135</v>
      </c>
      <c r="B2957" s="2" t="s">
        <v>6135</v>
      </c>
      <c r="C2957" s="2" t="s">
        <v>35</v>
      </c>
      <c r="D2957" s="2" t="s">
        <v>36</v>
      </c>
      <c r="E2957" s="5">
        <v>-28861</v>
      </c>
      <c r="F2957" s="3" t="s">
        <v>894</v>
      </c>
      <c r="G2957" s="3" t="s">
        <v>43</v>
      </c>
      <c r="H2957" s="2" t="s">
        <v>21</v>
      </c>
      <c r="I2957" s="2" t="s">
        <v>6147</v>
      </c>
      <c r="J2957" s="3" t="str">
        <f>HYPERLINK("https://www.boe.es/gazeta/dias/1820/12/23/pdfs/GGB-1820-180.pdf#page=2","Abrir facsímil")</f>
        <v>Abrir facsímil</v>
      </c>
      <c r="K2957" s="3" t="s">
        <v>23</v>
      </c>
    </row>
    <row r="2958" spans="1:11" ht="42" customHeight="1">
      <c r="A2958" s="2" t="s">
        <v>6148</v>
      </c>
      <c r="B2958" s="2" t="s">
        <v>6148</v>
      </c>
      <c r="C2958" s="2" t="s">
        <v>26</v>
      </c>
      <c r="D2958" s="2" t="s">
        <v>27</v>
      </c>
      <c r="E2958" s="5">
        <v>-28859</v>
      </c>
      <c r="F2958" s="3" t="s">
        <v>265</v>
      </c>
      <c r="G2958" s="3" t="s">
        <v>62</v>
      </c>
      <c r="H2958" s="2" t="s">
        <v>21</v>
      </c>
      <c r="I2958" s="2" t="s">
        <v>6149</v>
      </c>
      <c r="J2958" s="3" t="str">
        <f>HYPERLINK("https://www.boe.es/gazeta/dias/1820/12/25/pdfs/GGB-1820-182.pdf#page=3","Abrir facsímil")</f>
        <v>Abrir facsímil</v>
      </c>
      <c r="K2958" s="3" t="s">
        <v>23</v>
      </c>
    </row>
    <row r="2959" spans="1:11" ht="42" customHeight="1">
      <c r="A2959" s="2" t="s">
        <v>6150</v>
      </c>
      <c r="B2959" s="2" t="s">
        <v>6151</v>
      </c>
      <c r="C2959" s="2" t="s">
        <v>17</v>
      </c>
      <c r="D2959" s="2" t="s">
        <v>18</v>
      </c>
      <c r="E2959" s="5">
        <v>-28960</v>
      </c>
      <c r="F2959" s="3" t="s">
        <v>704</v>
      </c>
      <c r="G2959" s="3" t="s">
        <v>43</v>
      </c>
      <c r="H2959" s="2" t="s">
        <v>21</v>
      </c>
      <c r="I2959" s="2" t="s">
        <v>6152</v>
      </c>
      <c r="J2959" s="3" t="str">
        <f>HYPERLINK("https://www.boe.es/gazeta/dias/1820/09/15/pdfs/GGB-1820-79.pdf#page=2","Abrir facsímil")</f>
        <v>Abrir facsímil</v>
      </c>
      <c r="K2959" s="3" t="s">
        <v>23</v>
      </c>
    </row>
    <row r="2960" spans="1:11" ht="42" customHeight="1">
      <c r="A2960" s="2" t="s">
        <v>6153</v>
      </c>
      <c r="B2960" s="2" t="s">
        <v>6154</v>
      </c>
      <c r="C2960" s="2" t="s">
        <v>26</v>
      </c>
      <c r="D2960" s="2" t="s">
        <v>27</v>
      </c>
      <c r="E2960" s="5">
        <v>-29136</v>
      </c>
      <c r="F2960" s="3" t="s">
        <v>2972</v>
      </c>
      <c r="G2960" s="3" t="s">
        <v>256</v>
      </c>
      <c r="H2960" s="2" t="s">
        <v>21</v>
      </c>
      <c r="I2960" s="2" t="s">
        <v>6155</v>
      </c>
      <c r="J2960" s="3" t="str">
        <f>HYPERLINK("https://www.boe.es/gazeta/dias/1820/03/23/pdfs/GMD-1820-51.pdf#page=5","Abrir facsímil")</f>
        <v>Abrir facsímil</v>
      </c>
      <c r="K2960" s="3" t="s">
        <v>23</v>
      </c>
    </row>
    <row r="2961" spans="1:11" ht="42" customHeight="1">
      <c r="A2961" s="2" t="s">
        <v>6156</v>
      </c>
      <c r="B2961" s="2" t="s">
        <v>6156</v>
      </c>
      <c r="C2961" s="2" t="s">
        <v>26</v>
      </c>
      <c r="D2961" s="2" t="s">
        <v>27</v>
      </c>
      <c r="E2961" s="5">
        <v>-29194</v>
      </c>
      <c r="F2961" s="3" t="s">
        <v>416</v>
      </c>
      <c r="G2961" s="3" t="s">
        <v>62</v>
      </c>
      <c r="H2961" s="2" t="s">
        <v>21</v>
      </c>
      <c r="I2961" s="2" t="s">
        <v>6157</v>
      </c>
      <c r="J2961" s="3" t="str">
        <f>HYPERLINK("https://www.boe.es/gazeta/dias/1820/01/25/pdfs/GMD-1820-11.pdf#page=3","Abrir facsímil")</f>
        <v>Abrir facsímil</v>
      </c>
      <c r="K2961" s="3" t="s">
        <v>23</v>
      </c>
    </row>
    <row r="2962" spans="1:11" ht="42" customHeight="1">
      <c r="A2962" s="2" t="s">
        <v>6158</v>
      </c>
      <c r="B2962" s="2" t="s">
        <v>6158</v>
      </c>
      <c r="C2962" s="2" t="s">
        <v>17</v>
      </c>
      <c r="D2962" s="2" t="s">
        <v>18</v>
      </c>
      <c r="E2962" s="5">
        <v>-29143</v>
      </c>
      <c r="F2962" s="3" t="s">
        <v>334</v>
      </c>
      <c r="G2962" s="3" t="s">
        <v>43</v>
      </c>
      <c r="H2962" s="2" t="s">
        <v>21</v>
      </c>
      <c r="I2962" s="2" t="s">
        <v>6159</v>
      </c>
      <c r="J2962" s="3" t="str">
        <f>HYPERLINK("https://www.boe.es/gazeta/dias/1820/03/16/pdfs/GMD-1820-42.pdf#page=2","Abrir facsímil")</f>
        <v>Abrir facsímil</v>
      </c>
      <c r="K2962" s="3" t="s">
        <v>23</v>
      </c>
    </row>
    <row r="2963" spans="1:11" ht="42" customHeight="1">
      <c r="A2963" s="2" t="s">
        <v>6160</v>
      </c>
      <c r="B2963" s="2" t="s">
        <v>6160</v>
      </c>
      <c r="C2963" s="2" t="s">
        <v>35</v>
      </c>
      <c r="D2963" s="2" t="s">
        <v>36</v>
      </c>
      <c r="E2963" s="5">
        <v>-29143</v>
      </c>
      <c r="F2963" s="3" t="s">
        <v>334</v>
      </c>
      <c r="G2963" s="3" t="s">
        <v>62</v>
      </c>
      <c r="H2963" s="2" t="s">
        <v>21</v>
      </c>
      <c r="I2963" s="2" t="s">
        <v>6161</v>
      </c>
      <c r="J2963" s="3" t="str">
        <f>HYPERLINK("https://www.boe.es/gazeta/dias/1820/03/16/pdfs/GMD-1820-42.pdf#page=3","Abrir facsímil")</f>
        <v>Abrir facsímil</v>
      </c>
      <c r="K2963" s="3" t="s">
        <v>23</v>
      </c>
    </row>
    <row r="2964" spans="1:11" ht="42" customHeight="1">
      <c r="A2964" s="2" t="s">
        <v>6162</v>
      </c>
      <c r="B2964" s="2" t="s">
        <v>6162</v>
      </c>
      <c r="C2964" s="2" t="s">
        <v>35</v>
      </c>
      <c r="D2964" s="2" t="s">
        <v>36</v>
      </c>
      <c r="E2964" s="5">
        <v>-29148</v>
      </c>
      <c r="F2964" s="3" t="s">
        <v>493</v>
      </c>
      <c r="G2964" s="3" t="s">
        <v>1805</v>
      </c>
      <c r="H2964" s="2" t="s">
        <v>21</v>
      </c>
      <c r="I2964" s="2" t="s">
        <v>6163</v>
      </c>
      <c r="J2964" s="3" t="str">
        <f>HYPERLINK("https://www.boe.es/gazeta/dias/1820/03/11/pdfs/GMD-1820-36.pdf#page=5","Abrir facsímil")</f>
        <v>Abrir facsímil</v>
      </c>
      <c r="K2964" s="3" t="s">
        <v>23</v>
      </c>
    </row>
    <row r="2965" spans="1:11" ht="42" customHeight="1">
      <c r="A2965" s="2" t="s">
        <v>6164</v>
      </c>
      <c r="B2965" s="2" t="s">
        <v>6164</v>
      </c>
      <c r="C2965" s="2" t="s">
        <v>111</v>
      </c>
      <c r="D2965" s="2" t="s">
        <v>18</v>
      </c>
      <c r="E2965" s="5">
        <v>-28934</v>
      </c>
      <c r="F2965" s="3" t="s">
        <v>163</v>
      </c>
      <c r="G2965" s="3" t="s">
        <v>20</v>
      </c>
      <c r="H2965" s="2" t="s">
        <v>21</v>
      </c>
      <c r="I2965" s="2" t="s">
        <v>6165</v>
      </c>
      <c r="J2965" s="3" t="str">
        <f>HYPERLINK("https://www.boe.es/gazeta/dias/1820/10/11/pdfs/GGB-1820-105.pdf#page=4","Abrir facsímil")</f>
        <v>Abrir facsímil</v>
      </c>
      <c r="K2965" s="3" t="s">
        <v>23</v>
      </c>
    </row>
    <row r="2966" spans="1:11" ht="42" customHeight="1">
      <c r="A2966" s="2" t="s">
        <v>6166</v>
      </c>
      <c r="B2966" s="2" t="s">
        <v>6167</v>
      </c>
      <c r="C2966" s="2" t="s">
        <v>293</v>
      </c>
      <c r="D2966" s="2" t="s">
        <v>18</v>
      </c>
      <c r="E2966" s="5">
        <v>-28895</v>
      </c>
      <c r="F2966" s="3" t="s">
        <v>347</v>
      </c>
      <c r="G2966" s="3" t="s">
        <v>20</v>
      </c>
      <c r="H2966" s="2" t="s">
        <v>21</v>
      </c>
      <c r="I2966" s="2" t="s">
        <v>6168</v>
      </c>
      <c r="J2966" s="3" t="str">
        <f>HYPERLINK("https://www.boe.es/gazeta/dias/1820/11/19/pdfs/GGB-1820-146.pdf#page=4","Abrir facsímil")</f>
        <v>Abrir facsímil</v>
      </c>
      <c r="K2966" s="3" t="s">
        <v>23</v>
      </c>
    </row>
    <row r="2967" spans="1:11" ht="42" customHeight="1">
      <c r="A2967" s="2" t="s">
        <v>6169</v>
      </c>
      <c r="B2967" s="2" t="s">
        <v>6170</v>
      </c>
      <c r="C2967" s="2" t="s">
        <v>293</v>
      </c>
      <c r="D2967" s="2" t="s">
        <v>18</v>
      </c>
      <c r="E2967" s="5">
        <v>-28979</v>
      </c>
      <c r="F2967" s="3" t="s">
        <v>218</v>
      </c>
      <c r="G2967" s="3" t="s">
        <v>62</v>
      </c>
      <c r="H2967" s="2" t="s">
        <v>30</v>
      </c>
      <c r="I2967" s="2" t="s">
        <v>6171</v>
      </c>
      <c r="J2967" s="3" t="str">
        <f>HYPERLINK("https://www.boe.es/gazeta/dias/1820/08/27/pdfs/GGB-1820-60.pdf#page=3","Abrir facsímil")</f>
        <v>Abrir facsímil</v>
      </c>
      <c r="K2967" s="3" t="s">
        <v>32</v>
      </c>
    </row>
    <row r="2968" spans="1:11" ht="42" customHeight="1">
      <c r="A2968" s="2" t="s">
        <v>6172</v>
      </c>
      <c r="B2968" s="2" t="s">
        <v>6173</v>
      </c>
      <c r="C2968" s="2" t="s">
        <v>35</v>
      </c>
      <c r="D2968" s="2" t="s">
        <v>36</v>
      </c>
      <c r="E2968" s="5">
        <v>-29150</v>
      </c>
      <c r="F2968" s="3" t="s">
        <v>299</v>
      </c>
      <c r="G2968" s="3" t="s">
        <v>300</v>
      </c>
      <c r="H2968" s="2" t="s">
        <v>21</v>
      </c>
      <c r="I2968" s="2" t="s">
        <v>6174</v>
      </c>
      <c r="J2968" s="3" t="str">
        <f>HYPERLINK("https://www.boe.es/gazeta/dias/1820/03/09/pdfs/GMD-1820-32.pdf#page=8","Abrir facsímil")</f>
        <v>Abrir facsímil</v>
      </c>
      <c r="K2968" s="3" t="s">
        <v>23</v>
      </c>
    </row>
    <row r="2969" spans="1:11" ht="42" customHeight="1">
      <c r="A2969" s="2" t="s">
        <v>6175</v>
      </c>
      <c r="B2969" s="2" t="s">
        <v>6176</v>
      </c>
      <c r="C2969" s="2" t="s">
        <v>35</v>
      </c>
      <c r="D2969" s="2" t="s">
        <v>36</v>
      </c>
      <c r="E2969" s="5">
        <v>-28985</v>
      </c>
      <c r="F2969" s="3" t="s">
        <v>905</v>
      </c>
      <c r="G2969" s="3" t="s">
        <v>928</v>
      </c>
      <c r="H2969" s="2" t="s">
        <v>30</v>
      </c>
      <c r="I2969" s="2" t="s">
        <v>6177</v>
      </c>
      <c r="J2969" s="3" t="str">
        <f>HYPERLINK("https://www.boe.es/gazeta/dias/1820/08/21/pdfs/GGB-1820-54.pdf#page=4","Abrir facsímil")</f>
        <v>Abrir facsímil</v>
      </c>
      <c r="K2969" s="3" t="s">
        <v>32</v>
      </c>
    </row>
    <row r="2970" spans="1:11" ht="42" customHeight="1">
      <c r="A2970" s="2" t="s">
        <v>6178</v>
      </c>
      <c r="B2970" s="2" t="s">
        <v>6179</v>
      </c>
      <c r="C2970" s="2" t="s">
        <v>17</v>
      </c>
      <c r="D2970" s="2" t="s">
        <v>18</v>
      </c>
      <c r="E2970" s="5">
        <v>-28931</v>
      </c>
      <c r="F2970" s="3" t="s">
        <v>724</v>
      </c>
      <c r="G2970" s="3" t="s">
        <v>20</v>
      </c>
      <c r="H2970" s="2" t="s">
        <v>21</v>
      </c>
      <c r="I2970" s="2" t="s">
        <v>6180</v>
      </c>
      <c r="J2970" s="3" t="str">
        <f>HYPERLINK("https://www.boe.es/gazeta/dias/1820/10/14/pdfs/GGB-1820-108.pdf#page=4","Abrir facsímil")</f>
        <v>Abrir facsímil</v>
      </c>
      <c r="K2970" s="3" t="s">
        <v>23</v>
      </c>
    </row>
    <row r="2971" spans="1:11" ht="42" customHeight="1">
      <c r="A2971" s="2" t="s">
        <v>6181</v>
      </c>
      <c r="B2971" s="2" t="s">
        <v>6182</v>
      </c>
      <c r="C2971" s="2" t="s">
        <v>17</v>
      </c>
      <c r="D2971" s="2" t="s">
        <v>18</v>
      </c>
      <c r="E2971" s="5">
        <v>-28977</v>
      </c>
      <c r="F2971" s="3" t="s">
        <v>687</v>
      </c>
      <c r="G2971" s="3" t="s">
        <v>20</v>
      </c>
      <c r="H2971" s="2" t="s">
        <v>21</v>
      </c>
      <c r="I2971" s="2" t="s">
        <v>6183</v>
      </c>
      <c r="J2971" s="3" t="str">
        <f>HYPERLINK("https://www.boe.es/gazeta/dias/1820/08/29/pdfs/GGB-1820-62.pdf#page=4","Abrir facsímil")</f>
        <v>Abrir facsímil</v>
      </c>
      <c r="K2971" s="3" t="s">
        <v>23</v>
      </c>
    </row>
    <row r="2972" spans="1:11" ht="42" customHeight="1">
      <c r="A2972" s="2" t="s">
        <v>6181</v>
      </c>
      <c r="B2972" s="2" t="s">
        <v>6182</v>
      </c>
      <c r="C2972" s="2" t="s">
        <v>111</v>
      </c>
      <c r="D2972" s="2" t="s">
        <v>18</v>
      </c>
      <c r="E2972" s="5">
        <v>-28943</v>
      </c>
      <c r="F2972" s="3" t="s">
        <v>1403</v>
      </c>
      <c r="G2972" s="3" t="s">
        <v>1710</v>
      </c>
      <c r="H2972" s="2" t="s">
        <v>21</v>
      </c>
      <c r="I2972" s="2" t="s">
        <v>6184</v>
      </c>
      <c r="J2972" s="3" t="str">
        <f>HYPERLINK("https://www.boe.es/gazeta/dias/1820/10/02/pdfs/GGB-1820-96.pdf#page=4","Abrir facsímil")</f>
        <v>Abrir facsímil</v>
      </c>
      <c r="K2972" s="3" t="s">
        <v>23</v>
      </c>
    </row>
    <row r="2973" spans="1:11" ht="42" customHeight="1">
      <c r="A2973" s="2" t="s">
        <v>6181</v>
      </c>
      <c r="B2973" s="2" t="s">
        <v>6182</v>
      </c>
      <c r="C2973" s="2" t="s">
        <v>35</v>
      </c>
      <c r="D2973" s="2" t="s">
        <v>36</v>
      </c>
      <c r="E2973" s="5">
        <v>-28873</v>
      </c>
      <c r="F2973" s="3" t="s">
        <v>4997</v>
      </c>
      <c r="G2973" s="3" t="s">
        <v>20</v>
      </c>
      <c r="H2973" s="2" t="s">
        <v>21</v>
      </c>
      <c r="I2973" s="2" t="s">
        <v>6185</v>
      </c>
      <c r="J2973" s="3" t="str">
        <f>HYPERLINK("https://www.boe.es/gazeta/dias/1820/12/11/pdfs/GGB-1820-168.pdf#page=4","Abrir facsímil")</f>
        <v>Abrir facsímil</v>
      </c>
      <c r="K2973" s="3" t="s">
        <v>23</v>
      </c>
    </row>
    <row r="2974" spans="1:11" ht="42" customHeight="1">
      <c r="A2974" s="2" t="s">
        <v>6186</v>
      </c>
      <c r="B2974" s="2" t="s">
        <v>6187</v>
      </c>
      <c r="C2974" s="2" t="s">
        <v>26</v>
      </c>
      <c r="D2974" s="2" t="s">
        <v>27</v>
      </c>
      <c r="E2974" s="5">
        <v>-28974</v>
      </c>
      <c r="F2974" s="3" t="s">
        <v>1144</v>
      </c>
      <c r="G2974" s="3" t="s">
        <v>1145</v>
      </c>
      <c r="H2974" s="2" t="s">
        <v>21</v>
      </c>
      <c r="I2974" s="2" t="s">
        <v>6188</v>
      </c>
      <c r="J2974" s="3" t="str">
        <f>HYPERLINK("https://www.boe.es/gazeta/dias/1820/09/01/pdfs/GGB-1820-65.pdf#page=4","Abrir facsímil")</f>
        <v>Abrir facsímil</v>
      </c>
      <c r="K2974" s="3" t="s">
        <v>23</v>
      </c>
    </row>
    <row r="2975" spans="1:11" ht="42" customHeight="1">
      <c r="A2975" s="2" t="s">
        <v>6189</v>
      </c>
      <c r="B2975" s="2" t="s">
        <v>6190</v>
      </c>
      <c r="C2975" s="2" t="s">
        <v>35</v>
      </c>
      <c r="D2975" s="2" t="s">
        <v>36</v>
      </c>
      <c r="E2975" s="5">
        <v>-29012</v>
      </c>
      <c r="F2975" s="3" t="s">
        <v>72</v>
      </c>
      <c r="G2975" s="3" t="s">
        <v>20</v>
      </c>
      <c r="H2975" s="2" t="s">
        <v>21</v>
      </c>
      <c r="I2975" s="2" t="s">
        <v>6191</v>
      </c>
      <c r="J2975" s="3" t="str">
        <f>HYPERLINK("https://www.boe.es/gazeta/dias/1820/07/25/pdfs/GGB-1820-27.pdf#page=4","Abrir facsímil")</f>
        <v>Abrir facsímil</v>
      </c>
      <c r="K2975" s="3" t="s">
        <v>23</v>
      </c>
    </row>
    <row r="2976" spans="1:11" ht="42" customHeight="1">
      <c r="A2976" s="2" t="s">
        <v>6192</v>
      </c>
      <c r="B2976" s="2" t="s">
        <v>6193</v>
      </c>
      <c r="C2976" s="2" t="s">
        <v>35</v>
      </c>
      <c r="D2976" s="2" t="s">
        <v>36</v>
      </c>
      <c r="E2976" s="5">
        <v>-29009</v>
      </c>
      <c r="F2976" s="3" t="s">
        <v>605</v>
      </c>
      <c r="G2976" s="3" t="s">
        <v>62</v>
      </c>
      <c r="H2976" s="2" t="s">
        <v>21</v>
      </c>
      <c r="I2976" s="2" t="s">
        <v>6194</v>
      </c>
      <c r="J2976" s="3" t="str">
        <f>HYPERLINK("https://www.boe.es/gazeta/dias/1820/07/28/pdfs/GGB-1820-30.pdf#page=3","Abrir facsímil")</f>
        <v>Abrir facsímil</v>
      </c>
      <c r="K2976" s="3" t="s">
        <v>23</v>
      </c>
    </row>
    <row r="2977" spans="1:11" ht="42" customHeight="1">
      <c r="A2977" s="2" t="s">
        <v>6195</v>
      </c>
      <c r="B2977" s="2" t="s">
        <v>6196</v>
      </c>
      <c r="C2977" s="2" t="s">
        <v>35</v>
      </c>
      <c r="D2977" s="2" t="s">
        <v>36</v>
      </c>
      <c r="E2977" s="5">
        <v>-28980</v>
      </c>
      <c r="F2977" s="3" t="s">
        <v>614</v>
      </c>
      <c r="G2977" s="3" t="s">
        <v>20</v>
      </c>
      <c r="H2977" s="2" t="s">
        <v>21</v>
      </c>
      <c r="I2977" s="2" t="s">
        <v>6197</v>
      </c>
      <c r="J2977" s="3" t="str">
        <f>HYPERLINK("https://www.boe.es/gazeta/dias/1820/08/26/pdfs/GGB-1820-59.pdf#page=4","Abrir facsímil")</f>
        <v>Abrir facsímil</v>
      </c>
      <c r="K2977" s="3" t="s">
        <v>23</v>
      </c>
    </row>
    <row r="2978" spans="1:11" ht="42" customHeight="1">
      <c r="A2978" s="2" t="s">
        <v>6195</v>
      </c>
      <c r="B2978" s="2" t="s">
        <v>6196</v>
      </c>
      <c r="C2978" s="2" t="s">
        <v>17</v>
      </c>
      <c r="D2978" s="2" t="s">
        <v>18</v>
      </c>
      <c r="E2978" s="5">
        <v>-28967</v>
      </c>
      <c r="F2978" s="3" t="s">
        <v>238</v>
      </c>
      <c r="G2978" s="3" t="s">
        <v>62</v>
      </c>
      <c r="H2978" s="2" t="s">
        <v>21</v>
      </c>
      <c r="I2978" s="2" t="s">
        <v>6198</v>
      </c>
      <c r="J2978" s="3" t="str">
        <f>HYPERLINK("https://www.boe.es/gazeta/dias/1820/09/08/pdfs/GGB-1820-72.pdf#page=3","Abrir facsímil")</f>
        <v>Abrir facsímil</v>
      </c>
      <c r="K2978" s="3" t="s">
        <v>23</v>
      </c>
    </row>
    <row r="2979" spans="1:11" ht="42" customHeight="1">
      <c r="A2979" s="2" t="s">
        <v>6195</v>
      </c>
      <c r="B2979" s="2" t="s">
        <v>6196</v>
      </c>
      <c r="C2979" s="2" t="s">
        <v>17</v>
      </c>
      <c r="D2979" s="2" t="s">
        <v>18</v>
      </c>
      <c r="E2979" s="5">
        <v>-28959</v>
      </c>
      <c r="F2979" s="3" t="s">
        <v>37</v>
      </c>
      <c r="G2979" s="3" t="s">
        <v>256</v>
      </c>
      <c r="H2979" s="2" t="s">
        <v>21</v>
      </c>
      <c r="I2979" s="2" t="s">
        <v>6199</v>
      </c>
      <c r="J2979" s="3" t="str">
        <f>HYPERLINK("https://www.boe.es/gazeta/dias/1820/09/16/pdfs/GGB-1820-80.pdf#page=5","Abrir facsímil")</f>
        <v>Abrir facsímil</v>
      </c>
      <c r="K2979" s="3" t="s">
        <v>23</v>
      </c>
    </row>
    <row r="2980" spans="1:11" ht="42" customHeight="1">
      <c r="A2980" s="2" t="s">
        <v>6195</v>
      </c>
      <c r="B2980" s="2" t="s">
        <v>6196</v>
      </c>
      <c r="C2980" s="2" t="s">
        <v>26</v>
      </c>
      <c r="D2980" s="2" t="s">
        <v>27</v>
      </c>
      <c r="E2980" s="5">
        <v>-28925</v>
      </c>
      <c r="F2980" s="3" t="s">
        <v>228</v>
      </c>
      <c r="G2980" s="3" t="s">
        <v>20</v>
      </c>
      <c r="H2980" s="2" t="s">
        <v>21</v>
      </c>
      <c r="I2980" s="2" t="s">
        <v>6200</v>
      </c>
      <c r="J2980" s="3" t="str">
        <f>HYPERLINK("https://www.boe.es/gazeta/dias/1820/10/20/pdfs/GGB-1820-114.pdf#page=4","Abrir facsímil")</f>
        <v>Abrir facsímil</v>
      </c>
      <c r="K2980" s="3" t="s">
        <v>23</v>
      </c>
    </row>
    <row r="2981" spans="1:11" ht="42" customHeight="1">
      <c r="A2981" s="2" t="s">
        <v>6201</v>
      </c>
      <c r="B2981" s="2" t="s">
        <v>6202</v>
      </c>
      <c r="C2981" s="2" t="s">
        <v>17</v>
      </c>
      <c r="D2981" s="2" t="s">
        <v>18</v>
      </c>
      <c r="E2981" s="5">
        <v>-28867</v>
      </c>
      <c r="F2981" s="3" t="s">
        <v>590</v>
      </c>
      <c r="G2981" s="3" t="s">
        <v>20</v>
      </c>
      <c r="H2981" s="2" t="s">
        <v>21</v>
      </c>
      <c r="I2981" s="2" t="s">
        <v>6203</v>
      </c>
      <c r="J2981" s="3" t="str">
        <f>HYPERLINK("https://www.boe.es/gazeta/dias/1820/12/17/pdfs/GGB-1820-174.pdf#page=4","Abrir facsímil")</f>
        <v>Abrir facsímil</v>
      </c>
      <c r="K2981" s="3" t="s">
        <v>23</v>
      </c>
    </row>
    <row r="2982" spans="1:11" ht="42" customHeight="1">
      <c r="A2982" s="2" t="s">
        <v>6204</v>
      </c>
      <c r="B2982" s="2" t="s">
        <v>6205</v>
      </c>
      <c r="C2982" s="2" t="s">
        <v>26</v>
      </c>
      <c r="D2982" s="2" t="s">
        <v>27</v>
      </c>
      <c r="E2982" s="5">
        <v>-28907</v>
      </c>
      <c r="F2982" s="3" t="s">
        <v>374</v>
      </c>
      <c r="G2982" s="3" t="s">
        <v>20</v>
      </c>
      <c r="H2982" s="2" t="s">
        <v>21</v>
      </c>
      <c r="I2982" s="2" t="s">
        <v>6206</v>
      </c>
      <c r="J2982" s="3" t="str">
        <f>HYPERLINK("https://www.boe.es/gazeta/dias/1820/11/07/pdfs/GGB-1820-132.pdf#page=4","Abrir facsímil")</f>
        <v>Abrir facsímil</v>
      </c>
      <c r="K2982" s="3" t="s">
        <v>23</v>
      </c>
    </row>
    <row r="2983" spans="1:11" ht="42" customHeight="1">
      <c r="A2983" s="2" t="s">
        <v>6207</v>
      </c>
      <c r="B2983" s="2" t="s">
        <v>6208</v>
      </c>
      <c r="C2983" s="2" t="s">
        <v>26</v>
      </c>
      <c r="D2983" s="2" t="s">
        <v>27</v>
      </c>
      <c r="E2983" s="5">
        <v>-28965</v>
      </c>
      <c r="F2983" s="3" t="s">
        <v>1520</v>
      </c>
      <c r="G2983" s="3" t="s">
        <v>62</v>
      </c>
      <c r="H2983" s="2" t="s">
        <v>21</v>
      </c>
      <c r="I2983" s="2" t="s">
        <v>6209</v>
      </c>
      <c r="J2983" s="3" t="str">
        <f>HYPERLINK("https://www.boe.es/gazeta/dias/1820/09/10/pdfs/GGB-1820-74.pdf#page=3","Abrir facsímil")</f>
        <v>Abrir facsímil</v>
      </c>
      <c r="K2983" s="3" t="s">
        <v>23</v>
      </c>
    </row>
    <row r="2984" spans="1:11" ht="42" customHeight="1">
      <c r="A2984" s="2" t="s">
        <v>6210</v>
      </c>
      <c r="B2984" s="2" t="s">
        <v>6211</v>
      </c>
      <c r="C2984" s="2" t="s">
        <v>26</v>
      </c>
      <c r="D2984" s="2" t="s">
        <v>27</v>
      </c>
      <c r="E2984" s="5">
        <v>-29009</v>
      </c>
      <c r="F2984" s="3" t="s">
        <v>605</v>
      </c>
      <c r="G2984" s="3" t="s">
        <v>62</v>
      </c>
      <c r="H2984" s="2" t="s">
        <v>21</v>
      </c>
      <c r="I2984" s="2" t="s">
        <v>6212</v>
      </c>
      <c r="J2984" s="3" t="str">
        <f>HYPERLINK("https://www.boe.es/gazeta/dias/1820/07/28/pdfs/GGB-1820-30.pdf#page=3","Abrir facsímil")</f>
        <v>Abrir facsímil</v>
      </c>
      <c r="K2984" s="3" t="s">
        <v>23</v>
      </c>
    </row>
    <row r="2985" spans="1:11" ht="42" customHeight="1">
      <c r="A2985" s="2" t="s">
        <v>6210</v>
      </c>
      <c r="B2985" s="2" t="s">
        <v>6211</v>
      </c>
      <c r="C2985" s="2" t="s">
        <v>26</v>
      </c>
      <c r="D2985" s="2" t="s">
        <v>27</v>
      </c>
      <c r="E2985" s="5">
        <v>-29008</v>
      </c>
      <c r="F2985" s="3" t="s">
        <v>2250</v>
      </c>
      <c r="G2985" s="3" t="s">
        <v>62</v>
      </c>
      <c r="H2985" s="2" t="s">
        <v>21</v>
      </c>
      <c r="I2985" s="2" t="s">
        <v>6213</v>
      </c>
      <c r="J2985" s="3" t="str">
        <f>HYPERLINK("https://www.boe.es/gazeta/dias/1820/07/29/pdfs/GGB-1820-31.pdf#page=3","Abrir facsímil")</f>
        <v>Abrir facsímil</v>
      </c>
      <c r="K2985" s="3" t="s">
        <v>23</v>
      </c>
    </row>
    <row r="2986" spans="1:11" ht="42" customHeight="1">
      <c r="A2986" s="2" t="s">
        <v>6210</v>
      </c>
      <c r="B2986" s="2" t="s">
        <v>6211</v>
      </c>
      <c r="C2986" s="2" t="s">
        <v>26</v>
      </c>
      <c r="D2986" s="2" t="s">
        <v>27</v>
      </c>
      <c r="E2986" s="5">
        <v>-29001</v>
      </c>
      <c r="F2986" s="3" t="s">
        <v>633</v>
      </c>
      <c r="G2986" s="3" t="s">
        <v>43</v>
      </c>
      <c r="H2986" s="2" t="s">
        <v>21</v>
      </c>
      <c r="I2986" s="2" t="s">
        <v>6214</v>
      </c>
      <c r="J2986" s="3" t="str">
        <f>HYPERLINK("https://www.boe.es/gazeta/dias/1820/08/05/pdfs/GGB-1820-38.pdf#page=2","Abrir facsímil")</f>
        <v>Abrir facsímil</v>
      </c>
      <c r="K2986" s="3" t="s">
        <v>23</v>
      </c>
    </row>
    <row r="2987" spans="1:11" ht="42" customHeight="1">
      <c r="A2987" s="2" t="s">
        <v>6210</v>
      </c>
      <c r="B2987" s="2" t="s">
        <v>6211</v>
      </c>
      <c r="C2987" s="2" t="s">
        <v>26</v>
      </c>
      <c r="D2987" s="2" t="s">
        <v>27</v>
      </c>
      <c r="E2987" s="5">
        <v>-28992</v>
      </c>
      <c r="F2987" s="3" t="s">
        <v>587</v>
      </c>
      <c r="G2987" s="3" t="s">
        <v>62</v>
      </c>
      <c r="H2987" s="2" t="s">
        <v>21</v>
      </c>
      <c r="I2987" s="2" t="s">
        <v>6215</v>
      </c>
      <c r="J2987" s="3" t="str">
        <f>HYPERLINK("https://www.boe.es/gazeta/dias/1820/08/14/pdfs/GGB-1820-47.pdf#page=3","Abrir facsímil")</f>
        <v>Abrir facsímil</v>
      </c>
      <c r="K2987" s="3" t="s">
        <v>23</v>
      </c>
    </row>
    <row r="2988" spans="1:11" ht="42" customHeight="1">
      <c r="A2988" s="2" t="s">
        <v>6210</v>
      </c>
      <c r="B2988" s="2" t="s">
        <v>6211</v>
      </c>
      <c r="C2988" s="2" t="s">
        <v>26</v>
      </c>
      <c r="D2988" s="2" t="s">
        <v>27</v>
      </c>
      <c r="E2988" s="5">
        <v>-28984</v>
      </c>
      <c r="F2988" s="3" t="s">
        <v>520</v>
      </c>
      <c r="G2988" s="3" t="s">
        <v>20</v>
      </c>
      <c r="H2988" s="2" t="s">
        <v>21</v>
      </c>
      <c r="I2988" s="2" t="s">
        <v>6216</v>
      </c>
      <c r="J2988" s="3" t="str">
        <f>HYPERLINK("https://www.boe.es/gazeta/dias/1820/08/22/pdfs/GGB-1820-55.pdf#page=4","Abrir facsímil")</f>
        <v>Abrir facsímil</v>
      </c>
      <c r="K2988" s="3" t="s">
        <v>23</v>
      </c>
    </row>
    <row r="2989" spans="1:11" ht="42" customHeight="1">
      <c r="A2989" s="2" t="s">
        <v>6210</v>
      </c>
      <c r="B2989" s="2" t="s">
        <v>6211</v>
      </c>
      <c r="C2989" s="2" t="s">
        <v>26</v>
      </c>
      <c r="D2989" s="2" t="s">
        <v>27</v>
      </c>
      <c r="E2989" s="5">
        <v>-28970</v>
      </c>
      <c r="F2989" s="3" t="s">
        <v>693</v>
      </c>
      <c r="G2989" s="3" t="s">
        <v>1678</v>
      </c>
      <c r="H2989" s="2" t="s">
        <v>21</v>
      </c>
      <c r="I2989" s="2" t="s">
        <v>6217</v>
      </c>
      <c r="J2989" s="3" t="str">
        <f>HYPERLINK("https://www.boe.es/gazeta/dias/1820/09/05/pdfs/GGB-1820-69.pdf#page=4","Abrir facsímil")</f>
        <v>Abrir facsímil</v>
      </c>
      <c r="K2989" s="3" t="s">
        <v>23</v>
      </c>
    </row>
    <row r="2990" spans="1:11" ht="42" customHeight="1">
      <c r="A2990" s="2" t="s">
        <v>6210</v>
      </c>
      <c r="B2990" s="2" t="s">
        <v>6211</v>
      </c>
      <c r="C2990" s="2" t="s">
        <v>26</v>
      </c>
      <c r="D2990" s="2" t="s">
        <v>27</v>
      </c>
      <c r="E2990" s="5">
        <v>-28970</v>
      </c>
      <c r="F2990" s="3" t="s">
        <v>693</v>
      </c>
      <c r="G2990" s="3" t="s">
        <v>128</v>
      </c>
      <c r="H2990" s="2" t="s">
        <v>21</v>
      </c>
      <c r="I2990" s="2" t="s">
        <v>6218</v>
      </c>
      <c r="J2990" s="3" t="str">
        <f>HYPERLINK("https://www.boe.es/gazeta/dias/1820/09/05/pdfs/GGB-1820-69.pdf#page=1","Abrir facsímil")</f>
        <v>Abrir facsímil</v>
      </c>
      <c r="K2990" s="3" t="s">
        <v>23</v>
      </c>
    </row>
    <row r="2991" spans="1:11" ht="42" customHeight="1">
      <c r="A2991" s="2" t="s">
        <v>6210</v>
      </c>
      <c r="B2991" s="2" t="s">
        <v>6211</v>
      </c>
      <c r="C2991" s="2" t="s">
        <v>26</v>
      </c>
      <c r="D2991" s="2" t="s">
        <v>27</v>
      </c>
      <c r="E2991" s="5">
        <v>-28970</v>
      </c>
      <c r="F2991" s="3" t="s">
        <v>693</v>
      </c>
      <c r="G2991" s="3" t="s">
        <v>43</v>
      </c>
      <c r="H2991" s="2" t="s">
        <v>21</v>
      </c>
      <c r="I2991" s="2" t="s">
        <v>6219</v>
      </c>
      <c r="J2991" s="3" t="str">
        <f>HYPERLINK("https://www.boe.es/gazeta/dias/1820/09/05/pdfs/GGB-1820-69.pdf#page=2","Abrir facsímil")</f>
        <v>Abrir facsímil</v>
      </c>
      <c r="K2991" s="3" t="s">
        <v>23</v>
      </c>
    </row>
    <row r="2992" spans="1:11" ht="42" customHeight="1">
      <c r="A2992" s="2" t="s">
        <v>6210</v>
      </c>
      <c r="B2992" s="2" t="s">
        <v>6211</v>
      </c>
      <c r="C2992" s="2" t="s">
        <v>26</v>
      </c>
      <c r="D2992" s="2" t="s">
        <v>27</v>
      </c>
      <c r="E2992" s="5">
        <v>-28970</v>
      </c>
      <c r="F2992" s="3" t="s">
        <v>693</v>
      </c>
      <c r="G2992" s="3" t="s">
        <v>62</v>
      </c>
      <c r="H2992" s="2" t="s">
        <v>21</v>
      </c>
      <c r="I2992" s="2" t="s">
        <v>6220</v>
      </c>
      <c r="J2992" s="3" t="str">
        <f>HYPERLINK("https://www.boe.es/gazeta/dias/1820/09/05/pdfs/GGB-1820-69.pdf#page=3","Abrir facsímil")</f>
        <v>Abrir facsímil</v>
      </c>
      <c r="K2992" s="3" t="s">
        <v>23</v>
      </c>
    </row>
    <row r="2993" spans="1:11" ht="42" customHeight="1">
      <c r="A2993" s="2" t="s">
        <v>6210</v>
      </c>
      <c r="B2993" s="2" t="s">
        <v>6211</v>
      </c>
      <c r="C2993" s="2" t="s">
        <v>26</v>
      </c>
      <c r="D2993" s="2" t="s">
        <v>27</v>
      </c>
      <c r="E2993" s="5">
        <v>-28959</v>
      </c>
      <c r="F2993" s="3" t="s">
        <v>37</v>
      </c>
      <c r="G2993" s="3" t="s">
        <v>256</v>
      </c>
      <c r="H2993" s="2" t="s">
        <v>21</v>
      </c>
      <c r="I2993" s="2" t="s">
        <v>6221</v>
      </c>
      <c r="J2993" s="3" t="str">
        <f>HYPERLINK("https://www.boe.es/gazeta/dias/1820/09/16/pdfs/GGB-1820-80.pdf#page=5","Abrir facsímil")</f>
        <v>Abrir facsímil</v>
      </c>
      <c r="K2993" s="3" t="s">
        <v>23</v>
      </c>
    </row>
    <row r="2994" spans="1:11" ht="42" customHeight="1">
      <c r="A2994" s="2" t="s">
        <v>6210</v>
      </c>
      <c r="B2994" s="2" t="s">
        <v>6211</v>
      </c>
      <c r="C2994" s="2" t="s">
        <v>26</v>
      </c>
      <c r="D2994" s="2" t="s">
        <v>27</v>
      </c>
      <c r="E2994" s="5">
        <v>-28944</v>
      </c>
      <c r="F2994" s="3" t="s">
        <v>990</v>
      </c>
      <c r="G2994" s="3" t="s">
        <v>62</v>
      </c>
      <c r="H2994" s="2" t="s">
        <v>21</v>
      </c>
      <c r="I2994" s="2" t="s">
        <v>6222</v>
      </c>
      <c r="J2994" s="3" t="str">
        <f>HYPERLINK("https://www.boe.es/gazeta/dias/1820/10/01/pdfs/GGB-1820-95.pdf#page=3","Abrir facsímil")</f>
        <v>Abrir facsímil</v>
      </c>
      <c r="K2994" s="3" t="s">
        <v>23</v>
      </c>
    </row>
    <row r="2995" spans="1:11" ht="42" customHeight="1">
      <c r="A2995" s="2" t="s">
        <v>6210</v>
      </c>
      <c r="B2995" s="2" t="s">
        <v>6211</v>
      </c>
      <c r="C2995" s="2" t="s">
        <v>26</v>
      </c>
      <c r="D2995" s="2" t="s">
        <v>27</v>
      </c>
      <c r="E2995" s="5">
        <v>-28942</v>
      </c>
      <c r="F2995" s="3" t="s">
        <v>244</v>
      </c>
      <c r="G2995" s="3" t="s">
        <v>20</v>
      </c>
      <c r="H2995" s="2" t="s">
        <v>21</v>
      </c>
      <c r="I2995" s="2" t="s">
        <v>6223</v>
      </c>
      <c r="J2995" s="3" t="str">
        <f>HYPERLINK("https://www.boe.es/gazeta/dias/1820/10/03/pdfs/GGB-1820-97.pdf#page=4","Abrir facsímil")</f>
        <v>Abrir facsímil</v>
      </c>
      <c r="K2995" s="3" t="s">
        <v>23</v>
      </c>
    </row>
    <row r="2996" spans="1:11" ht="42" customHeight="1">
      <c r="A2996" s="2" t="s">
        <v>6210</v>
      </c>
      <c r="B2996" s="2" t="s">
        <v>6211</v>
      </c>
      <c r="C2996" s="2" t="s">
        <v>26</v>
      </c>
      <c r="D2996" s="2" t="s">
        <v>27</v>
      </c>
      <c r="E2996" s="5">
        <v>-28936</v>
      </c>
      <c r="F2996" s="3" t="s">
        <v>167</v>
      </c>
      <c r="G2996" s="3" t="s">
        <v>20</v>
      </c>
      <c r="H2996" s="2" t="s">
        <v>21</v>
      </c>
      <c r="I2996" s="2" t="s">
        <v>6224</v>
      </c>
      <c r="J2996" s="3" t="str">
        <f>HYPERLINK("https://www.boe.es/gazeta/dias/1820/10/09/pdfs/GGB-1820-103.pdf#page=4","Abrir facsímil")</f>
        <v>Abrir facsímil</v>
      </c>
      <c r="K2996" s="3" t="s">
        <v>23</v>
      </c>
    </row>
    <row r="2997" spans="1:11" ht="42" customHeight="1">
      <c r="A2997" s="2" t="s">
        <v>6210</v>
      </c>
      <c r="B2997" s="2" t="s">
        <v>6211</v>
      </c>
      <c r="C2997" s="2" t="s">
        <v>26</v>
      </c>
      <c r="D2997" s="2" t="s">
        <v>27</v>
      </c>
      <c r="E2997" s="5">
        <v>-28933</v>
      </c>
      <c r="F2997" s="3" t="s">
        <v>720</v>
      </c>
      <c r="G2997" s="3" t="s">
        <v>43</v>
      </c>
      <c r="H2997" s="2" t="s">
        <v>21</v>
      </c>
      <c r="I2997" s="2" t="s">
        <v>6225</v>
      </c>
      <c r="J2997" s="3" t="str">
        <f>HYPERLINK("https://www.boe.es/gazeta/dias/1820/10/12/pdfs/GGB-1820-106.pdf#page=2","Abrir facsímil")</f>
        <v>Abrir facsímil</v>
      </c>
      <c r="K2997" s="3" t="s">
        <v>23</v>
      </c>
    </row>
    <row r="2998" spans="1:11" ht="42" customHeight="1">
      <c r="A2998" s="2" t="s">
        <v>6210</v>
      </c>
      <c r="B2998" s="2" t="s">
        <v>6211</v>
      </c>
      <c r="C2998" s="2" t="s">
        <v>26</v>
      </c>
      <c r="D2998" s="2" t="s">
        <v>27</v>
      </c>
      <c r="E2998" s="5">
        <v>-28933</v>
      </c>
      <c r="F2998" s="3" t="s">
        <v>720</v>
      </c>
      <c r="G2998" s="3" t="s">
        <v>20</v>
      </c>
      <c r="H2998" s="2" t="s">
        <v>21</v>
      </c>
      <c r="I2998" s="2" t="s">
        <v>6226</v>
      </c>
      <c r="J2998" s="3" t="str">
        <f>HYPERLINK("https://www.boe.es/gazeta/dias/1820/10/12/pdfs/GGB-1820-106.pdf#page=4","Abrir facsímil")</f>
        <v>Abrir facsímil</v>
      </c>
      <c r="K2998" s="3" t="s">
        <v>23</v>
      </c>
    </row>
    <row r="2999" spans="1:11" ht="42" customHeight="1">
      <c r="A2999" s="2" t="s">
        <v>6210</v>
      </c>
      <c r="B2999" s="2" t="s">
        <v>6211</v>
      </c>
      <c r="C2999" s="2" t="s">
        <v>26</v>
      </c>
      <c r="D2999" s="2" t="s">
        <v>27</v>
      </c>
      <c r="E2999" s="5">
        <v>-28929</v>
      </c>
      <c r="F2999" s="3" t="s">
        <v>728</v>
      </c>
      <c r="G2999" s="3" t="s">
        <v>43</v>
      </c>
      <c r="H2999" s="2" t="s">
        <v>21</v>
      </c>
      <c r="I2999" s="2" t="s">
        <v>6227</v>
      </c>
      <c r="J2999" s="3" t="str">
        <f>HYPERLINK("https://www.boe.es/gazeta/dias/1820/10/16/pdfs/GGB-1820-110.pdf#page=2","Abrir facsímil")</f>
        <v>Abrir facsímil</v>
      </c>
      <c r="K2999" s="3" t="s">
        <v>23</v>
      </c>
    </row>
    <row r="3000" spans="1:11" ht="42" customHeight="1">
      <c r="A3000" s="2" t="s">
        <v>6210</v>
      </c>
      <c r="B3000" s="2" t="s">
        <v>6211</v>
      </c>
      <c r="C3000" s="2" t="s">
        <v>26</v>
      </c>
      <c r="D3000" s="2" t="s">
        <v>27</v>
      </c>
      <c r="E3000" s="5">
        <v>-28929</v>
      </c>
      <c r="F3000" s="3" t="s">
        <v>728</v>
      </c>
      <c r="G3000" s="3" t="s">
        <v>62</v>
      </c>
      <c r="H3000" s="2" t="s">
        <v>21</v>
      </c>
      <c r="I3000" s="2" t="s">
        <v>6228</v>
      </c>
      <c r="J3000" s="3" t="str">
        <f>HYPERLINK("https://www.boe.es/gazeta/dias/1820/10/16/pdfs/GGB-1820-110.pdf#page=3","Abrir facsímil")</f>
        <v>Abrir facsímil</v>
      </c>
      <c r="K3000" s="3" t="s">
        <v>23</v>
      </c>
    </row>
    <row r="3001" spans="1:11" ht="42" customHeight="1">
      <c r="A3001" s="2" t="s">
        <v>6210</v>
      </c>
      <c r="B3001" s="2" t="s">
        <v>6211</v>
      </c>
      <c r="C3001" s="2" t="s">
        <v>26</v>
      </c>
      <c r="D3001" s="2" t="s">
        <v>27</v>
      </c>
      <c r="E3001" s="5">
        <v>-28928</v>
      </c>
      <c r="F3001" s="3" t="s">
        <v>86</v>
      </c>
      <c r="G3001" s="3" t="s">
        <v>62</v>
      </c>
      <c r="H3001" s="2" t="s">
        <v>21</v>
      </c>
      <c r="I3001" s="2" t="s">
        <v>6229</v>
      </c>
      <c r="J3001" s="3" t="str">
        <f>HYPERLINK("https://www.boe.es/gazeta/dias/1820/10/17/pdfs/GGB-1820-111.pdf#page=3","Abrir facsímil")</f>
        <v>Abrir facsímil</v>
      </c>
      <c r="K3001" s="3" t="s">
        <v>23</v>
      </c>
    </row>
    <row r="3002" spans="1:11" ht="42" customHeight="1">
      <c r="A3002" s="2" t="s">
        <v>6210</v>
      </c>
      <c r="B3002" s="2" t="s">
        <v>6211</v>
      </c>
      <c r="C3002" s="2" t="s">
        <v>26</v>
      </c>
      <c r="D3002" s="2" t="s">
        <v>27</v>
      </c>
      <c r="E3002" s="5">
        <v>-28915</v>
      </c>
      <c r="F3002" s="3" t="s">
        <v>525</v>
      </c>
      <c r="G3002" s="3" t="s">
        <v>62</v>
      </c>
      <c r="H3002" s="2" t="s">
        <v>21</v>
      </c>
      <c r="I3002" s="2" t="s">
        <v>6230</v>
      </c>
      <c r="J3002" s="3" t="str">
        <f>HYPERLINK("https://www.boe.es/gazeta/dias/1820/10/30/pdfs/GGB-1820-124.pdf#page=3","Abrir facsímil")</f>
        <v>Abrir facsímil</v>
      </c>
      <c r="K3002" s="3" t="s">
        <v>23</v>
      </c>
    </row>
    <row r="3003" spans="1:11" ht="42" customHeight="1">
      <c r="A3003" s="2" t="s">
        <v>6231</v>
      </c>
      <c r="B3003" s="2" t="s">
        <v>6232</v>
      </c>
      <c r="C3003" s="2" t="s">
        <v>26</v>
      </c>
      <c r="D3003" s="2" t="s">
        <v>27</v>
      </c>
      <c r="E3003" s="5">
        <v>-29054</v>
      </c>
      <c r="F3003" s="3" t="s">
        <v>481</v>
      </c>
      <c r="G3003" s="3" t="s">
        <v>6233</v>
      </c>
      <c r="H3003" s="2" t="s">
        <v>21</v>
      </c>
      <c r="I3003" s="2" t="s">
        <v>6234</v>
      </c>
      <c r="J3003" s="3" t="str">
        <f>HYPERLINK("https://www.boe.es/gazeta/dias/1820/06/13/pdfs/GMD-1820-93.pdf#page=9","Abrir facsímil")</f>
        <v>Abrir facsímil</v>
      </c>
      <c r="K3003" s="3" t="s">
        <v>23</v>
      </c>
    </row>
    <row r="3004" spans="1:11" ht="42" customHeight="1">
      <c r="A3004" s="2" t="s">
        <v>6235</v>
      </c>
      <c r="B3004" s="2" t="s">
        <v>6236</v>
      </c>
      <c r="C3004" s="2" t="s">
        <v>26</v>
      </c>
      <c r="D3004" s="2" t="s">
        <v>27</v>
      </c>
      <c r="E3004" s="5">
        <v>-29054</v>
      </c>
      <c r="F3004" s="3" t="s">
        <v>481</v>
      </c>
      <c r="G3004" s="3" t="s">
        <v>6233</v>
      </c>
      <c r="H3004" s="2" t="s">
        <v>21</v>
      </c>
      <c r="I3004" s="2" t="s">
        <v>6237</v>
      </c>
      <c r="J3004" s="3" t="str">
        <f>HYPERLINK("https://www.boe.es/gazeta/dias/1820/06/13/pdfs/GMD-1820-93.pdf#page=9","Abrir facsímil")</f>
        <v>Abrir facsímil</v>
      </c>
      <c r="K3004" s="3" t="s">
        <v>23</v>
      </c>
    </row>
    <row r="3005" spans="1:11" ht="42" customHeight="1">
      <c r="A3005" s="2" t="s">
        <v>6238</v>
      </c>
      <c r="B3005" s="2" t="s">
        <v>6239</v>
      </c>
      <c r="C3005" s="2" t="s">
        <v>26</v>
      </c>
      <c r="D3005" s="2" t="s">
        <v>27</v>
      </c>
      <c r="E3005" s="5">
        <v>-29025</v>
      </c>
      <c r="F3005" s="3" t="s">
        <v>902</v>
      </c>
      <c r="G3005" s="3" t="s">
        <v>20</v>
      </c>
      <c r="H3005" s="2" t="s">
        <v>21</v>
      </c>
      <c r="I3005" s="2" t="s">
        <v>6240</v>
      </c>
      <c r="J3005" s="3" t="str">
        <f>HYPERLINK("https://www.boe.es/gazeta/dias/1820/07/12/pdfs/GGB-1820-14.pdf#page=4","Abrir facsímil")</f>
        <v>Abrir facsímil</v>
      </c>
      <c r="K3005" s="3" t="s">
        <v>23</v>
      </c>
    </row>
    <row r="3006" spans="1:11" ht="42" customHeight="1">
      <c r="A3006" s="2" t="s">
        <v>6238</v>
      </c>
      <c r="B3006" s="2" t="s">
        <v>6239</v>
      </c>
      <c r="C3006" s="2" t="s">
        <v>26</v>
      </c>
      <c r="D3006" s="2" t="s">
        <v>27</v>
      </c>
      <c r="E3006" s="5">
        <v>-29023</v>
      </c>
      <c r="F3006" s="3" t="s">
        <v>1662</v>
      </c>
      <c r="G3006" s="3" t="s">
        <v>3662</v>
      </c>
      <c r="H3006" s="2" t="s">
        <v>21</v>
      </c>
      <c r="I3006" s="2" t="s">
        <v>6241</v>
      </c>
      <c r="J3006" s="3" t="str">
        <f>HYPERLINK("https://www.boe.es/gazeta/dias/1820/07/14/pdfs/GGB-1820-16.pdf#page=2","Abrir facsímil")</f>
        <v>Abrir facsímil</v>
      </c>
      <c r="K3006" s="3" t="s">
        <v>23</v>
      </c>
    </row>
    <row r="3007" spans="1:11" ht="42" customHeight="1">
      <c r="A3007" s="2" t="s">
        <v>6238</v>
      </c>
      <c r="B3007" s="2" t="s">
        <v>6239</v>
      </c>
      <c r="C3007" s="2" t="s">
        <v>26</v>
      </c>
      <c r="D3007" s="2" t="s">
        <v>27</v>
      </c>
      <c r="E3007" s="5">
        <v>-29021</v>
      </c>
      <c r="F3007" s="3" t="s">
        <v>377</v>
      </c>
      <c r="G3007" s="3" t="s">
        <v>43</v>
      </c>
      <c r="H3007" s="2" t="s">
        <v>21</v>
      </c>
      <c r="I3007" s="2" t="s">
        <v>6242</v>
      </c>
      <c r="J3007" s="3" t="str">
        <f>HYPERLINK("https://www.boe.es/gazeta/dias/1820/07/16/pdfs/GGB-1820-18.pdf#page=2","Abrir facsímil")</f>
        <v>Abrir facsímil</v>
      </c>
      <c r="K3007" s="3" t="s">
        <v>23</v>
      </c>
    </row>
    <row r="3008" spans="1:11" ht="42" customHeight="1">
      <c r="A3008" s="2" t="s">
        <v>6238</v>
      </c>
      <c r="B3008" s="2" t="s">
        <v>6239</v>
      </c>
      <c r="C3008" s="2" t="s">
        <v>26</v>
      </c>
      <c r="D3008" s="2" t="s">
        <v>27</v>
      </c>
      <c r="E3008" s="5">
        <v>-29018</v>
      </c>
      <c r="F3008" s="3" t="s">
        <v>601</v>
      </c>
      <c r="G3008" s="3" t="s">
        <v>62</v>
      </c>
      <c r="H3008" s="2" t="s">
        <v>21</v>
      </c>
      <c r="I3008" s="2" t="s">
        <v>6243</v>
      </c>
      <c r="J3008" s="3" t="str">
        <f>HYPERLINK("https://www.boe.es/gazeta/dias/1820/07/19/pdfs/GGB-1820-21.pdf#page=3","Abrir facsímil")</f>
        <v>Abrir facsímil</v>
      </c>
      <c r="K3008" s="3" t="s">
        <v>23</v>
      </c>
    </row>
    <row r="3009" spans="1:11" ht="42" customHeight="1">
      <c r="A3009" s="2" t="s">
        <v>6238</v>
      </c>
      <c r="B3009" s="2" t="s">
        <v>6239</v>
      </c>
      <c r="C3009" s="2" t="s">
        <v>26</v>
      </c>
      <c r="D3009" s="2" t="s">
        <v>27</v>
      </c>
      <c r="E3009" s="5">
        <v>-29016</v>
      </c>
      <c r="F3009" s="3" t="s">
        <v>657</v>
      </c>
      <c r="G3009" s="3" t="s">
        <v>62</v>
      </c>
      <c r="H3009" s="2" t="s">
        <v>21</v>
      </c>
      <c r="I3009" s="2" t="s">
        <v>6244</v>
      </c>
      <c r="J3009" s="3" t="str">
        <f>HYPERLINK("https://www.boe.es/gazeta/dias/1820/07/21/pdfs/GGB-1820-23.pdf#page=3","Abrir facsímil")</f>
        <v>Abrir facsímil</v>
      </c>
      <c r="K3009" s="3" t="s">
        <v>23</v>
      </c>
    </row>
    <row r="3010" spans="1:11" ht="42" customHeight="1">
      <c r="A3010" s="2" t="s">
        <v>6238</v>
      </c>
      <c r="B3010" s="2" t="s">
        <v>6239</v>
      </c>
      <c r="C3010" s="2" t="s">
        <v>26</v>
      </c>
      <c r="D3010" s="2" t="s">
        <v>27</v>
      </c>
      <c r="E3010" s="5">
        <v>-29015</v>
      </c>
      <c r="F3010" s="3" t="s">
        <v>359</v>
      </c>
      <c r="G3010" s="3" t="s">
        <v>62</v>
      </c>
      <c r="H3010" s="2" t="s">
        <v>21</v>
      </c>
      <c r="I3010" s="2" t="s">
        <v>6245</v>
      </c>
      <c r="J3010" s="3" t="str">
        <f>HYPERLINK("https://www.boe.es/gazeta/dias/1820/07/22/pdfs/GGB-1820-24.pdf#page=3","Abrir facsímil")</f>
        <v>Abrir facsímil</v>
      </c>
      <c r="K3010" s="3" t="s">
        <v>23</v>
      </c>
    </row>
    <row r="3011" spans="1:11" ht="42" customHeight="1">
      <c r="A3011" s="2" t="s">
        <v>6238</v>
      </c>
      <c r="B3011" s="2" t="s">
        <v>6239</v>
      </c>
      <c r="C3011" s="2" t="s">
        <v>26</v>
      </c>
      <c r="D3011" s="2" t="s">
        <v>27</v>
      </c>
      <c r="E3011" s="5">
        <v>-29014</v>
      </c>
      <c r="F3011" s="3" t="s">
        <v>70</v>
      </c>
      <c r="G3011" s="3" t="s">
        <v>62</v>
      </c>
      <c r="H3011" s="2" t="s">
        <v>21</v>
      </c>
      <c r="I3011" s="2" t="s">
        <v>6246</v>
      </c>
      <c r="J3011" s="3" t="str">
        <f>HYPERLINK("https://www.boe.es/gazeta/dias/1820/07/23/pdfs/GGB-1820-25.pdf#page=3","Abrir facsímil")</f>
        <v>Abrir facsímil</v>
      </c>
      <c r="K3011" s="3" t="s">
        <v>23</v>
      </c>
    </row>
    <row r="3012" spans="1:11" ht="42" customHeight="1">
      <c r="A3012" s="2" t="s">
        <v>6238</v>
      </c>
      <c r="B3012" s="2" t="s">
        <v>6239</v>
      </c>
      <c r="C3012" s="2" t="s">
        <v>26</v>
      </c>
      <c r="D3012" s="2" t="s">
        <v>27</v>
      </c>
      <c r="E3012" s="5">
        <v>-29012</v>
      </c>
      <c r="F3012" s="3" t="s">
        <v>72</v>
      </c>
      <c r="G3012" s="3" t="s">
        <v>62</v>
      </c>
      <c r="H3012" s="2" t="s">
        <v>21</v>
      </c>
      <c r="I3012" s="2" t="s">
        <v>6247</v>
      </c>
      <c r="J3012" s="3" t="str">
        <f>HYPERLINK("https://www.boe.es/gazeta/dias/1820/07/25/pdfs/GGB-1820-27.pdf#page=3","Abrir facsímil")</f>
        <v>Abrir facsímil</v>
      </c>
      <c r="K3012" s="3" t="s">
        <v>23</v>
      </c>
    </row>
    <row r="3013" spans="1:11" ht="42" customHeight="1">
      <c r="A3013" s="2" t="s">
        <v>6238</v>
      </c>
      <c r="B3013" s="2" t="s">
        <v>6239</v>
      </c>
      <c r="C3013" s="2" t="s">
        <v>26</v>
      </c>
      <c r="D3013" s="2" t="s">
        <v>27</v>
      </c>
      <c r="E3013" s="5">
        <v>-29009</v>
      </c>
      <c r="F3013" s="3" t="s">
        <v>605</v>
      </c>
      <c r="G3013" s="3" t="s">
        <v>43</v>
      </c>
      <c r="H3013" s="2" t="s">
        <v>21</v>
      </c>
      <c r="I3013" s="2" t="s">
        <v>6248</v>
      </c>
      <c r="J3013" s="3" t="str">
        <f>HYPERLINK("https://www.boe.es/gazeta/dias/1820/07/28/pdfs/GGB-1820-30.pdf#page=2","Abrir facsímil")</f>
        <v>Abrir facsímil</v>
      </c>
      <c r="K3013" s="3" t="s">
        <v>23</v>
      </c>
    </row>
    <row r="3014" spans="1:11" ht="42" customHeight="1">
      <c r="A3014" s="2" t="s">
        <v>6238</v>
      </c>
      <c r="B3014" s="2" t="s">
        <v>6239</v>
      </c>
      <c r="C3014" s="2" t="s">
        <v>26</v>
      </c>
      <c r="D3014" s="2" t="s">
        <v>27</v>
      </c>
      <c r="E3014" s="5">
        <v>-29007</v>
      </c>
      <c r="F3014" s="3" t="s">
        <v>251</v>
      </c>
      <c r="G3014" s="3" t="s">
        <v>62</v>
      </c>
      <c r="H3014" s="2" t="s">
        <v>21</v>
      </c>
      <c r="I3014" s="2" t="s">
        <v>6249</v>
      </c>
      <c r="J3014" s="3" t="str">
        <f>HYPERLINK("https://www.boe.es/gazeta/dias/1820/07/30/pdfs/GGB-1820-32.pdf#page=3","Abrir facsímil")</f>
        <v>Abrir facsímil</v>
      </c>
      <c r="K3014" s="3" t="s">
        <v>23</v>
      </c>
    </row>
    <row r="3015" spans="1:11" ht="42" customHeight="1">
      <c r="A3015" s="2" t="s">
        <v>6238</v>
      </c>
      <c r="B3015" s="2" t="s">
        <v>6239</v>
      </c>
      <c r="C3015" s="2" t="s">
        <v>26</v>
      </c>
      <c r="D3015" s="2" t="s">
        <v>27</v>
      </c>
      <c r="E3015" s="5">
        <v>-29005</v>
      </c>
      <c r="F3015" s="3" t="s">
        <v>1656</v>
      </c>
      <c r="G3015" s="3" t="s">
        <v>1657</v>
      </c>
      <c r="H3015" s="2" t="s">
        <v>21</v>
      </c>
      <c r="I3015" s="2" t="s">
        <v>6250</v>
      </c>
      <c r="J3015" s="3" t="str">
        <f>HYPERLINK("https://www.boe.es/gazeta/dias/1820/08/01/pdfs/GGB-1820-34.pdf#page=4","Abrir facsímil")</f>
        <v>Abrir facsímil</v>
      </c>
      <c r="K3015" s="3" t="s">
        <v>23</v>
      </c>
    </row>
    <row r="3016" spans="1:11" ht="42" customHeight="1">
      <c r="A3016" s="2" t="s">
        <v>6238</v>
      </c>
      <c r="B3016" s="2" t="s">
        <v>6239</v>
      </c>
      <c r="C3016" s="2" t="s">
        <v>26</v>
      </c>
      <c r="D3016" s="2" t="s">
        <v>27</v>
      </c>
      <c r="E3016" s="5">
        <v>-29003</v>
      </c>
      <c r="F3016" s="3" t="s">
        <v>340</v>
      </c>
      <c r="G3016" s="3" t="s">
        <v>43</v>
      </c>
      <c r="H3016" s="2" t="s">
        <v>21</v>
      </c>
      <c r="I3016" s="2" t="s">
        <v>6251</v>
      </c>
      <c r="J3016" s="3" t="str">
        <f>HYPERLINK("https://www.boe.es/gazeta/dias/1820/08/03/pdfs/GGB-1820-36.pdf#page=2","Abrir facsímil")</f>
        <v>Abrir facsímil</v>
      </c>
      <c r="K3016" s="3" t="s">
        <v>23</v>
      </c>
    </row>
    <row r="3017" spans="1:11" ht="42" customHeight="1">
      <c r="A3017" s="2" t="s">
        <v>6238</v>
      </c>
      <c r="B3017" s="2" t="s">
        <v>6239</v>
      </c>
      <c r="C3017" s="2" t="s">
        <v>26</v>
      </c>
      <c r="D3017" s="2" t="s">
        <v>27</v>
      </c>
      <c r="E3017" s="5">
        <v>-29003</v>
      </c>
      <c r="F3017" s="3" t="s">
        <v>340</v>
      </c>
      <c r="G3017" s="3" t="s">
        <v>62</v>
      </c>
      <c r="H3017" s="2" t="s">
        <v>21</v>
      </c>
      <c r="I3017" s="2" t="s">
        <v>6252</v>
      </c>
      <c r="J3017" s="3" t="str">
        <f>HYPERLINK("https://www.boe.es/gazeta/dias/1820/08/03/pdfs/GGB-1820-36.pdf#page=3","Abrir facsímil")</f>
        <v>Abrir facsímil</v>
      </c>
      <c r="K3017" s="3" t="s">
        <v>23</v>
      </c>
    </row>
    <row r="3018" spans="1:11" ht="42" customHeight="1">
      <c r="A3018" s="2" t="s">
        <v>6238</v>
      </c>
      <c r="B3018" s="2" t="s">
        <v>6239</v>
      </c>
      <c r="C3018" s="2" t="s">
        <v>26</v>
      </c>
      <c r="D3018" s="2" t="s">
        <v>27</v>
      </c>
      <c r="E3018" s="5">
        <v>-29002</v>
      </c>
      <c r="F3018" s="3" t="s">
        <v>124</v>
      </c>
      <c r="G3018" s="3" t="s">
        <v>20</v>
      </c>
      <c r="H3018" s="2" t="s">
        <v>21</v>
      </c>
      <c r="I3018" s="2" t="s">
        <v>6253</v>
      </c>
      <c r="J3018" s="3" t="str">
        <f>HYPERLINK("https://www.boe.es/gazeta/dias/1820/08/04/pdfs/GGB-1820-37.pdf#page=4","Abrir facsímil")</f>
        <v>Abrir facsímil</v>
      </c>
      <c r="K3018" s="3" t="s">
        <v>23</v>
      </c>
    </row>
    <row r="3019" spans="1:11" ht="42" customHeight="1">
      <c r="A3019" s="2" t="s">
        <v>6238</v>
      </c>
      <c r="B3019" s="2" t="s">
        <v>6239</v>
      </c>
      <c r="C3019" s="2" t="s">
        <v>26</v>
      </c>
      <c r="D3019" s="2" t="s">
        <v>27</v>
      </c>
      <c r="E3019" s="5">
        <v>-28999</v>
      </c>
      <c r="F3019" s="3" t="s">
        <v>342</v>
      </c>
      <c r="G3019" s="3" t="s">
        <v>20</v>
      </c>
      <c r="H3019" s="2" t="s">
        <v>21</v>
      </c>
      <c r="I3019" s="2" t="s">
        <v>6254</v>
      </c>
      <c r="J3019" s="3" t="str">
        <f>HYPERLINK("https://www.boe.es/gazeta/dias/1820/08/07/pdfs/GGB-1820-40.pdf#page=4","Abrir facsímil")</f>
        <v>Abrir facsímil</v>
      </c>
      <c r="K3019" s="3" t="s">
        <v>23</v>
      </c>
    </row>
    <row r="3020" spans="1:11" ht="42" customHeight="1">
      <c r="A3020" s="2" t="s">
        <v>6238</v>
      </c>
      <c r="B3020" s="2" t="s">
        <v>6239</v>
      </c>
      <c r="C3020" s="2" t="s">
        <v>26</v>
      </c>
      <c r="D3020" s="2" t="s">
        <v>27</v>
      </c>
      <c r="E3020" s="5">
        <v>-28991</v>
      </c>
      <c r="F3020" s="3" t="s">
        <v>213</v>
      </c>
      <c r="G3020" s="3" t="s">
        <v>62</v>
      </c>
      <c r="H3020" s="2" t="s">
        <v>21</v>
      </c>
      <c r="I3020" s="2" t="s">
        <v>6255</v>
      </c>
      <c r="J3020" s="3" t="str">
        <f>HYPERLINK("https://www.boe.es/gazeta/dias/1820/08/15/pdfs/GGB-1820-48.pdf#page=3","Abrir facsímil")</f>
        <v>Abrir facsímil</v>
      </c>
      <c r="K3020" s="3" t="s">
        <v>23</v>
      </c>
    </row>
    <row r="3021" spans="1:11" ht="42" customHeight="1">
      <c r="A3021" s="2" t="s">
        <v>6238</v>
      </c>
      <c r="B3021" s="2" t="s">
        <v>6239</v>
      </c>
      <c r="C3021" s="2" t="s">
        <v>26</v>
      </c>
      <c r="D3021" s="2" t="s">
        <v>27</v>
      </c>
      <c r="E3021" s="5">
        <v>-28990</v>
      </c>
      <c r="F3021" s="3" t="s">
        <v>61</v>
      </c>
      <c r="G3021" s="3" t="s">
        <v>62</v>
      </c>
      <c r="H3021" s="2" t="s">
        <v>21</v>
      </c>
      <c r="I3021" s="2" t="s">
        <v>6256</v>
      </c>
      <c r="J3021" s="3" t="str">
        <f>HYPERLINK("https://www.boe.es/gazeta/dias/1820/08/16/pdfs/GGB-1820-49.pdf#page=3","Abrir facsímil")</f>
        <v>Abrir facsímil</v>
      </c>
      <c r="K3021" s="3" t="s">
        <v>23</v>
      </c>
    </row>
    <row r="3022" spans="1:11" ht="42" customHeight="1">
      <c r="A3022" s="2" t="s">
        <v>6238</v>
      </c>
      <c r="B3022" s="2" t="s">
        <v>6239</v>
      </c>
      <c r="C3022" s="2" t="s">
        <v>26</v>
      </c>
      <c r="D3022" s="2" t="s">
        <v>27</v>
      </c>
      <c r="E3022" s="5">
        <v>-28988</v>
      </c>
      <c r="F3022" s="3" t="s">
        <v>618</v>
      </c>
      <c r="G3022" s="3" t="s">
        <v>62</v>
      </c>
      <c r="H3022" s="2" t="s">
        <v>21</v>
      </c>
      <c r="I3022" s="2" t="s">
        <v>6257</v>
      </c>
      <c r="J3022" s="3" t="str">
        <f>HYPERLINK("https://www.boe.es/gazeta/dias/1820/08/18/pdfs/GGB-1820-51.pdf#page=3","Abrir facsímil")</f>
        <v>Abrir facsímil</v>
      </c>
      <c r="K3022" s="3" t="s">
        <v>23</v>
      </c>
    </row>
    <row r="3023" spans="1:11" ht="42" customHeight="1">
      <c r="A3023" s="2" t="s">
        <v>6238</v>
      </c>
      <c r="B3023" s="2" t="s">
        <v>6239</v>
      </c>
      <c r="C3023" s="2" t="s">
        <v>26</v>
      </c>
      <c r="D3023" s="2" t="s">
        <v>27</v>
      </c>
      <c r="E3023" s="5">
        <v>-28987</v>
      </c>
      <c r="F3023" s="3" t="s">
        <v>680</v>
      </c>
      <c r="G3023" s="3" t="s">
        <v>62</v>
      </c>
      <c r="H3023" s="2" t="s">
        <v>21</v>
      </c>
      <c r="I3023" s="2" t="s">
        <v>6258</v>
      </c>
      <c r="J3023" s="3" t="str">
        <f>HYPERLINK("https://www.boe.es/gazeta/dias/1820/08/19/pdfs/GGB-1820-52.pdf#page=3","Abrir facsímil")</f>
        <v>Abrir facsímil</v>
      </c>
      <c r="K3023" s="3" t="s">
        <v>23</v>
      </c>
    </row>
    <row r="3024" spans="1:11" ht="42" customHeight="1">
      <c r="A3024" s="2" t="s">
        <v>6238</v>
      </c>
      <c r="B3024" s="2" t="s">
        <v>6239</v>
      </c>
      <c r="C3024" s="2" t="s">
        <v>26</v>
      </c>
      <c r="D3024" s="2" t="s">
        <v>27</v>
      </c>
      <c r="E3024" s="5">
        <v>-28985</v>
      </c>
      <c r="F3024" s="3" t="s">
        <v>905</v>
      </c>
      <c r="G3024" s="3" t="s">
        <v>62</v>
      </c>
      <c r="H3024" s="2" t="s">
        <v>21</v>
      </c>
      <c r="I3024" s="2" t="s">
        <v>6259</v>
      </c>
      <c r="J3024" s="3" t="str">
        <f>HYPERLINK("https://www.boe.es/gazeta/dias/1820/08/21/pdfs/GGB-1820-54.pdf#page=3","Abrir facsímil")</f>
        <v>Abrir facsímil</v>
      </c>
      <c r="K3024" s="3" t="s">
        <v>23</v>
      </c>
    </row>
    <row r="3025" spans="1:11" ht="42" customHeight="1">
      <c r="A3025" s="2" t="s">
        <v>6238</v>
      </c>
      <c r="B3025" s="2" t="s">
        <v>6239</v>
      </c>
      <c r="C3025" s="2" t="s">
        <v>26</v>
      </c>
      <c r="D3025" s="2" t="s">
        <v>27</v>
      </c>
      <c r="E3025" s="5">
        <v>-28983</v>
      </c>
      <c r="F3025" s="3" t="s">
        <v>682</v>
      </c>
      <c r="G3025" s="3" t="s">
        <v>62</v>
      </c>
      <c r="H3025" s="2" t="s">
        <v>21</v>
      </c>
      <c r="I3025" s="2" t="s">
        <v>6260</v>
      </c>
      <c r="J3025" s="3" t="str">
        <f>HYPERLINK("https://www.boe.es/gazeta/dias/1820/08/23/pdfs/GGB-1820-56.pdf#page=3","Abrir facsímil")</f>
        <v>Abrir facsímil</v>
      </c>
      <c r="K3025" s="3" t="s">
        <v>23</v>
      </c>
    </row>
    <row r="3026" spans="1:11" ht="42" customHeight="1">
      <c r="A3026" s="2" t="s">
        <v>6238</v>
      </c>
      <c r="B3026" s="2" t="s">
        <v>6239</v>
      </c>
      <c r="C3026" s="2" t="s">
        <v>26</v>
      </c>
      <c r="D3026" s="2" t="s">
        <v>27</v>
      </c>
      <c r="E3026" s="5">
        <v>-28981</v>
      </c>
      <c r="F3026" s="3" t="s">
        <v>42</v>
      </c>
      <c r="G3026" s="3" t="s">
        <v>62</v>
      </c>
      <c r="H3026" s="2" t="s">
        <v>21</v>
      </c>
      <c r="I3026" s="2" t="s">
        <v>6261</v>
      </c>
      <c r="J3026" s="3" t="str">
        <f>HYPERLINK("https://www.boe.es/gazeta/dias/1820/08/25/pdfs/GGB-1820-58.pdf#page=3","Abrir facsímil")</f>
        <v>Abrir facsímil</v>
      </c>
      <c r="K3026" s="3" t="s">
        <v>23</v>
      </c>
    </row>
    <row r="3027" spans="1:11" ht="42" customHeight="1">
      <c r="A3027" s="2" t="s">
        <v>6238</v>
      </c>
      <c r="B3027" s="2" t="s">
        <v>6239</v>
      </c>
      <c r="C3027" s="2" t="s">
        <v>26</v>
      </c>
      <c r="D3027" s="2" t="s">
        <v>27</v>
      </c>
      <c r="E3027" s="5">
        <v>-28976</v>
      </c>
      <c r="F3027" s="3" t="s">
        <v>689</v>
      </c>
      <c r="G3027" s="3" t="s">
        <v>20</v>
      </c>
      <c r="H3027" s="2" t="s">
        <v>21</v>
      </c>
      <c r="I3027" s="2" t="s">
        <v>6262</v>
      </c>
      <c r="J3027" s="3" t="str">
        <f>HYPERLINK("https://www.boe.es/gazeta/dias/1820/08/30/pdfs/GGB-1820-63.pdf#page=4","Abrir facsímil")</f>
        <v>Abrir facsímil</v>
      </c>
      <c r="K3027" s="3" t="s">
        <v>23</v>
      </c>
    </row>
    <row r="3028" spans="1:11" ht="42" customHeight="1">
      <c r="A3028" s="2" t="s">
        <v>6238</v>
      </c>
      <c r="B3028" s="2" t="s">
        <v>6239</v>
      </c>
      <c r="C3028" s="2" t="s">
        <v>26</v>
      </c>
      <c r="D3028" s="2" t="s">
        <v>27</v>
      </c>
      <c r="E3028" s="5">
        <v>-28973</v>
      </c>
      <c r="F3028" s="3" t="s">
        <v>151</v>
      </c>
      <c r="G3028" s="3" t="s">
        <v>62</v>
      </c>
      <c r="H3028" s="2" t="s">
        <v>21</v>
      </c>
      <c r="I3028" s="2" t="s">
        <v>6263</v>
      </c>
      <c r="J3028" s="3" t="str">
        <f>HYPERLINK("https://www.boe.es/gazeta/dias/1820/09/02/pdfs/GGB-1820-66.pdf#page=3","Abrir facsímil")</f>
        <v>Abrir facsímil</v>
      </c>
      <c r="K3028" s="3" t="s">
        <v>23</v>
      </c>
    </row>
    <row r="3029" spans="1:11" ht="42" customHeight="1">
      <c r="A3029" s="2" t="s">
        <v>6238</v>
      </c>
      <c r="B3029" s="2" t="s">
        <v>6239</v>
      </c>
      <c r="C3029" s="2" t="s">
        <v>26</v>
      </c>
      <c r="D3029" s="2" t="s">
        <v>27</v>
      </c>
      <c r="E3029" s="5">
        <v>-28972</v>
      </c>
      <c r="F3029" s="3" t="s">
        <v>522</v>
      </c>
      <c r="G3029" s="3" t="s">
        <v>20</v>
      </c>
      <c r="H3029" s="2" t="s">
        <v>21</v>
      </c>
      <c r="I3029" s="2" t="s">
        <v>6264</v>
      </c>
      <c r="J3029" s="3" t="str">
        <f>HYPERLINK("https://www.boe.es/gazeta/dias/1820/09/03/pdfs/GGB-1820-67.pdf#page=4","Abrir facsímil")</f>
        <v>Abrir facsímil</v>
      </c>
      <c r="K3029" s="3" t="s">
        <v>23</v>
      </c>
    </row>
    <row r="3030" spans="1:11" ht="42" customHeight="1">
      <c r="A3030" s="2" t="s">
        <v>6238</v>
      </c>
      <c r="B3030" s="2" t="s">
        <v>6239</v>
      </c>
      <c r="C3030" s="2" t="s">
        <v>26</v>
      </c>
      <c r="D3030" s="2" t="s">
        <v>27</v>
      </c>
      <c r="E3030" s="5">
        <v>-28970</v>
      </c>
      <c r="F3030" s="3" t="s">
        <v>693</v>
      </c>
      <c r="G3030" s="3" t="s">
        <v>43</v>
      </c>
      <c r="H3030" s="2" t="s">
        <v>21</v>
      </c>
      <c r="I3030" s="2" t="s">
        <v>6265</v>
      </c>
      <c r="J3030" s="3" t="str">
        <f>HYPERLINK("https://www.boe.es/gazeta/dias/1820/09/05/pdfs/GGB-1820-69.pdf#page=2","Abrir facsímil")</f>
        <v>Abrir facsímil</v>
      </c>
      <c r="K3030" s="3" t="s">
        <v>23</v>
      </c>
    </row>
    <row r="3031" spans="1:11" ht="42" customHeight="1">
      <c r="A3031" s="2" t="s">
        <v>6238</v>
      </c>
      <c r="B3031" s="2" t="s">
        <v>6239</v>
      </c>
      <c r="C3031" s="2" t="s">
        <v>26</v>
      </c>
      <c r="D3031" s="2" t="s">
        <v>27</v>
      </c>
      <c r="E3031" s="5">
        <v>-28967</v>
      </c>
      <c r="F3031" s="3" t="s">
        <v>238</v>
      </c>
      <c r="G3031" s="3" t="s">
        <v>675</v>
      </c>
      <c r="H3031" s="2" t="s">
        <v>21</v>
      </c>
      <c r="I3031" s="2" t="s">
        <v>6266</v>
      </c>
      <c r="J3031" s="3" t="str">
        <f>HYPERLINK("https://www.boe.es/gazeta/dias/1820/09/08/pdfs/GGB-1820-72.pdf#page=2","Abrir facsímil")</f>
        <v>Abrir facsímil</v>
      </c>
      <c r="K3031" s="3" t="s">
        <v>23</v>
      </c>
    </row>
    <row r="3032" spans="1:11" ht="42" customHeight="1">
      <c r="A3032" s="2" t="s">
        <v>6238</v>
      </c>
      <c r="B3032" s="2" t="s">
        <v>6239</v>
      </c>
      <c r="C3032" s="2" t="s">
        <v>26</v>
      </c>
      <c r="D3032" s="2" t="s">
        <v>27</v>
      </c>
      <c r="E3032" s="5">
        <v>-28967</v>
      </c>
      <c r="F3032" s="3" t="s">
        <v>238</v>
      </c>
      <c r="G3032" s="3" t="s">
        <v>128</v>
      </c>
      <c r="H3032" s="2" t="s">
        <v>21</v>
      </c>
      <c r="I3032" s="2" t="s">
        <v>6267</v>
      </c>
      <c r="J3032" s="3" t="str">
        <f>HYPERLINK("https://www.boe.es/gazeta/dias/1820/09/08/pdfs/GGB-1820-72.pdf#page=1","Abrir facsímil")</f>
        <v>Abrir facsímil</v>
      </c>
      <c r="K3032" s="3" t="s">
        <v>23</v>
      </c>
    </row>
    <row r="3033" spans="1:11" ht="42" customHeight="1">
      <c r="A3033" s="2" t="s">
        <v>6238</v>
      </c>
      <c r="B3033" s="2" t="s">
        <v>6239</v>
      </c>
      <c r="C3033" s="2" t="s">
        <v>26</v>
      </c>
      <c r="D3033" s="2" t="s">
        <v>27</v>
      </c>
      <c r="E3033" s="5">
        <v>-28967</v>
      </c>
      <c r="F3033" s="3" t="s">
        <v>238</v>
      </c>
      <c r="G3033" s="3" t="s">
        <v>20</v>
      </c>
      <c r="H3033" s="2" t="s">
        <v>21</v>
      </c>
      <c r="I3033" s="2" t="s">
        <v>6268</v>
      </c>
      <c r="J3033" s="3" t="str">
        <f>HYPERLINK("https://www.boe.es/gazeta/dias/1820/09/08/pdfs/GGB-1820-72.pdf#page=4","Abrir facsímil")</f>
        <v>Abrir facsímil</v>
      </c>
      <c r="K3033" s="3" t="s">
        <v>23</v>
      </c>
    </row>
    <row r="3034" spans="1:11" ht="42" customHeight="1">
      <c r="A3034" s="2" t="s">
        <v>6238</v>
      </c>
      <c r="B3034" s="2" t="s">
        <v>6239</v>
      </c>
      <c r="C3034" s="2" t="s">
        <v>26</v>
      </c>
      <c r="D3034" s="2" t="s">
        <v>27</v>
      </c>
      <c r="E3034" s="5">
        <v>-28966</v>
      </c>
      <c r="F3034" s="3" t="s">
        <v>701</v>
      </c>
      <c r="G3034" s="3" t="s">
        <v>62</v>
      </c>
      <c r="H3034" s="2" t="s">
        <v>21</v>
      </c>
      <c r="I3034" s="2" t="s">
        <v>6269</v>
      </c>
      <c r="J3034" s="3" t="str">
        <f>HYPERLINK("https://www.boe.es/gazeta/dias/1820/09/09/pdfs/GGB-1820-73.pdf#page=3","Abrir facsímil")</f>
        <v>Abrir facsímil</v>
      </c>
      <c r="K3034" s="3" t="s">
        <v>23</v>
      </c>
    </row>
    <row r="3035" spans="1:11" ht="42" customHeight="1">
      <c r="A3035" s="2" t="s">
        <v>6238</v>
      </c>
      <c r="B3035" s="2" t="s">
        <v>6239</v>
      </c>
      <c r="C3035" s="2" t="s">
        <v>26</v>
      </c>
      <c r="D3035" s="2" t="s">
        <v>27</v>
      </c>
      <c r="E3035" s="5">
        <v>-28961</v>
      </c>
      <c r="F3035" s="3" t="s">
        <v>242</v>
      </c>
      <c r="G3035" s="3" t="s">
        <v>2442</v>
      </c>
      <c r="H3035" s="2" t="s">
        <v>21</v>
      </c>
      <c r="I3035" s="2" t="s">
        <v>6270</v>
      </c>
      <c r="J3035" s="3" t="str">
        <f>HYPERLINK("https://www.boe.es/gazeta/dias/1820/09/14/pdfs/GGB-1820-78.pdf#page=4","Abrir facsímil")</f>
        <v>Abrir facsímil</v>
      </c>
      <c r="K3035" s="3" t="s">
        <v>23</v>
      </c>
    </row>
    <row r="3036" spans="1:11" ht="42" customHeight="1">
      <c r="A3036" s="2" t="s">
        <v>6238</v>
      </c>
      <c r="B3036" s="2" t="s">
        <v>6239</v>
      </c>
      <c r="C3036" s="2" t="s">
        <v>26</v>
      </c>
      <c r="D3036" s="2" t="s">
        <v>27</v>
      </c>
      <c r="E3036" s="5">
        <v>-28959</v>
      </c>
      <c r="F3036" s="3" t="s">
        <v>37</v>
      </c>
      <c r="G3036" s="3" t="s">
        <v>256</v>
      </c>
      <c r="H3036" s="2" t="s">
        <v>21</v>
      </c>
      <c r="I3036" s="2" t="s">
        <v>6271</v>
      </c>
      <c r="J3036" s="3" t="str">
        <f>HYPERLINK("https://www.boe.es/gazeta/dias/1820/09/16/pdfs/GGB-1820-80.pdf#page=5","Abrir facsímil")</f>
        <v>Abrir facsímil</v>
      </c>
      <c r="K3036" s="3" t="s">
        <v>23</v>
      </c>
    </row>
    <row r="3037" spans="1:11" ht="42" customHeight="1">
      <c r="A3037" s="2" t="s">
        <v>6238</v>
      </c>
      <c r="B3037" s="2" t="s">
        <v>6239</v>
      </c>
      <c r="C3037" s="2" t="s">
        <v>26</v>
      </c>
      <c r="D3037" s="2" t="s">
        <v>27</v>
      </c>
      <c r="E3037" s="5">
        <v>-28956</v>
      </c>
      <c r="F3037" s="3" t="s">
        <v>190</v>
      </c>
      <c r="G3037" s="3" t="s">
        <v>62</v>
      </c>
      <c r="H3037" s="2" t="s">
        <v>21</v>
      </c>
      <c r="I3037" s="2" t="s">
        <v>6272</v>
      </c>
      <c r="J3037" s="3" t="str">
        <f>HYPERLINK("https://www.boe.es/gazeta/dias/1820/09/19/pdfs/GGB-1820-83.pdf#page=3","Abrir facsímil")</f>
        <v>Abrir facsímil</v>
      </c>
      <c r="K3037" s="3" t="s">
        <v>23</v>
      </c>
    </row>
    <row r="3038" spans="1:11" ht="42" customHeight="1">
      <c r="A3038" s="2" t="s">
        <v>6238</v>
      </c>
      <c r="B3038" s="2" t="s">
        <v>6239</v>
      </c>
      <c r="C3038" s="2" t="s">
        <v>26</v>
      </c>
      <c r="D3038" s="2" t="s">
        <v>27</v>
      </c>
      <c r="E3038" s="5">
        <v>-28955</v>
      </c>
      <c r="F3038" s="3" t="s">
        <v>175</v>
      </c>
      <c r="G3038" s="3" t="s">
        <v>62</v>
      </c>
      <c r="H3038" s="2" t="s">
        <v>21</v>
      </c>
      <c r="I3038" s="2" t="s">
        <v>6273</v>
      </c>
      <c r="J3038" s="3" t="str">
        <f>HYPERLINK("https://www.boe.es/gazeta/dias/1820/09/20/pdfs/GGB-1820-84.pdf#page=3","Abrir facsímil")</f>
        <v>Abrir facsímil</v>
      </c>
      <c r="K3038" s="3" t="s">
        <v>23</v>
      </c>
    </row>
    <row r="3039" spans="1:11" ht="42" customHeight="1">
      <c r="A3039" s="2" t="s">
        <v>6238</v>
      </c>
      <c r="B3039" s="2" t="s">
        <v>6239</v>
      </c>
      <c r="C3039" s="2" t="s">
        <v>26</v>
      </c>
      <c r="D3039" s="2" t="s">
        <v>27</v>
      </c>
      <c r="E3039" s="5">
        <v>-28954</v>
      </c>
      <c r="F3039" s="3" t="s">
        <v>28</v>
      </c>
      <c r="G3039" s="3" t="s">
        <v>62</v>
      </c>
      <c r="H3039" s="2" t="s">
        <v>21</v>
      </c>
      <c r="I3039" s="2" t="s">
        <v>6274</v>
      </c>
      <c r="J3039" s="3" t="str">
        <f>HYPERLINK("https://www.boe.es/gazeta/dias/1820/09/21/pdfs/GGB-1820-85.pdf#page=3","Abrir facsímil")</f>
        <v>Abrir facsímil</v>
      </c>
      <c r="K3039" s="3" t="s">
        <v>23</v>
      </c>
    </row>
    <row r="3040" spans="1:11" ht="42" customHeight="1">
      <c r="A3040" s="2" t="s">
        <v>6238</v>
      </c>
      <c r="B3040" s="2" t="s">
        <v>6239</v>
      </c>
      <c r="C3040" s="2" t="s">
        <v>26</v>
      </c>
      <c r="D3040" s="2" t="s">
        <v>27</v>
      </c>
      <c r="E3040" s="5">
        <v>-28953</v>
      </c>
      <c r="F3040" s="3" t="s">
        <v>367</v>
      </c>
      <c r="G3040" s="3" t="s">
        <v>20</v>
      </c>
      <c r="H3040" s="2" t="s">
        <v>21</v>
      </c>
      <c r="I3040" s="2" t="s">
        <v>6275</v>
      </c>
      <c r="J3040" s="3" t="str">
        <f>HYPERLINK("https://www.boe.es/gazeta/dias/1820/09/22/pdfs/GGB-1820-86.pdf#page=4","Abrir facsímil")</f>
        <v>Abrir facsímil</v>
      </c>
      <c r="K3040" s="3" t="s">
        <v>23</v>
      </c>
    </row>
    <row r="3041" spans="1:11" ht="42" customHeight="1">
      <c r="A3041" s="2" t="s">
        <v>6238</v>
      </c>
      <c r="B3041" s="2" t="s">
        <v>6239</v>
      </c>
      <c r="C3041" s="2" t="s">
        <v>26</v>
      </c>
      <c r="D3041" s="2" t="s">
        <v>27</v>
      </c>
      <c r="E3041" s="5">
        <v>-28951</v>
      </c>
      <c r="F3041" s="3" t="s">
        <v>622</v>
      </c>
      <c r="G3041" s="3" t="s">
        <v>62</v>
      </c>
      <c r="H3041" s="2" t="s">
        <v>21</v>
      </c>
      <c r="I3041" s="2" t="s">
        <v>6276</v>
      </c>
      <c r="J3041" s="3" t="str">
        <f>HYPERLINK("https://www.boe.es/gazeta/dias/1820/09/24/pdfs/GGB-1820-88.pdf#page=3","Abrir facsímil")</f>
        <v>Abrir facsímil</v>
      </c>
      <c r="K3041" s="3" t="s">
        <v>23</v>
      </c>
    </row>
    <row r="3042" spans="1:11" ht="42" customHeight="1">
      <c r="A3042" s="2" t="s">
        <v>6238</v>
      </c>
      <c r="B3042" s="2" t="s">
        <v>6239</v>
      </c>
      <c r="C3042" s="2" t="s">
        <v>26</v>
      </c>
      <c r="D3042" s="2" t="s">
        <v>27</v>
      </c>
      <c r="E3042" s="5">
        <v>-28950</v>
      </c>
      <c r="F3042" s="3" t="s">
        <v>1052</v>
      </c>
      <c r="G3042" s="3" t="s">
        <v>1372</v>
      </c>
      <c r="H3042" s="2" t="s">
        <v>21</v>
      </c>
      <c r="I3042" s="2" t="s">
        <v>6277</v>
      </c>
      <c r="J3042" s="3" t="str">
        <f>HYPERLINK("https://www.boe.es/gazeta/dias/1820/09/25/pdfs/GGB-1820-89.pdf#page=2","Abrir facsímil")</f>
        <v>Abrir facsímil</v>
      </c>
      <c r="K3042" s="3" t="s">
        <v>23</v>
      </c>
    </row>
    <row r="3043" spans="1:11" ht="42" customHeight="1">
      <c r="A3043" s="2" t="s">
        <v>6238</v>
      </c>
      <c r="B3043" s="2" t="s">
        <v>6239</v>
      </c>
      <c r="C3043" s="2" t="s">
        <v>26</v>
      </c>
      <c r="D3043" s="2" t="s">
        <v>27</v>
      </c>
      <c r="E3043" s="5">
        <v>-28948</v>
      </c>
      <c r="F3043" s="3" t="s">
        <v>1069</v>
      </c>
      <c r="G3043" s="3" t="s">
        <v>62</v>
      </c>
      <c r="H3043" s="2" t="s">
        <v>21</v>
      </c>
      <c r="I3043" s="2" t="s">
        <v>6278</v>
      </c>
      <c r="J3043" s="3" t="str">
        <f>HYPERLINK("https://www.boe.es/gazeta/dias/1820/09/27/pdfs/GGB-1820-91.pdf#page=3","Abrir facsímil")</f>
        <v>Abrir facsímil</v>
      </c>
      <c r="K3043" s="3" t="s">
        <v>23</v>
      </c>
    </row>
    <row r="3044" spans="1:11" ht="42" customHeight="1">
      <c r="A3044" s="2" t="s">
        <v>6238</v>
      </c>
      <c r="B3044" s="2" t="s">
        <v>6239</v>
      </c>
      <c r="C3044" s="2" t="s">
        <v>26</v>
      </c>
      <c r="D3044" s="2" t="s">
        <v>27</v>
      </c>
      <c r="E3044" s="5">
        <v>-28941</v>
      </c>
      <c r="F3044" s="3" t="s">
        <v>1727</v>
      </c>
      <c r="G3044" s="3" t="s">
        <v>43</v>
      </c>
      <c r="H3044" s="2" t="s">
        <v>21</v>
      </c>
      <c r="I3044" s="2" t="s">
        <v>6279</v>
      </c>
      <c r="J3044" s="3" t="str">
        <f>HYPERLINK("https://www.boe.es/gazeta/dias/1820/10/04/pdfs/GGB-1820-98.pdf#page=2","Abrir facsímil")</f>
        <v>Abrir facsímil</v>
      </c>
      <c r="K3044" s="3" t="s">
        <v>23</v>
      </c>
    </row>
    <row r="3045" spans="1:11" ht="42" customHeight="1">
      <c r="A3045" s="2" t="s">
        <v>6238</v>
      </c>
      <c r="B3045" s="2" t="s">
        <v>6239</v>
      </c>
      <c r="C3045" s="2" t="s">
        <v>26</v>
      </c>
      <c r="D3045" s="2" t="s">
        <v>27</v>
      </c>
      <c r="E3045" s="5">
        <v>-28940</v>
      </c>
      <c r="F3045" s="3" t="s">
        <v>141</v>
      </c>
      <c r="G3045" s="3" t="s">
        <v>43</v>
      </c>
      <c r="H3045" s="2" t="s">
        <v>21</v>
      </c>
      <c r="I3045" s="2" t="s">
        <v>6280</v>
      </c>
      <c r="J3045" s="3" t="str">
        <f>HYPERLINK("https://www.boe.es/gazeta/dias/1820/10/05/pdfs/GGB-1820-99.pdf#page=2","Abrir facsímil")</f>
        <v>Abrir facsímil</v>
      </c>
      <c r="K3045" s="3" t="s">
        <v>23</v>
      </c>
    </row>
    <row r="3046" spans="1:11" ht="42" customHeight="1">
      <c r="A3046" s="2" t="s">
        <v>6238</v>
      </c>
      <c r="B3046" s="2" t="s">
        <v>6239</v>
      </c>
      <c r="C3046" s="2" t="s">
        <v>26</v>
      </c>
      <c r="D3046" s="2" t="s">
        <v>27</v>
      </c>
      <c r="E3046" s="5">
        <v>-28938</v>
      </c>
      <c r="F3046" s="3" t="s">
        <v>716</v>
      </c>
      <c r="G3046" s="3" t="s">
        <v>1452</v>
      </c>
      <c r="H3046" s="2" t="s">
        <v>21</v>
      </c>
      <c r="I3046" s="2" t="s">
        <v>6281</v>
      </c>
      <c r="J3046" s="3" t="str">
        <f>HYPERLINK("https://www.boe.es/gazeta/dias/1820/10/07/pdfs/GGB-1820-101.pdf#page=4","Abrir facsímil")</f>
        <v>Abrir facsímil</v>
      </c>
      <c r="K3046" s="3" t="s">
        <v>23</v>
      </c>
    </row>
    <row r="3047" spans="1:11" ht="42" customHeight="1">
      <c r="A3047" s="2" t="s">
        <v>6238</v>
      </c>
      <c r="B3047" s="2" t="s">
        <v>6239</v>
      </c>
      <c r="C3047" s="2" t="s">
        <v>26</v>
      </c>
      <c r="D3047" s="2" t="s">
        <v>27</v>
      </c>
      <c r="E3047" s="5">
        <v>-28935</v>
      </c>
      <c r="F3047" s="3" t="s">
        <v>2464</v>
      </c>
      <c r="G3047" s="3" t="s">
        <v>62</v>
      </c>
      <c r="H3047" s="2" t="s">
        <v>21</v>
      </c>
      <c r="I3047" s="2" t="s">
        <v>6282</v>
      </c>
      <c r="J3047" s="3" t="str">
        <f>HYPERLINK("https://www.boe.es/gazeta/dias/1820/10/10/pdfs/GGB-1820-104.pdf#page=3","Abrir facsímil")</f>
        <v>Abrir facsímil</v>
      </c>
      <c r="K3047" s="3" t="s">
        <v>23</v>
      </c>
    </row>
    <row r="3048" spans="1:11" ht="42" customHeight="1">
      <c r="A3048" s="2" t="s">
        <v>6238</v>
      </c>
      <c r="B3048" s="2" t="s">
        <v>6239</v>
      </c>
      <c r="C3048" s="2" t="s">
        <v>26</v>
      </c>
      <c r="D3048" s="2" t="s">
        <v>27</v>
      </c>
      <c r="E3048" s="5">
        <v>-28933</v>
      </c>
      <c r="F3048" s="3" t="s">
        <v>720</v>
      </c>
      <c r="G3048" s="3" t="s">
        <v>43</v>
      </c>
      <c r="H3048" s="2" t="s">
        <v>21</v>
      </c>
      <c r="I3048" s="2" t="s">
        <v>6283</v>
      </c>
      <c r="J3048" s="3" t="str">
        <f>HYPERLINK("https://www.boe.es/gazeta/dias/1820/10/12/pdfs/GGB-1820-106.pdf#page=2","Abrir facsímil")</f>
        <v>Abrir facsímil</v>
      </c>
      <c r="K3048" s="3" t="s">
        <v>23</v>
      </c>
    </row>
    <row r="3049" spans="1:11" ht="42" customHeight="1">
      <c r="A3049" s="2" t="s">
        <v>6238</v>
      </c>
      <c r="B3049" s="2" t="s">
        <v>6239</v>
      </c>
      <c r="C3049" s="2" t="s">
        <v>26</v>
      </c>
      <c r="D3049" s="2" t="s">
        <v>27</v>
      </c>
      <c r="E3049" s="5">
        <v>-28933</v>
      </c>
      <c r="F3049" s="3" t="s">
        <v>720</v>
      </c>
      <c r="G3049" s="3" t="s">
        <v>62</v>
      </c>
      <c r="H3049" s="2" t="s">
        <v>21</v>
      </c>
      <c r="I3049" s="2" t="s">
        <v>6284</v>
      </c>
      <c r="J3049" s="3" t="str">
        <f>HYPERLINK("https://www.boe.es/gazeta/dias/1820/10/12/pdfs/GGB-1820-106.pdf#page=3","Abrir facsímil")</f>
        <v>Abrir facsímil</v>
      </c>
      <c r="K3049" s="3" t="s">
        <v>23</v>
      </c>
    </row>
    <row r="3050" spans="1:11" ht="42" customHeight="1">
      <c r="A3050" s="2" t="s">
        <v>6238</v>
      </c>
      <c r="B3050" s="2" t="s">
        <v>6239</v>
      </c>
      <c r="C3050" s="2" t="s">
        <v>26</v>
      </c>
      <c r="D3050" s="2" t="s">
        <v>27</v>
      </c>
      <c r="E3050" s="5">
        <v>-28930</v>
      </c>
      <c r="F3050" s="3" t="s">
        <v>372</v>
      </c>
      <c r="G3050" s="3" t="s">
        <v>43</v>
      </c>
      <c r="H3050" s="2" t="s">
        <v>21</v>
      </c>
      <c r="I3050" s="2" t="s">
        <v>6285</v>
      </c>
      <c r="J3050" s="3" t="str">
        <f>HYPERLINK("https://www.boe.es/gazeta/dias/1820/10/15/pdfs/GGB-1820-109.pdf#page=2","Abrir facsímil")</f>
        <v>Abrir facsímil</v>
      </c>
      <c r="K3050" s="3" t="s">
        <v>23</v>
      </c>
    </row>
    <row r="3051" spans="1:11" ht="42" customHeight="1">
      <c r="A3051" s="2" t="s">
        <v>6238</v>
      </c>
      <c r="B3051" s="2" t="s">
        <v>6239</v>
      </c>
      <c r="C3051" s="2" t="s">
        <v>26</v>
      </c>
      <c r="D3051" s="2" t="s">
        <v>27</v>
      </c>
      <c r="E3051" s="5">
        <v>-28930</v>
      </c>
      <c r="F3051" s="3" t="s">
        <v>372</v>
      </c>
      <c r="G3051" s="3" t="s">
        <v>62</v>
      </c>
      <c r="H3051" s="2" t="s">
        <v>21</v>
      </c>
      <c r="I3051" s="2" t="s">
        <v>6286</v>
      </c>
      <c r="J3051" s="3" t="str">
        <f>HYPERLINK("https://www.boe.es/gazeta/dias/1820/10/15/pdfs/GGB-1820-109.pdf#page=3","Abrir facsímil")</f>
        <v>Abrir facsímil</v>
      </c>
      <c r="K3051" s="3" t="s">
        <v>23</v>
      </c>
    </row>
    <row r="3052" spans="1:11" ht="42" customHeight="1">
      <c r="A3052" s="2" t="s">
        <v>6238</v>
      </c>
      <c r="B3052" s="2" t="s">
        <v>6239</v>
      </c>
      <c r="C3052" s="2" t="s">
        <v>26</v>
      </c>
      <c r="D3052" s="2" t="s">
        <v>27</v>
      </c>
      <c r="E3052" s="5">
        <v>-28929</v>
      </c>
      <c r="F3052" s="3" t="s">
        <v>728</v>
      </c>
      <c r="G3052" s="3" t="s">
        <v>43</v>
      </c>
      <c r="H3052" s="2" t="s">
        <v>21</v>
      </c>
      <c r="I3052" s="2" t="s">
        <v>6287</v>
      </c>
      <c r="J3052" s="3" t="str">
        <f>HYPERLINK("https://www.boe.es/gazeta/dias/1820/10/16/pdfs/GGB-1820-110.pdf#page=2","Abrir facsímil")</f>
        <v>Abrir facsímil</v>
      </c>
      <c r="K3052" s="3" t="s">
        <v>23</v>
      </c>
    </row>
    <row r="3053" spans="1:11" ht="42" customHeight="1">
      <c r="A3053" s="2" t="s">
        <v>6238</v>
      </c>
      <c r="B3053" s="2" t="s">
        <v>6239</v>
      </c>
      <c r="C3053" s="2" t="s">
        <v>26</v>
      </c>
      <c r="D3053" s="2" t="s">
        <v>27</v>
      </c>
      <c r="E3053" s="5">
        <v>-28926</v>
      </c>
      <c r="F3053" s="3" t="s">
        <v>597</v>
      </c>
      <c r="G3053" s="3" t="s">
        <v>20</v>
      </c>
      <c r="H3053" s="2" t="s">
        <v>21</v>
      </c>
      <c r="I3053" s="2" t="s">
        <v>6288</v>
      </c>
      <c r="J3053" s="3" t="str">
        <f>HYPERLINK("https://www.boe.es/gazeta/dias/1820/10/19/pdfs/GGB-1820-113.pdf#page=4","Abrir facsímil")</f>
        <v>Abrir facsímil</v>
      </c>
      <c r="K3053" s="3" t="s">
        <v>23</v>
      </c>
    </row>
    <row r="3054" spans="1:11" ht="42" customHeight="1">
      <c r="A3054" s="2" t="s">
        <v>6238</v>
      </c>
      <c r="B3054" s="2" t="s">
        <v>6239</v>
      </c>
      <c r="C3054" s="2" t="s">
        <v>26</v>
      </c>
      <c r="D3054" s="2" t="s">
        <v>27</v>
      </c>
      <c r="E3054" s="5">
        <v>-28925</v>
      </c>
      <c r="F3054" s="3" t="s">
        <v>228</v>
      </c>
      <c r="G3054" s="3" t="s">
        <v>43</v>
      </c>
      <c r="H3054" s="2" t="s">
        <v>21</v>
      </c>
      <c r="I3054" s="2" t="s">
        <v>6289</v>
      </c>
      <c r="J3054" s="3" t="str">
        <f>HYPERLINK("https://www.boe.es/gazeta/dias/1820/10/20/pdfs/GGB-1820-114.pdf#page=2","Abrir facsímil")</f>
        <v>Abrir facsímil</v>
      </c>
      <c r="K3054" s="3" t="s">
        <v>23</v>
      </c>
    </row>
    <row r="3055" spans="1:11" ht="42" customHeight="1">
      <c r="A3055" s="2" t="s">
        <v>6238</v>
      </c>
      <c r="B3055" s="2" t="s">
        <v>6239</v>
      </c>
      <c r="C3055" s="2" t="s">
        <v>26</v>
      </c>
      <c r="D3055" s="2" t="s">
        <v>27</v>
      </c>
      <c r="E3055" s="5">
        <v>-28919</v>
      </c>
      <c r="F3055" s="3" t="s">
        <v>516</v>
      </c>
      <c r="G3055" s="3" t="s">
        <v>62</v>
      </c>
      <c r="H3055" s="2" t="s">
        <v>21</v>
      </c>
      <c r="I3055" s="2" t="s">
        <v>6290</v>
      </c>
      <c r="J3055" s="3" t="str">
        <f>HYPERLINK("https://www.boe.es/gazeta/dias/1820/10/26/pdfs/GGB-1820-120.pdf#page=3","Abrir facsímil")</f>
        <v>Abrir facsímil</v>
      </c>
      <c r="K3055" s="3" t="s">
        <v>23</v>
      </c>
    </row>
    <row r="3056" spans="1:11" ht="42" customHeight="1">
      <c r="A3056" s="2" t="s">
        <v>6238</v>
      </c>
      <c r="B3056" s="2" t="s">
        <v>6239</v>
      </c>
      <c r="C3056" s="2" t="s">
        <v>26</v>
      </c>
      <c r="D3056" s="2" t="s">
        <v>27</v>
      </c>
      <c r="E3056" s="5">
        <v>-28918</v>
      </c>
      <c r="F3056" s="3" t="s">
        <v>160</v>
      </c>
      <c r="G3056" s="3" t="s">
        <v>62</v>
      </c>
      <c r="H3056" s="2" t="s">
        <v>21</v>
      </c>
      <c r="I3056" s="2" t="s">
        <v>6291</v>
      </c>
      <c r="J3056" s="3" t="str">
        <f>HYPERLINK("https://www.boe.es/gazeta/dias/1820/10/27/pdfs/GGB-1820-121.pdf#page=3","Abrir facsímil")</f>
        <v>Abrir facsímil</v>
      </c>
      <c r="K3056" s="3" t="s">
        <v>23</v>
      </c>
    </row>
    <row r="3057" spans="1:11" ht="42" customHeight="1">
      <c r="A3057" s="2" t="s">
        <v>6238</v>
      </c>
      <c r="B3057" s="2" t="s">
        <v>6239</v>
      </c>
      <c r="C3057" s="2" t="s">
        <v>26</v>
      </c>
      <c r="D3057" s="2" t="s">
        <v>27</v>
      </c>
      <c r="E3057" s="5">
        <v>-28918</v>
      </c>
      <c r="F3057" s="3" t="s">
        <v>160</v>
      </c>
      <c r="G3057" s="3" t="s">
        <v>20</v>
      </c>
      <c r="H3057" s="2" t="s">
        <v>21</v>
      </c>
      <c r="I3057" s="2" t="s">
        <v>6292</v>
      </c>
      <c r="J3057" s="3" t="str">
        <f>HYPERLINK("https://www.boe.es/gazeta/dias/1820/10/27/pdfs/GGB-1820-121.pdf#page=4","Abrir facsímil")</f>
        <v>Abrir facsímil</v>
      </c>
      <c r="K3057" s="3" t="s">
        <v>23</v>
      </c>
    </row>
    <row r="3058" spans="1:11" ht="42" customHeight="1">
      <c r="A3058" s="2" t="s">
        <v>6238</v>
      </c>
      <c r="B3058" s="2" t="s">
        <v>6239</v>
      </c>
      <c r="C3058" s="2" t="s">
        <v>26</v>
      </c>
      <c r="D3058" s="2" t="s">
        <v>27</v>
      </c>
      <c r="E3058" s="5">
        <v>-28917</v>
      </c>
      <c r="F3058" s="3" t="s">
        <v>19</v>
      </c>
      <c r="G3058" s="3" t="s">
        <v>20</v>
      </c>
      <c r="H3058" s="2" t="s">
        <v>21</v>
      </c>
      <c r="I3058" s="2" t="s">
        <v>6293</v>
      </c>
      <c r="J3058" s="3" t="str">
        <f>HYPERLINK("https://www.boe.es/gazeta/dias/1820/10/28/pdfs/GGB-1820-122.pdf#page=4","Abrir facsímil")</f>
        <v>Abrir facsímil</v>
      </c>
      <c r="K3058" s="3" t="s">
        <v>23</v>
      </c>
    </row>
    <row r="3059" spans="1:11" ht="42" customHeight="1">
      <c r="A3059" s="2" t="s">
        <v>6238</v>
      </c>
      <c r="B3059" s="2" t="s">
        <v>6239</v>
      </c>
      <c r="C3059" s="2" t="s">
        <v>26</v>
      </c>
      <c r="D3059" s="2" t="s">
        <v>27</v>
      </c>
      <c r="E3059" s="5">
        <v>-28914</v>
      </c>
      <c r="F3059" s="3" t="s">
        <v>434</v>
      </c>
      <c r="G3059" s="3" t="s">
        <v>43</v>
      </c>
      <c r="H3059" s="2" t="s">
        <v>21</v>
      </c>
      <c r="I3059" s="2" t="s">
        <v>6294</v>
      </c>
      <c r="J3059" s="3" t="str">
        <f>HYPERLINK("https://www.boe.es/gazeta/dias/1820/10/31/pdfs/GGB-1820-125.pdf#page=2","Abrir facsímil")</f>
        <v>Abrir facsímil</v>
      </c>
      <c r="K3059" s="3" t="s">
        <v>23</v>
      </c>
    </row>
    <row r="3060" spans="1:11" ht="42" customHeight="1">
      <c r="A3060" s="2" t="s">
        <v>6238</v>
      </c>
      <c r="B3060" s="2" t="s">
        <v>6239</v>
      </c>
      <c r="C3060" s="2" t="s">
        <v>26</v>
      </c>
      <c r="D3060" s="2" t="s">
        <v>27</v>
      </c>
      <c r="E3060" s="5">
        <v>-28911</v>
      </c>
      <c r="F3060" s="3" t="s">
        <v>82</v>
      </c>
      <c r="G3060" s="3" t="s">
        <v>62</v>
      </c>
      <c r="H3060" s="2" t="s">
        <v>21</v>
      </c>
      <c r="I3060" s="2" t="s">
        <v>6295</v>
      </c>
      <c r="J3060" s="3" t="str">
        <f>HYPERLINK("https://www.boe.es/gazeta/dias/1820/11/03/pdfs/GGB-1820-128.pdf#page=3","Abrir facsímil")</f>
        <v>Abrir facsímil</v>
      </c>
      <c r="K3060" s="3" t="s">
        <v>23</v>
      </c>
    </row>
    <row r="3061" spans="1:11" ht="42" customHeight="1">
      <c r="A3061" s="2" t="s">
        <v>6238</v>
      </c>
      <c r="B3061" s="2" t="s">
        <v>6239</v>
      </c>
      <c r="C3061" s="2" t="s">
        <v>26</v>
      </c>
      <c r="D3061" s="2" t="s">
        <v>27</v>
      </c>
      <c r="E3061" s="5">
        <v>-28904</v>
      </c>
      <c r="F3061" s="3" t="s">
        <v>541</v>
      </c>
      <c r="G3061" s="3" t="s">
        <v>62</v>
      </c>
      <c r="H3061" s="2" t="s">
        <v>21</v>
      </c>
      <c r="I3061" s="2" t="s">
        <v>6296</v>
      </c>
      <c r="J3061" s="3" t="str">
        <f>HYPERLINK("https://www.boe.es/gazeta/dias/1820/11/10/pdfs/GGB-1820-136.pdf#page=3","Abrir facsímil")</f>
        <v>Abrir facsímil</v>
      </c>
      <c r="K3061" s="3" t="s">
        <v>23</v>
      </c>
    </row>
    <row r="3062" spans="1:11" ht="42" customHeight="1">
      <c r="A3062" s="2" t="s">
        <v>6297</v>
      </c>
      <c r="B3062" s="2" t="s">
        <v>6298</v>
      </c>
      <c r="C3062" s="2" t="s">
        <v>26</v>
      </c>
      <c r="D3062" s="2" t="s">
        <v>27</v>
      </c>
      <c r="E3062" s="5">
        <v>-28967</v>
      </c>
      <c r="F3062" s="3" t="s">
        <v>238</v>
      </c>
      <c r="G3062" s="3" t="s">
        <v>128</v>
      </c>
      <c r="H3062" s="2" t="s">
        <v>21</v>
      </c>
      <c r="I3062" s="2" t="s">
        <v>6299</v>
      </c>
      <c r="J3062" s="3" t="str">
        <f>HYPERLINK("https://www.boe.es/gazeta/dias/1820/09/08/pdfs/GGB-1820-72.pdf#page=1","Abrir facsímil")</f>
        <v>Abrir facsímil</v>
      </c>
      <c r="K3062" s="3" t="s">
        <v>23</v>
      </c>
    </row>
    <row r="3063" spans="1:11" ht="42" customHeight="1">
      <c r="A3063" s="2" t="s">
        <v>6300</v>
      </c>
      <c r="B3063" s="2" t="s">
        <v>6301</v>
      </c>
      <c r="C3063" s="2" t="s">
        <v>26</v>
      </c>
      <c r="D3063" s="2" t="s">
        <v>27</v>
      </c>
      <c r="E3063" s="5">
        <v>-29075</v>
      </c>
      <c r="F3063" s="3" t="s">
        <v>1186</v>
      </c>
      <c r="G3063" s="3" t="s">
        <v>479</v>
      </c>
      <c r="H3063" s="2" t="s">
        <v>21</v>
      </c>
      <c r="I3063" s="2" t="s">
        <v>6302</v>
      </c>
      <c r="J3063" s="3" t="str">
        <f>HYPERLINK("https://www.boe.es/gazeta/dias/1820/05/23/pdfs/GMD-1820-84.pdf#page=12","Abrir facsímil")</f>
        <v>Abrir facsímil</v>
      </c>
      <c r="K3063" s="3" t="s">
        <v>23</v>
      </c>
    </row>
    <row r="3064" spans="1:11" ht="42" customHeight="1">
      <c r="A3064" s="2" t="s">
        <v>6303</v>
      </c>
      <c r="B3064" s="2" t="s">
        <v>6303</v>
      </c>
      <c r="C3064" s="2" t="s">
        <v>26</v>
      </c>
      <c r="D3064" s="2" t="s">
        <v>27</v>
      </c>
      <c r="E3064" s="5">
        <v>-28882</v>
      </c>
      <c r="F3064" s="3" t="s">
        <v>1245</v>
      </c>
      <c r="G3064" s="3" t="s">
        <v>1246</v>
      </c>
      <c r="H3064" s="2" t="s">
        <v>21</v>
      </c>
      <c r="I3064" s="2" t="s">
        <v>6304</v>
      </c>
      <c r="J3064" s="3" t="str">
        <f>HYPERLINK("https://www.boe.es/gazeta/dias/1820/12/02/pdfs/GGB-1820-159.pdf#page=3","Abrir facsímil")</f>
        <v>Abrir facsímil</v>
      </c>
      <c r="K3064" s="3" t="s">
        <v>23</v>
      </c>
    </row>
    <row r="3065" spans="1:11" ht="42" customHeight="1">
      <c r="A3065" s="2" t="s">
        <v>6305</v>
      </c>
      <c r="B3065" s="2" t="s">
        <v>6306</v>
      </c>
      <c r="C3065" s="2" t="s">
        <v>26</v>
      </c>
      <c r="D3065" s="2" t="s">
        <v>27</v>
      </c>
      <c r="E3065" s="5">
        <v>-28958</v>
      </c>
      <c r="F3065" s="3" t="s">
        <v>706</v>
      </c>
      <c r="G3065" s="3" t="s">
        <v>20</v>
      </c>
      <c r="H3065" s="2" t="s">
        <v>21</v>
      </c>
      <c r="I3065" s="2" t="s">
        <v>6307</v>
      </c>
      <c r="J3065" s="3" t="str">
        <f>HYPERLINK("https://www.boe.es/gazeta/dias/1820/09/17/pdfs/GGB-1820-81.pdf#page=4","Abrir facsímil")</f>
        <v>Abrir facsímil</v>
      </c>
      <c r="K3065" s="3" t="s">
        <v>23</v>
      </c>
    </row>
    <row r="3066" spans="1:11" ht="42" customHeight="1">
      <c r="A3066" s="2" t="s">
        <v>6305</v>
      </c>
      <c r="B3066" s="2" t="s">
        <v>6306</v>
      </c>
      <c r="C3066" s="2" t="s">
        <v>26</v>
      </c>
      <c r="D3066" s="2" t="s">
        <v>27</v>
      </c>
      <c r="E3066" s="5">
        <v>-28948</v>
      </c>
      <c r="F3066" s="3" t="s">
        <v>1069</v>
      </c>
      <c r="G3066" s="3" t="s">
        <v>43</v>
      </c>
      <c r="H3066" s="2" t="s">
        <v>21</v>
      </c>
      <c r="I3066" s="2" t="s">
        <v>6308</v>
      </c>
      <c r="J3066" s="3" t="str">
        <f>HYPERLINK("https://www.boe.es/gazeta/dias/1820/09/27/pdfs/GGB-1820-91.pdf#page=2","Abrir facsímil")</f>
        <v>Abrir facsímil</v>
      </c>
      <c r="K3066" s="3" t="s">
        <v>23</v>
      </c>
    </row>
    <row r="3067" spans="1:11" ht="42" customHeight="1">
      <c r="A3067" s="2" t="s">
        <v>6305</v>
      </c>
      <c r="B3067" s="2" t="s">
        <v>6306</v>
      </c>
      <c r="C3067" s="2" t="s">
        <v>26</v>
      </c>
      <c r="D3067" s="2" t="s">
        <v>27</v>
      </c>
      <c r="E3067" s="5">
        <v>-28882</v>
      </c>
      <c r="F3067" s="3" t="s">
        <v>1245</v>
      </c>
      <c r="G3067" s="3" t="s">
        <v>1246</v>
      </c>
      <c r="H3067" s="2" t="s">
        <v>21</v>
      </c>
      <c r="I3067" s="2" t="s">
        <v>6309</v>
      </c>
      <c r="J3067" s="3" t="str">
        <f>HYPERLINK("https://www.boe.es/gazeta/dias/1820/12/02/pdfs/GGB-1820-159.pdf#page=3","Abrir facsímil")</f>
        <v>Abrir facsímil</v>
      </c>
      <c r="K3067" s="3" t="s">
        <v>23</v>
      </c>
    </row>
    <row r="3068" spans="1:11" ht="42" customHeight="1">
      <c r="A3068" s="2" t="s">
        <v>6310</v>
      </c>
      <c r="B3068" s="2" t="s">
        <v>6311</v>
      </c>
      <c r="C3068" s="2" t="s">
        <v>17</v>
      </c>
      <c r="D3068" s="2" t="s">
        <v>18</v>
      </c>
      <c r="E3068" s="5">
        <v>-28968</v>
      </c>
      <c r="F3068" s="3" t="s">
        <v>66</v>
      </c>
      <c r="G3068" s="3" t="s">
        <v>403</v>
      </c>
      <c r="H3068" s="2" t="s">
        <v>21</v>
      </c>
      <c r="I3068" s="2" t="s">
        <v>6312</v>
      </c>
      <c r="J3068" s="3" t="str">
        <f>HYPERLINK("https://www.boe.es/gazeta/dias/1820/09/07/pdfs/GGB-1820-71.pdf#page=4","Abrir facsímil")</f>
        <v>Abrir facsímil</v>
      </c>
      <c r="K3068" s="3" t="s">
        <v>23</v>
      </c>
    </row>
    <row r="3069" spans="1:11" ht="42" customHeight="1">
      <c r="A3069" s="2" t="s">
        <v>6313</v>
      </c>
      <c r="B3069" s="2" t="s">
        <v>6314</v>
      </c>
      <c r="C3069" s="2" t="s">
        <v>26</v>
      </c>
      <c r="D3069" s="2" t="s">
        <v>27</v>
      </c>
      <c r="E3069" s="5">
        <v>-28975</v>
      </c>
      <c r="F3069" s="3" t="s">
        <v>182</v>
      </c>
      <c r="G3069" s="3" t="s">
        <v>62</v>
      </c>
      <c r="H3069" s="2" t="s">
        <v>21</v>
      </c>
      <c r="I3069" s="2" t="s">
        <v>6315</v>
      </c>
      <c r="J3069" s="3" t="str">
        <f>HYPERLINK("https://www.boe.es/gazeta/dias/1820/08/31/pdfs/GGB-1820-64.pdf#page=3","Abrir facsímil")</f>
        <v>Abrir facsímil</v>
      </c>
      <c r="K3069" s="3" t="s">
        <v>23</v>
      </c>
    </row>
    <row r="3070" spans="1:11" ht="42" customHeight="1">
      <c r="A3070" s="2" t="s">
        <v>6316</v>
      </c>
      <c r="B3070" s="2" t="s">
        <v>6317</v>
      </c>
      <c r="C3070" s="2" t="s">
        <v>17</v>
      </c>
      <c r="D3070" s="2" t="s">
        <v>18</v>
      </c>
      <c r="E3070" s="5">
        <v>-29171</v>
      </c>
      <c r="F3070" s="3" t="s">
        <v>764</v>
      </c>
      <c r="G3070" s="3" t="s">
        <v>62</v>
      </c>
      <c r="H3070" s="2" t="s">
        <v>21</v>
      </c>
      <c r="I3070" s="2" t="s">
        <v>6318</v>
      </c>
      <c r="J3070" s="3" t="str">
        <f>HYPERLINK("https://www.boe.es/gazeta/dias/1820/02/17/pdfs/GMD-1820-21.pdf#page=3","Abrir facsímil")</f>
        <v>Abrir facsímil</v>
      </c>
      <c r="K3070" s="3" t="s">
        <v>23</v>
      </c>
    </row>
    <row r="3071" spans="1:11" ht="42" customHeight="1">
      <c r="A3071" s="2" t="s">
        <v>6316</v>
      </c>
      <c r="B3071" s="2" t="s">
        <v>6317</v>
      </c>
      <c r="C3071" s="2" t="s">
        <v>26</v>
      </c>
      <c r="D3071" s="2" t="s">
        <v>27</v>
      </c>
      <c r="E3071" s="5">
        <v>-29171</v>
      </c>
      <c r="F3071" s="3" t="s">
        <v>764</v>
      </c>
      <c r="G3071" s="3" t="s">
        <v>256</v>
      </c>
      <c r="H3071" s="2" t="s">
        <v>21</v>
      </c>
      <c r="I3071" s="2" t="s">
        <v>6319</v>
      </c>
      <c r="J3071" s="3" t="str">
        <f>HYPERLINK("https://www.boe.es/gazeta/dias/1820/02/17/pdfs/GMD-1820-21.pdf#page=5","Abrir facsímil")</f>
        <v>Abrir facsímil</v>
      </c>
      <c r="K3071" s="3" t="s">
        <v>23</v>
      </c>
    </row>
    <row r="3072" spans="1:11" ht="42" customHeight="1">
      <c r="A3072" s="2" t="s">
        <v>6320</v>
      </c>
      <c r="B3072" s="2" t="s">
        <v>6321</v>
      </c>
      <c r="C3072" s="2" t="s">
        <v>35</v>
      </c>
      <c r="D3072" s="2" t="s">
        <v>36</v>
      </c>
      <c r="E3072" s="5">
        <v>-28968</v>
      </c>
      <c r="F3072" s="3" t="s">
        <v>66</v>
      </c>
      <c r="G3072" s="3" t="s">
        <v>6322</v>
      </c>
      <c r="H3072" s="2" t="s">
        <v>30</v>
      </c>
      <c r="I3072" s="2" t="s">
        <v>6323</v>
      </c>
      <c r="J3072" s="3" t="str">
        <f>HYPERLINK("https://www.boe.es/gazeta/dias/1820/09/07/pdfs/GGB-1820-71.pdf#page=2","Abrir facsímil")</f>
        <v>Abrir facsímil</v>
      </c>
      <c r="K3072" s="3" t="s">
        <v>32</v>
      </c>
    </row>
    <row r="3073" spans="1:11" ht="42" customHeight="1">
      <c r="A3073" s="2" t="s">
        <v>6324</v>
      </c>
      <c r="B3073" s="2" t="s">
        <v>6324</v>
      </c>
      <c r="C3073" s="2" t="s">
        <v>26</v>
      </c>
      <c r="D3073" s="2" t="s">
        <v>27</v>
      </c>
      <c r="E3073" s="5">
        <v>-29136</v>
      </c>
      <c r="F3073" s="3" t="s">
        <v>2972</v>
      </c>
      <c r="G3073" s="3" t="s">
        <v>256</v>
      </c>
      <c r="H3073" s="2" t="s">
        <v>21</v>
      </c>
      <c r="I3073" s="2" t="s">
        <v>6325</v>
      </c>
      <c r="J3073" s="3" t="str">
        <f>HYPERLINK("https://www.boe.es/gazeta/dias/1820/03/23/pdfs/GMD-1820-51.pdf#page=5","Abrir facsímil")</f>
        <v>Abrir facsímil</v>
      </c>
      <c r="K3073" s="3" t="s">
        <v>23</v>
      </c>
    </row>
    <row r="3074" spans="1:11" ht="42" customHeight="1">
      <c r="A3074" s="2" t="s">
        <v>6324</v>
      </c>
      <c r="B3074" s="2" t="s">
        <v>6324</v>
      </c>
      <c r="C3074" s="2" t="s">
        <v>26</v>
      </c>
      <c r="D3074" s="2" t="s">
        <v>27</v>
      </c>
      <c r="E3074" s="5">
        <v>-29002</v>
      </c>
      <c r="F3074" s="3" t="s">
        <v>124</v>
      </c>
      <c r="G3074" s="3" t="s">
        <v>128</v>
      </c>
      <c r="H3074" s="2" t="s">
        <v>21</v>
      </c>
      <c r="I3074" s="2" t="s">
        <v>6326</v>
      </c>
      <c r="J3074" s="3" t="str">
        <f>HYPERLINK("https://www.boe.es/gazeta/dias/1820/08/04/pdfs/GGB-1820-37.pdf#page=1","Abrir facsímil")</f>
        <v>Abrir facsímil</v>
      </c>
      <c r="K3074" s="3" t="s">
        <v>23</v>
      </c>
    </row>
    <row r="3075" spans="1:11" ht="42" customHeight="1">
      <c r="A3075" s="2" t="s">
        <v>6327</v>
      </c>
      <c r="B3075" s="2" t="s">
        <v>6327</v>
      </c>
      <c r="C3075" s="2" t="s">
        <v>111</v>
      </c>
      <c r="D3075" s="2" t="s">
        <v>18</v>
      </c>
      <c r="E3075" s="5">
        <v>-29162</v>
      </c>
      <c r="F3075" s="3" t="s">
        <v>2134</v>
      </c>
      <c r="G3075" s="3" t="s">
        <v>6328</v>
      </c>
      <c r="H3075" s="2" t="s">
        <v>21</v>
      </c>
      <c r="I3075" s="2" t="s">
        <v>6329</v>
      </c>
      <c r="J3075" s="3" t="str">
        <f>HYPERLINK("https://www.boe.es/gazeta/dias/1820/02/26/pdfs/GMD-1820-25.pdf#page=4","Abrir facsímil")</f>
        <v>Abrir facsímil</v>
      </c>
      <c r="K3075" s="3" t="s">
        <v>23</v>
      </c>
    </row>
    <row r="3076" spans="1:11" ht="42" customHeight="1">
      <c r="A3076" s="2" t="s">
        <v>6327</v>
      </c>
      <c r="B3076" s="2" t="s">
        <v>6327</v>
      </c>
      <c r="C3076" s="2" t="s">
        <v>26</v>
      </c>
      <c r="D3076" s="2" t="s">
        <v>27</v>
      </c>
      <c r="E3076" s="5">
        <v>-29034</v>
      </c>
      <c r="F3076" s="3" t="s">
        <v>460</v>
      </c>
      <c r="G3076" s="3" t="s">
        <v>461</v>
      </c>
      <c r="H3076" s="2" t="s">
        <v>21</v>
      </c>
      <c r="I3076" s="2" t="s">
        <v>6330</v>
      </c>
      <c r="J3076" s="3" t="str">
        <f>HYPERLINK("https://www.boe.es/gazeta/dias/1820/07/03/pdfs/GGB-1820-3.pdf#page=4","Abrir facsímil")</f>
        <v>Abrir facsímil</v>
      </c>
      <c r="K3076" s="3" t="s">
        <v>23</v>
      </c>
    </row>
    <row r="3077" spans="1:11" ht="42" customHeight="1">
      <c r="A3077" s="2" t="s">
        <v>6327</v>
      </c>
      <c r="B3077" s="2" t="s">
        <v>6327</v>
      </c>
      <c r="C3077" s="2" t="s">
        <v>26</v>
      </c>
      <c r="D3077" s="2" t="s">
        <v>27</v>
      </c>
      <c r="E3077" s="5">
        <v>-28900</v>
      </c>
      <c r="F3077" s="3" t="s">
        <v>878</v>
      </c>
      <c r="G3077" s="3" t="s">
        <v>62</v>
      </c>
      <c r="H3077" s="2" t="s">
        <v>21</v>
      </c>
      <c r="I3077" s="2" t="s">
        <v>6331</v>
      </c>
      <c r="J3077" s="3" t="str">
        <f>HYPERLINK("https://www.boe.es/gazeta/dias/1820/11/14/pdfs/GGB-1820-140.pdf#page=3","Abrir facsímil")</f>
        <v>Abrir facsímil</v>
      </c>
      <c r="K3077" s="3" t="s">
        <v>23</v>
      </c>
    </row>
    <row r="3078" spans="1:11" ht="42" customHeight="1">
      <c r="A3078" s="2" t="s">
        <v>6332</v>
      </c>
      <c r="B3078" s="2" t="s">
        <v>6332</v>
      </c>
      <c r="C3078" s="2" t="s">
        <v>26</v>
      </c>
      <c r="D3078" s="2" t="s">
        <v>27</v>
      </c>
      <c r="E3078" s="5">
        <v>-29034</v>
      </c>
      <c r="F3078" s="3" t="s">
        <v>460</v>
      </c>
      <c r="G3078" s="3" t="s">
        <v>461</v>
      </c>
      <c r="H3078" s="2" t="s">
        <v>21</v>
      </c>
      <c r="I3078" s="2" t="s">
        <v>6333</v>
      </c>
      <c r="J3078" s="3" t="str">
        <f>HYPERLINK("https://www.boe.es/gazeta/dias/1820/07/03/pdfs/GGB-1820-3.pdf#page=4","Abrir facsímil")</f>
        <v>Abrir facsímil</v>
      </c>
      <c r="K3078" s="3" t="s">
        <v>23</v>
      </c>
    </row>
    <row r="3079" spans="1:11" ht="42" customHeight="1">
      <c r="A3079" s="2" t="s">
        <v>6334</v>
      </c>
      <c r="B3079" s="2" t="s">
        <v>6335</v>
      </c>
      <c r="C3079" s="2" t="s">
        <v>26</v>
      </c>
      <c r="D3079" s="2" t="s">
        <v>27</v>
      </c>
      <c r="E3079" s="5">
        <v>-29213</v>
      </c>
      <c r="F3079" s="3" t="s">
        <v>195</v>
      </c>
      <c r="G3079" s="3" t="s">
        <v>196</v>
      </c>
      <c r="H3079" s="2" t="s">
        <v>30</v>
      </c>
      <c r="I3079" s="2" t="s">
        <v>6336</v>
      </c>
      <c r="J3079" s="3" t="str">
        <f>HYPERLINK("https://www.boe.es/gazeta/dias/1820/01/06/pdfs/GMD-1820-3.pdf#page=11","Abrir facsímil")</f>
        <v>Abrir facsímil</v>
      </c>
      <c r="K3079" s="3" t="s">
        <v>32</v>
      </c>
    </row>
    <row r="3080" spans="1:11" ht="42" customHeight="1">
      <c r="A3080" s="2" t="s">
        <v>6337</v>
      </c>
      <c r="B3080" s="2" t="s">
        <v>6337</v>
      </c>
      <c r="C3080" s="2" t="s">
        <v>17</v>
      </c>
      <c r="D3080" s="2" t="s">
        <v>18</v>
      </c>
      <c r="E3080" s="5">
        <v>-28931</v>
      </c>
      <c r="F3080" s="3" t="s">
        <v>724</v>
      </c>
      <c r="G3080" s="3" t="s">
        <v>20</v>
      </c>
      <c r="H3080" s="2" t="s">
        <v>21</v>
      </c>
      <c r="I3080" s="2" t="s">
        <v>6338</v>
      </c>
      <c r="J3080" s="3" t="str">
        <f>HYPERLINK("https://www.boe.es/gazeta/dias/1820/10/14/pdfs/GGB-1820-108.pdf#page=4","Abrir facsímil")</f>
        <v>Abrir facsímil</v>
      </c>
      <c r="K3080" s="3" t="s">
        <v>23</v>
      </c>
    </row>
    <row r="3081" spans="1:11" ht="42" customHeight="1">
      <c r="A3081" s="2" t="s">
        <v>6339</v>
      </c>
      <c r="B3081" s="2" t="s">
        <v>6339</v>
      </c>
      <c r="C3081" s="2" t="s">
        <v>26</v>
      </c>
      <c r="D3081" s="2" t="s">
        <v>27</v>
      </c>
      <c r="E3081" s="5">
        <v>-28872</v>
      </c>
      <c r="F3081" s="3" t="s">
        <v>1939</v>
      </c>
      <c r="G3081" s="3" t="s">
        <v>43</v>
      </c>
      <c r="H3081" s="2" t="s">
        <v>21</v>
      </c>
      <c r="I3081" s="2" t="s">
        <v>6340</v>
      </c>
      <c r="J3081" s="3" t="str">
        <f>HYPERLINK("https://www.boe.es/gazeta/dias/1820/12/12/pdfs/GGB-1820-169.pdf#page=2","Abrir facsímil")</f>
        <v>Abrir facsímil</v>
      </c>
      <c r="K3081" s="3" t="s">
        <v>23</v>
      </c>
    </row>
    <row r="3082" spans="1:11" ht="42" customHeight="1">
      <c r="A3082" s="2" t="s">
        <v>6341</v>
      </c>
      <c r="B3082" s="2" t="s">
        <v>6342</v>
      </c>
      <c r="C3082" s="2" t="s">
        <v>111</v>
      </c>
      <c r="D3082" s="2" t="s">
        <v>18</v>
      </c>
      <c r="E3082" s="5">
        <v>-28869</v>
      </c>
      <c r="F3082" s="3" t="s">
        <v>449</v>
      </c>
      <c r="G3082" s="3" t="s">
        <v>450</v>
      </c>
      <c r="H3082" s="2" t="s">
        <v>21</v>
      </c>
      <c r="I3082" s="2" t="s">
        <v>6343</v>
      </c>
      <c r="J3082" s="3" t="str">
        <f>HYPERLINK("https://www.boe.es/gazeta/dias/1820/12/15/pdfs/GGB-1820-172.pdf#page=4","Abrir facsímil")</f>
        <v>Abrir facsímil</v>
      </c>
      <c r="K3082" s="3" t="s">
        <v>23</v>
      </c>
    </row>
    <row r="3083" spans="1:11" ht="42" customHeight="1">
      <c r="A3083" s="2" t="s">
        <v>6344</v>
      </c>
      <c r="B3083" s="2" t="s">
        <v>6344</v>
      </c>
      <c r="C3083" s="2" t="s">
        <v>35</v>
      </c>
      <c r="D3083" s="2" t="s">
        <v>36</v>
      </c>
      <c r="E3083" s="5">
        <v>-28940</v>
      </c>
      <c r="F3083" s="3" t="s">
        <v>141</v>
      </c>
      <c r="G3083" s="3" t="s">
        <v>142</v>
      </c>
      <c r="H3083" s="2" t="s">
        <v>21</v>
      </c>
      <c r="I3083" s="2" t="s">
        <v>6345</v>
      </c>
      <c r="J3083" s="3" t="str">
        <f>HYPERLINK("https://www.boe.es/gazeta/dias/1820/10/05/pdfs/GGB-1820-99.pdf#page=4","Abrir facsímil")</f>
        <v>Abrir facsímil</v>
      </c>
      <c r="K3083" s="3" t="s">
        <v>23</v>
      </c>
    </row>
    <row r="3084" spans="1:11" ht="42" customHeight="1">
      <c r="A3084" s="2" t="s">
        <v>6346</v>
      </c>
      <c r="B3084" s="2" t="s">
        <v>6346</v>
      </c>
      <c r="C3084" s="2" t="s">
        <v>74</v>
      </c>
      <c r="D3084" s="2" t="s">
        <v>18</v>
      </c>
      <c r="E3084" s="5">
        <v>-28967</v>
      </c>
      <c r="F3084" s="3" t="s">
        <v>238</v>
      </c>
      <c r="G3084" s="3" t="s">
        <v>20</v>
      </c>
      <c r="H3084" s="2" t="s">
        <v>21</v>
      </c>
      <c r="I3084" s="2" t="s">
        <v>6347</v>
      </c>
      <c r="J3084" s="3" t="str">
        <f>HYPERLINK("https://www.boe.es/gazeta/dias/1820/09/08/pdfs/GGB-1820-72.pdf#page=4","Abrir facsímil")</f>
        <v>Abrir facsímil</v>
      </c>
      <c r="K3084" s="3" t="s">
        <v>23</v>
      </c>
    </row>
    <row r="3085" spans="1:11" ht="42" customHeight="1">
      <c r="A3085" s="2" t="s">
        <v>6346</v>
      </c>
      <c r="B3085" s="2" t="s">
        <v>6346</v>
      </c>
      <c r="C3085" s="2" t="s">
        <v>293</v>
      </c>
      <c r="D3085" s="2" t="s">
        <v>18</v>
      </c>
      <c r="E3085" s="5">
        <v>-28927</v>
      </c>
      <c r="F3085" s="3" t="s">
        <v>345</v>
      </c>
      <c r="G3085" s="3" t="s">
        <v>62</v>
      </c>
      <c r="H3085" s="2" t="s">
        <v>21</v>
      </c>
      <c r="I3085" s="2" t="s">
        <v>6348</v>
      </c>
      <c r="J3085" s="3" t="str">
        <f>HYPERLINK("https://www.boe.es/gazeta/dias/1820/10/18/pdfs/GGB-1820-112.pdf#page=3","Abrir facsímil")</f>
        <v>Abrir facsímil</v>
      </c>
      <c r="K3085" s="3" t="s">
        <v>23</v>
      </c>
    </row>
    <row r="3086" spans="1:11" ht="42" customHeight="1">
      <c r="A3086" s="2" t="s">
        <v>6349</v>
      </c>
      <c r="B3086" s="2" t="s">
        <v>6350</v>
      </c>
      <c r="C3086" s="2" t="s">
        <v>74</v>
      </c>
      <c r="D3086" s="2" t="s">
        <v>18</v>
      </c>
      <c r="E3086" s="5">
        <v>-28918</v>
      </c>
      <c r="F3086" s="3" t="s">
        <v>160</v>
      </c>
      <c r="G3086" s="3" t="s">
        <v>20</v>
      </c>
      <c r="H3086" s="2" t="s">
        <v>21</v>
      </c>
      <c r="I3086" s="2" t="s">
        <v>6351</v>
      </c>
      <c r="J3086" s="3" t="str">
        <f>HYPERLINK("https://www.boe.es/gazeta/dias/1820/10/27/pdfs/GGB-1820-121.pdf#page=4","Abrir facsímil")</f>
        <v>Abrir facsímil</v>
      </c>
      <c r="K3086" s="3" t="s">
        <v>23</v>
      </c>
    </row>
    <row r="3087" spans="1:11" ht="42" customHeight="1">
      <c r="A3087" s="2" t="s">
        <v>6352</v>
      </c>
      <c r="B3087" s="2" t="s">
        <v>6352</v>
      </c>
      <c r="C3087" s="2" t="s">
        <v>26</v>
      </c>
      <c r="D3087" s="2" t="s">
        <v>27</v>
      </c>
      <c r="E3087" s="5">
        <v>-28997</v>
      </c>
      <c r="F3087" s="3" t="s">
        <v>1471</v>
      </c>
      <c r="G3087" s="3" t="s">
        <v>62</v>
      </c>
      <c r="H3087" s="2" t="s">
        <v>21</v>
      </c>
      <c r="I3087" s="2" t="s">
        <v>6353</v>
      </c>
      <c r="J3087" s="3" t="str">
        <f>HYPERLINK("https://www.boe.es/gazeta/dias/1820/08/09/pdfs/GGB-1820-42.pdf#page=3","Abrir facsímil")</f>
        <v>Abrir facsímil</v>
      </c>
      <c r="K3087" s="3" t="s">
        <v>23</v>
      </c>
    </row>
    <row r="3088" spans="1:11" ht="42" customHeight="1">
      <c r="A3088" s="2" t="s">
        <v>6352</v>
      </c>
      <c r="B3088" s="2" t="s">
        <v>6352</v>
      </c>
      <c r="C3088" s="2" t="s">
        <v>26</v>
      </c>
      <c r="D3088" s="2" t="s">
        <v>27</v>
      </c>
      <c r="E3088" s="5">
        <v>-28969</v>
      </c>
      <c r="F3088" s="3" t="s">
        <v>225</v>
      </c>
      <c r="G3088" s="3" t="s">
        <v>226</v>
      </c>
      <c r="H3088" s="2" t="s">
        <v>21</v>
      </c>
      <c r="I3088" s="2" t="s">
        <v>6354</v>
      </c>
      <c r="J3088" s="3" t="str">
        <f>HYPERLINK("https://www.boe.es/gazeta/dias/1820/09/06/pdfs/GGB-1820-70.pdf#page=3","Abrir facsímil")</f>
        <v>Abrir facsímil</v>
      </c>
      <c r="K3088" s="3" t="s">
        <v>23</v>
      </c>
    </row>
    <row r="3089" spans="1:11" ht="42" customHeight="1">
      <c r="A3089" s="2" t="s">
        <v>6352</v>
      </c>
      <c r="B3089" s="2" t="s">
        <v>6352</v>
      </c>
      <c r="C3089" s="2" t="s">
        <v>74</v>
      </c>
      <c r="D3089" s="2" t="s">
        <v>18</v>
      </c>
      <c r="E3089" s="5">
        <v>-28969</v>
      </c>
      <c r="F3089" s="3" t="s">
        <v>225</v>
      </c>
      <c r="G3089" s="3" t="s">
        <v>43</v>
      </c>
      <c r="H3089" s="2" t="s">
        <v>21</v>
      </c>
      <c r="I3089" s="2" t="s">
        <v>6355</v>
      </c>
      <c r="J3089" s="3" t="str">
        <f>HYPERLINK("https://www.boe.es/gazeta/dias/1820/09/06/pdfs/GGB-1820-70.pdf#page=2","Abrir facsímil")</f>
        <v>Abrir facsímil</v>
      </c>
      <c r="K3089" s="3" t="s">
        <v>23</v>
      </c>
    </row>
    <row r="3090" spans="1:11" ht="42" customHeight="1">
      <c r="A3090" s="2" t="s">
        <v>6352</v>
      </c>
      <c r="B3090" s="2" t="s">
        <v>6352</v>
      </c>
      <c r="C3090" s="2" t="s">
        <v>26</v>
      </c>
      <c r="D3090" s="2" t="s">
        <v>27</v>
      </c>
      <c r="E3090" s="5">
        <v>-28967</v>
      </c>
      <c r="F3090" s="3" t="s">
        <v>238</v>
      </c>
      <c r="G3090" s="3" t="s">
        <v>20</v>
      </c>
      <c r="H3090" s="2" t="s">
        <v>21</v>
      </c>
      <c r="I3090" s="2" t="s">
        <v>6356</v>
      </c>
      <c r="J3090" s="3" t="str">
        <f>HYPERLINK("https://www.boe.es/gazeta/dias/1820/09/08/pdfs/GGB-1820-72.pdf#page=4","Abrir facsímil")</f>
        <v>Abrir facsímil</v>
      </c>
      <c r="K3090" s="3" t="s">
        <v>23</v>
      </c>
    </row>
    <row r="3091" spans="1:11" ht="42" customHeight="1">
      <c r="A3091" s="2" t="s">
        <v>6357</v>
      </c>
      <c r="B3091" s="2" t="s">
        <v>6358</v>
      </c>
      <c r="C3091" s="2" t="s">
        <v>293</v>
      </c>
      <c r="D3091" s="2" t="s">
        <v>18</v>
      </c>
      <c r="E3091" s="5">
        <v>-29127</v>
      </c>
      <c r="F3091" s="3" t="s">
        <v>583</v>
      </c>
      <c r="G3091" s="3" t="s">
        <v>295</v>
      </c>
      <c r="H3091" s="2" t="s">
        <v>21</v>
      </c>
      <c r="I3091" s="2" t="s">
        <v>6359</v>
      </c>
      <c r="J3091" s="3" t="str">
        <f>HYPERLINK("https://www.boe.es/gazeta/dias/1820/04/01/pdfs/GMD-1820-59.pdf#page=8","Abrir facsímil")</f>
        <v>Abrir facsímil</v>
      </c>
      <c r="K3091" s="3" t="s">
        <v>23</v>
      </c>
    </row>
    <row r="3092" spans="1:11" ht="42" customHeight="1">
      <c r="A3092" s="2" t="s">
        <v>6360</v>
      </c>
      <c r="B3092" s="2" t="s">
        <v>6361</v>
      </c>
      <c r="C3092" s="2" t="s">
        <v>107</v>
      </c>
      <c r="D3092" s="2" t="s">
        <v>18</v>
      </c>
      <c r="E3092" s="5">
        <v>-28999</v>
      </c>
      <c r="F3092" s="3" t="s">
        <v>342</v>
      </c>
      <c r="G3092" s="3" t="s">
        <v>20</v>
      </c>
      <c r="H3092" s="2" t="s">
        <v>21</v>
      </c>
      <c r="I3092" s="2" t="s">
        <v>6362</v>
      </c>
      <c r="J3092" s="3" t="str">
        <f>HYPERLINK("https://www.boe.es/gazeta/dias/1820/08/07/pdfs/GGB-1820-40.pdf#page=4","Abrir facsímil")</f>
        <v>Abrir facsímil</v>
      </c>
      <c r="K3092" s="3" t="s">
        <v>23</v>
      </c>
    </row>
    <row r="3093" spans="1:11" ht="42" customHeight="1">
      <c r="A3093" s="2" t="s">
        <v>6360</v>
      </c>
      <c r="B3093" s="2" t="s">
        <v>6361</v>
      </c>
      <c r="C3093" s="2" t="s">
        <v>35</v>
      </c>
      <c r="D3093" s="2" t="s">
        <v>36</v>
      </c>
      <c r="E3093" s="5">
        <v>-28854</v>
      </c>
      <c r="F3093" s="3" t="s">
        <v>147</v>
      </c>
      <c r="G3093" s="3" t="s">
        <v>62</v>
      </c>
      <c r="H3093" s="2" t="s">
        <v>21</v>
      </c>
      <c r="I3093" s="2" t="s">
        <v>6363</v>
      </c>
      <c r="J3093" s="3" t="str">
        <f>HYPERLINK("https://www.boe.es/gazeta/dias/1820/12/30/pdfs/GGB-1820-187.pdf#page=3","Abrir facsímil")</f>
        <v>Abrir facsímil</v>
      </c>
      <c r="K3093" s="3" t="s">
        <v>23</v>
      </c>
    </row>
    <row r="3094" spans="1:11" ht="42" customHeight="1">
      <c r="A3094" s="2" t="s">
        <v>6364</v>
      </c>
      <c r="B3094" s="2" t="s">
        <v>6365</v>
      </c>
      <c r="C3094" s="2" t="s">
        <v>35</v>
      </c>
      <c r="D3094" s="2" t="s">
        <v>36</v>
      </c>
      <c r="E3094" s="5">
        <v>-28954</v>
      </c>
      <c r="F3094" s="3" t="s">
        <v>28</v>
      </c>
      <c r="G3094" s="3" t="s">
        <v>29</v>
      </c>
      <c r="H3094" s="2" t="s">
        <v>21</v>
      </c>
      <c r="I3094" s="2" t="s">
        <v>6366</v>
      </c>
      <c r="J3094" s="3" t="str">
        <f>HYPERLINK("https://www.boe.es/gazeta/dias/1820/09/21/pdfs/GGB-1820-85.pdf#page=2","Abrir facsímil")</f>
        <v>Abrir facsímil</v>
      </c>
      <c r="K3094" s="3" t="s">
        <v>23</v>
      </c>
    </row>
    <row r="3095" spans="1:11" ht="42" customHeight="1">
      <c r="A3095" s="2" t="s">
        <v>6367</v>
      </c>
      <c r="B3095" s="2" t="s">
        <v>6368</v>
      </c>
      <c r="C3095" s="2" t="s">
        <v>35</v>
      </c>
      <c r="D3095" s="2" t="s">
        <v>36</v>
      </c>
      <c r="E3095" s="5">
        <v>-29085</v>
      </c>
      <c r="F3095" s="3" t="s">
        <v>1502</v>
      </c>
      <c r="G3095" s="3" t="s">
        <v>196</v>
      </c>
      <c r="H3095" s="2" t="s">
        <v>21</v>
      </c>
      <c r="I3095" s="2" t="s">
        <v>6369</v>
      </c>
      <c r="J3095" s="3" t="str">
        <f>HYPERLINK("https://www.boe.es/gazeta/dias/1820/05/13/pdfs/GMD-1820-79.pdf#page=11","Abrir facsímil")</f>
        <v>Abrir facsímil</v>
      </c>
      <c r="K3095" s="3" t="s">
        <v>23</v>
      </c>
    </row>
    <row r="3096" spans="1:11" ht="42" customHeight="1">
      <c r="A3096" s="2" t="s">
        <v>6370</v>
      </c>
      <c r="B3096" s="2" t="s">
        <v>6371</v>
      </c>
      <c r="C3096" s="2" t="s">
        <v>293</v>
      </c>
      <c r="D3096" s="2" t="s">
        <v>18</v>
      </c>
      <c r="E3096" s="5">
        <v>-29164</v>
      </c>
      <c r="F3096" s="3" t="s">
        <v>2516</v>
      </c>
      <c r="G3096" s="3" t="s">
        <v>295</v>
      </c>
      <c r="H3096" s="2" t="s">
        <v>21</v>
      </c>
      <c r="I3096" s="2" t="s">
        <v>6372</v>
      </c>
      <c r="J3096" s="3" t="str">
        <f>HYPERLINK("https://www.boe.es/gazeta/dias/1820/02/24/pdfs/GMD-1820-24.pdf#page=8","Abrir facsímil")</f>
        <v>Abrir facsímil</v>
      </c>
      <c r="K3096" s="3" t="s">
        <v>23</v>
      </c>
    </row>
    <row r="3097" spans="1:11" ht="42" customHeight="1">
      <c r="A3097" s="2" t="s">
        <v>6373</v>
      </c>
      <c r="B3097" s="2" t="s">
        <v>6374</v>
      </c>
      <c r="C3097" s="2" t="s">
        <v>293</v>
      </c>
      <c r="D3097" s="2" t="s">
        <v>18</v>
      </c>
      <c r="E3097" s="5">
        <v>-29150</v>
      </c>
      <c r="F3097" s="3" t="s">
        <v>299</v>
      </c>
      <c r="G3097" s="3" t="s">
        <v>300</v>
      </c>
      <c r="H3097" s="2" t="s">
        <v>21</v>
      </c>
      <c r="I3097" s="2" t="s">
        <v>6375</v>
      </c>
      <c r="J3097" s="3" t="str">
        <f>HYPERLINK("https://www.boe.es/gazeta/dias/1820/03/09/pdfs/GMD-1820-32.pdf#page=8","Abrir facsímil")</f>
        <v>Abrir facsímil</v>
      </c>
      <c r="K3097" s="3" t="s">
        <v>23</v>
      </c>
    </row>
    <row r="3098" spans="1:11" ht="42" customHeight="1">
      <c r="A3098" s="2" t="s">
        <v>6376</v>
      </c>
      <c r="B3098" s="2" t="s">
        <v>6377</v>
      </c>
      <c r="C3098" s="2" t="s">
        <v>293</v>
      </c>
      <c r="D3098" s="2" t="s">
        <v>18</v>
      </c>
      <c r="E3098" s="5">
        <v>-29101</v>
      </c>
      <c r="F3098" s="3" t="s">
        <v>999</v>
      </c>
      <c r="G3098" s="3" t="s">
        <v>479</v>
      </c>
      <c r="H3098" s="2" t="s">
        <v>21</v>
      </c>
      <c r="I3098" s="2" t="s">
        <v>6378</v>
      </c>
      <c r="J3098" s="3" t="str">
        <f>HYPERLINK("https://www.boe.es/gazeta/dias/1820/04/27/pdfs/GMD-1820-72.pdf#page=12","Abrir facsímil")</f>
        <v>Abrir facsímil</v>
      </c>
      <c r="K3098" s="3" t="s">
        <v>23</v>
      </c>
    </row>
    <row r="3099" spans="1:11" ht="42" customHeight="1">
      <c r="A3099" s="2" t="s">
        <v>6379</v>
      </c>
      <c r="B3099" s="2" t="s">
        <v>6380</v>
      </c>
      <c r="C3099" s="2" t="s">
        <v>107</v>
      </c>
      <c r="D3099" s="2" t="s">
        <v>18</v>
      </c>
      <c r="E3099" s="5">
        <v>-28999</v>
      </c>
      <c r="F3099" s="3" t="s">
        <v>342</v>
      </c>
      <c r="G3099" s="3" t="s">
        <v>20</v>
      </c>
      <c r="H3099" s="2" t="s">
        <v>21</v>
      </c>
      <c r="I3099" s="2" t="s">
        <v>6381</v>
      </c>
      <c r="J3099" s="3" t="str">
        <f>HYPERLINK("https://www.boe.es/gazeta/dias/1820/08/07/pdfs/GGB-1820-40.pdf#page=4","Abrir facsímil")</f>
        <v>Abrir facsímil</v>
      </c>
      <c r="K3099" s="3" t="s">
        <v>23</v>
      </c>
    </row>
    <row r="3100" spans="1:11" ht="42" customHeight="1">
      <c r="A3100" s="2" t="s">
        <v>6379</v>
      </c>
      <c r="B3100" s="2" t="s">
        <v>6380</v>
      </c>
      <c r="C3100" s="2" t="s">
        <v>35</v>
      </c>
      <c r="D3100" s="2" t="s">
        <v>36</v>
      </c>
      <c r="E3100" s="5">
        <v>-28854</v>
      </c>
      <c r="F3100" s="3" t="s">
        <v>147</v>
      </c>
      <c r="G3100" s="3" t="s">
        <v>62</v>
      </c>
      <c r="H3100" s="2" t="s">
        <v>21</v>
      </c>
      <c r="I3100" s="2" t="s">
        <v>6382</v>
      </c>
      <c r="J3100" s="3" t="str">
        <f>HYPERLINK("https://www.boe.es/gazeta/dias/1820/12/30/pdfs/GGB-1820-187.pdf#page=3","Abrir facsímil")</f>
        <v>Abrir facsímil</v>
      </c>
      <c r="K3100" s="3" t="s">
        <v>23</v>
      </c>
    </row>
    <row r="3101" spans="1:11" ht="42" customHeight="1">
      <c r="A3101" s="2" t="s">
        <v>6383</v>
      </c>
      <c r="B3101" s="2" t="s">
        <v>6384</v>
      </c>
      <c r="C3101" s="2" t="s">
        <v>17</v>
      </c>
      <c r="D3101" s="2" t="s">
        <v>18</v>
      </c>
      <c r="E3101" s="5">
        <v>-28864</v>
      </c>
      <c r="F3101" s="3" t="s">
        <v>1275</v>
      </c>
      <c r="G3101" s="3" t="s">
        <v>38</v>
      </c>
      <c r="H3101" s="2" t="s">
        <v>21</v>
      </c>
      <c r="I3101" s="2" t="s">
        <v>6385</v>
      </c>
      <c r="J3101" s="3" t="str">
        <f>HYPERLINK("https://www.boe.es/gazeta/dias/1820/12/20/pdfs/GGB-1820-177.pdf#page=6","Abrir facsímil")</f>
        <v>Abrir facsímil</v>
      </c>
      <c r="K3101" s="3" t="s">
        <v>23</v>
      </c>
    </row>
    <row r="3102" spans="1:11" ht="42" customHeight="1">
      <c r="A3102" s="2" t="s">
        <v>6386</v>
      </c>
      <c r="B3102" s="2" t="s">
        <v>6387</v>
      </c>
      <c r="C3102" s="2" t="s">
        <v>111</v>
      </c>
      <c r="D3102" s="2" t="s">
        <v>18</v>
      </c>
      <c r="E3102" s="5">
        <v>-28956</v>
      </c>
      <c r="F3102" s="3" t="s">
        <v>190</v>
      </c>
      <c r="G3102" s="3" t="s">
        <v>20</v>
      </c>
      <c r="H3102" s="2" t="s">
        <v>30</v>
      </c>
      <c r="I3102" s="2" t="s">
        <v>6388</v>
      </c>
      <c r="J3102" s="3" t="str">
        <f>HYPERLINK("https://www.boe.es/gazeta/dias/1820/09/19/pdfs/GGB-1820-83.pdf#page=4","Abrir facsímil")</f>
        <v>Abrir facsímil</v>
      </c>
      <c r="K3102" s="3" t="s">
        <v>32</v>
      </c>
    </row>
    <row r="3103" spans="1:11" ht="42" customHeight="1">
      <c r="A3103" s="2" t="s">
        <v>6389</v>
      </c>
      <c r="B3103" s="2" t="s">
        <v>6390</v>
      </c>
      <c r="C3103" s="2" t="s">
        <v>17</v>
      </c>
      <c r="D3103" s="2" t="s">
        <v>18</v>
      </c>
      <c r="E3103" s="5">
        <v>-28969</v>
      </c>
      <c r="F3103" s="3" t="s">
        <v>225</v>
      </c>
      <c r="G3103" s="3" t="s">
        <v>43</v>
      </c>
      <c r="H3103" s="2" t="s">
        <v>21</v>
      </c>
      <c r="I3103" s="2" t="s">
        <v>6391</v>
      </c>
      <c r="J3103" s="3" t="str">
        <f>HYPERLINK("https://www.boe.es/gazeta/dias/1820/09/06/pdfs/GGB-1820-70.pdf#page=2","Abrir facsímil")</f>
        <v>Abrir facsímil</v>
      </c>
      <c r="K3103" s="3" t="s">
        <v>23</v>
      </c>
    </row>
    <row r="3104" spans="1:11" ht="42" customHeight="1">
      <c r="A3104" s="2" t="s">
        <v>6392</v>
      </c>
      <c r="B3104" s="2" t="s">
        <v>6393</v>
      </c>
      <c r="C3104" s="2" t="s">
        <v>47</v>
      </c>
      <c r="D3104" s="2" t="s">
        <v>18</v>
      </c>
      <c r="E3104" s="5">
        <v>-28914</v>
      </c>
      <c r="F3104" s="3" t="s">
        <v>434</v>
      </c>
      <c r="G3104" s="3" t="s">
        <v>43</v>
      </c>
      <c r="H3104" s="2" t="s">
        <v>21</v>
      </c>
      <c r="I3104" s="2" t="s">
        <v>6394</v>
      </c>
      <c r="J3104" s="3" t="str">
        <f>HYPERLINK("https://www.boe.es/gazeta/dias/1820/10/31/pdfs/GGB-1820-125.pdf#page=2","Abrir facsímil")</f>
        <v>Abrir facsímil</v>
      </c>
      <c r="K3104" s="3" t="s">
        <v>23</v>
      </c>
    </row>
    <row r="3105" spans="1:11" ht="42" customHeight="1">
      <c r="A3105" s="2" t="s">
        <v>6395</v>
      </c>
      <c r="B3105" s="2" t="s">
        <v>6395</v>
      </c>
      <c r="C3105" s="2" t="s">
        <v>35</v>
      </c>
      <c r="D3105" s="2" t="s">
        <v>36</v>
      </c>
      <c r="E3105" s="5">
        <v>-29004</v>
      </c>
      <c r="F3105" s="3" t="s">
        <v>75</v>
      </c>
      <c r="G3105" s="3" t="s">
        <v>76</v>
      </c>
      <c r="H3105" s="2" t="s">
        <v>21</v>
      </c>
      <c r="I3105" s="2" t="s">
        <v>6396</v>
      </c>
      <c r="J3105" s="3" t="str">
        <f>HYPERLINK("https://www.boe.es/gazeta/dias/1820/08/02/pdfs/GGB-1820-35.pdf#page=2","Abrir facsímil")</f>
        <v>Abrir facsímil</v>
      </c>
      <c r="K3105" s="3" t="s">
        <v>23</v>
      </c>
    </row>
    <row r="3106" spans="1:11" ht="42" customHeight="1">
      <c r="A3106" s="2" t="s">
        <v>6397</v>
      </c>
      <c r="B3106" s="2" t="s">
        <v>6398</v>
      </c>
      <c r="C3106" s="2" t="s">
        <v>35</v>
      </c>
      <c r="D3106" s="2" t="s">
        <v>36</v>
      </c>
      <c r="E3106" s="5">
        <v>-28928</v>
      </c>
      <c r="F3106" s="3" t="s">
        <v>86</v>
      </c>
      <c r="G3106" s="3" t="s">
        <v>43</v>
      </c>
      <c r="H3106" s="2" t="s">
        <v>21</v>
      </c>
      <c r="I3106" s="2" t="s">
        <v>6399</v>
      </c>
      <c r="J3106" s="3" t="str">
        <f>HYPERLINK("https://www.boe.es/gazeta/dias/1820/10/17/pdfs/GGB-1820-111.pdf#page=2","Abrir facsímil")</f>
        <v>Abrir facsímil</v>
      </c>
      <c r="K3106" s="3" t="s">
        <v>23</v>
      </c>
    </row>
    <row r="3107" spans="1:11" ht="42" customHeight="1">
      <c r="A3107" s="2" t="s">
        <v>6400</v>
      </c>
      <c r="B3107" s="2" t="s">
        <v>6401</v>
      </c>
      <c r="C3107" s="2" t="s">
        <v>35</v>
      </c>
      <c r="D3107" s="2" t="s">
        <v>36</v>
      </c>
      <c r="E3107" s="5">
        <v>-28935</v>
      </c>
      <c r="F3107" s="3" t="s">
        <v>2464</v>
      </c>
      <c r="G3107" s="3" t="s">
        <v>43</v>
      </c>
      <c r="H3107" s="2" t="s">
        <v>21</v>
      </c>
      <c r="I3107" s="2" t="s">
        <v>6402</v>
      </c>
      <c r="J3107" s="3" t="str">
        <f>HYPERLINK("https://www.boe.es/gazeta/dias/1820/10/10/pdfs/GGB-1820-104.pdf#page=2","Abrir facsímil")</f>
        <v>Abrir facsímil</v>
      </c>
      <c r="K3107" s="3" t="s">
        <v>23</v>
      </c>
    </row>
    <row r="3108" spans="1:11" ht="42" customHeight="1">
      <c r="A3108" s="2" t="s">
        <v>6403</v>
      </c>
      <c r="B3108" s="2" t="s">
        <v>6404</v>
      </c>
      <c r="C3108" s="2" t="s">
        <v>74</v>
      </c>
      <c r="D3108" s="2" t="s">
        <v>18</v>
      </c>
      <c r="E3108" s="5">
        <v>-28959</v>
      </c>
      <c r="F3108" s="3" t="s">
        <v>37</v>
      </c>
      <c r="G3108" s="3" t="s">
        <v>20</v>
      </c>
      <c r="H3108" s="2" t="s">
        <v>21</v>
      </c>
      <c r="I3108" s="2" t="s">
        <v>6405</v>
      </c>
      <c r="J3108" s="3" t="str">
        <f>HYPERLINK("https://www.boe.es/gazeta/dias/1820/09/16/pdfs/GGB-1820-80.pdf#page=4","Abrir facsímil")</f>
        <v>Abrir facsímil</v>
      </c>
      <c r="K3108" s="3" t="s">
        <v>23</v>
      </c>
    </row>
    <row r="3109" spans="1:11" ht="42" customHeight="1">
      <c r="A3109" s="2" t="s">
        <v>6406</v>
      </c>
      <c r="B3109" s="2" t="s">
        <v>6407</v>
      </c>
      <c r="C3109" s="2" t="s">
        <v>35</v>
      </c>
      <c r="D3109" s="2" t="s">
        <v>36</v>
      </c>
      <c r="E3109" s="5">
        <v>-29061</v>
      </c>
      <c r="F3109" s="3" t="s">
        <v>4467</v>
      </c>
      <c r="G3109" s="3" t="s">
        <v>201</v>
      </c>
      <c r="H3109" s="2" t="s">
        <v>21</v>
      </c>
      <c r="I3109" s="2" t="s">
        <v>6408</v>
      </c>
      <c r="J3109" s="3" t="str">
        <f>HYPERLINK("https://www.boe.es/gazeta/dias/1820/06/06/pdfs/GMD-1820-90.pdf#page=7","Abrir facsímil")</f>
        <v>Abrir facsímil</v>
      </c>
      <c r="K3109" s="3" t="s">
        <v>23</v>
      </c>
    </row>
    <row r="3110" spans="1:11" ht="42" customHeight="1">
      <c r="A3110" s="2" t="s">
        <v>6406</v>
      </c>
      <c r="B3110" s="2" t="s">
        <v>6407</v>
      </c>
      <c r="C3110" s="2" t="s">
        <v>26</v>
      </c>
      <c r="D3110" s="2" t="s">
        <v>27</v>
      </c>
      <c r="E3110" s="5">
        <v>-29045</v>
      </c>
      <c r="F3110" s="3" t="s">
        <v>155</v>
      </c>
      <c r="G3110" s="3" t="s">
        <v>6409</v>
      </c>
      <c r="H3110" s="2" t="s">
        <v>21</v>
      </c>
      <c r="I3110" s="2" t="s">
        <v>6410</v>
      </c>
      <c r="J3110" s="3" t="str">
        <f>HYPERLINK("https://www.boe.es/gazeta/dias/1820/06/22/pdfs/GMD-1820-97.pdf#page=5","Abrir facsímil")</f>
        <v>Abrir facsímil</v>
      </c>
      <c r="K3110" s="3" t="s">
        <v>23</v>
      </c>
    </row>
    <row r="3111" spans="1:11" ht="42" customHeight="1">
      <c r="A3111" s="2" t="s">
        <v>6406</v>
      </c>
      <c r="B3111" s="2" t="s">
        <v>6407</v>
      </c>
      <c r="C3111" s="2" t="s">
        <v>35</v>
      </c>
      <c r="D3111" s="2" t="s">
        <v>36</v>
      </c>
      <c r="E3111" s="5">
        <v>-29029</v>
      </c>
      <c r="F3111" s="3" t="s">
        <v>282</v>
      </c>
      <c r="G3111" s="3" t="s">
        <v>62</v>
      </c>
      <c r="H3111" s="2" t="s">
        <v>21</v>
      </c>
      <c r="I3111" s="2" t="s">
        <v>6411</v>
      </c>
      <c r="J3111" s="3" t="str">
        <f>HYPERLINK("https://www.boe.es/gazeta/dias/1820/07/08/pdfs/GGB-1820-9.pdf#page=3","Abrir facsímil")</f>
        <v>Abrir facsímil</v>
      </c>
      <c r="K3111" s="3" t="s">
        <v>23</v>
      </c>
    </row>
    <row r="3112" spans="1:11" ht="42" customHeight="1">
      <c r="A3112" s="2" t="s">
        <v>6406</v>
      </c>
      <c r="B3112" s="2" t="s">
        <v>6407</v>
      </c>
      <c r="C3112" s="2" t="s">
        <v>26</v>
      </c>
      <c r="D3112" s="2" t="s">
        <v>27</v>
      </c>
      <c r="E3112" s="5">
        <v>-29025</v>
      </c>
      <c r="F3112" s="3" t="s">
        <v>902</v>
      </c>
      <c r="G3112" s="3" t="s">
        <v>20</v>
      </c>
      <c r="H3112" s="2" t="s">
        <v>21</v>
      </c>
      <c r="I3112" s="2" t="s">
        <v>6412</v>
      </c>
      <c r="J3112" s="3" t="str">
        <f>HYPERLINK("https://www.boe.es/gazeta/dias/1820/07/12/pdfs/GGB-1820-14.pdf#page=4","Abrir facsímil")</f>
        <v>Abrir facsímil</v>
      </c>
      <c r="K3112" s="3" t="s">
        <v>23</v>
      </c>
    </row>
    <row r="3113" spans="1:11" ht="42" customHeight="1">
      <c r="A3113" s="2" t="s">
        <v>6413</v>
      </c>
      <c r="B3113" s="2" t="s">
        <v>6414</v>
      </c>
      <c r="C3113" s="2" t="s">
        <v>17</v>
      </c>
      <c r="D3113" s="2" t="s">
        <v>18</v>
      </c>
      <c r="E3113" s="5">
        <v>-28931</v>
      </c>
      <c r="F3113" s="3" t="s">
        <v>724</v>
      </c>
      <c r="G3113" s="3" t="s">
        <v>20</v>
      </c>
      <c r="H3113" s="2" t="s">
        <v>21</v>
      </c>
      <c r="I3113" s="2" t="s">
        <v>6415</v>
      </c>
      <c r="J3113" s="3" t="str">
        <f>HYPERLINK("https://www.boe.es/gazeta/dias/1820/10/14/pdfs/GGB-1820-108.pdf#page=4","Abrir facsímil")</f>
        <v>Abrir facsímil</v>
      </c>
      <c r="K3113" s="3" t="s">
        <v>23</v>
      </c>
    </row>
    <row r="3114" spans="1:11" ht="42" customHeight="1">
      <c r="A3114" s="2" t="s">
        <v>6416</v>
      </c>
      <c r="B3114" s="2" t="s">
        <v>6417</v>
      </c>
      <c r="C3114" s="2" t="s">
        <v>17</v>
      </c>
      <c r="D3114" s="2" t="s">
        <v>18</v>
      </c>
      <c r="E3114" s="5">
        <v>-28931</v>
      </c>
      <c r="F3114" s="3" t="s">
        <v>724</v>
      </c>
      <c r="G3114" s="3" t="s">
        <v>20</v>
      </c>
      <c r="H3114" s="2" t="s">
        <v>21</v>
      </c>
      <c r="I3114" s="2" t="s">
        <v>6418</v>
      </c>
      <c r="J3114" s="3" t="str">
        <f>HYPERLINK("https://www.boe.es/gazeta/dias/1820/10/14/pdfs/GGB-1820-108.pdf#page=4","Abrir facsímil")</f>
        <v>Abrir facsímil</v>
      </c>
      <c r="K3114" s="3" t="s">
        <v>23</v>
      </c>
    </row>
    <row r="3115" spans="1:11" ht="42" customHeight="1">
      <c r="A3115" s="2" t="s">
        <v>6419</v>
      </c>
      <c r="B3115" s="2" t="s">
        <v>6419</v>
      </c>
      <c r="C3115" s="2" t="s">
        <v>35</v>
      </c>
      <c r="D3115" s="2" t="s">
        <v>36</v>
      </c>
      <c r="E3115" s="5">
        <v>-29199</v>
      </c>
      <c r="F3115" s="3" t="s">
        <v>1178</v>
      </c>
      <c r="G3115" s="3" t="s">
        <v>62</v>
      </c>
      <c r="H3115" s="2" t="s">
        <v>21</v>
      </c>
      <c r="I3115" s="2" t="s">
        <v>6420</v>
      </c>
      <c r="J3115" s="3" t="str">
        <f>HYPERLINK("https://www.boe.es/gazeta/dias/1820/01/20/pdfs/GMD-1820-9.pdf#page=3","Abrir facsímil")</f>
        <v>Abrir facsímil</v>
      </c>
      <c r="K3115" s="3" t="s">
        <v>23</v>
      </c>
    </row>
    <row r="3116" spans="1:11" ht="42" customHeight="1">
      <c r="A3116" s="2" t="s">
        <v>6421</v>
      </c>
      <c r="B3116" s="2" t="s">
        <v>6421</v>
      </c>
      <c r="C3116" s="2" t="s">
        <v>74</v>
      </c>
      <c r="D3116" s="2" t="s">
        <v>18</v>
      </c>
      <c r="E3116" s="5">
        <v>-29075</v>
      </c>
      <c r="F3116" s="3" t="s">
        <v>1186</v>
      </c>
      <c r="G3116" s="3" t="s">
        <v>43</v>
      </c>
      <c r="H3116" s="2" t="s">
        <v>21</v>
      </c>
      <c r="I3116" s="2" t="s">
        <v>6422</v>
      </c>
      <c r="J3116" s="3" t="str">
        <f>HYPERLINK("https://www.boe.es/gazeta/dias/1820/05/23/pdfs/GMD-1820-84.pdf#page=2","Abrir facsímil")</f>
        <v>Abrir facsímil</v>
      </c>
      <c r="K3116" s="3" t="s">
        <v>23</v>
      </c>
    </row>
    <row r="3117" spans="1:11" ht="42" customHeight="1">
      <c r="A3117" s="2" t="s">
        <v>6423</v>
      </c>
      <c r="B3117" s="2" t="s">
        <v>6423</v>
      </c>
      <c r="C3117" s="2" t="s">
        <v>35</v>
      </c>
      <c r="D3117" s="2" t="s">
        <v>36</v>
      </c>
      <c r="E3117" s="5">
        <v>-28972</v>
      </c>
      <c r="F3117" s="3" t="s">
        <v>522</v>
      </c>
      <c r="G3117" s="3" t="s">
        <v>128</v>
      </c>
      <c r="H3117" s="2" t="s">
        <v>21</v>
      </c>
      <c r="I3117" s="2" t="s">
        <v>6424</v>
      </c>
      <c r="J3117" s="3" t="str">
        <f>HYPERLINK("https://www.boe.es/gazeta/dias/1820/09/03/pdfs/GGB-1820-67.pdf#page=1","Abrir facsímil")</f>
        <v>Abrir facsímil</v>
      </c>
      <c r="K3117" s="3" t="s">
        <v>23</v>
      </c>
    </row>
    <row r="3118" spans="1:11" ht="42" customHeight="1">
      <c r="A3118" s="2" t="s">
        <v>6425</v>
      </c>
      <c r="B3118" s="2" t="s">
        <v>6426</v>
      </c>
      <c r="C3118" s="2" t="s">
        <v>26</v>
      </c>
      <c r="D3118" s="2" t="s">
        <v>310</v>
      </c>
      <c r="E3118" s="5">
        <v>-29132</v>
      </c>
      <c r="F3118" s="3" t="s">
        <v>311</v>
      </c>
      <c r="G3118" s="3" t="s">
        <v>128</v>
      </c>
      <c r="H3118" s="2" t="s">
        <v>21</v>
      </c>
      <c r="I3118" s="2" t="s">
        <v>6427</v>
      </c>
      <c r="J3118" s="3" t="str">
        <f>HYPERLINK("https://www.boe.es/gazeta/dias/1820/03/27/pdfs/GMD-1820-55E.pdf#page=1","Abrir facsímil")</f>
        <v>Abrir facsímil</v>
      </c>
      <c r="K3118" s="3" t="s">
        <v>23</v>
      </c>
    </row>
    <row r="3119" spans="1:11" ht="42" customHeight="1">
      <c r="A3119" s="2" t="s">
        <v>6428</v>
      </c>
      <c r="B3119" s="2" t="s">
        <v>6428</v>
      </c>
      <c r="C3119" s="2" t="s">
        <v>26</v>
      </c>
      <c r="D3119" s="2" t="s">
        <v>27</v>
      </c>
      <c r="E3119" s="5">
        <v>-29009</v>
      </c>
      <c r="F3119" s="3" t="s">
        <v>605</v>
      </c>
      <c r="G3119" s="3" t="s">
        <v>128</v>
      </c>
      <c r="H3119" s="2" t="s">
        <v>21</v>
      </c>
      <c r="I3119" s="2" t="s">
        <v>6429</v>
      </c>
      <c r="J3119" s="3" t="str">
        <f>HYPERLINK("https://www.boe.es/gazeta/dias/1820/07/28/pdfs/GGB-1820-30.pdf#page=1","Abrir facsímil")</f>
        <v>Abrir facsímil</v>
      </c>
      <c r="K3119" s="3" t="s">
        <v>23</v>
      </c>
    </row>
    <row r="3120" spans="1:11" ht="42" customHeight="1">
      <c r="A3120" s="2" t="s">
        <v>6430</v>
      </c>
      <c r="B3120" s="2" t="s">
        <v>6431</v>
      </c>
      <c r="C3120" s="2" t="s">
        <v>26</v>
      </c>
      <c r="D3120" s="2" t="s">
        <v>27</v>
      </c>
      <c r="E3120" s="5">
        <v>-29029</v>
      </c>
      <c r="F3120" s="3" t="s">
        <v>282</v>
      </c>
      <c r="G3120" s="3" t="s">
        <v>20</v>
      </c>
      <c r="H3120" s="2" t="s">
        <v>21</v>
      </c>
      <c r="I3120" s="2" t="s">
        <v>6432</v>
      </c>
      <c r="J3120" s="3" t="str">
        <f>HYPERLINK("https://www.boe.es/gazeta/dias/1820/07/08/pdfs/GGB-1820-9.pdf#page=4","Abrir facsímil")</f>
        <v>Abrir facsímil</v>
      </c>
      <c r="K3120" s="3" t="s">
        <v>23</v>
      </c>
    </row>
    <row r="3121" spans="1:11" ht="42" customHeight="1">
      <c r="A3121" s="2" t="s">
        <v>6430</v>
      </c>
      <c r="B3121" s="2" t="s">
        <v>6431</v>
      </c>
      <c r="C3121" s="2" t="s">
        <v>26</v>
      </c>
      <c r="D3121" s="2" t="s">
        <v>27</v>
      </c>
      <c r="E3121" s="5">
        <v>-28973</v>
      </c>
      <c r="F3121" s="3" t="s">
        <v>151</v>
      </c>
      <c r="G3121" s="3" t="s">
        <v>20</v>
      </c>
      <c r="H3121" s="2" t="s">
        <v>21</v>
      </c>
      <c r="I3121" s="2" t="s">
        <v>6433</v>
      </c>
      <c r="J3121" s="3" t="str">
        <f>HYPERLINK("https://www.boe.es/gazeta/dias/1820/09/02/pdfs/GGB-1820-66.pdf#page=4","Abrir facsímil")</f>
        <v>Abrir facsímil</v>
      </c>
      <c r="K3121" s="3" t="s">
        <v>23</v>
      </c>
    </row>
    <row r="3122" spans="1:11" ht="42" customHeight="1">
      <c r="A3122" s="2" t="s">
        <v>6434</v>
      </c>
      <c r="B3122" s="2" t="s">
        <v>6435</v>
      </c>
      <c r="C3122" s="2" t="s">
        <v>74</v>
      </c>
      <c r="D3122" s="2" t="s">
        <v>18</v>
      </c>
      <c r="E3122" s="5">
        <v>-28955</v>
      </c>
      <c r="F3122" s="3" t="s">
        <v>175</v>
      </c>
      <c r="G3122" s="3" t="s">
        <v>62</v>
      </c>
      <c r="H3122" s="2" t="s">
        <v>21</v>
      </c>
      <c r="I3122" s="2" t="s">
        <v>6436</v>
      </c>
      <c r="J3122" s="3" t="str">
        <f>HYPERLINK("https://www.boe.es/gazeta/dias/1820/09/20/pdfs/GGB-1820-84.pdf#page=3","Abrir facsímil")</f>
        <v>Abrir facsímil</v>
      </c>
      <c r="K3122" s="3" t="s">
        <v>23</v>
      </c>
    </row>
    <row r="3123" spans="1:11" ht="42" customHeight="1">
      <c r="A3123" s="2" t="s">
        <v>6434</v>
      </c>
      <c r="B3123" s="2" t="s">
        <v>6435</v>
      </c>
      <c r="C3123" s="2" t="s">
        <v>35</v>
      </c>
      <c r="D3123" s="2" t="s">
        <v>36</v>
      </c>
      <c r="E3123" s="5">
        <v>-28904</v>
      </c>
      <c r="F3123" s="3" t="s">
        <v>541</v>
      </c>
      <c r="G3123" s="3" t="s">
        <v>20</v>
      </c>
      <c r="H3123" s="2" t="s">
        <v>21</v>
      </c>
      <c r="I3123" s="2" t="s">
        <v>6437</v>
      </c>
      <c r="J3123" s="3" t="str">
        <f>HYPERLINK("https://www.boe.es/gazeta/dias/1820/11/10/pdfs/GGB-1820-136.pdf#page=4","Abrir facsímil")</f>
        <v>Abrir facsímil</v>
      </c>
      <c r="K3123" s="3" t="s">
        <v>23</v>
      </c>
    </row>
    <row r="3124" spans="1:11" ht="42" customHeight="1">
      <c r="A3124" s="2" t="s">
        <v>6434</v>
      </c>
      <c r="B3124" s="2" t="s">
        <v>6435</v>
      </c>
      <c r="C3124" s="2" t="s">
        <v>111</v>
      </c>
      <c r="D3124" s="2" t="s">
        <v>18</v>
      </c>
      <c r="E3124" s="5">
        <v>-28897</v>
      </c>
      <c r="F3124" s="3" t="s">
        <v>1935</v>
      </c>
      <c r="G3124" s="3" t="s">
        <v>1967</v>
      </c>
      <c r="H3124" s="2" t="s">
        <v>21</v>
      </c>
      <c r="I3124" s="2" t="s">
        <v>6438</v>
      </c>
      <c r="J3124" s="3" t="str">
        <f>HYPERLINK("https://www.boe.es/gazeta/dias/1820/11/17/pdfs/GGB-1820-143.pdf#page=4","Abrir facsímil")</f>
        <v>Abrir facsímil</v>
      </c>
      <c r="K3124" s="3" t="s">
        <v>23</v>
      </c>
    </row>
    <row r="3125" spans="1:11" ht="42" customHeight="1">
      <c r="A3125" s="2" t="s">
        <v>6439</v>
      </c>
      <c r="B3125" s="2" t="s">
        <v>6439</v>
      </c>
      <c r="C3125" s="2" t="s">
        <v>107</v>
      </c>
      <c r="D3125" s="2" t="s">
        <v>18</v>
      </c>
      <c r="E3125" s="5">
        <v>-29141</v>
      </c>
      <c r="F3125" s="3" t="s">
        <v>319</v>
      </c>
      <c r="G3125" s="3" t="s">
        <v>43</v>
      </c>
      <c r="H3125" s="2" t="s">
        <v>21</v>
      </c>
      <c r="I3125" s="2" t="s">
        <v>6440</v>
      </c>
      <c r="J3125" s="3" t="str">
        <f>HYPERLINK("https://www.boe.es/gazeta/dias/1820/03/18/pdfs/GMD-1820-44.pdf#page=2","Abrir facsímil")</f>
        <v>Abrir facsímil</v>
      </c>
      <c r="K3125" s="3" t="s">
        <v>23</v>
      </c>
    </row>
    <row r="3126" spans="1:11" ht="42" customHeight="1">
      <c r="A3126" s="2" t="s">
        <v>6441</v>
      </c>
      <c r="B3126" s="2" t="s">
        <v>6441</v>
      </c>
      <c r="C3126" s="2" t="s">
        <v>107</v>
      </c>
      <c r="D3126" s="2" t="s">
        <v>18</v>
      </c>
      <c r="E3126" s="5">
        <v>-29141</v>
      </c>
      <c r="F3126" s="3" t="s">
        <v>319</v>
      </c>
      <c r="G3126" s="3" t="s">
        <v>43</v>
      </c>
      <c r="H3126" s="2" t="s">
        <v>21</v>
      </c>
      <c r="I3126" s="2" t="s">
        <v>6442</v>
      </c>
      <c r="J3126" s="3" t="str">
        <f>HYPERLINK("https://www.boe.es/gazeta/dias/1820/03/18/pdfs/GMD-1820-44.pdf#page=2","Abrir facsímil")</f>
        <v>Abrir facsímil</v>
      </c>
      <c r="K3126" s="3" t="s">
        <v>23</v>
      </c>
    </row>
    <row r="3127" spans="1:11" ht="42" customHeight="1">
      <c r="A3127" s="2" t="s">
        <v>6441</v>
      </c>
      <c r="B3127" s="2" t="s">
        <v>6441</v>
      </c>
      <c r="C3127" s="2" t="s">
        <v>35</v>
      </c>
      <c r="D3127" s="2" t="s">
        <v>36</v>
      </c>
      <c r="E3127" s="5">
        <v>-29106</v>
      </c>
      <c r="F3127" s="3" t="s">
        <v>430</v>
      </c>
      <c r="G3127" s="3" t="s">
        <v>62</v>
      </c>
      <c r="H3127" s="2" t="s">
        <v>21</v>
      </c>
      <c r="I3127" s="2" t="s">
        <v>6443</v>
      </c>
      <c r="J3127" s="3" t="str">
        <f>HYPERLINK("https://www.boe.es/gazeta/dias/1820/04/22/pdfs/GMD-1820-69.pdf#page=3","Abrir facsímil")</f>
        <v>Abrir facsímil</v>
      </c>
      <c r="K3127" s="3" t="s">
        <v>23</v>
      </c>
    </row>
    <row r="3128" spans="1:11" ht="42" customHeight="1">
      <c r="A3128" s="2" t="s">
        <v>6441</v>
      </c>
      <c r="B3128" s="2" t="s">
        <v>6441</v>
      </c>
      <c r="C3128" s="2" t="s">
        <v>35</v>
      </c>
      <c r="D3128" s="2" t="s">
        <v>36</v>
      </c>
      <c r="E3128" s="5">
        <v>-29013</v>
      </c>
      <c r="F3128" s="3" t="s">
        <v>52</v>
      </c>
      <c r="G3128" s="3" t="s">
        <v>128</v>
      </c>
      <c r="H3128" s="2" t="s">
        <v>21</v>
      </c>
      <c r="I3128" s="2" t="s">
        <v>6444</v>
      </c>
      <c r="J3128" s="3" t="str">
        <f>HYPERLINK("https://www.boe.es/gazeta/dias/1820/07/24/pdfs/GGB-1820-26.pdf#page=1","Abrir facsímil")</f>
        <v>Abrir facsímil</v>
      </c>
      <c r="K3128" s="3" t="s">
        <v>23</v>
      </c>
    </row>
    <row r="3129" spans="1:11" ht="42" customHeight="1">
      <c r="A3129" s="2" t="s">
        <v>6441</v>
      </c>
      <c r="B3129" s="2" t="s">
        <v>6441</v>
      </c>
      <c r="C3129" s="2" t="s">
        <v>35</v>
      </c>
      <c r="D3129" s="2" t="s">
        <v>36</v>
      </c>
      <c r="E3129" s="5">
        <v>-28867</v>
      </c>
      <c r="F3129" s="3" t="s">
        <v>590</v>
      </c>
      <c r="G3129" s="3" t="s">
        <v>43</v>
      </c>
      <c r="H3129" s="2" t="s">
        <v>21</v>
      </c>
      <c r="I3129" s="2" t="s">
        <v>6445</v>
      </c>
      <c r="J3129" s="3" t="str">
        <f>HYPERLINK("https://www.boe.es/gazeta/dias/1820/12/17/pdfs/GGB-1820-174.pdf#page=2","Abrir facsímil")</f>
        <v>Abrir facsímil</v>
      </c>
      <c r="K3129" s="3" t="s">
        <v>23</v>
      </c>
    </row>
    <row r="3130" spans="1:11" ht="42" customHeight="1">
      <c r="A3130" s="2" t="s">
        <v>6446</v>
      </c>
      <c r="B3130" s="2" t="s">
        <v>6446</v>
      </c>
      <c r="C3130" s="2" t="s">
        <v>26</v>
      </c>
      <c r="D3130" s="2" t="s">
        <v>27</v>
      </c>
      <c r="E3130" s="5">
        <v>-28862</v>
      </c>
      <c r="F3130" s="3" t="s">
        <v>1905</v>
      </c>
      <c r="G3130" s="3" t="s">
        <v>43</v>
      </c>
      <c r="H3130" s="2" t="s">
        <v>21</v>
      </c>
      <c r="I3130" s="2" t="s">
        <v>6447</v>
      </c>
      <c r="J3130" s="3" t="str">
        <f>HYPERLINK("https://www.boe.es/gazeta/dias/1820/12/22/pdfs/GGB-1820-179.pdf#page=2","Abrir facsímil")</f>
        <v>Abrir facsímil</v>
      </c>
      <c r="K3130" s="3" t="s">
        <v>23</v>
      </c>
    </row>
    <row r="3131" spans="1:11" ht="42" customHeight="1">
      <c r="A3131" s="2" t="s">
        <v>6448</v>
      </c>
      <c r="B3131" s="2" t="s">
        <v>6448</v>
      </c>
      <c r="C3131" s="2" t="s">
        <v>26</v>
      </c>
      <c r="D3131" s="2" t="s">
        <v>310</v>
      </c>
      <c r="E3131" s="5">
        <v>-29081</v>
      </c>
      <c r="F3131" s="3" t="s">
        <v>6449</v>
      </c>
      <c r="G3131" s="3" t="s">
        <v>43</v>
      </c>
      <c r="H3131" s="2" t="s">
        <v>21</v>
      </c>
      <c r="I3131" s="2" t="s">
        <v>6450</v>
      </c>
      <c r="J3131" s="3" t="str">
        <f>HYPERLINK("https://www.boe.es/gazeta/dias/1820/05/17/pdfs/GMD-1820-81E.pdf#page=2","Abrir facsímil")</f>
        <v>Abrir facsímil</v>
      </c>
      <c r="K3131" s="3" t="s">
        <v>23</v>
      </c>
    </row>
    <row r="3132" spans="1:11" ht="42" customHeight="1">
      <c r="A3132" s="2" t="s">
        <v>6451</v>
      </c>
      <c r="B3132" s="2" t="s">
        <v>6451</v>
      </c>
      <c r="C3132" s="2" t="s">
        <v>35</v>
      </c>
      <c r="D3132" s="2" t="s">
        <v>36</v>
      </c>
      <c r="E3132" s="5">
        <v>-28890</v>
      </c>
      <c r="F3132" s="3" t="s">
        <v>248</v>
      </c>
      <c r="G3132" s="3" t="s">
        <v>43</v>
      </c>
      <c r="H3132" s="2" t="s">
        <v>21</v>
      </c>
      <c r="I3132" s="2" t="s">
        <v>6452</v>
      </c>
      <c r="J3132" s="3" t="str">
        <f>HYPERLINK("https://www.boe.es/gazeta/dias/1820/11/24/pdfs/GGB-1820-151.pdf#page=2","Abrir facsímil")</f>
        <v>Abrir facsímil</v>
      </c>
      <c r="K3132" s="3" t="s">
        <v>23</v>
      </c>
    </row>
    <row r="3133" spans="1:11" ht="42" customHeight="1">
      <c r="A3133" s="2" t="s">
        <v>6453</v>
      </c>
      <c r="B3133" s="2" t="s">
        <v>6453</v>
      </c>
      <c r="C3133" s="2" t="s">
        <v>293</v>
      </c>
      <c r="D3133" s="2" t="s">
        <v>18</v>
      </c>
      <c r="E3133" s="5">
        <v>-28892</v>
      </c>
      <c r="F3133" s="3" t="s">
        <v>3036</v>
      </c>
      <c r="G3133" s="3" t="s">
        <v>43</v>
      </c>
      <c r="H3133" s="2" t="s">
        <v>21</v>
      </c>
      <c r="I3133" s="2" t="s">
        <v>6454</v>
      </c>
      <c r="J3133" s="3" t="str">
        <f>HYPERLINK("https://www.boe.es/gazeta/dias/1820/11/22/pdfs/GGB-1820-149.pdf#page=2","Abrir facsímil")</f>
        <v>Abrir facsímil</v>
      </c>
      <c r="K3133" s="3" t="s">
        <v>23</v>
      </c>
    </row>
    <row r="3134" spans="1:11" ht="42" customHeight="1">
      <c r="A3134" s="2" t="s">
        <v>6455</v>
      </c>
      <c r="B3134" s="2" t="s">
        <v>6455</v>
      </c>
      <c r="C3134" s="2" t="s">
        <v>17</v>
      </c>
      <c r="D3134" s="2" t="s">
        <v>18</v>
      </c>
      <c r="E3134" s="5">
        <v>-29208</v>
      </c>
      <c r="F3134" s="3" t="s">
        <v>770</v>
      </c>
      <c r="G3134" s="3" t="s">
        <v>6456</v>
      </c>
      <c r="H3134" s="2" t="s">
        <v>21</v>
      </c>
      <c r="I3134" s="2" t="s">
        <v>6457</v>
      </c>
      <c r="J3134" s="3" t="str">
        <f>HYPERLINK("https://www.boe.es/gazeta/dias/1820/01/11/pdfs/GMD-1820-5.pdf#page=3","Abrir facsímil")</f>
        <v>Abrir facsímil</v>
      </c>
      <c r="K3134" s="3" t="s">
        <v>23</v>
      </c>
    </row>
    <row r="3135" spans="1:11" ht="42" customHeight="1">
      <c r="A3135" s="2" t="s">
        <v>6458</v>
      </c>
      <c r="B3135" s="2" t="s">
        <v>6458</v>
      </c>
      <c r="C3135" s="2" t="s">
        <v>35</v>
      </c>
      <c r="D3135" s="2" t="s">
        <v>36</v>
      </c>
      <c r="E3135" s="5">
        <v>-29082</v>
      </c>
      <c r="F3135" s="3" t="s">
        <v>478</v>
      </c>
      <c r="G3135" s="3" t="s">
        <v>196</v>
      </c>
      <c r="H3135" s="2" t="s">
        <v>21</v>
      </c>
      <c r="I3135" s="2" t="s">
        <v>6459</v>
      </c>
      <c r="J3135" s="3" t="str">
        <f>HYPERLINK("https://www.boe.es/gazeta/dias/1820/05/16/pdfs/GMD-1820-80.pdf#page=11","Abrir facsímil")</f>
        <v>Abrir facsímil</v>
      </c>
      <c r="K3135" s="3" t="s">
        <v>23</v>
      </c>
    </row>
    <row r="3136" spans="1:11" ht="42" customHeight="1">
      <c r="A3136" s="2" t="s">
        <v>6458</v>
      </c>
      <c r="B3136" s="2" t="s">
        <v>6458</v>
      </c>
      <c r="C3136" s="2" t="s">
        <v>26</v>
      </c>
      <c r="D3136" s="2" t="s">
        <v>27</v>
      </c>
      <c r="E3136" s="5">
        <v>-29064</v>
      </c>
      <c r="F3136" s="3" t="s">
        <v>1264</v>
      </c>
      <c r="G3136" s="3" t="s">
        <v>43</v>
      </c>
      <c r="H3136" s="2" t="s">
        <v>21</v>
      </c>
      <c r="I3136" s="2" t="s">
        <v>6460</v>
      </c>
      <c r="J3136" s="3" t="str">
        <f>HYPERLINK("https://www.boe.es/gazeta/dias/1820/06/03/pdfs/GMD-1820-89.pdf#page=2","Abrir facsímil")</f>
        <v>Abrir facsímil</v>
      </c>
      <c r="K3136" s="3" t="s">
        <v>23</v>
      </c>
    </row>
    <row r="3137" spans="1:11" ht="42" customHeight="1">
      <c r="A3137" s="2" t="s">
        <v>6461</v>
      </c>
      <c r="B3137" s="2" t="s">
        <v>6462</v>
      </c>
      <c r="C3137" s="2" t="s">
        <v>35</v>
      </c>
      <c r="D3137" s="2" t="s">
        <v>36</v>
      </c>
      <c r="E3137" s="5">
        <v>-29068</v>
      </c>
      <c r="F3137" s="3" t="s">
        <v>943</v>
      </c>
      <c r="G3137" s="3" t="s">
        <v>1698</v>
      </c>
      <c r="H3137" s="2" t="s">
        <v>21</v>
      </c>
      <c r="I3137" s="2" t="s">
        <v>6463</v>
      </c>
      <c r="J3137" s="3" t="str">
        <f>HYPERLINK("https://www.boe.es/gazeta/dias/1820/05/30/pdfs/GMD-1820-87.pdf#page=11","Abrir facsímil")</f>
        <v>Abrir facsímil</v>
      </c>
      <c r="K3137" s="3" t="s">
        <v>23</v>
      </c>
    </row>
    <row r="3138" spans="1:11" ht="42" customHeight="1">
      <c r="A3138" s="2" t="s">
        <v>6464</v>
      </c>
      <c r="B3138" s="2" t="s">
        <v>6465</v>
      </c>
      <c r="C3138" s="2" t="s">
        <v>26</v>
      </c>
      <c r="D3138" s="2" t="s">
        <v>27</v>
      </c>
      <c r="E3138" s="5">
        <v>-29094</v>
      </c>
      <c r="F3138" s="3" t="s">
        <v>560</v>
      </c>
      <c r="G3138" s="3" t="s">
        <v>38</v>
      </c>
      <c r="H3138" s="2" t="s">
        <v>21</v>
      </c>
      <c r="I3138" s="2" t="s">
        <v>6466</v>
      </c>
      <c r="J3138" s="3" t="str">
        <f>HYPERLINK("https://www.boe.es/gazeta/dias/1820/05/04/pdfs/GMD-1820-75.pdf#page=6","Abrir facsímil")</f>
        <v>Abrir facsímil</v>
      </c>
      <c r="K3138" s="3" t="s">
        <v>23</v>
      </c>
    </row>
    <row r="3139" spans="1:11" ht="42" customHeight="1">
      <c r="A3139" s="2" t="s">
        <v>6467</v>
      </c>
      <c r="B3139" s="2" t="s">
        <v>6468</v>
      </c>
      <c r="C3139" s="2" t="s">
        <v>111</v>
      </c>
      <c r="D3139" s="2" t="s">
        <v>18</v>
      </c>
      <c r="E3139" s="5">
        <v>-28969</v>
      </c>
      <c r="F3139" s="3" t="s">
        <v>225</v>
      </c>
      <c r="G3139" s="3" t="s">
        <v>128</v>
      </c>
      <c r="H3139" s="2" t="s">
        <v>21</v>
      </c>
      <c r="I3139" s="2" t="s">
        <v>6469</v>
      </c>
      <c r="J3139" s="3" t="str">
        <f>HYPERLINK("https://www.boe.es/gazeta/dias/1820/09/06/pdfs/GGB-1820-70.pdf#page=1","Abrir facsímil")</f>
        <v>Abrir facsímil</v>
      </c>
      <c r="K3139" s="3" t="s">
        <v>23</v>
      </c>
    </row>
    <row r="3140" spans="1:11" ht="42" customHeight="1">
      <c r="A3140" s="2" t="s">
        <v>6470</v>
      </c>
      <c r="B3140" s="2" t="s">
        <v>6471</v>
      </c>
      <c r="C3140" s="2" t="s">
        <v>35</v>
      </c>
      <c r="D3140" s="2" t="s">
        <v>36</v>
      </c>
      <c r="E3140" s="5">
        <v>-29218</v>
      </c>
      <c r="F3140" s="3" t="s">
        <v>834</v>
      </c>
      <c r="G3140" s="3" t="s">
        <v>256</v>
      </c>
      <c r="H3140" s="2" t="s">
        <v>21</v>
      </c>
      <c r="I3140" s="2" t="s">
        <v>6472</v>
      </c>
      <c r="J3140" s="3" t="str">
        <f>HYPERLINK("https://www.boe.es/gazeta/dias/1820/01/01/pdfs/GMD-1820-1.pdf#page=5","Abrir facsímil")</f>
        <v>Abrir facsímil</v>
      </c>
      <c r="K3140" s="3" t="s">
        <v>23</v>
      </c>
    </row>
    <row r="3141" spans="1:11" ht="42" customHeight="1">
      <c r="A3141" s="2" t="s">
        <v>6473</v>
      </c>
      <c r="B3141" s="2" t="s">
        <v>6473</v>
      </c>
      <c r="C3141" s="2" t="s">
        <v>17</v>
      </c>
      <c r="D3141" s="2" t="s">
        <v>18</v>
      </c>
      <c r="E3141" s="5">
        <v>-29024</v>
      </c>
      <c r="F3141" s="3" t="s">
        <v>1916</v>
      </c>
      <c r="G3141" s="3" t="s">
        <v>20</v>
      </c>
      <c r="H3141" s="2" t="s">
        <v>21</v>
      </c>
      <c r="I3141" s="2" t="s">
        <v>6474</v>
      </c>
      <c r="J3141" s="3" t="str">
        <f>HYPERLINK("https://www.boe.es/gazeta/dias/1820/07/13/pdfs/GGB-1820-15.pdf#page=4","Abrir facsímil")</f>
        <v>Abrir facsímil</v>
      </c>
      <c r="K3141" s="3" t="s">
        <v>23</v>
      </c>
    </row>
    <row r="3142" spans="1:11" ht="42" customHeight="1">
      <c r="A3142" s="2" t="s">
        <v>6475</v>
      </c>
      <c r="B3142" s="2" t="s">
        <v>6476</v>
      </c>
      <c r="C3142" s="2" t="s">
        <v>35</v>
      </c>
      <c r="D3142" s="2" t="s">
        <v>36</v>
      </c>
      <c r="E3142" s="5">
        <v>-28960</v>
      </c>
      <c r="F3142" s="3" t="s">
        <v>704</v>
      </c>
      <c r="G3142" s="3" t="s">
        <v>43</v>
      </c>
      <c r="H3142" s="2" t="s">
        <v>21</v>
      </c>
      <c r="I3142" s="2" t="s">
        <v>6477</v>
      </c>
      <c r="J3142" s="3" t="str">
        <f>HYPERLINK("https://www.boe.es/gazeta/dias/1820/09/15/pdfs/GGB-1820-79.pdf#page=2","Abrir facsímil")</f>
        <v>Abrir facsímil</v>
      </c>
      <c r="K3142" s="3" t="s">
        <v>23</v>
      </c>
    </row>
    <row r="3143" spans="1:11" ht="42" customHeight="1">
      <c r="A3143" s="2" t="s">
        <v>6478</v>
      </c>
      <c r="B3143" s="2" t="s">
        <v>6479</v>
      </c>
      <c r="C3143" s="2" t="s">
        <v>26</v>
      </c>
      <c r="D3143" s="2" t="s">
        <v>27</v>
      </c>
      <c r="E3143" s="5">
        <v>-29099</v>
      </c>
      <c r="F3143" s="3" t="s">
        <v>871</v>
      </c>
      <c r="G3143" s="3" t="s">
        <v>295</v>
      </c>
      <c r="H3143" s="2" t="s">
        <v>21</v>
      </c>
      <c r="I3143" s="2" t="s">
        <v>6480</v>
      </c>
      <c r="J3143" s="3" t="str">
        <f>HYPERLINK("https://www.boe.es/gazeta/dias/1820/04/29/pdfs/GMD-1820-73.pdf#page=8","Abrir facsímil")</f>
        <v>Abrir facsímil</v>
      </c>
      <c r="K3143" s="3" t="s">
        <v>23</v>
      </c>
    </row>
    <row r="3144" spans="1:11" ht="42" customHeight="1">
      <c r="A3144" s="2" t="s">
        <v>6478</v>
      </c>
      <c r="B3144" s="2" t="s">
        <v>6479</v>
      </c>
      <c r="C3144" s="2" t="s">
        <v>35</v>
      </c>
      <c r="D3144" s="2" t="s">
        <v>36</v>
      </c>
      <c r="E3144" s="5">
        <v>-29087</v>
      </c>
      <c r="F3144" s="3" t="s">
        <v>1018</v>
      </c>
      <c r="G3144" s="3" t="s">
        <v>295</v>
      </c>
      <c r="H3144" s="2" t="s">
        <v>21</v>
      </c>
      <c r="I3144" s="2" t="s">
        <v>6481</v>
      </c>
      <c r="J3144" s="3" t="str">
        <f>HYPERLINK("https://www.boe.es/gazeta/dias/1820/05/11/pdfs/GMD-1820-78.pdf#page=8","Abrir facsímil")</f>
        <v>Abrir facsímil</v>
      </c>
      <c r="K3144" s="3" t="s">
        <v>23</v>
      </c>
    </row>
    <row r="3145" spans="1:11" ht="42" customHeight="1">
      <c r="A3145" s="2" t="s">
        <v>6482</v>
      </c>
      <c r="B3145" s="2" t="s">
        <v>6483</v>
      </c>
      <c r="C3145" s="2" t="s">
        <v>26</v>
      </c>
      <c r="D3145" s="2" t="s">
        <v>27</v>
      </c>
      <c r="E3145" s="5">
        <v>-28972</v>
      </c>
      <c r="F3145" s="3" t="s">
        <v>522</v>
      </c>
      <c r="G3145" s="3" t="s">
        <v>20</v>
      </c>
      <c r="H3145" s="2" t="s">
        <v>21</v>
      </c>
      <c r="I3145" s="2" t="s">
        <v>6484</v>
      </c>
      <c r="J3145" s="3" t="str">
        <f>HYPERLINK("https://www.boe.es/gazeta/dias/1820/09/03/pdfs/GGB-1820-67.pdf#page=4","Abrir facsímil")</f>
        <v>Abrir facsímil</v>
      </c>
      <c r="K3145" s="3" t="s">
        <v>23</v>
      </c>
    </row>
    <row r="3146" spans="1:11" ht="42" customHeight="1">
      <c r="A3146" s="2" t="s">
        <v>6485</v>
      </c>
      <c r="B3146" s="2" t="s">
        <v>6485</v>
      </c>
      <c r="C3146" s="2" t="s">
        <v>35</v>
      </c>
      <c r="D3146" s="2" t="s">
        <v>36</v>
      </c>
      <c r="E3146" s="5">
        <v>-28854</v>
      </c>
      <c r="F3146" s="3" t="s">
        <v>147</v>
      </c>
      <c r="G3146" s="3" t="s">
        <v>62</v>
      </c>
      <c r="H3146" s="2" t="s">
        <v>21</v>
      </c>
      <c r="I3146" s="2" t="s">
        <v>6486</v>
      </c>
      <c r="J3146" s="3" t="str">
        <f>HYPERLINK("https://www.boe.es/gazeta/dias/1820/12/30/pdfs/GGB-1820-187.pdf#page=3","Abrir facsímil")</f>
        <v>Abrir facsímil</v>
      </c>
      <c r="K3146" s="3" t="s">
        <v>23</v>
      </c>
    </row>
    <row r="3147" spans="1:11" ht="42" customHeight="1">
      <c r="A3147" s="2" t="s">
        <v>6487</v>
      </c>
      <c r="B3147" s="2" t="s">
        <v>6488</v>
      </c>
      <c r="C3147" s="2" t="s">
        <v>47</v>
      </c>
      <c r="D3147" s="2" t="s">
        <v>18</v>
      </c>
      <c r="E3147" s="5">
        <v>-29085</v>
      </c>
      <c r="F3147" s="3" t="s">
        <v>1502</v>
      </c>
      <c r="G3147" s="3" t="s">
        <v>261</v>
      </c>
      <c r="H3147" s="2" t="s">
        <v>21</v>
      </c>
      <c r="I3147" s="2" t="s">
        <v>6489</v>
      </c>
      <c r="J3147" s="3" t="str">
        <f>HYPERLINK("https://www.boe.es/gazeta/dias/1820/05/13/pdfs/GMD-1820-79.pdf#page=9","Abrir facsímil")</f>
        <v>Abrir facsímil</v>
      </c>
      <c r="K3147" s="3" t="s">
        <v>23</v>
      </c>
    </row>
    <row r="3148" spans="1:11" ht="42" customHeight="1">
      <c r="A3148" s="2" t="s">
        <v>6490</v>
      </c>
      <c r="B3148" s="2" t="s">
        <v>6491</v>
      </c>
      <c r="C3148" s="2" t="s">
        <v>35</v>
      </c>
      <c r="D3148" s="2" t="s">
        <v>36</v>
      </c>
      <c r="E3148" s="5">
        <v>-29138</v>
      </c>
      <c r="F3148" s="3" t="s">
        <v>200</v>
      </c>
      <c r="G3148" s="3" t="s">
        <v>201</v>
      </c>
      <c r="H3148" s="2" t="s">
        <v>21</v>
      </c>
      <c r="I3148" s="2" t="s">
        <v>6492</v>
      </c>
      <c r="J3148" s="3" t="str">
        <f>HYPERLINK("https://www.boe.es/gazeta/dias/1820/03/21/pdfs/GMD-1820-46.pdf#page=7","Abrir facsímil")</f>
        <v>Abrir facsímil</v>
      </c>
      <c r="K3148" s="3" t="s">
        <v>23</v>
      </c>
    </row>
    <row r="3149" spans="1:11" ht="42" customHeight="1">
      <c r="A3149" s="2" t="s">
        <v>6493</v>
      </c>
      <c r="B3149" s="2" t="s">
        <v>6494</v>
      </c>
      <c r="C3149" s="2" t="s">
        <v>35</v>
      </c>
      <c r="D3149" s="2" t="s">
        <v>36</v>
      </c>
      <c r="E3149" s="5">
        <v>-29187</v>
      </c>
      <c r="F3149" s="3" t="s">
        <v>859</v>
      </c>
      <c r="G3149" s="3" t="s">
        <v>295</v>
      </c>
      <c r="H3149" s="2" t="s">
        <v>21</v>
      </c>
      <c r="I3149" s="2" t="s">
        <v>6495</v>
      </c>
      <c r="J3149" s="3" t="str">
        <f>HYPERLINK("https://www.boe.es/gazeta/dias/1820/02/01/pdfs/GMD-1820-14.pdf#page=8","Abrir facsímil")</f>
        <v>Abrir facsímil</v>
      </c>
      <c r="K3149" s="3" t="s">
        <v>23</v>
      </c>
    </row>
    <row r="3150" spans="1:11" ht="42" customHeight="1">
      <c r="A3150" s="2" t="s">
        <v>6493</v>
      </c>
      <c r="B3150" s="2" t="s">
        <v>6494</v>
      </c>
      <c r="C3150" s="2" t="s">
        <v>107</v>
      </c>
      <c r="D3150" s="2" t="s">
        <v>18</v>
      </c>
      <c r="E3150" s="5">
        <v>-29136</v>
      </c>
      <c r="F3150" s="3" t="s">
        <v>2972</v>
      </c>
      <c r="G3150" s="3" t="s">
        <v>295</v>
      </c>
      <c r="H3150" s="2" t="s">
        <v>21</v>
      </c>
      <c r="I3150" s="2" t="s">
        <v>6496</v>
      </c>
      <c r="J3150" s="3" t="str">
        <f>HYPERLINK("https://www.boe.es/gazeta/dias/1820/03/23/pdfs/GMD-1820-51.pdf#page=8","Abrir facsímil")</f>
        <v>Abrir facsímil</v>
      </c>
      <c r="K3150" s="3" t="s">
        <v>23</v>
      </c>
    </row>
    <row r="3151" spans="1:11" ht="42" customHeight="1">
      <c r="A3151" s="2" t="s">
        <v>6497</v>
      </c>
      <c r="B3151" s="2" t="s">
        <v>6498</v>
      </c>
      <c r="C3151" s="2" t="s">
        <v>74</v>
      </c>
      <c r="D3151" s="2" t="s">
        <v>18</v>
      </c>
      <c r="E3151" s="5">
        <v>-28911</v>
      </c>
      <c r="F3151" s="3" t="s">
        <v>82</v>
      </c>
      <c r="G3151" s="3" t="s">
        <v>43</v>
      </c>
      <c r="H3151" s="2" t="s">
        <v>21</v>
      </c>
      <c r="I3151" s="2" t="s">
        <v>6499</v>
      </c>
      <c r="J3151" s="3" t="str">
        <f>HYPERLINK("https://www.boe.es/gazeta/dias/1820/11/03/pdfs/GGB-1820-128.pdf#page=2","Abrir facsímil")</f>
        <v>Abrir facsímil</v>
      </c>
      <c r="K3151" s="3" t="s">
        <v>23</v>
      </c>
    </row>
    <row r="3152" spans="1:11" ht="42" customHeight="1">
      <c r="A3152" s="2" t="s">
        <v>6500</v>
      </c>
      <c r="B3152" s="2" t="s">
        <v>6501</v>
      </c>
      <c r="C3152" s="2" t="s">
        <v>26</v>
      </c>
      <c r="D3152" s="2" t="s">
        <v>27</v>
      </c>
      <c r="E3152" s="5">
        <v>-28976</v>
      </c>
      <c r="F3152" s="3" t="s">
        <v>689</v>
      </c>
      <c r="G3152" s="3" t="s">
        <v>62</v>
      </c>
      <c r="H3152" s="2" t="s">
        <v>21</v>
      </c>
      <c r="I3152" s="2" t="s">
        <v>6502</v>
      </c>
      <c r="J3152" s="3" t="str">
        <f>HYPERLINK("https://www.boe.es/gazeta/dias/1820/08/30/pdfs/GGB-1820-63.pdf#page=3","Abrir facsímil")</f>
        <v>Abrir facsímil</v>
      </c>
      <c r="K3152" s="3" t="s">
        <v>23</v>
      </c>
    </row>
    <row r="3153" spans="1:11" ht="42" customHeight="1">
      <c r="A3153" s="2" t="s">
        <v>6503</v>
      </c>
      <c r="B3153" s="2" t="s">
        <v>6504</v>
      </c>
      <c r="C3153" s="2" t="s">
        <v>35</v>
      </c>
      <c r="D3153" s="2" t="s">
        <v>36</v>
      </c>
      <c r="E3153" s="5">
        <v>-29045</v>
      </c>
      <c r="F3153" s="3" t="s">
        <v>155</v>
      </c>
      <c r="G3153" s="3" t="s">
        <v>38</v>
      </c>
      <c r="H3153" s="2" t="s">
        <v>21</v>
      </c>
      <c r="I3153" s="2" t="s">
        <v>6505</v>
      </c>
      <c r="J3153" s="3" t="str">
        <f>HYPERLINK("https://www.boe.es/gazeta/dias/1820/06/22/pdfs/GMD-1820-97.pdf#page=6","Abrir facsímil")</f>
        <v>Abrir facsímil</v>
      </c>
      <c r="K3153" s="3" t="s">
        <v>23</v>
      </c>
    </row>
    <row r="3154" spans="1:11" ht="42" customHeight="1">
      <c r="A3154" s="2" t="s">
        <v>6506</v>
      </c>
      <c r="B3154" s="2" t="s">
        <v>6507</v>
      </c>
      <c r="C3154" s="2" t="s">
        <v>17</v>
      </c>
      <c r="D3154" s="2" t="s">
        <v>18</v>
      </c>
      <c r="E3154" s="5">
        <v>-29192</v>
      </c>
      <c r="F3154" s="3" t="s">
        <v>497</v>
      </c>
      <c r="G3154" s="3" t="s">
        <v>498</v>
      </c>
      <c r="H3154" s="2" t="s">
        <v>21</v>
      </c>
      <c r="I3154" s="2" t="s">
        <v>6508</v>
      </c>
      <c r="J3154" s="3" t="str">
        <f>HYPERLINK("https://www.boe.es/gazeta/dias/1820/01/27/pdfs/GMD-1820-12.pdf#page=7","Abrir facsímil")</f>
        <v>Abrir facsímil</v>
      </c>
      <c r="K3154" s="3" t="s">
        <v>23</v>
      </c>
    </row>
    <row r="3155" spans="1:11" ht="42" customHeight="1">
      <c r="A3155" s="2" t="s">
        <v>6506</v>
      </c>
      <c r="B3155" s="2" t="s">
        <v>6507</v>
      </c>
      <c r="C3155" s="2" t="s">
        <v>74</v>
      </c>
      <c r="D3155" s="2" t="s">
        <v>18</v>
      </c>
      <c r="E3155" s="5">
        <v>-28986</v>
      </c>
      <c r="F3155" s="3" t="s">
        <v>488</v>
      </c>
      <c r="G3155" s="3" t="s">
        <v>489</v>
      </c>
      <c r="H3155" s="2" t="s">
        <v>21</v>
      </c>
      <c r="I3155" s="2" t="s">
        <v>6509</v>
      </c>
      <c r="J3155" s="3" t="str">
        <f>HYPERLINK("https://www.boe.es/gazeta/dias/1820/08/20/pdfs/GGB-1820-53.pdf#page=2","Abrir facsímil")</f>
        <v>Abrir facsímil</v>
      </c>
      <c r="K3155" s="3" t="s">
        <v>23</v>
      </c>
    </row>
    <row r="3156" spans="1:11" ht="42" customHeight="1">
      <c r="A3156" s="2" t="s">
        <v>6510</v>
      </c>
      <c r="B3156" s="2" t="s">
        <v>6511</v>
      </c>
      <c r="C3156" s="2" t="s">
        <v>74</v>
      </c>
      <c r="D3156" s="2" t="s">
        <v>18</v>
      </c>
      <c r="E3156" s="5">
        <v>-28928</v>
      </c>
      <c r="F3156" s="3" t="s">
        <v>86</v>
      </c>
      <c r="G3156" s="3" t="s">
        <v>20</v>
      </c>
      <c r="H3156" s="2" t="s">
        <v>21</v>
      </c>
      <c r="I3156" s="2" t="s">
        <v>6512</v>
      </c>
      <c r="J3156" s="3" t="str">
        <f>HYPERLINK("https://www.boe.es/gazeta/dias/1820/10/17/pdfs/GGB-1820-111.pdf#page=4","Abrir facsímil")</f>
        <v>Abrir facsímil</v>
      </c>
      <c r="K3156" s="3" t="s">
        <v>23</v>
      </c>
    </row>
    <row r="3157" spans="1:11" ht="42" customHeight="1">
      <c r="A3157" s="2" t="s">
        <v>6513</v>
      </c>
      <c r="B3157" s="2" t="s">
        <v>6514</v>
      </c>
      <c r="C3157" s="2" t="s">
        <v>26</v>
      </c>
      <c r="D3157" s="2" t="s">
        <v>27</v>
      </c>
      <c r="E3157" s="5">
        <v>-28865</v>
      </c>
      <c r="F3157" s="3" t="s">
        <v>136</v>
      </c>
      <c r="G3157" s="3" t="s">
        <v>137</v>
      </c>
      <c r="H3157" s="2" t="s">
        <v>21</v>
      </c>
      <c r="I3157" s="2" t="s">
        <v>6515</v>
      </c>
      <c r="J3157" s="3" t="str">
        <f>HYPERLINK("https://www.boe.es/gazeta/dias/1820/12/19/pdfs/GGB-1820-176.pdf#page=3","Abrir facsímil")</f>
        <v>Abrir facsímil</v>
      </c>
      <c r="K3157" s="3" t="s">
        <v>23</v>
      </c>
    </row>
    <row r="3158" spans="1:11" ht="42" customHeight="1">
      <c r="A3158" s="2" t="s">
        <v>6516</v>
      </c>
      <c r="B3158" s="2" t="s">
        <v>6517</v>
      </c>
      <c r="C3158" s="2" t="s">
        <v>35</v>
      </c>
      <c r="D3158" s="2" t="s">
        <v>36</v>
      </c>
      <c r="E3158" s="5">
        <v>-29185</v>
      </c>
      <c r="F3158" s="3" t="s">
        <v>772</v>
      </c>
      <c r="G3158" s="3" t="s">
        <v>201</v>
      </c>
      <c r="H3158" s="2" t="s">
        <v>21</v>
      </c>
      <c r="I3158" s="2" t="s">
        <v>6518</v>
      </c>
      <c r="J3158" s="3" t="str">
        <f>HYPERLINK("https://www.boe.es/gazeta/dias/1820/02/03/pdfs/GMD-1820-15.pdf#page=7","Abrir facsímil")</f>
        <v>Abrir facsímil</v>
      </c>
      <c r="K3158" s="3" t="s">
        <v>23</v>
      </c>
    </row>
    <row r="3159" spans="1:11" ht="42" customHeight="1">
      <c r="A3159" s="2" t="s">
        <v>6519</v>
      </c>
      <c r="B3159" s="2" t="s">
        <v>6520</v>
      </c>
      <c r="C3159" s="2" t="s">
        <v>26</v>
      </c>
      <c r="D3159" s="2" t="s">
        <v>27</v>
      </c>
      <c r="E3159" s="5">
        <v>-28999</v>
      </c>
      <c r="F3159" s="3" t="s">
        <v>342</v>
      </c>
      <c r="G3159" s="3" t="s">
        <v>20</v>
      </c>
      <c r="H3159" s="2" t="s">
        <v>21</v>
      </c>
      <c r="I3159" s="2" t="s">
        <v>6521</v>
      </c>
      <c r="J3159" s="3" t="str">
        <f>HYPERLINK("https://www.boe.es/gazeta/dias/1820/08/07/pdfs/GGB-1820-40.pdf#page=4","Abrir facsímil")</f>
        <v>Abrir facsímil</v>
      </c>
      <c r="K3159" s="3" t="s">
        <v>23</v>
      </c>
    </row>
    <row r="3160" spans="1:11" ht="42" customHeight="1">
      <c r="A3160" s="2" t="s">
        <v>6519</v>
      </c>
      <c r="B3160" s="2" t="s">
        <v>6520</v>
      </c>
      <c r="C3160" s="2" t="s">
        <v>26</v>
      </c>
      <c r="D3160" s="2" t="s">
        <v>27</v>
      </c>
      <c r="E3160" s="5">
        <v>-28854</v>
      </c>
      <c r="F3160" s="3" t="s">
        <v>147</v>
      </c>
      <c r="G3160" s="3" t="s">
        <v>43</v>
      </c>
      <c r="H3160" s="2" t="s">
        <v>21</v>
      </c>
      <c r="I3160" s="2" t="s">
        <v>6522</v>
      </c>
      <c r="J3160" s="3" t="str">
        <f>HYPERLINK("https://www.boe.es/gazeta/dias/1820/12/30/pdfs/GGB-1820-187.pdf#page=2","Abrir facsímil")</f>
        <v>Abrir facsímil</v>
      </c>
      <c r="K3160" s="3" t="s">
        <v>23</v>
      </c>
    </row>
    <row r="3161" spans="1:11" ht="42" customHeight="1">
      <c r="A3161" s="2" t="s">
        <v>6523</v>
      </c>
      <c r="B3161" s="2" t="s">
        <v>6524</v>
      </c>
      <c r="C3161" s="2" t="s">
        <v>74</v>
      </c>
      <c r="D3161" s="2" t="s">
        <v>18</v>
      </c>
      <c r="E3161" s="5">
        <v>-28942</v>
      </c>
      <c r="F3161" s="3" t="s">
        <v>244</v>
      </c>
      <c r="G3161" s="3" t="s">
        <v>20</v>
      </c>
      <c r="H3161" s="2" t="s">
        <v>21</v>
      </c>
      <c r="I3161" s="2" t="s">
        <v>6525</v>
      </c>
      <c r="J3161" s="3" t="str">
        <f>HYPERLINK("https://www.boe.es/gazeta/dias/1820/10/03/pdfs/GGB-1820-97.pdf#page=4","Abrir facsímil")</f>
        <v>Abrir facsímil</v>
      </c>
      <c r="K3161" s="3" t="s">
        <v>23</v>
      </c>
    </row>
    <row r="3162" spans="1:11" ht="42" customHeight="1">
      <c r="A3162" s="2" t="s">
        <v>6526</v>
      </c>
      <c r="B3162" s="2" t="s">
        <v>6527</v>
      </c>
      <c r="C3162" s="2" t="s">
        <v>107</v>
      </c>
      <c r="D3162" s="2" t="s">
        <v>18</v>
      </c>
      <c r="E3162" s="5">
        <v>-28866</v>
      </c>
      <c r="F3162" s="3" t="s">
        <v>507</v>
      </c>
      <c r="G3162" s="3" t="s">
        <v>43</v>
      </c>
      <c r="H3162" s="2" t="s">
        <v>21</v>
      </c>
      <c r="I3162" s="2" t="s">
        <v>6528</v>
      </c>
      <c r="J3162" s="3" t="str">
        <f>HYPERLINK("https://www.boe.es/gazeta/dias/1820/12/18/pdfs/GGB-1820-175.pdf#page=2","Abrir facsímil")</f>
        <v>Abrir facsímil</v>
      </c>
      <c r="K3162" s="3" t="s">
        <v>23</v>
      </c>
    </row>
    <row r="3163" spans="1:11" ht="42" customHeight="1">
      <c r="A3163" s="2" t="s">
        <v>6529</v>
      </c>
      <c r="B3163" s="2" t="s">
        <v>6530</v>
      </c>
      <c r="C3163" s="2" t="s">
        <v>111</v>
      </c>
      <c r="D3163" s="2" t="s">
        <v>18</v>
      </c>
      <c r="E3163" s="5">
        <v>-29068</v>
      </c>
      <c r="F3163" s="3" t="s">
        <v>943</v>
      </c>
      <c r="G3163" s="3" t="s">
        <v>975</v>
      </c>
      <c r="H3163" s="2" t="s">
        <v>21</v>
      </c>
      <c r="I3163" s="2" t="s">
        <v>6531</v>
      </c>
      <c r="J3163" s="3" t="str">
        <f>HYPERLINK("https://www.boe.es/gazeta/dias/1820/05/30/pdfs/GMD-1820-87.pdf#page=12","Abrir facsímil")</f>
        <v>Abrir facsímil</v>
      </c>
      <c r="K3163" s="3" t="s">
        <v>23</v>
      </c>
    </row>
    <row r="3164" spans="1:11" ht="42" customHeight="1">
      <c r="A3164" s="2" t="s">
        <v>6532</v>
      </c>
      <c r="B3164" s="2" t="s">
        <v>6533</v>
      </c>
      <c r="C3164" s="2" t="s">
        <v>293</v>
      </c>
      <c r="D3164" s="2" t="s">
        <v>18</v>
      </c>
      <c r="E3164" s="5">
        <v>-29162</v>
      </c>
      <c r="F3164" s="3" t="s">
        <v>2134</v>
      </c>
      <c r="G3164" s="3" t="s">
        <v>295</v>
      </c>
      <c r="H3164" s="2" t="s">
        <v>21</v>
      </c>
      <c r="I3164" s="2" t="s">
        <v>6534</v>
      </c>
      <c r="J3164" s="3" t="str">
        <f>HYPERLINK("https://www.boe.es/gazeta/dias/1820/02/26/pdfs/GMD-1820-25.pdf#page=8","Abrir facsímil")</f>
        <v>Abrir facsímil</v>
      </c>
      <c r="K3164" s="3" t="s">
        <v>23</v>
      </c>
    </row>
    <row r="3165" spans="1:11" ht="42" customHeight="1">
      <c r="A3165" s="2" t="s">
        <v>6535</v>
      </c>
      <c r="B3165" s="2" t="s">
        <v>6536</v>
      </c>
      <c r="C3165" s="2" t="s">
        <v>74</v>
      </c>
      <c r="D3165" s="2" t="s">
        <v>18</v>
      </c>
      <c r="E3165" s="5">
        <v>-28985</v>
      </c>
      <c r="F3165" s="3" t="s">
        <v>905</v>
      </c>
      <c r="G3165" s="3" t="s">
        <v>62</v>
      </c>
      <c r="H3165" s="2" t="s">
        <v>30</v>
      </c>
      <c r="I3165" s="2" t="s">
        <v>6537</v>
      </c>
      <c r="J3165" s="3" t="str">
        <f>HYPERLINK("https://www.boe.es/gazeta/dias/1820/08/21/pdfs/GGB-1820-54.pdf#page=3","Abrir facsímil")</f>
        <v>Abrir facsímil</v>
      </c>
      <c r="K3165" s="3" t="s">
        <v>32</v>
      </c>
    </row>
    <row r="3166" spans="1:11" ht="42" customHeight="1">
      <c r="A3166" s="2" t="s">
        <v>6535</v>
      </c>
      <c r="B3166" s="2" t="s">
        <v>6536</v>
      </c>
      <c r="C3166" s="2" t="s">
        <v>74</v>
      </c>
      <c r="D3166" s="2" t="s">
        <v>18</v>
      </c>
      <c r="E3166" s="5">
        <v>-28978</v>
      </c>
      <c r="F3166" s="3" t="s">
        <v>203</v>
      </c>
      <c r="G3166" s="3" t="s">
        <v>62</v>
      </c>
      <c r="H3166" s="2" t="s">
        <v>30</v>
      </c>
      <c r="I3166" s="2" t="s">
        <v>6538</v>
      </c>
      <c r="J3166" s="3" t="str">
        <f>HYPERLINK("https://www.boe.es/gazeta/dias/1820/08/28/pdfs/GGB-1820-61.pdf#page=3","Abrir facsímil")</f>
        <v>Abrir facsímil</v>
      </c>
      <c r="K3166" s="3" t="s">
        <v>32</v>
      </c>
    </row>
    <row r="3167" spans="1:11" ht="42" customHeight="1">
      <c r="A3167" s="2" t="s">
        <v>6535</v>
      </c>
      <c r="B3167" s="2" t="s">
        <v>6536</v>
      </c>
      <c r="C3167" s="2" t="s">
        <v>35</v>
      </c>
      <c r="D3167" s="2" t="s">
        <v>36</v>
      </c>
      <c r="E3167" s="5">
        <v>-28970</v>
      </c>
      <c r="F3167" s="3" t="s">
        <v>693</v>
      </c>
      <c r="G3167" s="3" t="s">
        <v>128</v>
      </c>
      <c r="H3167" s="2" t="s">
        <v>30</v>
      </c>
      <c r="I3167" s="2" t="s">
        <v>6539</v>
      </c>
      <c r="J3167" s="3" t="str">
        <f>HYPERLINK("https://www.boe.es/gazeta/dias/1820/09/05/pdfs/GGB-1820-69.pdf#page=1","Abrir facsímil")</f>
        <v>Abrir facsímil</v>
      </c>
      <c r="K3167" s="3" t="s">
        <v>32</v>
      </c>
    </row>
    <row r="3168" spans="1:11" ht="42" customHeight="1">
      <c r="A3168" s="2" t="s">
        <v>6540</v>
      </c>
      <c r="B3168" s="2" t="s">
        <v>6541</v>
      </c>
      <c r="C3168" s="2" t="s">
        <v>74</v>
      </c>
      <c r="D3168" s="2" t="s">
        <v>18</v>
      </c>
      <c r="E3168" s="5">
        <v>-29134</v>
      </c>
      <c r="F3168" s="3" t="s">
        <v>255</v>
      </c>
      <c r="G3168" s="3" t="s">
        <v>4445</v>
      </c>
      <c r="H3168" s="2" t="s">
        <v>21</v>
      </c>
      <c r="I3168" s="2" t="s">
        <v>6542</v>
      </c>
      <c r="J3168" s="3" t="str">
        <f>HYPERLINK("https://www.boe.es/gazeta/dias/1820/03/25/pdfs/GMD-1820-53.pdf#page=7","Abrir facsímil")</f>
        <v>Abrir facsímil</v>
      </c>
      <c r="K3168" s="3" t="s">
        <v>23</v>
      </c>
    </row>
    <row r="3169" spans="1:11" ht="42" customHeight="1">
      <c r="A3169" s="2" t="s">
        <v>6543</v>
      </c>
      <c r="B3169" s="2" t="s">
        <v>6544</v>
      </c>
      <c r="C3169" s="2" t="s">
        <v>26</v>
      </c>
      <c r="D3169" s="2" t="s">
        <v>27</v>
      </c>
      <c r="E3169" s="5">
        <v>-29122</v>
      </c>
      <c r="F3169" s="3" t="s">
        <v>844</v>
      </c>
      <c r="G3169" s="3" t="s">
        <v>201</v>
      </c>
      <c r="H3169" s="2" t="s">
        <v>21</v>
      </c>
      <c r="I3169" s="2" t="s">
        <v>6545</v>
      </c>
      <c r="J3169" s="3" t="str">
        <f>HYPERLINK("https://www.boe.es/gazeta/dias/1820/04/06/pdfs/GMD-1820-62.pdf#page=7","Abrir facsímil")</f>
        <v>Abrir facsímil</v>
      </c>
      <c r="K3169" s="3" t="s">
        <v>23</v>
      </c>
    </row>
    <row r="3170" spans="1:11" ht="42" customHeight="1">
      <c r="A3170" s="2" t="s">
        <v>6546</v>
      </c>
      <c r="B3170" s="2" t="s">
        <v>6547</v>
      </c>
      <c r="C3170" s="2" t="s">
        <v>26</v>
      </c>
      <c r="D3170" s="2" t="s">
        <v>27</v>
      </c>
      <c r="E3170" s="5">
        <v>-28984</v>
      </c>
      <c r="F3170" s="3" t="s">
        <v>520</v>
      </c>
      <c r="G3170" s="3" t="s">
        <v>62</v>
      </c>
      <c r="H3170" s="2" t="s">
        <v>21</v>
      </c>
      <c r="I3170" s="2" t="s">
        <v>6548</v>
      </c>
      <c r="J3170" s="3" t="str">
        <f>HYPERLINK("https://www.boe.es/gazeta/dias/1820/08/22/pdfs/GGB-1820-55.pdf#page=3","Abrir facsímil")</f>
        <v>Abrir facsímil</v>
      </c>
      <c r="K3170" s="3" t="s">
        <v>23</v>
      </c>
    </row>
    <row r="3171" spans="1:11" ht="42" customHeight="1">
      <c r="A3171" s="2" t="s">
        <v>6549</v>
      </c>
      <c r="B3171" s="2" t="s">
        <v>6550</v>
      </c>
      <c r="C3171" s="2" t="s">
        <v>17</v>
      </c>
      <c r="D3171" s="2" t="s">
        <v>18</v>
      </c>
      <c r="E3171" s="5">
        <v>-29016</v>
      </c>
      <c r="F3171" s="3" t="s">
        <v>657</v>
      </c>
      <c r="G3171" s="3" t="s">
        <v>62</v>
      </c>
      <c r="H3171" s="2" t="s">
        <v>21</v>
      </c>
      <c r="I3171" s="2" t="s">
        <v>6551</v>
      </c>
      <c r="J3171" s="3" t="str">
        <f>HYPERLINK("https://www.boe.es/gazeta/dias/1820/07/21/pdfs/GGB-1820-23.pdf#page=3","Abrir facsímil")</f>
        <v>Abrir facsímil</v>
      </c>
      <c r="K3171" s="3" t="s">
        <v>23</v>
      </c>
    </row>
    <row r="3172" spans="1:11" ht="42" customHeight="1">
      <c r="A3172" s="2" t="s">
        <v>6549</v>
      </c>
      <c r="B3172" s="2" t="s">
        <v>6550</v>
      </c>
      <c r="C3172" s="2" t="s">
        <v>35</v>
      </c>
      <c r="D3172" s="2" t="s">
        <v>36</v>
      </c>
      <c r="E3172" s="5">
        <v>-28967</v>
      </c>
      <c r="F3172" s="3" t="s">
        <v>238</v>
      </c>
      <c r="G3172" s="3" t="s">
        <v>62</v>
      </c>
      <c r="H3172" s="2" t="s">
        <v>21</v>
      </c>
      <c r="I3172" s="2" t="s">
        <v>6552</v>
      </c>
      <c r="J3172" s="3" t="str">
        <f>HYPERLINK("https://www.boe.es/gazeta/dias/1820/09/08/pdfs/GGB-1820-72.pdf#page=3","Abrir facsímil")</f>
        <v>Abrir facsímil</v>
      </c>
      <c r="K3172" s="3" t="s">
        <v>23</v>
      </c>
    </row>
    <row r="3173" spans="1:11" ht="42" customHeight="1">
      <c r="A3173" s="2" t="s">
        <v>6553</v>
      </c>
      <c r="B3173" s="2" t="s">
        <v>6554</v>
      </c>
      <c r="C3173" s="2" t="s">
        <v>74</v>
      </c>
      <c r="D3173" s="2" t="s">
        <v>18</v>
      </c>
      <c r="E3173" s="5">
        <v>-29082</v>
      </c>
      <c r="F3173" s="3" t="s">
        <v>478</v>
      </c>
      <c r="G3173" s="3" t="s">
        <v>256</v>
      </c>
      <c r="H3173" s="2" t="s">
        <v>21</v>
      </c>
      <c r="I3173" s="2" t="s">
        <v>6555</v>
      </c>
      <c r="J3173" s="3" t="str">
        <f>HYPERLINK("https://www.boe.es/gazeta/dias/1820/05/16/pdfs/GMD-1820-80.pdf#page=5","Abrir facsímil")</f>
        <v>Abrir facsímil</v>
      </c>
      <c r="K3173" s="3" t="s">
        <v>23</v>
      </c>
    </row>
    <row r="3174" spans="1:11" ht="42" customHeight="1">
      <c r="A3174" s="2" t="s">
        <v>6553</v>
      </c>
      <c r="B3174" s="2" t="s">
        <v>6554</v>
      </c>
      <c r="C3174" s="2" t="s">
        <v>17</v>
      </c>
      <c r="D3174" s="2" t="s">
        <v>18</v>
      </c>
      <c r="E3174" s="5">
        <v>-29064</v>
      </c>
      <c r="F3174" s="3" t="s">
        <v>1264</v>
      </c>
      <c r="G3174" s="3" t="s">
        <v>38</v>
      </c>
      <c r="H3174" s="2" t="s">
        <v>21</v>
      </c>
      <c r="I3174" s="2" t="s">
        <v>6556</v>
      </c>
      <c r="J3174" s="3" t="str">
        <f>HYPERLINK("https://www.boe.es/gazeta/dias/1820/06/03/pdfs/GMD-1820-89.pdf#page=6","Abrir facsímil")</f>
        <v>Abrir facsímil</v>
      </c>
      <c r="K3174" s="3" t="s">
        <v>23</v>
      </c>
    </row>
    <row r="3175" spans="1:11" ht="42" customHeight="1">
      <c r="A3175" s="2" t="s">
        <v>6553</v>
      </c>
      <c r="B3175" s="2" t="s">
        <v>6554</v>
      </c>
      <c r="C3175" s="2" t="s">
        <v>35</v>
      </c>
      <c r="D3175" s="2" t="s">
        <v>36</v>
      </c>
      <c r="E3175" s="5">
        <v>-29059</v>
      </c>
      <c r="F3175" s="3" t="s">
        <v>1898</v>
      </c>
      <c r="G3175" s="3" t="s">
        <v>6557</v>
      </c>
      <c r="H3175" s="2" t="s">
        <v>21</v>
      </c>
      <c r="I3175" s="2" t="s">
        <v>6558</v>
      </c>
      <c r="J3175" s="3" t="str">
        <f>HYPERLINK("https://www.boe.es/gazeta/dias/1820/06/08/pdfs/GMD-1820-91.pdf#page=5","Abrir facsímil")</f>
        <v>Abrir facsímil</v>
      </c>
      <c r="K3175" s="3" t="s">
        <v>23</v>
      </c>
    </row>
    <row r="3176" spans="1:11" ht="42" customHeight="1">
      <c r="A3176" s="2" t="s">
        <v>6553</v>
      </c>
      <c r="B3176" s="2" t="s">
        <v>6554</v>
      </c>
      <c r="C3176" s="2" t="s">
        <v>26</v>
      </c>
      <c r="D3176" s="2" t="s">
        <v>27</v>
      </c>
      <c r="E3176" s="5">
        <v>-29059</v>
      </c>
      <c r="F3176" s="3" t="s">
        <v>1898</v>
      </c>
      <c r="G3176" s="3" t="s">
        <v>38</v>
      </c>
      <c r="H3176" s="2" t="s">
        <v>21</v>
      </c>
      <c r="I3176" s="2" t="s">
        <v>6559</v>
      </c>
      <c r="J3176" s="3" t="str">
        <f>HYPERLINK("https://www.boe.es/gazeta/dias/1820/06/08/pdfs/GMD-1820-91.pdf#page=6","Abrir facsímil")</f>
        <v>Abrir facsímil</v>
      </c>
      <c r="K3176" s="3" t="s">
        <v>23</v>
      </c>
    </row>
    <row r="3177" spans="1:11" ht="42" customHeight="1">
      <c r="A3177" s="2" t="s">
        <v>6553</v>
      </c>
      <c r="B3177" s="2" t="s">
        <v>6554</v>
      </c>
      <c r="C3177" s="2" t="s">
        <v>17</v>
      </c>
      <c r="D3177" s="2" t="s">
        <v>18</v>
      </c>
      <c r="E3177" s="5">
        <v>-29009</v>
      </c>
      <c r="F3177" s="3" t="s">
        <v>605</v>
      </c>
      <c r="G3177" s="3" t="s">
        <v>20</v>
      </c>
      <c r="H3177" s="2" t="s">
        <v>21</v>
      </c>
      <c r="I3177" s="2" t="s">
        <v>6560</v>
      </c>
      <c r="J3177" s="3" t="str">
        <f>HYPERLINK("https://www.boe.es/gazeta/dias/1820/07/28/pdfs/GGB-1820-30.pdf#page=4","Abrir facsímil")</f>
        <v>Abrir facsímil</v>
      </c>
      <c r="K3177" s="3" t="s">
        <v>23</v>
      </c>
    </row>
    <row r="3178" spans="1:11" ht="42" customHeight="1">
      <c r="A3178" s="2" t="s">
        <v>6553</v>
      </c>
      <c r="B3178" s="2" t="s">
        <v>6554</v>
      </c>
      <c r="C3178" s="2" t="s">
        <v>17</v>
      </c>
      <c r="D3178" s="2" t="s">
        <v>18</v>
      </c>
      <c r="E3178" s="5">
        <v>-28982</v>
      </c>
      <c r="F3178" s="3" t="s">
        <v>173</v>
      </c>
      <c r="G3178" s="3" t="s">
        <v>529</v>
      </c>
      <c r="H3178" s="2" t="s">
        <v>21</v>
      </c>
      <c r="I3178" s="2" t="s">
        <v>6561</v>
      </c>
      <c r="J3178" s="3" t="str">
        <f>HYPERLINK("https://www.boe.es/gazeta/dias/1820/08/24/pdfs/GGB-1820-57.pdf#page=4","Abrir facsímil")</f>
        <v>Abrir facsímil</v>
      </c>
      <c r="K3178" s="3" t="s">
        <v>23</v>
      </c>
    </row>
    <row r="3179" spans="1:11" ht="42" customHeight="1">
      <c r="A3179" s="2" t="s">
        <v>6553</v>
      </c>
      <c r="B3179" s="2" t="s">
        <v>6554</v>
      </c>
      <c r="C3179" s="2" t="s">
        <v>26</v>
      </c>
      <c r="D3179" s="2" t="s">
        <v>27</v>
      </c>
      <c r="E3179" s="5">
        <v>-28960</v>
      </c>
      <c r="F3179" s="3" t="s">
        <v>704</v>
      </c>
      <c r="G3179" s="3" t="s">
        <v>20</v>
      </c>
      <c r="H3179" s="2" t="s">
        <v>21</v>
      </c>
      <c r="I3179" s="2" t="s">
        <v>6562</v>
      </c>
      <c r="J3179" s="3" t="str">
        <f>HYPERLINK("https://www.boe.es/gazeta/dias/1820/09/15/pdfs/GGB-1820-79.pdf#page=4","Abrir facsímil")</f>
        <v>Abrir facsímil</v>
      </c>
      <c r="K3179" s="3" t="s">
        <v>23</v>
      </c>
    </row>
    <row r="3180" spans="1:11" ht="42" customHeight="1">
      <c r="A3180" s="2" t="s">
        <v>6553</v>
      </c>
      <c r="B3180" s="2" t="s">
        <v>6554</v>
      </c>
      <c r="C3180" s="2" t="s">
        <v>293</v>
      </c>
      <c r="D3180" s="2" t="s">
        <v>18</v>
      </c>
      <c r="E3180" s="5">
        <v>-28921</v>
      </c>
      <c r="F3180" s="3" t="s">
        <v>738</v>
      </c>
      <c r="G3180" s="3" t="s">
        <v>20</v>
      </c>
      <c r="H3180" s="2" t="s">
        <v>21</v>
      </c>
      <c r="I3180" s="2" t="s">
        <v>6563</v>
      </c>
      <c r="J3180" s="3" t="str">
        <f>HYPERLINK("https://www.boe.es/gazeta/dias/1820/10/24/pdfs/GGB-1820-118.pdf#page=4","Abrir facsímil")</f>
        <v>Abrir facsímil</v>
      </c>
      <c r="K3180" s="3" t="s">
        <v>23</v>
      </c>
    </row>
    <row r="3181" spans="1:11" ht="42" customHeight="1">
      <c r="A3181" s="2" t="s">
        <v>6553</v>
      </c>
      <c r="B3181" s="2" t="s">
        <v>6554</v>
      </c>
      <c r="C3181" s="2" t="s">
        <v>17</v>
      </c>
      <c r="D3181" s="2" t="s">
        <v>18</v>
      </c>
      <c r="E3181" s="5">
        <v>-28919</v>
      </c>
      <c r="F3181" s="3" t="s">
        <v>516</v>
      </c>
      <c r="G3181" s="3" t="s">
        <v>20</v>
      </c>
      <c r="H3181" s="2" t="s">
        <v>21</v>
      </c>
      <c r="I3181" s="2" t="s">
        <v>6564</v>
      </c>
      <c r="J3181" s="3" t="str">
        <f>HYPERLINK("https://www.boe.es/gazeta/dias/1820/10/26/pdfs/GGB-1820-120.pdf#page=4","Abrir facsímil")</f>
        <v>Abrir facsímil</v>
      </c>
      <c r="K3181" s="3" t="s">
        <v>23</v>
      </c>
    </row>
    <row r="3182" spans="1:11" ht="42" customHeight="1">
      <c r="A3182" s="2" t="s">
        <v>6553</v>
      </c>
      <c r="B3182" s="2" t="s">
        <v>6554</v>
      </c>
      <c r="C3182" s="2" t="s">
        <v>47</v>
      </c>
      <c r="D3182" s="2" t="s">
        <v>18</v>
      </c>
      <c r="E3182" s="5">
        <v>-28916</v>
      </c>
      <c r="F3182" s="3" t="s">
        <v>2688</v>
      </c>
      <c r="G3182" s="3" t="s">
        <v>20</v>
      </c>
      <c r="H3182" s="2" t="s">
        <v>21</v>
      </c>
      <c r="I3182" s="2" t="s">
        <v>6565</v>
      </c>
      <c r="J3182" s="3" t="str">
        <f>HYPERLINK("https://www.boe.es/gazeta/dias/1820/10/29/pdfs/GGB-1820-123.pdf#page=4","Abrir facsímil")</f>
        <v>Abrir facsímil</v>
      </c>
      <c r="K3182" s="3" t="s">
        <v>23</v>
      </c>
    </row>
    <row r="3183" spans="1:11" ht="42" customHeight="1">
      <c r="A3183" s="2" t="s">
        <v>6553</v>
      </c>
      <c r="B3183" s="2" t="s">
        <v>6554</v>
      </c>
      <c r="C3183" s="2" t="s">
        <v>26</v>
      </c>
      <c r="D3183" s="2" t="s">
        <v>27</v>
      </c>
      <c r="E3183" s="5">
        <v>-28913</v>
      </c>
      <c r="F3183" s="3" t="s">
        <v>230</v>
      </c>
      <c r="G3183" s="3" t="s">
        <v>20</v>
      </c>
      <c r="H3183" s="2" t="s">
        <v>21</v>
      </c>
      <c r="I3183" s="2" t="s">
        <v>6566</v>
      </c>
      <c r="J3183" s="3" t="str">
        <f>HYPERLINK("https://www.boe.es/gazeta/dias/1820/11/01/pdfs/GGB-1820-126.pdf#page=4","Abrir facsímil")</f>
        <v>Abrir facsímil</v>
      </c>
      <c r="K3183" s="3" t="s">
        <v>23</v>
      </c>
    </row>
    <row r="3184" spans="1:11" ht="42" customHeight="1">
      <c r="A3184" s="2" t="s">
        <v>6553</v>
      </c>
      <c r="B3184" s="2" t="s">
        <v>6554</v>
      </c>
      <c r="C3184" s="2" t="s">
        <v>17</v>
      </c>
      <c r="D3184" s="2" t="s">
        <v>18</v>
      </c>
      <c r="E3184" s="5">
        <v>-28893</v>
      </c>
      <c r="F3184" s="3" t="s">
        <v>546</v>
      </c>
      <c r="G3184" s="3" t="s">
        <v>62</v>
      </c>
      <c r="H3184" s="2" t="s">
        <v>21</v>
      </c>
      <c r="I3184" s="2" t="s">
        <v>6567</v>
      </c>
      <c r="J3184" s="3" t="str">
        <f>HYPERLINK("https://www.boe.es/gazeta/dias/1820/11/21/pdfs/GGB-1820-148.pdf#page=3","Abrir facsímil")</f>
        <v>Abrir facsímil</v>
      </c>
      <c r="K3184" s="3" t="s">
        <v>23</v>
      </c>
    </row>
    <row r="3185" spans="1:11" ht="42" customHeight="1">
      <c r="A3185" s="2" t="s">
        <v>6568</v>
      </c>
      <c r="B3185" s="2" t="s">
        <v>6568</v>
      </c>
      <c r="C3185" s="2" t="s">
        <v>35</v>
      </c>
      <c r="D3185" s="2" t="s">
        <v>36</v>
      </c>
      <c r="E3185" s="5">
        <v>-29190</v>
      </c>
      <c r="F3185" s="3" t="s">
        <v>537</v>
      </c>
      <c r="G3185" s="3" t="s">
        <v>201</v>
      </c>
      <c r="H3185" s="2" t="s">
        <v>21</v>
      </c>
      <c r="I3185" s="2" t="s">
        <v>6569</v>
      </c>
      <c r="J3185" s="3" t="str">
        <f>HYPERLINK("https://www.boe.es/gazeta/dias/1820/01/29/pdfs/GMD-1820-13.pdf#page=7","Abrir facsímil")</f>
        <v>Abrir facsímil</v>
      </c>
      <c r="K3185" s="3" t="s">
        <v>23</v>
      </c>
    </row>
    <row r="3186" spans="1:11" ht="42" customHeight="1">
      <c r="A3186" s="2" t="s">
        <v>6570</v>
      </c>
      <c r="B3186" s="2" t="s">
        <v>6571</v>
      </c>
      <c r="C3186" s="2" t="s">
        <v>74</v>
      </c>
      <c r="D3186" s="2" t="s">
        <v>18</v>
      </c>
      <c r="E3186" s="5">
        <v>-28986</v>
      </c>
      <c r="F3186" s="3" t="s">
        <v>488</v>
      </c>
      <c r="G3186" s="3" t="s">
        <v>489</v>
      </c>
      <c r="H3186" s="2" t="s">
        <v>30</v>
      </c>
      <c r="I3186" s="2" t="s">
        <v>6572</v>
      </c>
      <c r="J3186" s="3" t="str">
        <f>HYPERLINK("https://www.boe.es/gazeta/dias/1820/08/20/pdfs/GGB-1820-53.pdf#page=2","Abrir facsímil")</f>
        <v>Abrir facsímil</v>
      </c>
      <c r="K3186" s="3" t="s">
        <v>32</v>
      </c>
    </row>
    <row r="3187" spans="1:11" ht="42" customHeight="1">
      <c r="A3187" s="2" t="s">
        <v>6573</v>
      </c>
      <c r="B3187" s="2" t="s">
        <v>6573</v>
      </c>
      <c r="C3187" s="2" t="s">
        <v>35</v>
      </c>
      <c r="D3187" s="2" t="s">
        <v>36</v>
      </c>
      <c r="E3187" s="5">
        <v>-28983</v>
      </c>
      <c r="F3187" s="3" t="s">
        <v>682</v>
      </c>
      <c r="G3187" s="3" t="s">
        <v>43</v>
      </c>
      <c r="H3187" s="2" t="s">
        <v>21</v>
      </c>
      <c r="I3187" s="2" t="s">
        <v>6574</v>
      </c>
      <c r="J3187" s="3" t="str">
        <f>HYPERLINK("https://www.boe.es/gazeta/dias/1820/08/23/pdfs/GGB-1820-56.pdf#page=2","Abrir facsímil")</f>
        <v>Abrir facsímil</v>
      </c>
      <c r="K3187" s="3" t="s">
        <v>23</v>
      </c>
    </row>
    <row r="3188" spans="1:11" ht="42" customHeight="1">
      <c r="A3188" s="2" t="s">
        <v>6575</v>
      </c>
      <c r="B3188" s="2" t="s">
        <v>6575</v>
      </c>
      <c r="C3188" s="2" t="s">
        <v>26</v>
      </c>
      <c r="D3188" s="2" t="s">
        <v>27</v>
      </c>
      <c r="E3188" s="5">
        <v>-28986</v>
      </c>
      <c r="F3188" s="3" t="s">
        <v>488</v>
      </c>
      <c r="G3188" s="3" t="s">
        <v>62</v>
      </c>
      <c r="H3188" s="2" t="s">
        <v>21</v>
      </c>
      <c r="I3188" s="2" t="s">
        <v>6576</v>
      </c>
      <c r="J3188" s="3" t="str">
        <f>HYPERLINK("https://www.boe.es/gazeta/dias/1820/08/20/pdfs/GGB-1820-53.pdf#page=3","Abrir facsímil")</f>
        <v>Abrir facsímil</v>
      </c>
      <c r="K3188" s="3" t="s">
        <v>23</v>
      </c>
    </row>
    <row r="3189" spans="1:11" ht="42" customHeight="1">
      <c r="A3189" s="2" t="s">
        <v>6577</v>
      </c>
      <c r="B3189" s="2" t="s">
        <v>6578</v>
      </c>
      <c r="C3189" s="2" t="s">
        <v>35</v>
      </c>
      <c r="D3189" s="2" t="s">
        <v>36</v>
      </c>
      <c r="E3189" s="5">
        <v>-28967</v>
      </c>
      <c r="F3189" s="3" t="s">
        <v>238</v>
      </c>
      <c r="G3189" s="3" t="s">
        <v>38</v>
      </c>
      <c r="H3189" s="2" t="s">
        <v>21</v>
      </c>
      <c r="I3189" s="2" t="s">
        <v>6579</v>
      </c>
      <c r="J3189" s="3" t="str">
        <f>HYPERLINK("https://www.boe.es/gazeta/dias/1820/09/08/pdfs/GGB-1820-72.pdf#page=6","Abrir facsímil")</f>
        <v>Abrir facsímil</v>
      </c>
      <c r="K3189" s="3" t="s">
        <v>23</v>
      </c>
    </row>
    <row r="3190" spans="1:11" ht="42" customHeight="1">
      <c r="A3190" s="2" t="s">
        <v>6580</v>
      </c>
      <c r="B3190" s="2" t="s">
        <v>6580</v>
      </c>
      <c r="C3190" s="2" t="s">
        <v>35</v>
      </c>
      <c r="D3190" s="2" t="s">
        <v>36</v>
      </c>
      <c r="E3190" s="5">
        <v>-28999</v>
      </c>
      <c r="F3190" s="3" t="s">
        <v>342</v>
      </c>
      <c r="G3190" s="3" t="s">
        <v>343</v>
      </c>
      <c r="H3190" s="2" t="s">
        <v>21</v>
      </c>
      <c r="I3190" s="2" t="s">
        <v>6581</v>
      </c>
      <c r="J3190" s="3" t="str">
        <f>HYPERLINK("https://www.boe.es/gazeta/dias/1820/08/07/pdfs/GGB-1820-40.pdf#page=2","Abrir facsímil")</f>
        <v>Abrir facsímil</v>
      </c>
      <c r="K3190" s="3" t="s">
        <v>23</v>
      </c>
    </row>
    <row r="3191" spans="1:11" ht="42" customHeight="1">
      <c r="A3191" s="2" t="s">
        <v>6580</v>
      </c>
      <c r="B3191" s="2" t="s">
        <v>6580</v>
      </c>
      <c r="C3191" s="2" t="s">
        <v>74</v>
      </c>
      <c r="D3191" s="2" t="s">
        <v>18</v>
      </c>
      <c r="E3191" s="5">
        <v>-28998</v>
      </c>
      <c r="F3191" s="3" t="s">
        <v>629</v>
      </c>
      <c r="G3191" s="3" t="s">
        <v>43</v>
      </c>
      <c r="H3191" s="2" t="s">
        <v>21</v>
      </c>
      <c r="I3191" s="2" t="s">
        <v>6582</v>
      </c>
      <c r="J3191" s="3" t="str">
        <f>HYPERLINK("https://www.boe.es/gazeta/dias/1820/08/08/pdfs/GGB-1820-41.pdf#page=2","Abrir facsímil")</f>
        <v>Abrir facsímil</v>
      </c>
      <c r="K3191" s="3" t="s">
        <v>23</v>
      </c>
    </row>
    <row r="3192" spans="1:11" ht="42" customHeight="1">
      <c r="A3192" s="2" t="s">
        <v>6580</v>
      </c>
      <c r="B3192" s="2" t="s">
        <v>6580</v>
      </c>
      <c r="C3192" s="2" t="s">
        <v>35</v>
      </c>
      <c r="D3192" s="2" t="s">
        <v>36</v>
      </c>
      <c r="E3192" s="5">
        <v>-28986</v>
      </c>
      <c r="F3192" s="3" t="s">
        <v>488</v>
      </c>
      <c r="G3192" s="3" t="s">
        <v>62</v>
      </c>
      <c r="H3192" s="2" t="s">
        <v>21</v>
      </c>
      <c r="I3192" s="2" t="s">
        <v>6583</v>
      </c>
      <c r="J3192" s="3" t="str">
        <f>HYPERLINK("https://www.boe.es/gazeta/dias/1820/08/20/pdfs/GGB-1820-53.pdf#page=3","Abrir facsímil")</f>
        <v>Abrir facsímil</v>
      </c>
      <c r="K3192" s="3" t="s">
        <v>23</v>
      </c>
    </row>
    <row r="3193" spans="1:11" ht="42" customHeight="1">
      <c r="A3193" s="2" t="s">
        <v>6584</v>
      </c>
      <c r="B3193" s="2" t="s">
        <v>6584</v>
      </c>
      <c r="C3193" s="2" t="s">
        <v>74</v>
      </c>
      <c r="D3193" s="2" t="s">
        <v>18</v>
      </c>
      <c r="E3193" s="5">
        <v>-28900</v>
      </c>
      <c r="F3193" s="3" t="s">
        <v>878</v>
      </c>
      <c r="G3193" s="3" t="s">
        <v>62</v>
      </c>
      <c r="H3193" s="2" t="s">
        <v>21</v>
      </c>
      <c r="I3193" s="2" t="s">
        <v>6585</v>
      </c>
      <c r="J3193" s="3" t="str">
        <f>HYPERLINK("https://www.boe.es/gazeta/dias/1820/11/14/pdfs/GGB-1820-140.pdf#page=3","Abrir facsímil")</f>
        <v>Abrir facsímil</v>
      </c>
      <c r="K3193" s="3" t="s">
        <v>23</v>
      </c>
    </row>
    <row r="3194" spans="1:11" ht="42" customHeight="1">
      <c r="A3194" s="2" t="s">
        <v>6586</v>
      </c>
      <c r="B3194" s="2" t="s">
        <v>6586</v>
      </c>
      <c r="C3194" s="2" t="s">
        <v>17</v>
      </c>
      <c r="D3194" s="2" t="s">
        <v>18</v>
      </c>
      <c r="E3194" s="5">
        <v>-28892</v>
      </c>
      <c r="F3194" s="3" t="s">
        <v>3036</v>
      </c>
      <c r="G3194" s="3" t="s">
        <v>43</v>
      </c>
      <c r="H3194" s="2" t="s">
        <v>21</v>
      </c>
      <c r="I3194" s="2" t="s">
        <v>6587</v>
      </c>
      <c r="J3194" s="3" t="str">
        <f>HYPERLINK("https://www.boe.es/gazeta/dias/1820/11/22/pdfs/GGB-1820-149.pdf#page=2","Abrir facsímil")</f>
        <v>Abrir facsímil</v>
      </c>
      <c r="K3194" s="3" t="s">
        <v>23</v>
      </c>
    </row>
    <row r="3195" spans="1:11" ht="42" customHeight="1">
      <c r="A3195" s="2" t="s">
        <v>6588</v>
      </c>
      <c r="B3195" s="2" t="s">
        <v>6588</v>
      </c>
      <c r="C3195" s="2" t="s">
        <v>26</v>
      </c>
      <c r="D3195" s="2" t="s">
        <v>27</v>
      </c>
      <c r="E3195" s="5">
        <v>-28996</v>
      </c>
      <c r="F3195" s="3" t="s">
        <v>636</v>
      </c>
      <c r="G3195" s="3" t="s">
        <v>128</v>
      </c>
      <c r="H3195" s="2" t="s">
        <v>21</v>
      </c>
      <c r="I3195" s="2" t="s">
        <v>6589</v>
      </c>
      <c r="J3195" s="3" t="str">
        <f>HYPERLINK("https://www.boe.es/gazeta/dias/1820/08/10/pdfs/GGB-1820-43.pdf#page=1","Abrir facsímil")</f>
        <v>Abrir facsímil</v>
      </c>
      <c r="K3195" s="3" t="s">
        <v>23</v>
      </c>
    </row>
    <row r="3196" spans="1:11" ht="42" customHeight="1">
      <c r="A3196" s="2" t="s">
        <v>6590</v>
      </c>
      <c r="B3196" s="2" t="s">
        <v>6590</v>
      </c>
      <c r="C3196" s="2" t="s">
        <v>74</v>
      </c>
      <c r="D3196" s="2" t="s">
        <v>18</v>
      </c>
      <c r="E3196" s="5">
        <v>-29080</v>
      </c>
      <c r="F3196" s="3" t="s">
        <v>1031</v>
      </c>
      <c r="G3196" s="3" t="s">
        <v>20</v>
      </c>
      <c r="H3196" s="2" t="s">
        <v>21</v>
      </c>
      <c r="I3196" s="2" t="s">
        <v>6591</v>
      </c>
      <c r="J3196" s="3" t="str">
        <f>HYPERLINK("https://www.boe.es/gazeta/dias/1820/05/18/pdfs/GMD-1820-82.pdf#page=4","Abrir facsímil")</f>
        <v>Abrir facsímil</v>
      </c>
      <c r="K3196" s="3" t="s">
        <v>23</v>
      </c>
    </row>
    <row r="3197" spans="1:11" ht="42" customHeight="1">
      <c r="A3197" s="2" t="s">
        <v>6590</v>
      </c>
      <c r="B3197" s="2" t="s">
        <v>6590</v>
      </c>
      <c r="C3197" s="2" t="s">
        <v>35</v>
      </c>
      <c r="D3197" s="2" t="s">
        <v>36</v>
      </c>
      <c r="E3197" s="5">
        <v>-29038</v>
      </c>
      <c r="F3197" s="3" t="s">
        <v>957</v>
      </c>
      <c r="G3197" s="3" t="s">
        <v>43</v>
      </c>
      <c r="H3197" s="2" t="s">
        <v>21</v>
      </c>
      <c r="I3197" s="2" t="s">
        <v>6592</v>
      </c>
      <c r="J3197" s="3" t="str">
        <f>HYPERLINK("https://www.boe.es/gazeta/dias/1820/06/29/pdfs/GMD-1820-100.pdf#page=2","Abrir facsímil")</f>
        <v>Abrir facsímil</v>
      </c>
      <c r="K3197" s="3" t="s">
        <v>23</v>
      </c>
    </row>
    <row r="3198" spans="1:11" ht="42" customHeight="1">
      <c r="A3198" s="2" t="s">
        <v>6590</v>
      </c>
      <c r="B3198" s="2" t="s">
        <v>6590</v>
      </c>
      <c r="C3198" s="2" t="s">
        <v>74</v>
      </c>
      <c r="D3198" s="2" t="s">
        <v>18</v>
      </c>
      <c r="E3198" s="5">
        <v>-29010</v>
      </c>
      <c r="F3198" s="3" t="s">
        <v>664</v>
      </c>
      <c r="G3198" s="3" t="s">
        <v>665</v>
      </c>
      <c r="H3198" s="2" t="s">
        <v>21</v>
      </c>
      <c r="I3198" s="2" t="s">
        <v>6593</v>
      </c>
      <c r="J3198" s="3" t="str">
        <f>HYPERLINK("https://www.boe.es/gazeta/dias/1820/07/27/pdfs/GGB-1820-29.pdf#page=2","Abrir facsímil")</f>
        <v>Abrir facsímil</v>
      </c>
      <c r="K3198" s="3" t="s">
        <v>23</v>
      </c>
    </row>
    <row r="3199" spans="1:11" ht="42" customHeight="1">
      <c r="A3199" s="2" t="s">
        <v>6590</v>
      </c>
      <c r="B3199" s="2" t="s">
        <v>6590</v>
      </c>
      <c r="C3199" s="2" t="s">
        <v>17</v>
      </c>
      <c r="D3199" s="2" t="s">
        <v>18</v>
      </c>
      <c r="E3199" s="5">
        <v>-28972</v>
      </c>
      <c r="F3199" s="3" t="s">
        <v>522</v>
      </c>
      <c r="G3199" s="3" t="s">
        <v>128</v>
      </c>
      <c r="H3199" s="2" t="s">
        <v>21</v>
      </c>
      <c r="I3199" s="2" t="s">
        <v>6594</v>
      </c>
      <c r="J3199" s="3" t="str">
        <f>HYPERLINK("https://www.boe.es/gazeta/dias/1820/09/03/pdfs/GGB-1820-67.pdf#page=1","Abrir facsímil")</f>
        <v>Abrir facsímil</v>
      </c>
      <c r="K3199" s="3" t="s">
        <v>23</v>
      </c>
    </row>
    <row r="3200" spans="1:11" ht="42" customHeight="1">
      <c r="A3200" s="2" t="s">
        <v>6590</v>
      </c>
      <c r="B3200" s="2" t="s">
        <v>6590</v>
      </c>
      <c r="C3200" s="2" t="s">
        <v>26</v>
      </c>
      <c r="D3200" s="2" t="s">
        <v>27</v>
      </c>
      <c r="E3200" s="5">
        <v>-28890</v>
      </c>
      <c r="F3200" s="3" t="s">
        <v>248</v>
      </c>
      <c r="G3200" s="3" t="s">
        <v>43</v>
      </c>
      <c r="H3200" s="2" t="s">
        <v>21</v>
      </c>
      <c r="I3200" s="2" t="s">
        <v>6595</v>
      </c>
      <c r="J3200" s="3" t="str">
        <f>HYPERLINK("https://www.boe.es/gazeta/dias/1820/11/24/pdfs/GGB-1820-151.pdf#page=2","Abrir facsímil")</f>
        <v>Abrir facsímil</v>
      </c>
      <c r="K3200" s="3" t="s">
        <v>23</v>
      </c>
    </row>
    <row r="3201" spans="1:11" ht="42" customHeight="1">
      <c r="A3201" s="2" t="s">
        <v>6596</v>
      </c>
      <c r="B3201" s="2" t="s">
        <v>6596</v>
      </c>
      <c r="C3201" s="2" t="s">
        <v>17</v>
      </c>
      <c r="D3201" s="2" t="s">
        <v>18</v>
      </c>
      <c r="E3201" s="5">
        <v>-28931</v>
      </c>
      <c r="F3201" s="3" t="s">
        <v>724</v>
      </c>
      <c r="G3201" s="3" t="s">
        <v>20</v>
      </c>
      <c r="H3201" s="2" t="s">
        <v>21</v>
      </c>
      <c r="I3201" s="2" t="s">
        <v>6597</v>
      </c>
      <c r="J3201" s="3" t="str">
        <f>HYPERLINK("https://www.boe.es/gazeta/dias/1820/10/14/pdfs/GGB-1820-108.pdf#page=4","Abrir facsímil")</f>
        <v>Abrir facsímil</v>
      </c>
      <c r="K3201" s="3" t="s">
        <v>23</v>
      </c>
    </row>
    <row r="3202" spans="1:11" ht="42" customHeight="1">
      <c r="A3202" s="2" t="s">
        <v>6598</v>
      </c>
      <c r="B3202" s="2" t="s">
        <v>6599</v>
      </c>
      <c r="C3202" s="2" t="s">
        <v>35</v>
      </c>
      <c r="D3202" s="2" t="s">
        <v>36</v>
      </c>
      <c r="E3202" s="5">
        <v>-29185</v>
      </c>
      <c r="F3202" s="3" t="s">
        <v>772</v>
      </c>
      <c r="G3202" s="3" t="s">
        <v>201</v>
      </c>
      <c r="H3202" s="2" t="s">
        <v>21</v>
      </c>
      <c r="I3202" s="2" t="s">
        <v>6600</v>
      </c>
      <c r="J3202" s="3" t="str">
        <f>HYPERLINK("https://www.boe.es/gazeta/dias/1820/02/03/pdfs/GMD-1820-15.pdf#page=7","Abrir facsímil")</f>
        <v>Abrir facsímil</v>
      </c>
      <c r="K3202" s="3" t="s">
        <v>23</v>
      </c>
    </row>
    <row r="3203" spans="1:11" ht="42" customHeight="1">
      <c r="A3203" s="2" t="s">
        <v>6601</v>
      </c>
      <c r="B3203" s="2" t="s">
        <v>6601</v>
      </c>
      <c r="C3203" s="2" t="s">
        <v>293</v>
      </c>
      <c r="D3203" s="2" t="s">
        <v>18</v>
      </c>
      <c r="E3203" s="5">
        <v>-28932</v>
      </c>
      <c r="F3203" s="3" t="s">
        <v>407</v>
      </c>
      <c r="G3203" s="3" t="s">
        <v>62</v>
      </c>
      <c r="H3203" s="2" t="s">
        <v>21</v>
      </c>
      <c r="I3203" s="2" t="s">
        <v>6602</v>
      </c>
      <c r="J3203" s="3" t="str">
        <f>HYPERLINK("https://www.boe.es/gazeta/dias/1820/10/13/pdfs/GGB-1820-107.pdf#page=3","Abrir facsímil")</f>
        <v>Abrir facsímil</v>
      </c>
      <c r="K3203" s="3" t="s">
        <v>23</v>
      </c>
    </row>
    <row r="3204" spans="1:11" ht="42" customHeight="1">
      <c r="A3204" s="2" t="s">
        <v>6603</v>
      </c>
      <c r="B3204" s="2" t="s">
        <v>6603</v>
      </c>
      <c r="C3204" s="2" t="s">
        <v>74</v>
      </c>
      <c r="D3204" s="2" t="s">
        <v>18</v>
      </c>
      <c r="E3204" s="5">
        <v>-28887</v>
      </c>
      <c r="F3204" s="3" t="s">
        <v>2098</v>
      </c>
      <c r="G3204" s="3" t="s">
        <v>6604</v>
      </c>
      <c r="H3204" s="2" t="s">
        <v>21</v>
      </c>
      <c r="I3204" s="2" t="s">
        <v>6605</v>
      </c>
      <c r="J3204" s="3" t="str">
        <f>HYPERLINK("https://www.boe.es/gazeta/dias/1820/11/27/pdfs/GGB-1820-154.pdf#page=2","Abrir facsímil")</f>
        <v>Abrir facsímil</v>
      </c>
      <c r="K3204" s="3" t="s">
        <v>23</v>
      </c>
    </row>
    <row r="3205" spans="1:11" ht="42" customHeight="1">
      <c r="A3205" s="2" t="s">
        <v>6606</v>
      </c>
      <c r="B3205" s="2" t="s">
        <v>6606</v>
      </c>
      <c r="C3205" s="2" t="s">
        <v>35</v>
      </c>
      <c r="D3205" s="2" t="s">
        <v>36</v>
      </c>
      <c r="E3205" s="5">
        <v>-29003</v>
      </c>
      <c r="F3205" s="3" t="s">
        <v>340</v>
      </c>
      <c r="G3205" s="3" t="s">
        <v>43</v>
      </c>
      <c r="H3205" s="2" t="s">
        <v>21</v>
      </c>
      <c r="I3205" s="2" t="s">
        <v>6607</v>
      </c>
      <c r="J3205" s="3" t="str">
        <f>HYPERLINK("https://www.boe.es/gazeta/dias/1820/08/03/pdfs/GGB-1820-36.pdf#page=2","Abrir facsímil")</f>
        <v>Abrir facsímil</v>
      </c>
      <c r="K3205" s="3" t="s">
        <v>23</v>
      </c>
    </row>
    <row r="3206" spans="1:11" ht="42" customHeight="1">
      <c r="A3206" s="2" t="s">
        <v>6606</v>
      </c>
      <c r="B3206" s="2" t="s">
        <v>6606</v>
      </c>
      <c r="C3206" s="2" t="s">
        <v>74</v>
      </c>
      <c r="D3206" s="2" t="s">
        <v>18</v>
      </c>
      <c r="E3206" s="5">
        <v>-28995</v>
      </c>
      <c r="F3206" s="3" t="s">
        <v>672</v>
      </c>
      <c r="G3206" s="3" t="s">
        <v>1557</v>
      </c>
      <c r="H3206" s="2" t="s">
        <v>21</v>
      </c>
      <c r="I3206" s="2" t="s">
        <v>6608</v>
      </c>
      <c r="J3206" s="3" t="str">
        <f>HYPERLINK("https://www.boe.es/gazeta/dias/1820/08/11/pdfs/GGB-1820-44.pdf#page=2","Abrir facsímil")</f>
        <v>Abrir facsímil</v>
      </c>
      <c r="K3206" s="3" t="s">
        <v>23</v>
      </c>
    </row>
    <row r="3207" spans="1:11" ht="42" customHeight="1">
      <c r="A3207" s="2" t="s">
        <v>6609</v>
      </c>
      <c r="B3207" s="2" t="s">
        <v>6610</v>
      </c>
      <c r="C3207" s="2" t="s">
        <v>35</v>
      </c>
      <c r="D3207" s="2" t="s">
        <v>36</v>
      </c>
      <c r="E3207" s="5">
        <v>-28922</v>
      </c>
      <c r="F3207" s="3" t="s">
        <v>735</v>
      </c>
      <c r="G3207" s="3" t="s">
        <v>62</v>
      </c>
      <c r="H3207" s="2" t="s">
        <v>21</v>
      </c>
      <c r="I3207" s="2" t="s">
        <v>6611</v>
      </c>
      <c r="J3207" s="3" t="str">
        <f>HYPERLINK("https://www.boe.es/gazeta/dias/1820/10/23/pdfs/GGB-1820-117.pdf#page=3","Abrir facsímil")</f>
        <v>Abrir facsímil</v>
      </c>
      <c r="K3207" s="3" t="s">
        <v>23</v>
      </c>
    </row>
    <row r="3208" spans="1:11" ht="42" customHeight="1">
      <c r="A3208" s="2" t="s">
        <v>6612</v>
      </c>
      <c r="B3208" s="2" t="s">
        <v>6613</v>
      </c>
      <c r="C3208" s="2" t="s">
        <v>111</v>
      </c>
      <c r="D3208" s="2" t="s">
        <v>18</v>
      </c>
      <c r="E3208" s="5">
        <v>-29054</v>
      </c>
      <c r="F3208" s="3" t="s">
        <v>481</v>
      </c>
      <c r="G3208" s="3" t="s">
        <v>479</v>
      </c>
      <c r="H3208" s="2" t="s">
        <v>21</v>
      </c>
      <c r="I3208" s="2" t="s">
        <v>6614</v>
      </c>
      <c r="J3208" s="3" t="str">
        <f>HYPERLINK("https://www.boe.es/gazeta/dias/1820/06/13/pdfs/GMD-1820-93.pdf#page=12","Abrir facsímil")</f>
        <v>Abrir facsímil</v>
      </c>
      <c r="K3208" s="3" t="s">
        <v>23</v>
      </c>
    </row>
    <row r="3209" spans="1:11" ht="42" customHeight="1">
      <c r="A3209" s="2" t="s">
        <v>6615</v>
      </c>
      <c r="B3209" s="2" t="s">
        <v>6615</v>
      </c>
      <c r="C3209" s="2" t="s">
        <v>35</v>
      </c>
      <c r="D3209" s="2" t="s">
        <v>36</v>
      </c>
      <c r="E3209" s="5">
        <v>-29029</v>
      </c>
      <c r="F3209" s="3" t="s">
        <v>282</v>
      </c>
      <c r="G3209" s="3" t="s">
        <v>43</v>
      </c>
      <c r="H3209" s="2" t="s">
        <v>21</v>
      </c>
      <c r="I3209" s="2" t="s">
        <v>6616</v>
      </c>
      <c r="J3209" s="3" t="str">
        <f>HYPERLINK("https://www.boe.es/gazeta/dias/1820/07/08/pdfs/GGB-1820-9.pdf#page=2","Abrir facsímil")</f>
        <v>Abrir facsímil</v>
      </c>
      <c r="K3209" s="3" t="s">
        <v>23</v>
      </c>
    </row>
    <row r="3210" spans="1:11" ht="42" customHeight="1">
      <c r="A3210" s="2" t="s">
        <v>6617</v>
      </c>
      <c r="B3210" s="2" t="s">
        <v>6617</v>
      </c>
      <c r="C3210" s="2" t="s">
        <v>17</v>
      </c>
      <c r="D3210" s="2" t="s">
        <v>18</v>
      </c>
      <c r="E3210" s="5">
        <v>-29038</v>
      </c>
      <c r="F3210" s="3" t="s">
        <v>957</v>
      </c>
      <c r="G3210" s="3" t="s">
        <v>62</v>
      </c>
      <c r="H3210" s="2" t="s">
        <v>21</v>
      </c>
      <c r="I3210" s="2" t="s">
        <v>6618</v>
      </c>
      <c r="J3210" s="3" t="str">
        <f>HYPERLINK("https://www.boe.es/gazeta/dias/1820/06/29/pdfs/GMD-1820-100.pdf#page=3","Abrir facsímil")</f>
        <v>Abrir facsímil</v>
      </c>
      <c r="K3210" s="3" t="s">
        <v>23</v>
      </c>
    </row>
    <row r="3211" spans="1:11" ht="42" customHeight="1">
      <c r="A3211" s="2" t="s">
        <v>6619</v>
      </c>
      <c r="B3211" s="2" t="s">
        <v>6620</v>
      </c>
      <c r="C3211" s="2" t="s">
        <v>35</v>
      </c>
      <c r="D3211" s="2" t="s">
        <v>36</v>
      </c>
      <c r="E3211" s="5">
        <v>-28861</v>
      </c>
      <c r="F3211" s="3" t="s">
        <v>894</v>
      </c>
      <c r="G3211" s="3" t="s">
        <v>43</v>
      </c>
      <c r="H3211" s="2" t="s">
        <v>30</v>
      </c>
      <c r="I3211" s="2" t="s">
        <v>6621</v>
      </c>
      <c r="J3211" s="3" t="str">
        <f>HYPERLINK("https://www.boe.es/gazeta/dias/1820/12/23/pdfs/GGB-1820-180.pdf#page=2","Abrir facsímil")</f>
        <v>Abrir facsímil</v>
      </c>
      <c r="K3211" s="3" t="s">
        <v>32</v>
      </c>
    </row>
    <row r="3212" spans="1:11" ht="42" customHeight="1">
      <c r="A3212" s="2" t="s">
        <v>6622</v>
      </c>
      <c r="B3212" s="2" t="s">
        <v>6623</v>
      </c>
      <c r="C3212" s="2" t="s">
        <v>17</v>
      </c>
      <c r="D3212" s="2" t="s">
        <v>18</v>
      </c>
      <c r="E3212" s="5">
        <v>-28865</v>
      </c>
      <c r="F3212" s="3" t="s">
        <v>136</v>
      </c>
      <c r="G3212" s="3" t="s">
        <v>137</v>
      </c>
      <c r="H3212" s="2" t="s">
        <v>30</v>
      </c>
      <c r="I3212" s="2" t="s">
        <v>6624</v>
      </c>
      <c r="J3212" s="3" t="str">
        <f>HYPERLINK("https://www.boe.es/gazeta/dias/1820/12/19/pdfs/GGB-1820-176.pdf#page=3","Abrir facsímil")</f>
        <v>Abrir facsímil</v>
      </c>
      <c r="K3212" s="3" t="s">
        <v>32</v>
      </c>
    </row>
    <row r="3213" spans="1:11" ht="42" customHeight="1">
      <c r="A3213" s="2" t="s">
        <v>6625</v>
      </c>
      <c r="B3213" s="2" t="s">
        <v>6626</v>
      </c>
      <c r="C3213" s="2" t="s">
        <v>47</v>
      </c>
      <c r="D3213" s="2" t="s">
        <v>18</v>
      </c>
      <c r="E3213" s="5">
        <v>-28863</v>
      </c>
      <c r="F3213" s="3" t="s">
        <v>3630</v>
      </c>
      <c r="G3213" s="3" t="s">
        <v>20</v>
      </c>
      <c r="H3213" s="2" t="s">
        <v>30</v>
      </c>
      <c r="I3213" s="2" t="s">
        <v>6627</v>
      </c>
      <c r="J3213" s="3" t="str">
        <f>HYPERLINK("https://www.boe.es/gazeta/dias/1820/12/21/pdfs/GGB-1820-178.pdf#page=4","Abrir facsímil")</f>
        <v>Abrir facsímil</v>
      </c>
      <c r="K3213" s="3" t="s">
        <v>32</v>
      </c>
    </row>
    <row r="3214" spans="1:11" ht="42" customHeight="1">
      <c r="A3214" s="2" t="s">
        <v>6628</v>
      </c>
      <c r="B3214" s="2" t="s">
        <v>6629</v>
      </c>
      <c r="C3214" s="2" t="s">
        <v>74</v>
      </c>
      <c r="D3214" s="2" t="s">
        <v>18</v>
      </c>
      <c r="E3214" s="5">
        <v>-28938</v>
      </c>
      <c r="F3214" s="3" t="s">
        <v>716</v>
      </c>
      <c r="G3214" s="3" t="s">
        <v>1452</v>
      </c>
      <c r="H3214" s="2" t="s">
        <v>30</v>
      </c>
      <c r="I3214" s="2" t="s">
        <v>6630</v>
      </c>
      <c r="J3214" s="3" t="str">
        <f>HYPERLINK("https://www.boe.es/gazeta/dias/1820/10/07/pdfs/GGB-1820-101.pdf#page=4","Abrir facsímil")</f>
        <v>Abrir facsímil</v>
      </c>
      <c r="K3214" s="3" t="s">
        <v>32</v>
      </c>
    </row>
    <row r="3215" spans="1:11" ht="42" customHeight="1">
      <c r="A3215" s="2" t="s">
        <v>6631</v>
      </c>
      <c r="B3215" s="2" t="s">
        <v>6632</v>
      </c>
      <c r="C3215" s="2" t="s">
        <v>35</v>
      </c>
      <c r="D3215" s="2" t="s">
        <v>36</v>
      </c>
      <c r="E3215" s="5">
        <v>-29164</v>
      </c>
      <c r="F3215" s="3" t="s">
        <v>2516</v>
      </c>
      <c r="G3215" s="3" t="s">
        <v>295</v>
      </c>
      <c r="H3215" s="2" t="s">
        <v>21</v>
      </c>
      <c r="I3215" s="2" t="s">
        <v>6633</v>
      </c>
      <c r="J3215" s="3" t="str">
        <f>HYPERLINK("https://www.boe.es/gazeta/dias/1820/02/24/pdfs/GMD-1820-24.pdf#page=8","Abrir facsímil")</f>
        <v>Abrir facsímil</v>
      </c>
      <c r="K3215" s="3" t="s">
        <v>23</v>
      </c>
    </row>
    <row r="3216" spans="1:11" ht="42" customHeight="1">
      <c r="A3216" s="2" t="s">
        <v>6631</v>
      </c>
      <c r="B3216" s="2" t="s">
        <v>6632</v>
      </c>
      <c r="C3216" s="2" t="s">
        <v>17</v>
      </c>
      <c r="D3216" s="2" t="s">
        <v>18</v>
      </c>
      <c r="E3216" s="5">
        <v>-29080</v>
      </c>
      <c r="F3216" s="3" t="s">
        <v>1031</v>
      </c>
      <c r="G3216" s="3" t="s">
        <v>1080</v>
      </c>
      <c r="H3216" s="2" t="s">
        <v>21</v>
      </c>
      <c r="I3216" s="2" t="s">
        <v>6634</v>
      </c>
      <c r="J3216" s="3" t="str">
        <f>HYPERLINK("https://www.boe.es/gazeta/dias/1820/05/18/pdfs/GMD-1820-82.pdf#page=8","Abrir facsímil")</f>
        <v>Abrir facsímil</v>
      </c>
      <c r="K3216" s="3" t="s">
        <v>23</v>
      </c>
    </row>
    <row r="3217" spans="1:11" ht="42" customHeight="1">
      <c r="A3217" s="2" t="s">
        <v>6631</v>
      </c>
      <c r="B3217" s="2" t="s">
        <v>6632</v>
      </c>
      <c r="C3217" s="2" t="s">
        <v>111</v>
      </c>
      <c r="D3217" s="2" t="s">
        <v>18</v>
      </c>
      <c r="E3217" s="5">
        <v>-28990</v>
      </c>
      <c r="F3217" s="3" t="s">
        <v>61</v>
      </c>
      <c r="G3217" s="3" t="s">
        <v>1438</v>
      </c>
      <c r="H3217" s="2" t="s">
        <v>21</v>
      </c>
      <c r="I3217" s="2" t="s">
        <v>6635</v>
      </c>
      <c r="J3217" s="3" t="str">
        <f>HYPERLINK("https://www.boe.es/gazeta/dias/1820/08/16/pdfs/GGB-1820-49.pdf#page=4","Abrir facsímil")</f>
        <v>Abrir facsímil</v>
      </c>
      <c r="K3217" s="3" t="s">
        <v>23</v>
      </c>
    </row>
    <row r="3218" spans="1:11" ht="42" customHeight="1">
      <c r="A3218" s="2" t="s">
        <v>6631</v>
      </c>
      <c r="B3218" s="2" t="s">
        <v>6632</v>
      </c>
      <c r="C3218" s="2" t="s">
        <v>17</v>
      </c>
      <c r="D3218" s="2" t="s">
        <v>18</v>
      </c>
      <c r="E3218" s="5">
        <v>-28974</v>
      </c>
      <c r="F3218" s="3" t="s">
        <v>1144</v>
      </c>
      <c r="G3218" s="3" t="s">
        <v>1145</v>
      </c>
      <c r="H3218" s="2" t="s">
        <v>21</v>
      </c>
      <c r="I3218" s="2" t="s">
        <v>6636</v>
      </c>
      <c r="J3218" s="3" t="str">
        <f>HYPERLINK("https://www.boe.es/gazeta/dias/1820/09/01/pdfs/GGB-1820-65.pdf#page=4","Abrir facsímil")</f>
        <v>Abrir facsímil</v>
      </c>
      <c r="K3218" s="3" t="s">
        <v>23</v>
      </c>
    </row>
    <row r="3219" spans="1:11" ht="42" customHeight="1">
      <c r="A3219" s="2" t="s">
        <v>6631</v>
      </c>
      <c r="B3219" s="2" t="s">
        <v>6632</v>
      </c>
      <c r="C3219" s="2" t="s">
        <v>35</v>
      </c>
      <c r="D3219" s="2" t="s">
        <v>36</v>
      </c>
      <c r="E3219" s="5">
        <v>-28918</v>
      </c>
      <c r="F3219" s="3" t="s">
        <v>160</v>
      </c>
      <c r="G3219" s="3" t="s">
        <v>20</v>
      </c>
      <c r="H3219" s="2" t="s">
        <v>21</v>
      </c>
      <c r="I3219" s="2" t="s">
        <v>6637</v>
      </c>
      <c r="J3219" s="3" t="str">
        <f>HYPERLINK("https://www.boe.es/gazeta/dias/1820/10/27/pdfs/GGB-1820-121.pdf#page=4","Abrir facsímil")</f>
        <v>Abrir facsímil</v>
      </c>
      <c r="K3219" s="3" t="s">
        <v>23</v>
      </c>
    </row>
    <row r="3220" spans="1:11" ht="42" customHeight="1">
      <c r="A3220" s="2" t="s">
        <v>6631</v>
      </c>
      <c r="B3220" s="2" t="s">
        <v>6632</v>
      </c>
      <c r="C3220" s="2" t="s">
        <v>47</v>
      </c>
      <c r="D3220" s="2" t="s">
        <v>18</v>
      </c>
      <c r="E3220" s="5">
        <v>-28906</v>
      </c>
      <c r="F3220" s="3" t="s">
        <v>232</v>
      </c>
      <c r="G3220" s="3" t="s">
        <v>20</v>
      </c>
      <c r="H3220" s="2" t="s">
        <v>21</v>
      </c>
      <c r="I3220" s="2" t="s">
        <v>6638</v>
      </c>
      <c r="J3220" s="3" t="str">
        <f>HYPERLINK("https://www.boe.es/gazeta/dias/1820/11/08/pdfs/GGB-1820-133.pdf#page=4","Abrir facsímil")</f>
        <v>Abrir facsímil</v>
      </c>
      <c r="K3220" s="3" t="s">
        <v>23</v>
      </c>
    </row>
    <row r="3221" spans="1:11" ht="42" customHeight="1">
      <c r="A3221" s="2" t="s">
        <v>6631</v>
      </c>
      <c r="B3221" s="2" t="s">
        <v>6632</v>
      </c>
      <c r="C3221" s="2" t="s">
        <v>35</v>
      </c>
      <c r="D3221" s="2" t="s">
        <v>36</v>
      </c>
      <c r="E3221" s="5">
        <v>-28886</v>
      </c>
      <c r="F3221" s="3" t="s">
        <v>874</v>
      </c>
      <c r="G3221" s="3" t="s">
        <v>20</v>
      </c>
      <c r="H3221" s="2" t="s">
        <v>21</v>
      </c>
      <c r="I3221" s="2" t="s">
        <v>6639</v>
      </c>
      <c r="J3221" s="3" t="str">
        <f>HYPERLINK("https://www.boe.es/gazeta/dias/1820/11/28/pdfs/GGB-1820-155.pdf#page=4","Abrir facsímil")</f>
        <v>Abrir facsímil</v>
      </c>
      <c r="K3221" s="3" t="s">
        <v>23</v>
      </c>
    </row>
    <row r="3222" spans="1:11" ht="42" customHeight="1">
      <c r="A3222" s="2" t="s">
        <v>6631</v>
      </c>
      <c r="B3222" s="2" t="s">
        <v>6632</v>
      </c>
      <c r="C3222" s="2" t="s">
        <v>293</v>
      </c>
      <c r="D3222" s="2" t="s">
        <v>18</v>
      </c>
      <c r="E3222" s="5">
        <v>-28869</v>
      </c>
      <c r="F3222" s="3" t="s">
        <v>449</v>
      </c>
      <c r="G3222" s="3" t="s">
        <v>450</v>
      </c>
      <c r="H3222" s="2" t="s">
        <v>21</v>
      </c>
      <c r="I3222" s="2" t="s">
        <v>6640</v>
      </c>
      <c r="J3222" s="3" t="str">
        <f>HYPERLINK("https://www.boe.es/gazeta/dias/1820/12/15/pdfs/GGB-1820-172.pdf#page=4","Abrir facsímil")</f>
        <v>Abrir facsímil</v>
      </c>
      <c r="K3222" s="3" t="s">
        <v>23</v>
      </c>
    </row>
    <row r="3223" spans="1:11" ht="42" customHeight="1">
      <c r="A3223" s="2" t="s">
        <v>6641</v>
      </c>
      <c r="B3223" s="2" t="s">
        <v>6642</v>
      </c>
      <c r="C3223" s="2" t="s">
        <v>107</v>
      </c>
      <c r="D3223" s="2" t="s">
        <v>18</v>
      </c>
      <c r="E3223" s="5">
        <v>-28917</v>
      </c>
      <c r="F3223" s="3" t="s">
        <v>19</v>
      </c>
      <c r="G3223" s="3" t="s">
        <v>20</v>
      </c>
      <c r="H3223" s="2" t="s">
        <v>21</v>
      </c>
      <c r="I3223" s="2" t="s">
        <v>6643</v>
      </c>
      <c r="J3223" s="3" t="str">
        <f>HYPERLINK("https://www.boe.es/gazeta/dias/1820/10/28/pdfs/GGB-1820-122.pdf#page=4","Abrir facsímil")</f>
        <v>Abrir facsímil</v>
      </c>
      <c r="K3223" s="3" t="s">
        <v>23</v>
      </c>
    </row>
    <row r="3224" spans="1:11" ht="42" customHeight="1">
      <c r="A3224" s="2" t="s">
        <v>6644</v>
      </c>
      <c r="B3224" s="2" t="s">
        <v>6645</v>
      </c>
      <c r="C3224" s="2" t="s">
        <v>35</v>
      </c>
      <c r="D3224" s="2" t="s">
        <v>36</v>
      </c>
      <c r="E3224" s="5">
        <v>-29022</v>
      </c>
      <c r="F3224" s="3" t="s">
        <v>1310</v>
      </c>
      <c r="G3224" s="3" t="s">
        <v>20</v>
      </c>
      <c r="H3224" s="2" t="s">
        <v>21</v>
      </c>
      <c r="I3224" s="2" t="s">
        <v>6646</v>
      </c>
      <c r="J3224" s="3" t="str">
        <f>HYPERLINK("https://www.boe.es/gazeta/dias/1820/07/15/pdfs/GGB-1820-17.pdf#page=4","Abrir facsímil")</f>
        <v>Abrir facsímil</v>
      </c>
      <c r="K3224" s="3" t="s">
        <v>23</v>
      </c>
    </row>
    <row r="3225" spans="1:11" ht="42" customHeight="1">
      <c r="A3225" s="2" t="s">
        <v>6647</v>
      </c>
      <c r="B3225" s="2" t="s">
        <v>6648</v>
      </c>
      <c r="C3225" s="2" t="s">
        <v>26</v>
      </c>
      <c r="D3225" s="2" t="s">
        <v>27</v>
      </c>
      <c r="E3225" s="5">
        <v>-29045</v>
      </c>
      <c r="F3225" s="3" t="s">
        <v>155</v>
      </c>
      <c r="G3225" s="3" t="s">
        <v>38</v>
      </c>
      <c r="H3225" s="2" t="s">
        <v>21</v>
      </c>
      <c r="I3225" s="2" t="s">
        <v>6649</v>
      </c>
      <c r="J3225" s="3" t="str">
        <f>HYPERLINK("https://www.boe.es/gazeta/dias/1820/06/22/pdfs/GMD-1820-97.pdf#page=6","Abrir facsímil")</f>
        <v>Abrir facsímil</v>
      </c>
      <c r="K3225" s="3" t="s">
        <v>23</v>
      </c>
    </row>
    <row r="3226" spans="1:11" ht="42" customHeight="1">
      <c r="A3226" s="2" t="s">
        <v>6650</v>
      </c>
      <c r="B3226" s="2" t="s">
        <v>6651</v>
      </c>
      <c r="C3226" s="2" t="s">
        <v>17</v>
      </c>
      <c r="D3226" s="2" t="s">
        <v>18</v>
      </c>
      <c r="E3226" s="5">
        <v>-28921</v>
      </c>
      <c r="F3226" s="3" t="s">
        <v>738</v>
      </c>
      <c r="G3226" s="3" t="s">
        <v>3686</v>
      </c>
      <c r="H3226" s="2" t="s">
        <v>21</v>
      </c>
      <c r="I3226" s="2" t="s">
        <v>6652</v>
      </c>
      <c r="J3226" s="3" t="str">
        <f>HYPERLINK("https://www.boe.es/gazeta/dias/1820/10/24/pdfs/GGB-1820-118.pdf#page=3","Abrir facsímil")</f>
        <v>Abrir facsímil</v>
      </c>
      <c r="K3226" s="3" t="s">
        <v>23</v>
      </c>
    </row>
    <row r="3227" spans="1:11" ht="42" customHeight="1">
      <c r="A3227" s="2" t="s">
        <v>6653</v>
      </c>
      <c r="B3227" s="2" t="s">
        <v>6654</v>
      </c>
      <c r="C3227" s="2" t="s">
        <v>17</v>
      </c>
      <c r="D3227" s="2" t="s">
        <v>18</v>
      </c>
      <c r="E3227" s="5">
        <v>-28858</v>
      </c>
      <c r="F3227" s="3" t="s">
        <v>117</v>
      </c>
      <c r="G3227" s="3" t="s">
        <v>20</v>
      </c>
      <c r="H3227" s="2" t="s">
        <v>21</v>
      </c>
      <c r="I3227" s="2" t="s">
        <v>6655</v>
      </c>
      <c r="J3227" s="3" t="str">
        <f>HYPERLINK("https://www.boe.es/gazeta/dias/1820/12/26/pdfs/GGB-1820-183.pdf#page=4","Abrir facsímil")</f>
        <v>Abrir facsímil</v>
      </c>
      <c r="K3227" s="3" t="s">
        <v>23</v>
      </c>
    </row>
    <row r="3228" spans="1:11" ht="42" customHeight="1">
      <c r="A3228" s="2" t="s">
        <v>6656</v>
      </c>
      <c r="B3228" s="2" t="s">
        <v>6657</v>
      </c>
      <c r="C3228" s="2" t="s">
        <v>26</v>
      </c>
      <c r="D3228" s="2" t="s">
        <v>310</v>
      </c>
      <c r="E3228" s="5">
        <v>-29142</v>
      </c>
      <c r="F3228" s="3" t="s">
        <v>2712</v>
      </c>
      <c r="G3228" s="3" t="s">
        <v>43</v>
      </c>
      <c r="H3228" s="2" t="s">
        <v>21</v>
      </c>
      <c r="I3228" s="2" t="s">
        <v>6658</v>
      </c>
      <c r="J3228" s="3" t="str">
        <f>HYPERLINK("https://www.boe.es/gazeta/dias/1820/03/17/pdfs/GMD-1820-43E.pdf#page=2","Abrir facsímil")</f>
        <v>Abrir facsímil</v>
      </c>
      <c r="K3228" s="3" t="s">
        <v>23</v>
      </c>
    </row>
    <row r="3229" spans="1:11" ht="42" customHeight="1">
      <c r="A3229" s="2" t="s">
        <v>6659</v>
      </c>
      <c r="B3229" s="2" t="s">
        <v>6660</v>
      </c>
      <c r="C3229" s="2" t="s">
        <v>35</v>
      </c>
      <c r="D3229" s="2" t="s">
        <v>36</v>
      </c>
      <c r="E3229" s="5">
        <v>-29185</v>
      </c>
      <c r="F3229" s="3" t="s">
        <v>772</v>
      </c>
      <c r="G3229" s="3" t="s">
        <v>201</v>
      </c>
      <c r="H3229" s="2" t="s">
        <v>21</v>
      </c>
      <c r="I3229" s="2" t="s">
        <v>6661</v>
      </c>
      <c r="J3229" s="3" t="str">
        <f>HYPERLINK("https://www.boe.es/gazeta/dias/1820/02/03/pdfs/GMD-1820-15.pdf#page=7","Abrir facsímil")</f>
        <v>Abrir facsímil</v>
      </c>
      <c r="K3229" s="3" t="s">
        <v>23</v>
      </c>
    </row>
    <row r="3230" spans="1:11" ht="42" customHeight="1">
      <c r="A3230" s="2" t="s">
        <v>6659</v>
      </c>
      <c r="B3230" s="2" t="s">
        <v>6660</v>
      </c>
      <c r="C3230" s="2" t="s">
        <v>26</v>
      </c>
      <c r="D3230" s="2" t="s">
        <v>27</v>
      </c>
      <c r="E3230" s="5">
        <v>-29011</v>
      </c>
      <c r="F3230" s="3" t="s">
        <v>338</v>
      </c>
      <c r="G3230" s="3" t="s">
        <v>20</v>
      </c>
      <c r="H3230" s="2" t="s">
        <v>21</v>
      </c>
      <c r="I3230" s="2" t="s">
        <v>6662</v>
      </c>
      <c r="J3230" s="3" t="str">
        <f>HYPERLINK("https://www.boe.es/gazeta/dias/1820/07/26/pdfs/GGB-1820-28.pdf#page=4","Abrir facsímil")</f>
        <v>Abrir facsímil</v>
      </c>
      <c r="K3230" s="3" t="s">
        <v>23</v>
      </c>
    </row>
    <row r="3231" spans="1:11" ht="42" customHeight="1">
      <c r="A3231" s="2" t="s">
        <v>6663</v>
      </c>
      <c r="B3231" s="2" t="s">
        <v>6664</v>
      </c>
      <c r="C3231" s="2" t="s">
        <v>17</v>
      </c>
      <c r="D3231" s="2" t="s">
        <v>18</v>
      </c>
      <c r="E3231" s="5">
        <v>-28977</v>
      </c>
      <c r="F3231" s="3" t="s">
        <v>687</v>
      </c>
      <c r="G3231" s="3" t="s">
        <v>20</v>
      </c>
      <c r="H3231" s="2" t="s">
        <v>21</v>
      </c>
      <c r="I3231" s="2" t="s">
        <v>6665</v>
      </c>
      <c r="J3231" s="3" t="str">
        <f>HYPERLINK("https://www.boe.es/gazeta/dias/1820/08/29/pdfs/GGB-1820-62.pdf#page=4","Abrir facsímil")</f>
        <v>Abrir facsímil</v>
      </c>
      <c r="K3231" s="3" t="s">
        <v>23</v>
      </c>
    </row>
    <row r="3232" spans="1:11" ht="42" customHeight="1">
      <c r="A3232" s="2" t="s">
        <v>6666</v>
      </c>
      <c r="B3232" s="2" t="s">
        <v>6667</v>
      </c>
      <c r="C3232" s="2" t="s">
        <v>26</v>
      </c>
      <c r="D3232" s="2" t="s">
        <v>27</v>
      </c>
      <c r="E3232" s="5">
        <v>-29115</v>
      </c>
      <c r="F3232" s="3" t="s">
        <v>289</v>
      </c>
      <c r="G3232" s="3" t="s">
        <v>20</v>
      </c>
      <c r="H3232" s="2" t="s">
        <v>21</v>
      </c>
      <c r="I3232" s="2" t="s">
        <v>6668</v>
      </c>
      <c r="J3232" s="3" t="str">
        <f>HYPERLINK("https://www.boe.es/gazeta/dias/1820/04/13/pdfs/GMD-1820-65.pdf#page=4","Abrir facsímil")</f>
        <v>Abrir facsímil</v>
      </c>
      <c r="K3232" s="3" t="s">
        <v>23</v>
      </c>
    </row>
    <row r="3233" spans="1:11" ht="42" customHeight="1">
      <c r="A3233" s="2" t="s">
        <v>6666</v>
      </c>
      <c r="B3233" s="2" t="s">
        <v>6667</v>
      </c>
      <c r="C3233" s="2" t="s">
        <v>17</v>
      </c>
      <c r="D3233" s="2" t="s">
        <v>18</v>
      </c>
      <c r="E3233" s="5">
        <v>-29115</v>
      </c>
      <c r="F3233" s="3" t="s">
        <v>289</v>
      </c>
      <c r="G3233" s="3" t="s">
        <v>256</v>
      </c>
      <c r="H3233" s="2" t="s">
        <v>21</v>
      </c>
      <c r="I3233" s="2" t="s">
        <v>6669</v>
      </c>
      <c r="J3233" s="3" t="str">
        <f>HYPERLINK("https://www.boe.es/gazeta/dias/1820/04/13/pdfs/GMD-1820-65.pdf#page=5","Abrir facsímil")</f>
        <v>Abrir facsímil</v>
      </c>
      <c r="K3233" s="3" t="s">
        <v>23</v>
      </c>
    </row>
    <row r="3234" spans="1:11" ht="42" customHeight="1">
      <c r="A3234" s="2" t="s">
        <v>6670</v>
      </c>
      <c r="B3234" s="2" t="s">
        <v>6670</v>
      </c>
      <c r="C3234" s="2" t="s">
        <v>26</v>
      </c>
      <c r="D3234" s="2" t="s">
        <v>27</v>
      </c>
      <c r="E3234" s="5">
        <v>-28967</v>
      </c>
      <c r="F3234" s="3" t="s">
        <v>238</v>
      </c>
      <c r="G3234" s="3" t="s">
        <v>38</v>
      </c>
      <c r="H3234" s="2" t="s">
        <v>21</v>
      </c>
      <c r="I3234" s="2" t="s">
        <v>6671</v>
      </c>
      <c r="J3234" s="3" t="str">
        <f>HYPERLINK("https://www.boe.es/gazeta/dias/1820/09/08/pdfs/GGB-1820-72.pdf#page=6","Abrir facsímil")</f>
        <v>Abrir facsímil</v>
      </c>
      <c r="K3234" s="3" t="s">
        <v>23</v>
      </c>
    </row>
    <row r="3235" spans="1:11" ht="42" customHeight="1">
      <c r="A3235" s="2" t="s">
        <v>6670</v>
      </c>
      <c r="B3235" s="2" t="s">
        <v>6670</v>
      </c>
      <c r="C3235" s="2" t="s">
        <v>35</v>
      </c>
      <c r="D3235" s="2" t="s">
        <v>36</v>
      </c>
      <c r="E3235" s="5">
        <v>-28965</v>
      </c>
      <c r="F3235" s="3" t="s">
        <v>1520</v>
      </c>
      <c r="G3235" s="3" t="s">
        <v>20</v>
      </c>
      <c r="H3235" s="2" t="s">
        <v>21</v>
      </c>
      <c r="I3235" s="2" t="s">
        <v>6672</v>
      </c>
      <c r="J3235" s="3" t="str">
        <f>HYPERLINK("https://www.boe.es/gazeta/dias/1820/09/10/pdfs/GGB-1820-74.pdf#page=4","Abrir facsímil")</f>
        <v>Abrir facsímil</v>
      </c>
      <c r="K3235" s="3" t="s">
        <v>23</v>
      </c>
    </row>
    <row r="3236" spans="1:11" ht="42" customHeight="1">
      <c r="A3236" s="2" t="s">
        <v>6673</v>
      </c>
      <c r="B3236" s="2" t="s">
        <v>6674</v>
      </c>
      <c r="C3236" s="2" t="s">
        <v>26</v>
      </c>
      <c r="D3236" s="2" t="s">
        <v>27</v>
      </c>
      <c r="E3236" s="5">
        <v>-28906</v>
      </c>
      <c r="F3236" s="3" t="s">
        <v>232</v>
      </c>
      <c r="G3236" s="3" t="s">
        <v>20</v>
      </c>
      <c r="H3236" s="2" t="s">
        <v>21</v>
      </c>
      <c r="I3236" s="2" t="s">
        <v>6675</v>
      </c>
      <c r="J3236" s="3" t="str">
        <f>HYPERLINK("https://www.boe.es/gazeta/dias/1820/11/08/pdfs/GGB-1820-133.pdf#page=4","Abrir facsímil")</f>
        <v>Abrir facsímil</v>
      </c>
      <c r="K3236" s="3" t="s">
        <v>23</v>
      </c>
    </row>
    <row r="3237" spans="1:11" ht="42" customHeight="1">
      <c r="A3237" s="2" t="s">
        <v>6676</v>
      </c>
      <c r="B3237" s="2" t="s">
        <v>6677</v>
      </c>
      <c r="C3237" s="2" t="s">
        <v>26</v>
      </c>
      <c r="D3237" s="2" t="s">
        <v>27</v>
      </c>
      <c r="E3237" s="5">
        <v>-28906</v>
      </c>
      <c r="F3237" s="3" t="s">
        <v>232</v>
      </c>
      <c r="G3237" s="3" t="s">
        <v>43</v>
      </c>
      <c r="H3237" s="2" t="s">
        <v>21</v>
      </c>
      <c r="I3237" s="2" t="s">
        <v>6678</v>
      </c>
      <c r="J3237" s="3" t="str">
        <f>HYPERLINK("https://www.boe.es/gazeta/dias/1820/11/08/pdfs/GGB-1820-133.pdf#page=2","Abrir facsímil")</f>
        <v>Abrir facsímil</v>
      </c>
      <c r="K3237" s="3" t="s">
        <v>23</v>
      </c>
    </row>
    <row r="3238" spans="1:11" ht="42" customHeight="1">
      <c r="A3238" s="2" t="s">
        <v>6679</v>
      </c>
      <c r="B3238" s="2" t="s">
        <v>6679</v>
      </c>
      <c r="C3238" s="2" t="s">
        <v>26</v>
      </c>
      <c r="D3238" s="2" t="s">
        <v>27</v>
      </c>
      <c r="E3238" s="5">
        <v>-29087</v>
      </c>
      <c r="F3238" s="3" t="s">
        <v>1018</v>
      </c>
      <c r="G3238" s="3" t="s">
        <v>201</v>
      </c>
      <c r="H3238" s="2" t="s">
        <v>21</v>
      </c>
      <c r="I3238" s="2" t="s">
        <v>6680</v>
      </c>
      <c r="J3238" s="3" t="str">
        <f>HYPERLINK("https://www.boe.es/gazeta/dias/1820/05/11/pdfs/GMD-1820-78.pdf#page=7","Abrir facsímil")</f>
        <v>Abrir facsímil</v>
      </c>
      <c r="K3238" s="3" t="s">
        <v>23</v>
      </c>
    </row>
    <row r="3239" spans="1:11" ht="42" customHeight="1">
      <c r="A3239" s="2" t="s">
        <v>6681</v>
      </c>
      <c r="B3239" s="2" t="s">
        <v>6681</v>
      </c>
      <c r="C3239" s="2" t="s">
        <v>35</v>
      </c>
      <c r="D3239" s="2" t="s">
        <v>36</v>
      </c>
      <c r="E3239" s="5">
        <v>-28981</v>
      </c>
      <c r="F3239" s="3" t="s">
        <v>42</v>
      </c>
      <c r="G3239" s="3" t="s">
        <v>62</v>
      </c>
      <c r="H3239" s="2" t="s">
        <v>21</v>
      </c>
      <c r="I3239" s="2" t="s">
        <v>6682</v>
      </c>
      <c r="J3239" s="3" t="str">
        <f>HYPERLINK("https://www.boe.es/gazeta/dias/1820/08/25/pdfs/GGB-1820-58.pdf#page=3","Abrir facsímil")</f>
        <v>Abrir facsímil</v>
      </c>
      <c r="K3239" s="3" t="s">
        <v>23</v>
      </c>
    </row>
    <row r="3240" spans="1:11" ht="42" customHeight="1">
      <c r="A3240" s="2" t="s">
        <v>6683</v>
      </c>
      <c r="B3240" s="2" t="s">
        <v>6684</v>
      </c>
      <c r="C3240" s="2" t="s">
        <v>35</v>
      </c>
      <c r="D3240" s="2" t="s">
        <v>36</v>
      </c>
      <c r="E3240" s="5">
        <v>-28994</v>
      </c>
      <c r="F3240" s="3" t="s">
        <v>1612</v>
      </c>
      <c r="G3240" s="3" t="s">
        <v>62</v>
      </c>
      <c r="H3240" s="2" t="s">
        <v>21</v>
      </c>
      <c r="I3240" s="2" t="s">
        <v>6685</v>
      </c>
      <c r="J3240" s="3" t="str">
        <f>HYPERLINK("https://www.boe.es/gazeta/dias/1820/08/12/pdfs/GGB-1820-45.pdf#page=3","Abrir facsímil")</f>
        <v>Abrir facsímil</v>
      </c>
      <c r="K3240" s="3" t="s">
        <v>23</v>
      </c>
    </row>
    <row r="3241" spans="1:11" ht="42" customHeight="1">
      <c r="A3241" s="2" t="s">
        <v>6686</v>
      </c>
      <c r="B3241" s="2" t="s">
        <v>6687</v>
      </c>
      <c r="C3241" s="2" t="s">
        <v>26</v>
      </c>
      <c r="D3241" s="2" t="s">
        <v>27</v>
      </c>
      <c r="E3241" s="5">
        <v>-29117</v>
      </c>
      <c r="F3241" s="3" t="s">
        <v>1451</v>
      </c>
      <c r="G3241" s="3" t="s">
        <v>201</v>
      </c>
      <c r="H3241" s="2" t="s">
        <v>21</v>
      </c>
      <c r="I3241" s="2" t="s">
        <v>6688</v>
      </c>
      <c r="J3241" s="3" t="str">
        <f>HYPERLINK("https://www.boe.es/gazeta/dias/1820/04/11/pdfs/GMD-1820-64.pdf#page=7","Abrir facsímil")</f>
        <v>Abrir facsímil</v>
      </c>
      <c r="K3241" s="3" t="s">
        <v>23</v>
      </c>
    </row>
    <row r="3242" spans="1:11" ht="42" customHeight="1">
      <c r="A3242" s="2" t="s">
        <v>6689</v>
      </c>
      <c r="B3242" s="2" t="s">
        <v>6690</v>
      </c>
      <c r="C3242" s="2" t="s">
        <v>26</v>
      </c>
      <c r="D3242" s="2" t="s">
        <v>27</v>
      </c>
      <c r="E3242" s="5">
        <v>-28865</v>
      </c>
      <c r="F3242" s="3" t="s">
        <v>136</v>
      </c>
      <c r="G3242" s="3" t="s">
        <v>137</v>
      </c>
      <c r="H3242" s="2" t="s">
        <v>21</v>
      </c>
      <c r="I3242" s="2" t="s">
        <v>6691</v>
      </c>
      <c r="J3242" s="3" t="str">
        <f>HYPERLINK("https://www.boe.es/gazeta/dias/1820/12/19/pdfs/GGB-1820-176.pdf#page=3","Abrir facsímil")</f>
        <v>Abrir facsímil</v>
      </c>
      <c r="K3242" s="3" t="s">
        <v>23</v>
      </c>
    </row>
    <row r="3243" spans="1:11" ht="42" customHeight="1">
      <c r="A3243" s="2" t="s">
        <v>6692</v>
      </c>
      <c r="B3243" s="2" t="s">
        <v>6693</v>
      </c>
      <c r="C3243" s="2" t="s">
        <v>17</v>
      </c>
      <c r="D3243" s="2" t="s">
        <v>310</v>
      </c>
      <c r="E3243" s="5">
        <v>-29138</v>
      </c>
      <c r="F3243" s="3" t="s">
        <v>2523</v>
      </c>
      <c r="G3243" s="3" t="s">
        <v>196</v>
      </c>
      <c r="H3243" s="2" t="s">
        <v>21</v>
      </c>
      <c r="I3243" s="2" t="s">
        <v>6694</v>
      </c>
      <c r="J3243" s="3" t="str">
        <f>HYPERLINK("https://www.boe.es/gazeta/dias/1820/03/21/pdfs/GMD-1820-48E.pdf#page=11","Abrir facsímil")</f>
        <v>Abrir facsímil</v>
      </c>
      <c r="K3243" s="3" t="s">
        <v>23</v>
      </c>
    </row>
    <row r="3244" spans="1:11" ht="42" customHeight="1">
      <c r="A3244" s="2" t="s">
        <v>6695</v>
      </c>
      <c r="B3244" s="2" t="s">
        <v>6695</v>
      </c>
      <c r="C3244" s="2" t="s">
        <v>293</v>
      </c>
      <c r="D3244" s="2" t="s">
        <v>18</v>
      </c>
      <c r="E3244" s="5">
        <v>-29034</v>
      </c>
      <c r="F3244" s="3" t="s">
        <v>460</v>
      </c>
      <c r="G3244" s="3" t="s">
        <v>461</v>
      </c>
      <c r="H3244" s="2" t="s">
        <v>21</v>
      </c>
      <c r="I3244" s="2" t="s">
        <v>6696</v>
      </c>
      <c r="J3244" s="3" t="str">
        <f>HYPERLINK("https://www.boe.es/gazeta/dias/1820/07/03/pdfs/GGB-1820-3.pdf#page=4","Abrir facsímil")</f>
        <v>Abrir facsímil</v>
      </c>
      <c r="K3244" s="3" t="s">
        <v>23</v>
      </c>
    </row>
    <row r="3245" spans="1:11" ht="42" customHeight="1">
      <c r="A3245" s="2" t="s">
        <v>6695</v>
      </c>
      <c r="B3245" s="2" t="s">
        <v>6695</v>
      </c>
      <c r="C3245" s="2" t="s">
        <v>107</v>
      </c>
      <c r="D3245" s="2" t="s">
        <v>18</v>
      </c>
      <c r="E3245" s="5">
        <v>-28884</v>
      </c>
      <c r="F3245" s="3" t="s">
        <v>882</v>
      </c>
      <c r="G3245" s="3" t="s">
        <v>38</v>
      </c>
      <c r="H3245" s="2" t="s">
        <v>21</v>
      </c>
      <c r="I3245" s="2" t="s">
        <v>6697</v>
      </c>
      <c r="J3245" s="3" t="str">
        <f>HYPERLINK("https://www.boe.es/gazeta/dias/1820/11/30/pdfs/GGB-1820-157.pdf#page=6","Abrir facsímil")</f>
        <v>Abrir facsímil</v>
      </c>
      <c r="K3245" s="3" t="s">
        <v>23</v>
      </c>
    </row>
    <row r="3246" spans="1:11" ht="42" customHeight="1">
      <c r="A3246" s="2" t="s">
        <v>6695</v>
      </c>
      <c r="B3246" s="2" t="s">
        <v>6695</v>
      </c>
      <c r="C3246" s="2" t="s">
        <v>26</v>
      </c>
      <c r="D3246" s="2" t="s">
        <v>27</v>
      </c>
      <c r="E3246" s="5">
        <v>-28862</v>
      </c>
      <c r="F3246" s="3" t="s">
        <v>1905</v>
      </c>
      <c r="G3246" s="3" t="s">
        <v>20</v>
      </c>
      <c r="H3246" s="2" t="s">
        <v>21</v>
      </c>
      <c r="I3246" s="2" t="s">
        <v>6698</v>
      </c>
      <c r="J3246" s="3" t="str">
        <f>HYPERLINK("https://www.boe.es/gazeta/dias/1820/12/22/pdfs/GGB-1820-179.pdf#page=4","Abrir facsímil")</f>
        <v>Abrir facsímil</v>
      </c>
      <c r="K3246" s="3" t="s">
        <v>23</v>
      </c>
    </row>
    <row r="3247" spans="1:11" ht="42" customHeight="1">
      <c r="A3247" s="2" t="s">
        <v>6699</v>
      </c>
      <c r="B3247" s="2" t="s">
        <v>6700</v>
      </c>
      <c r="C3247" s="2" t="s">
        <v>35</v>
      </c>
      <c r="D3247" s="2" t="s">
        <v>36</v>
      </c>
      <c r="E3247" s="5">
        <v>-29043</v>
      </c>
      <c r="F3247" s="3" t="s">
        <v>5696</v>
      </c>
      <c r="G3247" s="3" t="s">
        <v>201</v>
      </c>
      <c r="H3247" s="2" t="s">
        <v>21</v>
      </c>
      <c r="I3247" s="2" t="s">
        <v>6701</v>
      </c>
      <c r="J3247" s="3" t="str">
        <f>HYPERLINK("https://www.boe.es/gazeta/dias/1820/06/24/pdfs/GMD-1820-98.pdf#page=7","Abrir facsímil")</f>
        <v>Abrir facsímil</v>
      </c>
      <c r="K3247" s="3" t="s">
        <v>23</v>
      </c>
    </row>
    <row r="3248" spans="1:11" ht="42" customHeight="1">
      <c r="A3248" s="2" t="s">
        <v>6702</v>
      </c>
      <c r="B3248" s="2" t="s">
        <v>6702</v>
      </c>
      <c r="C3248" s="2" t="s">
        <v>74</v>
      </c>
      <c r="D3248" s="2" t="s">
        <v>18</v>
      </c>
      <c r="E3248" s="5">
        <v>-29022</v>
      </c>
      <c r="F3248" s="3" t="s">
        <v>1310</v>
      </c>
      <c r="G3248" s="3" t="s">
        <v>62</v>
      </c>
      <c r="H3248" s="2" t="s">
        <v>21</v>
      </c>
      <c r="I3248" s="2" t="s">
        <v>6703</v>
      </c>
      <c r="J3248" s="3" t="str">
        <f>HYPERLINK("https://www.boe.es/gazeta/dias/1820/07/15/pdfs/GGB-1820-17.pdf#page=3","Abrir facsímil")</f>
        <v>Abrir facsímil</v>
      </c>
      <c r="K3248" s="3" t="s">
        <v>23</v>
      </c>
    </row>
    <row r="3249" spans="1:11" ht="42" customHeight="1">
      <c r="A3249" s="2" t="s">
        <v>6704</v>
      </c>
      <c r="B3249" s="2" t="s">
        <v>6704</v>
      </c>
      <c r="C3249" s="2" t="s">
        <v>74</v>
      </c>
      <c r="D3249" s="2" t="s">
        <v>18</v>
      </c>
      <c r="E3249" s="5">
        <v>-29010</v>
      </c>
      <c r="F3249" s="3" t="s">
        <v>664</v>
      </c>
      <c r="G3249" s="3" t="s">
        <v>128</v>
      </c>
      <c r="H3249" s="2" t="s">
        <v>21</v>
      </c>
      <c r="I3249" s="2" t="s">
        <v>6705</v>
      </c>
      <c r="J3249" s="3" t="str">
        <f>HYPERLINK("https://www.boe.es/gazeta/dias/1820/07/27/pdfs/GGB-1820-29.pdf#page=1","Abrir facsímil")</f>
        <v>Abrir facsímil</v>
      </c>
      <c r="K3249" s="3" t="s">
        <v>23</v>
      </c>
    </row>
    <row r="3250" spans="1:11" ht="42" customHeight="1">
      <c r="A3250" s="2" t="s">
        <v>6706</v>
      </c>
      <c r="B3250" s="2" t="s">
        <v>6707</v>
      </c>
      <c r="C3250" s="2" t="s">
        <v>293</v>
      </c>
      <c r="D3250" s="2" t="s">
        <v>18</v>
      </c>
      <c r="E3250" s="5">
        <v>-29014</v>
      </c>
      <c r="F3250" s="3" t="s">
        <v>70</v>
      </c>
      <c r="G3250" s="3" t="s">
        <v>20</v>
      </c>
      <c r="H3250" s="2" t="s">
        <v>21</v>
      </c>
      <c r="I3250" s="2" t="s">
        <v>6708</v>
      </c>
      <c r="J3250" s="3" t="str">
        <f>HYPERLINK("https://www.boe.es/gazeta/dias/1820/07/23/pdfs/GGB-1820-25.pdf#page=4","Abrir facsímil")</f>
        <v>Abrir facsímil</v>
      </c>
      <c r="K3250" s="3" t="s">
        <v>23</v>
      </c>
    </row>
    <row r="3251" spans="1:11" ht="42" customHeight="1">
      <c r="A3251" s="2" t="s">
        <v>6709</v>
      </c>
      <c r="B3251" s="2" t="s">
        <v>6709</v>
      </c>
      <c r="C3251" s="2" t="s">
        <v>26</v>
      </c>
      <c r="D3251" s="2" t="s">
        <v>27</v>
      </c>
      <c r="E3251" s="5">
        <v>-28872</v>
      </c>
      <c r="F3251" s="3" t="s">
        <v>1939</v>
      </c>
      <c r="G3251" s="3" t="s">
        <v>20</v>
      </c>
      <c r="H3251" s="2" t="s">
        <v>21</v>
      </c>
      <c r="I3251" s="2" t="s">
        <v>6710</v>
      </c>
      <c r="J3251" s="3" t="str">
        <f>HYPERLINK("https://www.boe.es/gazeta/dias/1820/12/12/pdfs/GGB-1820-169.pdf#page=4","Abrir facsímil")</f>
        <v>Abrir facsímil</v>
      </c>
      <c r="K3251" s="3" t="s">
        <v>23</v>
      </c>
    </row>
    <row r="3252" spans="1:11" ht="42" customHeight="1">
      <c r="A3252" s="2" t="s">
        <v>6711</v>
      </c>
      <c r="B3252" s="2" t="s">
        <v>6712</v>
      </c>
      <c r="C3252" s="2" t="s">
        <v>26</v>
      </c>
      <c r="D3252" s="2" t="s">
        <v>27</v>
      </c>
      <c r="E3252" s="5">
        <v>-29018</v>
      </c>
      <c r="F3252" s="3" t="s">
        <v>601</v>
      </c>
      <c r="G3252" s="3" t="s">
        <v>62</v>
      </c>
      <c r="H3252" s="2" t="s">
        <v>21</v>
      </c>
      <c r="I3252" s="2" t="s">
        <v>6713</v>
      </c>
      <c r="J3252" s="3" t="str">
        <f>HYPERLINK("https://www.boe.es/gazeta/dias/1820/07/19/pdfs/GGB-1820-21.pdf#page=3","Abrir facsímil")</f>
        <v>Abrir facsímil</v>
      </c>
      <c r="K3252" s="3" t="s">
        <v>23</v>
      </c>
    </row>
    <row r="3253" spans="1:11" ht="42" customHeight="1">
      <c r="A3253" s="2" t="s">
        <v>6714</v>
      </c>
      <c r="B3253" s="2" t="s">
        <v>6715</v>
      </c>
      <c r="C3253" s="2" t="s">
        <v>74</v>
      </c>
      <c r="D3253" s="2" t="s">
        <v>18</v>
      </c>
      <c r="E3253" s="5">
        <v>-28888</v>
      </c>
      <c r="F3253" s="3" t="s">
        <v>112</v>
      </c>
      <c r="G3253" s="3" t="s">
        <v>20</v>
      </c>
      <c r="H3253" s="2" t="s">
        <v>21</v>
      </c>
      <c r="I3253" s="2" t="s">
        <v>6716</v>
      </c>
      <c r="J3253" s="3" t="str">
        <f>HYPERLINK("https://www.boe.es/gazeta/dias/1820/11/26/pdfs/GGB-1820-153.pdf#page=4","Abrir facsímil")</f>
        <v>Abrir facsímil</v>
      </c>
      <c r="K3253" s="3" t="s">
        <v>23</v>
      </c>
    </row>
    <row r="3254" spans="1:11" ht="42" customHeight="1">
      <c r="A3254" s="2" t="s">
        <v>6717</v>
      </c>
      <c r="B3254" s="2" t="s">
        <v>6718</v>
      </c>
      <c r="C3254" s="2" t="s">
        <v>74</v>
      </c>
      <c r="D3254" s="2" t="s">
        <v>18</v>
      </c>
      <c r="E3254" s="5">
        <v>-29020</v>
      </c>
      <c r="F3254" s="3" t="s">
        <v>756</v>
      </c>
      <c r="G3254" s="3" t="s">
        <v>20</v>
      </c>
      <c r="H3254" s="2" t="s">
        <v>21</v>
      </c>
      <c r="I3254" s="2" t="s">
        <v>6719</v>
      </c>
      <c r="J3254" s="3" t="str">
        <f>HYPERLINK("https://www.boe.es/gazeta/dias/1820/07/17/pdfs/GGB-1820-19.pdf#page=4","Abrir facsímil")</f>
        <v>Abrir facsímil</v>
      </c>
      <c r="K3254" s="3" t="s">
        <v>23</v>
      </c>
    </row>
    <row r="3255" spans="1:11" ht="42" customHeight="1">
      <c r="A3255" s="2" t="s">
        <v>6720</v>
      </c>
      <c r="B3255" s="2" t="s">
        <v>6720</v>
      </c>
      <c r="C3255" s="2" t="s">
        <v>17</v>
      </c>
      <c r="D3255" s="2" t="s">
        <v>18</v>
      </c>
      <c r="E3255" s="5">
        <v>-28909</v>
      </c>
      <c r="F3255" s="3" t="s">
        <v>278</v>
      </c>
      <c r="G3255" s="3" t="s">
        <v>43</v>
      </c>
      <c r="H3255" s="2" t="s">
        <v>21</v>
      </c>
      <c r="I3255" s="2" t="s">
        <v>6721</v>
      </c>
      <c r="J3255" s="3" t="str">
        <f>HYPERLINK("https://www.boe.es/gazeta/dias/1820/11/05/pdfs/GGB-1820-130.pdf#page=2","Abrir facsímil")</f>
        <v>Abrir facsímil</v>
      </c>
      <c r="K3255" s="3" t="s">
        <v>23</v>
      </c>
    </row>
    <row r="3256" spans="1:11" ht="42" customHeight="1">
      <c r="A3256" s="2" t="s">
        <v>6722</v>
      </c>
      <c r="B3256" s="2" t="s">
        <v>6722</v>
      </c>
      <c r="C3256" s="2" t="s">
        <v>35</v>
      </c>
      <c r="D3256" s="2" t="s">
        <v>36</v>
      </c>
      <c r="E3256" s="5">
        <v>-28861</v>
      </c>
      <c r="F3256" s="3" t="s">
        <v>894</v>
      </c>
      <c r="G3256" s="3" t="s">
        <v>43</v>
      </c>
      <c r="H3256" s="2" t="s">
        <v>21</v>
      </c>
      <c r="I3256" s="2" t="s">
        <v>6723</v>
      </c>
      <c r="J3256" s="3" t="str">
        <f>HYPERLINK("https://www.boe.es/gazeta/dias/1820/12/23/pdfs/GGB-1820-180.pdf#page=2","Abrir facsímil")</f>
        <v>Abrir facsímil</v>
      </c>
      <c r="K3256" s="3" t="s">
        <v>23</v>
      </c>
    </row>
    <row r="3257" spans="1:11" ht="42" customHeight="1">
      <c r="A3257" s="2" t="s">
        <v>6724</v>
      </c>
      <c r="B3257" s="2" t="s">
        <v>6725</v>
      </c>
      <c r="C3257" s="2" t="s">
        <v>35</v>
      </c>
      <c r="D3257" s="2" t="s">
        <v>36</v>
      </c>
      <c r="E3257" s="5">
        <v>-29015</v>
      </c>
      <c r="F3257" s="3" t="s">
        <v>359</v>
      </c>
      <c r="G3257" s="3" t="s">
        <v>20</v>
      </c>
      <c r="H3257" s="2" t="s">
        <v>21</v>
      </c>
      <c r="I3257" s="2" t="s">
        <v>6726</v>
      </c>
      <c r="J3257" s="3" t="str">
        <f>HYPERLINK("https://www.boe.es/gazeta/dias/1820/07/22/pdfs/GGB-1820-24.pdf#page=4","Abrir facsímil")</f>
        <v>Abrir facsímil</v>
      </c>
      <c r="K3257" s="3" t="s">
        <v>23</v>
      </c>
    </row>
    <row r="3258" spans="1:11" ht="42" customHeight="1">
      <c r="A3258" s="2" t="s">
        <v>6727</v>
      </c>
      <c r="B3258" s="2" t="s">
        <v>6727</v>
      </c>
      <c r="C3258" s="2" t="s">
        <v>74</v>
      </c>
      <c r="D3258" s="2" t="s">
        <v>18</v>
      </c>
      <c r="E3258" s="5">
        <v>-28951</v>
      </c>
      <c r="F3258" s="3" t="s">
        <v>622</v>
      </c>
      <c r="G3258" s="3" t="s">
        <v>1370</v>
      </c>
      <c r="H3258" s="2" t="s">
        <v>21</v>
      </c>
      <c r="I3258" s="2" t="s">
        <v>6728</v>
      </c>
      <c r="J3258" s="3" t="str">
        <f>HYPERLINK("https://www.boe.es/gazeta/dias/1820/09/24/pdfs/GGB-1820-88.pdf#page=2","Abrir facsímil")</f>
        <v>Abrir facsímil</v>
      </c>
      <c r="K3258" s="3" t="s">
        <v>23</v>
      </c>
    </row>
    <row r="3259" spans="1:11" ht="42" customHeight="1">
      <c r="A3259" s="2" t="s">
        <v>6729</v>
      </c>
      <c r="B3259" s="2" t="s">
        <v>6729</v>
      </c>
      <c r="C3259" s="2" t="s">
        <v>47</v>
      </c>
      <c r="D3259" s="2" t="s">
        <v>18</v>
      </c>
      <c r="E3259" s="5">
        <v>-28887</v>
      </c>
      <c r="F3259" s="3" t="s">
        <v>2098</v>
      </c>
      <c r="G3259" s="3" t="s">
        <v>6604</v>
      </c>
      <c r="H3259" s="2" t="s">
        <v>21</v>
      </c>
      <c r="I3259" s="2" t="s">
        <v>6730</v>
      </c>
      <c r="J3259" s="3" t="str">
        <f>HYPERLINK("https://www.boe.es/gazeta/dias/1820/11/27/pdfs/GGB-1820-154.pdf#page=2","Abrir facsímil")</f>
        <v>Abrir facsímil</v>
      </c>
      <c r="K3259" s="3" t="s">
        <v>23</v>
      </c>
    </row>
    <row r="3260" spans="1:11" ht="42" customHeight="1">
      <c r="A3260" s="2" t="s">
        <v>6731</v>
      </c>
      <c r="B3260" s="2" t="s">
        <v>6731</v>
      </c>
      <c r="C3260" s="2" t="s">
        <v>26</v>
      </c>
      <c r="D3260" s="2" t="s">
        <v>27</v>
      </c>
      <c r="E3260" s="5">
        <v>-28887</v>
      </c>
      <c r="F3260" s="3" t="s">
        <v>2098</v>
      </c>
      <c r="G3260" s="3" t="s">
        <v>128</v>
      </c>
      <c r="H3260" s="2" t="s">
        <v>21</v>
      </c>
      <c r="I3260" s="2" t="s">
        <v>6732</v>
      </c>
      <c r="J3260" s="3" t="str">
        <f>HYPERLINK("https://www.boe.es/gazeta/dias/1820/11/27/pdfs/GGB-1820-154.pdf#page=1","Abrir facsímil")</f>
        <v>Abrir facsímil</v>
      </c>
      <c r="K3260" s="3" t="s">
        <v>23</v>
      </c>
    </row>
    <row r="3261" spans="1:11" ht="42" customHeight="1">
      <c r="A3261" s="2" t="s">
        <v>6731</v>
      </c>
      <c r="B3261" s="2" t="s">
        <v>6731</v>
      </c>
      <c r="C3261" s="2" t="s">
        <v>35</v>
      </c>
      <c r="D3261" s="2" t="s">
        <v>36</v>
      </c>
      <c r="E3261" s="5">
        <v>-28882</v>
      </c>
      <c r="F3261" s="3" t="s">
        <v>1245</v>
      </c>
      <c r="G3261" s="3" t="s">
        <v>128</v>
      </c>
      <c r="H3261" s="2" t="s">
        <v>21</v>
      </c>
      <c r="I3261" s="2" t="s">
        <v>6733</v>
      </c>
      <c r="J3261" s="3" t="str">
        <f>HYPERLINK("https://www.boe.es/gazeta/dias/1820/12/02/pdfs/GGB-1820-159.pdf#page=1","Abrir facsímil")</f>
        <v>Abrir facsímil</v>
      </c>
      <c r="K3261" s="3" t="s">
        <v>23</v>
      </c>
    </row>
    <row r="3262" spans="1:11" ht="42" customHeight="1">
      <c r="A3262" s="2" t="s">
        <v>6734</v>
      </c>
      <c r="B3262" s="2" t="s">
        <v>6734</v>
      </c>
      <c r="C3262" s="2" t="s">
        <v>26</v>
      </c>
      <c r="D3262" s="2" t="s">
        <v>27</v>
      </c>
      <c r="E3262" s="5">
        <v>-29162</v>
      </c>
      <c r="F3262" s="3" t="s">
        <v>2134</v>
      </c>
      <c r="G3262" s="3" t="s">
        <v>201</v>
      </c>
      <c r="H3262" s="2" t="s">
        <v>21</v>
      </c>
      <c r="I3262" s="2" t="s">
        <v>6735</v>
      </c>
      <c r="J3262" s="3" t="str">
        <f>HYPERLINK("https://www.boe.es/gazeta/dias/1820/02/26/pdfs/GMD-1820-25.pdf#page=7","Abrir facsímil")</f>
        <v>Abrir facsímil</v>
      </c>
      <c r="K3262" s="3" t="s">
        <v>23</v>
      </c>
    </row>
    <row r="3263" spans="1:11" ht="42" customHeight="1">
      <c r="A3263" s="2" t="s">
        <v>6736</v>
      </c>
      <c r="B3263" s="2" t="s">
        <v>6736</v>
      </c>
      <c r="C3263" s="2" t="s">
        <v>107</v>
      </c>
      <c r="D3263" s="2" t="s">
        <v>18</v>
      </c>
      <c r="E3263" s="5">
        <v>-29030</v>
      </c>
      <c r="F3263" s="3" t="s">
        <v>789</v>
      </c>
      <c r="G3263" s="3" t="s">
        <v>1987</v>
      </c>
      <c r="H3263" s="2" t="s">
        <v>21</v>
      </c>
      <c r="I3263" s="2" t="s">
        <v>6737</v>
      </c>
      <c r="J3263" s="3" t="str">
        <f>HYPERLINK("https://www.boe.es/gazeta/dias/1820/07/07/pdfs/GGB-1820-8.pdf#page=4","Abrir facsímil")</f>
        <v>Abrir facsímil</v>
      </c>
      <c r="K3263" s="3" t="s">
        <v>23</v>
      </c>
    </row>
    <row r="3264" spans="1:11" ht="42" customHeight="1">
      <c r="A3264" s="2" t="s">
        <v>6738</v>
      </c>
      <c r="B3264" s="2" t="s">
        <v>6738</v>
      </c>
      <c r="C3264" s="2" t="s">
        <v>47</v>
      </c>
      <c r="D3264" s="2" t="s">
        <v>18</v>
      </c>
      <c r="E3264" s="5">
        <v>-29009</v>
      </c>
      <c r="F3264" s="3" t="s">
        <v>605</v>
      </c>
      <c r="G3264" s="3" t="s">
        <v>20</v>
      </c>
      <c r="H3264" s="2" t="s">
        <v>21</v>
      </c>
      <c r="I3264" s="2" t="s">
        <v>6739</v>
      </c>
      <c r="J3264" s="3" t="str">
        <f>HYPERLINK("https://www.boe.es/gazeta/dias/1820/07/28/pdfs/GGB-1820-30.pdf#page=4","Abrir facsímil")</f>
        <v>Abrir facsímil</v>
      </c>
      <c r="K3264" s="3" t="s">
        <v>23</v>
      </c>
    </row>
    <row r="3265" spans="1:11" ht="42" customHeight="1">
      <c r="A3265" s="2" t="s">
        <v>6740</v>
      </c>
      <c r="B3265" s="2" t="s">
        <v>6740</v>
      </c>
      <c r="C3265" s="2" t="s">
        <v>17</v>
      </c>
      <c r="D3265" s="2" t="s">
        <v>18</v>
      </c>
      <c r="E3265" s="5">
        <v>-29204</v>
      </c>
      <c r="F3265" s="3" t="s">
        <v>753</v>
      </c>
      <c r="G3265" s="3" t="s">
        <v>256</v>
      </c>
      <c r="H3265" s="2" t="s">
        <v>21</v>
      </c>
      <c r="I3265" s="2" t="s">
        <v>6741</v>
      </c>
      <c r="J3265" s="3" t="str">
        <f>HYPERLINK("https://www.boe.es/gazeta/dias/1820/01/15/pdfs/GMD-1820-7.pdf#page=5","Abrir facsímil")</f>
        <v>Abrir facsímil</v>
      </c>
      <c r="K3265" s="3" t="s">
        <v>23</v>
      </c>
    </row>
    <row r="3266" spans="1:11" ht="42" customHeight="1">
      <c r="A3266" s="2" t="s">
        <v>6740</v>
      </c>
      <c r="B3266" s="2" t="s">
        <v>6740</v>
      </c>
      <c r="C3266" s="2" t="s">
        <v>26</v>
      </c>
      <c r="D3266" s="2" t="s">
        <v>27</v>
      </c>
      <c r="E3266" s="5">
        <v>-29194</v>
      </c>
      <c r="F3266" s="3" t="s">
        <v>416</v>
      </c>
      <c r="G3266" s="3" t="s">
        <v>201</v>
      </c>
      <c r="H3266" s="2" t="s">
        <v>21</v>
      </c>
      <c r="I3266" s="2" t="s">
        <v>6742</v>
      </c>
      <c r="J3266" s="3" t="str">
        <f>HYPERLINK("https://www.boe.es/gazeta/dias/1820/01/25/pdfs/GMD-1820-11.pdf#page=7","Abrir facsímil")</f>
        <v>Abrir facsímil</v>
      </c>
      <c r="K3266" s="3" t="s">
        <v>23</v>
      </c>
    </row>
    <row r="3267" spans="1:11" ht="42" customHeight="1">
      <c r="A3267" s="2" t="s">
        <v>6740</v>
      </c>
      <c r="B3267" s="2" t="s">
        <v>6740</v>
      </c>
      <c r="C3267" s="2" t="s">
        <v>26</v>
      </c>
      <c r="D3267" s="2" t="s">
        <v>27</v>
      </c>
      <c r="E3267" s="5">
        <v>-29166</v>
      </c>
      <c r="F3267" s="3" t="s">
        <v>799</v>
      </c>
      <c r="G3267" s="3" t="s">
        <v>295</v>
      </c>
      <c r="H3267" s="2" t="s">
        <v>21</v>
      </c>
      <c r="I3267" s="2" t="s">
        <v>6743</v>
      </c>
      <c r="J3267" s="3" t="str">
        <f>HYPERLINK("https://www.boe.es/gazeta/dias/1820/02/22/pdfs/GMD-1820-23.pdf#page=8","Abrir facsímil")</f>
        <v>Abrir facsímil</v>
      </c>
      <c r="K3267" s="3" t="s">
        <v>23</v>
      </c>
    </row>
    <row r="3268" spans="1:11" ht="42" customHeight="1">
      <c r="A3268" s="2" t="s">
        <v>6740</v>
      </c>
      <c r="B3268" s="2" t="s">
        <v>6740</v>
      </c>
      <c r="C3268" s="2" t="s">
        <v>26</v>
      </c>
      <c r="D3268" s="2" t="s">
        <v>27</v>
      </c>
      <c r="E3268" s="5">
        <v>-29134</v>
      </c>
      <c r="F3268" s="3" t="s">
        <v>255</v>
      </c>
      <c r="G3268" s="3" t="s">
        <v>4445</v>
      </c>
      <c r="H3268" s="2" t="s">
        <v>21</v>
      </c>
      <c r="I3268" s="2" t="s">
        <v>6744</v>
      </c>
      <c r="J3268" s="3" t="str">
        <f>HYPERLINK("https://www.boe.es/gazeta/dias/1820/03/25/pdfs/GMD-1820-53.pdf#page=7","Abrir facsímil")</f>
        <v>Abrir facsímil</v>
      </c>
      <c r="K3268" s="3" t="s">
        <v>23</v>
      </c>
    </row>
    <row r="3269" spans="1:11" ht="42" customHeight="1">
      <c r="A3269" s="2" t="s">
        <v>6740</v>
      </c>
      <c r="B3269" s="2" t="s">
        <v>6740</v>
      </c>
      <c r="C3269" s="2" t="s">
        <v>26</v>
      </c>
      <c r="D3269" s="2" t="s">
        <v>27</v>
      </c>
      <c r="E3269" s="5">
        <v>-29129</v>
      </c>
      <c r="F3269" s="3" t="s">
        <v>269</v>
      </c>
      <c r="G3269" s="3" t="s">
        <v>270</v>
      </c>
      <c r="H3269" s="2" t="s">
        <v>21</v>
      </c>
      <c r="I3269" s="2" t="s">
        <v>6745</v>
      </c>
      <c r="J3269" s="3" t="str">
        <f>HYPERLINK("https://www.boe.es/gazeta/dias/1820/03/30/pdfs/GMD-1820-58.pdf#page=9","Abrir facsímil")</f>
        <v>Abrir facsímil</v>
      </c>
      <c r="K3269" s="3" t="s">
        <v>23</v>
      </c>
    </row>
    <row r="3270" spans="1:11" ht="42" customHeight="1">
      <c r="A3270" s="2" t="s">
        <v>6740</v>
      </c>
      <c r="B3270" s="2" t="s">
        <v>6740</v>
      </c>
      <c r="C3270" s="2" t="s">
        <v>26</v>
      </c>
      <c r="D3270" s="2" t="s">
        <v>27</v>
      </c>
      <c r="E3270" s="5">
        <v>-29101</v>
      </c>
      <c r="F3270" s="3" t="s">
        <v>999</v>
      </c>
      <c r="G3270" s="3" t="s">
        <v>183</v>
      </c>
      <c r="H3270" s="2" t="s">
        <v>21</v>
      </c>
      <c r="I3270" s="2" t="s">
        <v>6746</v>
      </c>
      <c r="J3270" s="3" t="str">
        <f>HYPERLINK("https://www.boe.es/gazeta/dias/1820/04/27/pdfs/GMD-1820-72.pdf#page=10","Abrir facsímil")</f>
        <v>Abrir facsímil</v>
      </c>
      <c r="K3270" s="3" t="s">
        <v>23</v>
      </c>
    </row>
    <row r="3271" spans="1:11" ht="42" customHeight="1">
      <c r="A3271" s="2" t="s">
        <v>6740</v>
      </c>
      <c r="B3271" s="2" t="s">
        <v>6740</v>
      </c>
      <c r="C3271" s="2" t="s">
        <v>26</v>
      </c>
      <c r="D3271" s="2" t="s">
        <v>27</v>
      </c>
      <c r="E3271" s="5">
        <v>-29101</v>
      </c>
      <c r="F3271" s="3" t="s">
        <v>999</v>
      </c>
      <c r="G3271" s="3" t="s">
        <v>261</v>
      </c>
      <c r="H3271" s="2" t="s">
        <v>21</v>
      </c>
      <c r="I3271" s="2" t="s">
        <v>6747</v>
      </c>
      <c r="J3271" s="3" t="str">
        <f>HYPERLINK("https://www.boe.es/gazeta/dias/1820/04/27/pdfs/GMD-1820-72.pdf#page=9","Abrir facsímil")</f>
        <v>Abrir facsímil</v>
      </c>
      <c r="K3271" s="3" t="s">
        <v>23</v>
      </c>
    </row>
    <row r="3272" spans="1:11" ht="42" customHeight="1">
      <c r="A3272" s="2" t="s">
        <v>6740</v>
      </c>
      <c r="B3272" s="2" t="s">
        <v>6740</v>
      </c>
      <c r="C3272" s="2" t="s">
        <v>35</v>
      </c>
      <c r="D3272" s="2" t="s">
        <v>36</v>
      </c>
      <c r="E3272" s="5">
        <v>-29094</v>
      </c>
      <c r="F3272" s="3" t="s">
        <v>560</v>
      </c>
      <c r="G3272" s="3" t="s">
        <v>20</v>
      </c>
      <c r="H3272" s="2" t="s">
        <v>21</v>
      </c>
      <c r="I3272" s="2" t="s">
        <v>6748</v>
      </c>
      <c r="J3272" s="3" t="str">
        <f>HYPERLINK("https://www.boe.es/gazeta/dias/1820/05/04/pdfs/GMD-1820-75.pdf#page=4","Abrir facsímil")</f>
        <v>Abrir facsímil</v>
      </c>
      <c r="K3272" s="3" t="s">
        <v>23</v>
      </c>
    </row>
    <row r="3273" spans="1:11" ht="42" customHeight="1">
      <c r="A3273" s="2" t="s">
        <v>6740</v>
      </c>
      <c r="B3273" s="2" t="s">
        <v>6740</v>
      </c>
      <c r="C3273" s="2" t="s">
        <v>47</v>
      </c>
      <c r="D3273" s="2" t="s">
        <v>18</v>
      </c>
      <c r="E3273" s="5">
        <v>-29040</v>
      </c>
      <c r="F3273" s="3" t="s">
        <v>1125</v>
      </c>
      <c r="G3273" s="3" t="s">
        <v>553</v>
      </c>
      <c r="H3273" s="2" t="s">
        <v>21</v>
      </c>
      <c r="I3273" s="2" t="s">
        <v>6749</v>
      </c>
      <c r="J3273" s="3" t="str">
        <f>HYPERLINK("https://www.boe.es/gazeta/dias/1820/06/27/pdfs/GMD-1820-99.pdf#page=10","Abrir facsímil")</f>
        <v>Abrir facsímil</v>
      </c>
      <c r="K3273" s="3" t="s">
        <v>23</v>
      </c>
    </row>
    <row r="3274" spans="1:11" ht="42" customHeight="1">
      <c r="A3274" s="2" t="s">
        <v>6740</v>
      </c>
      <c r="B3274" s="2" t="s">
        <v>6740</v>
      </c>
      <c r="C3274" s="2" t="s">
        <v>17</v>
      </c>
      <c r="D3274" s="2" t="s">
        <v>310</v>
      </c>
      <c r="E3274" s="5">
        <v>-29027</v>
      </c>
      <c r="F3274" s="3" t="s">
        <v>4403</v>
      </c>
      <c r="G3274" s="3" t="s">
        <v>128</v>
      </c>
      <c r="H3274" s="2" t="s">
        <v>21</v>
      </c>
      <c r="I3274" s="2" t="s">
        <v>6750</v>
      </c>
      <c r="J3274" s="3" t="str">
        <f>HYPERLINK("https://www.boe.es/gazeta/dias/1820/07/10/pdfs/GGB-1820-12E.pdf#page=1","Abrir facsímil")</f>
        <v>Abrir facsímil</v>
      </c>
      <c r="K3274" s="3" t="s">
        <v>23</v>
      </c>
    </row>
    <row r="3275" spans="1:11" ht="42" customHeight="1">
      <c r="A3275" s="2" t="s">
        <v>6740</v>
      </c>
      <c r="B3275" s="2" t="s">
        <v>6740</v>
      </c>
      <c r="C3275" s="2" t="s">
        <v>74</v>
      </c>
      <c r="D3275" s="2" t="s">
        <v>18</v>
      </c>
      <c r="E3275" s="5">
        <v>-29026</v>
      </c>
      <c r="F3275" s="3" t="s">
        <v>1197</v>
      </c>
      <c r="G3275" s="3" t="s">
        <v>62</v>
      </c>
      <c r="H3275" s="2" t="s">
        <v>21</v>
      </c>
      <c r="I3275" s="2" t="s">
        <v>6751</v>
      </c>
      <c r="J3275" s="3" t="str">
        <f>HYPERLINK("https://www.boe.es/gazeta/dias/1820/07/11/pdfs/GGB-1820-13.pdf#page=3","Abrir facsímil")</f>
        <v>Abrir facsímil</v>
      </c>
      <c r="K3275" s="3" t="s">
        <v>23</v>
      </c>
    </row>
    <row r="3276" spans="1:11" ht="42" customHeight="1">
      <c r="A3276" s="2" t="s">
        <v>6740</v>
      </c>
      <c r="B3276" s="2" t="s">
        <v>6740</v>
      </c>
      <c r="C3276" s="2" t="s">
        <v>74</v>
      </c>
      <c r="D3276" s="2" t="s">
        <v>18</v>
      </c>
      <c r="E3276" s="5">
        <v>-29023</v>
      </c>
      <c r="F3276" s="3" t="s">
        <v>1662</v>
      </c>
      <c r="G3276" s="3" t="s">
        <v>3662</v>
      </c>
      <c r="H3276" s="2" t="s">
        <v>21</v>
      </c>
      <c r="I3276" s="2" t="s">
        <v>6752</v>
      </c>
      <c r="J3276" s="3" t="str">
        <f>HYPERLINK("https://www.boe.es/gazeta/dias/1820/07/14/pdfs/GGB-1820-16.pdf#page=2","Abrir facsímil")</f>
        <v>Abrir facsímil</v>
      </c>
      <c r="K3276" s="3" t="s">
        <v>23</v>
      </c>
    </row>
    <row r="3277" spans="1:11" ht="42" customHeight="1">
      <c r="A3277" s="2" t="s">
        <v>6740</v>
      </c>
      <c r="B3277" s="2" t="s">
        <v>6740</v>
      </c>
      <c r="C3277" s="2" t="s">
        <v>17</v>
      </c>
      <c r="D3277" s="2" t="s">
        <v>18</v>
      </c>
      <c r="E3277" s="5">
        <v>-29019</v>
      </c>
      <c r="F3277" s="3" t="s">
        <v>655</v>
      </c>
      <c r="G3277" s="3" t="s">
        <v>945</v>
      </c>
      <c r="H3277" s="2" t="s">
        <v>21</v>
      </c>
      <c r="I3277" s="2" t="s">
        <v>6753</v>
      </c>
      <c r="J3277" s="3" t="str">
        <f>HYPERLINK("https://www.boe.es/gazeta/dias/1820/07/18/pdfs/GGB-1820-20.pdf#page=2","Abrir facsímil")</f>
        <v>Abrir facsímil</v>
      </c>
      <c r="K3277" s="3" t="s">
        <v>23</v>
      </c>
    </row>
    <row r="3278" spans="1:11" ht="42" customHeight="1">
      <c r="A3278" s="2" t="s">
        <v>6740</v>
      </c>
      <c r="B3278" s="2" t="s">
        <v>6740</v>
      </c>
      <c r="C3278" s="2" t="s">
        <v>47</v>
      </c>
      <c r="D3278" s="2" t="s">
        <v>18</v>
      </c>
      <c r="E3278" s="5">
        <v>-29009</v>
      </c>
      <c r="F3278" s="3" t="s">
        <v>605</v>
      </c>
      <c r="G3278" s="3" t="s">
        <v>20</v>
      </c>
      <c r="H3278" s="2" t="s">
        <v>21</v>
      </c>
      <c r="I3278" s="2" t="s">
        <v>6754</v>
      </c>
      <c r="J3278" s="3" t="str">
        <f>HYPERLINK("https://www.boe.es/gazeta/dias/1820/07/28/pdfs/GGB-1820-30.pdf#page=4","Abrir facsímil")</f>
        <v>Abrir facsímil</v>
      </c>
      <c r="K3278" s="3" t="s">
        <v>23</v>
      </c>
    </row>
    <row r="3279" spans="1:11" ht="42" customHeight="1">
      <c r="A3279" s="2" t="s">
        <v>6740</v>
      </c>
      <c r="B3279" s="2" t="s">
        <v>6740</v>
      </c>
      <c r="C3279" s="2" t="s">
        <v>293</v>
      </c>
      <c r="D3279" s="2" t="s">
        <v>18</v>
      </c>
      <c r="E3279" s="5">
        <v>-29000</v>
      </c>
      <c r="F3279" s="3" t="s">
        <v>670</v>
      </c>
      <c r="G3279" s="3" t="s">
        <v>62</v>
      </c>
      <c r="H3279" s="2" t="s">
        <v>21</v>
      </c>
      <c r="I3279" s="2" t="s">
        <v>6755</v>
      </c>
      <c r="J3279" s="3" t="str">
        <f>HYPERLINK("https://www.boe.es/gazeta/dias/1820/08/06/pdfs/GGB-1820-39.pdf#page=3","Abrir facsímil")</f>
        <v>Abrir facsímil</v>
      </c>
      <c r="K3279" s="3" t="s">
        <v>23</v>
      </c>
    </row>
    <row r="3280" spans="1:11" ht="42" customHeight="1">
      <c r="A3280" s="2" t="s">
        <v>6740</v>
      </c>
      <c r="B3280" s="2" t="s">
        <v>6740</v>
      </c>
      <c r="C3280" s="2" t="s">
        <v>26</v>
      </c>
      <c r="D3280" s="2" t="s">
        <v>27</v>
      </c>
      <c r="E3280" s="5">
        <v>-28909</v>
      </c>
      <c r="F3280" s="3" t="s">
        <v>278</v>
      </c>
      <c r="G3280" s="3" t="s">
        <v>43</v>
      </c>
      <c r="H3280" s="2" t="s">
        <v>21</v>
      </c>
      <c r="I3280" s="2" t="s">
        <v>6756</v>
      </c>
      <c r="J3280" s="3" t="str">
        <f>HYPERLINK("https://www.boe.es/gazeta/dias/1820/11/05/pdfs/GGB-1820-130.pdf#page=2","Abrir facsímil")</f>
        <v>Abrir facsímil</v>
      </c>
      <c r="K3280" s="3" t="s">
        <v>23</v>
      </c>
    </row>
    <row r="3281" spans="1:11" ht="42" customHeight="1">
      <c r="A3281" s="2" t="s">
        <v>6740</v>
      </c>
      <c r="B3281" s="2" t="s">
        <v>6740</v>
      </c>
      <c r="C3281" s="2" t="s">
        <v>293</v>
      </c>
      <c r="D3281" s="2" t="s">
        <v>18</v>
      </c>
      <c r="E3281" s="5">
        <v>-28893</v>
      </c>
      <c r="F3281" s="3" t="s">
        <v>546</v>
      </c>
      <c r="G3281" s="3" t="s">
        <v>62</v>
      </c>
      <c r="H3281" s="2" t="s">
        <v>21</v>
      </c>
      <c r="I3281" s="2" t="s">
        <v>6757</v>
      </c>
      <c r="J3281" s="3" t="str">
        <f>HYPERLINK("https://www.boe.es/gazeta/dias/1820/11/21/pdfs/GGB-1820-148.pdf#page=3","Abrir facsímil")</f>
        <v>Abrir facsímil</v>
      </c>
      <c r="K3281" s="3" t="s">
        <v>23</v>
      </c>
    </row>
    <row r="3282" spans="1:11" ht="42" customHeight="1">
      <c r="A3282" s="2" t="s">
        <v>6758</v>
      </c>
      <c r="B3282" s="2" t="s">
        <v>6758</v>
      </c>
      <c r="C3282" s="2" t="s">
        <v>26</v>
      </c>
      <c r="D3282" s="2" t="s">
        <v>27</v>
      </c>
      <c r="E3282" s="5">
        <v>-28895</v>
      </c>
      <c r="F3282" s="3" t="s">
        <v>347</v>
      </c>
      <c r="G3282" s="3" t="s">
        <v>62</v>
      </c>
      <c r="H3282" s="2" t="s">
        <v>21</v>
      </c>
      <c r="I3282" s="2" t="s">
        <v>6759</v>
      </c>
      <c r="J3282" s="3" t="str">
        <f>HYPERLINK("https://www.boe.es/gazeta/dias/1820/11/19/pdfs/GGB-1820-146.pdf#page=3","Abrir facsímil")</f>
        <v>Abrir facsímil</v>
      </c>
      <c r="K3282" s="3" t="s">
        <v>23</v>
      </c>
    </row>
    <row r="3283" spans="1:11" ht="42" customHeight="1">
      <c r="A3283" s="2" t="s">
        <v>6760</v>
      </c>
      <c r="B3283" s="2" t="s">
        <v>6761</v>
      </c>
      <c r="C3283" s="2" t="s">
        <v>26</v>
      </c>
      <c r="D3283" s="2" t="s">
        <v>310</v>
      </c>
      <c r="E3283" s="5">
        <v>-29132</v>
      </c>
      <c r="F3283" s="3" t="s">
        <v>311</v>
      </c>
      <c r="G3283" s="3" t="s">
        <v>128</v>
      </c>
      <c r="H3283" s="2" t="s">
        <v>21</v>
      </c>
      <c r="I3283" s="2" t="s">
        <v>6762</v>
      </c>
      <c r="J3283" s="3" t="str">
        <f>HYPERLINK("https://www.boe.es/gazeta/dias/1820/03/27/pdfs/GMD-1820-55E.pdf#page=1","Abrir facsímil")</f>
        <v>Abrir facsímil</v>
      </c>
      <c r="K3283" s="3" t="s">
        <v>23</v>
      </c>
    </row>
    <row r="3284" spans="1:11" ht="42" customHeight="1">
      <c r="A3284" s="2" t="s">
        <v>6763</v>
      </c>
      <c r="B3284" s="2" t="s">
        <v>6764</v>
      </c>
      <c r="C3284" s="2" t="s">
        <v>26</v>
      </c>
      <c r="D3284" s="2" t="s">
        <v>27</v>
      </c>
      <c r="E3284" s="5">
        <v>-29028</v>
      </c>
      <c r="F3284" s="3" t="s">
        <v>132</v>
      </c>
      <c r="G3284" s="3" t="s">
        <v>20</v>
      </c>
      <c r="H3284" s="2" t="s">
        <v>21</v>
      </c>
      <c r="I3284" s="2" t="s">
        <v>6765</v>
      </c>
      <c r="J3284" s="3" t="str">
        <f>HYPERLINK("https://www.boe.es/gazeta/dias/1820/07/09/pdfs/GGB-1820-10.pdf#page=4","Abrir facsímil")</f>
        <v>Abrir facsímil</v>
      </c>
      <c r="K3284" s="3" t="s">
        <v>23</v>
      </c>
    </row>
    <row r="3285" spans="1:11" ht="42" customHeight="1">
      <c r="A3285" s="2" t="s">
        <v>6766</v>
      </c>
      <c r="B3285" s="2" t="s">
        <v>6767</v>
      </c>
      <c r="C3285" s="2" t="s">
        <v>35</v>
      </c>
      <c r="D3285" s="2" t="s">
        <v>36</v>
      </c>
      <c r="E3285" s="5">
        <v>-29197</v>
      </c>
      <c r="F3285" s="3" t="s">
        <v>48</v>
      </c>
      <c r="G3285" s="3" t="s">
        <v>201</v>
      </c>
      <c r="H3285" s="2" t="s">
        <v>30</v>
      </c>
      <c r="I3285" s="2" t="s">
        <v>6768</v>
      </c>
      <c r="J3285" s="3" t="str">
        <f>HYPERLINK("https://www.boe.es/gazeta/dias/1820/01/22/pdfs/GMD-1820-10.pdf#page=7","Abrir facsímil")</f>
        <v>Abrir facsímil</v>
      </c>
      <c r="K3285" s="3" t="s">
        <v>32</v>
      </c>
    </row>
    <row r="3286" spans="1:11" ht="42" customHeight="1">
      <c r="A3286" s="2" t="s">
        <v>6769</v>
      </c>
      <c r="B3286" s="2" t="s">
        <v>6770</v>
      </c>
      <c r="C3286" s="2" t="s">
        <v>17</v>
      </c>
      <c r="D3286" s="2" t="s">
        <v>18</v>
      </c>
      <c r="E3286" s="5">
        <v>-28869</v>
      </c>
      <c r="F3286" s="3" t="s">
        <v>449</v>
      </c>
      <c r="G3286" s="3" t="s">
        <v>43</v>
      </c>
      <c r="H3286" s="2" t="s">
        <v>21</v>
      </c>
      <c r="I3286" s="2" t="s">
        <v>6771</v>
      </c>
      <c r="J3286" s="3" t="str">
        <f>HYPERLINK("https://www.boe.es/gazeta/dias/1820/12/15/pdfs/GGB-1820-172.pdf#page=2","Abrir facsímil")</f>
        <v>Abrir facsímil</v>
      </c>
      <c r="K3286" s="3" t="s">
        <v>23</v>
      </c>
    </row>
    <row r="3287" spans="1:11" ht="42" customHeight="1">
      <c r="A3287" s="2" t="s">
        <v>6772</v>
      </c>
      <c r="B3287" s="2" t="s">
        <v>6773</v>
      </c>
      <c r="C3287" s="2" t="s">
        <v>17</v>
      </c>
      <c r="D3287" s="2" t="s">
        <v>18</v>
      </c>
      <c r="E3287" s="5">
        <v>-28857</v>
      </c>
      <c r="F3287" s="3" t="s">
        <v>889</v>
      </c>
      <c r="G3287" s="3" t="s">
        <v>43</v>
      </c>
      <c r="H3287" s="2" t="s">
        <v>21</v>
      </c>
      <c r="I3287" s="2" t="s">
        <v>6774</v>
      </c>
      <c r="J3287" s="3" t="str">
        <f>HYPERLINK("https://www.boe.es/gazeta/dias/1820/12/27/pdfs/GGB-1820-184.pdf#page=2","Abrir facsímil")</f>
        <v>Abrir facsímil</v>
      </c>
      <c r="K3287" s="3" t="s">
        <v>23</v>
      </c>
    </row>
    <row r="3288" spans="1:11" ht="42" customHeight="1">
      <c r="A3288" s="2" t="s">
        <v>6775</v>
      </c>
      <c r="B3288" s="2" t="s">
        <v>6776</v>
      </c>
      <c r="C3288" s="2" t="s">
        <v>293</v>
      </c>
      <c r="D3288" s="2" t="s">
        <v>18</v>
      </c>
      <c r="E3288" s="5">
        <v>-29164</v>
      </c>
      <c r="F3288" s="3" t="s">
        <v>2516</v>
      </c>
      <c r="G3288" s="3" t="s">
        <v>295</v>
      </c>
      <c r="H3288" s="2" t="s">
        <v>21</v>
      </c>
      <c r="I3288" s="2" t="s">
        <v>6777</v>
      </c>
      <c r="J3288" s="3" t="str">
        <f>HYPERLINK("https://www.boe.es/gazeta/dias/1820/02/24/pdfs/GMD-1820-24.pdf#page=8","Abrir facsímil")</f>
        <v>Abrir facsímil</v>
      </c>
      <c r="K3288" s="3" t="s">
        <v>23</v>
      </c>
    </row>
    <row r="3289" spans="1:11" ht="42" customHeight="1">
      <c r="A3289" s="2" t="s">
        <v>6778</v>
      </c>
      <c r="B3289" s="2" t="s">
        <v>6779</v>
      </c>
      <c r="C3289" s="2" t="s">
        <v>107</v>
      </c>
      <c r="D3289" s="2" t="s">
        <v>18</v>
      </c>
      <c r="E3289" s="5">
        <v>-28930</v>
      </c>
      <c r="F3289" s="3" t="s">
        <v>372</v>
      </c>
      <c r="G3289" s="3" t="s">
        <v>20</v>
      </c>
      <c r="H3289" s="2" t="s">
        <v>21</v>
      </c>
      <c r="I3289" s="2" t="s">
        <v>6780</v>
      </c>
      <c r="J3289" s="3" t="str">
        <f>HYPERLINK("https://www.boe.es/gazeta/dias/1820/10/15/pdfs/GGB-1820-109.pdf#page=4","Abrir facsímil")</f>
        <v>Abrir facsímil</v>
      </c>
      <c r="K3289" s="3" t="s">
        <v>23</v>
      </c>
    </row>
    <row r="3290" spans="1:11" ht="42" customHeight="1">
      <c r="A3290" s="2" t="s">
        <v>6781</v>
      </c>
      <c r="B3290" s="2" t="s">
        <v>6781</v>
      </c>
      <c r="C3290" s="2" t="s">
        <v>74</v>
      </c>
      <c r="D3290" s="2" t="s">
        <v>18</v>
      </c>
      <c r="E3290" s="5">
        <v>-28936</v>
      </c>
      <c r="F3290" s="3" t="s">
        <v>167</v>
      </c>
      <c r="G3290" s="3" t="s">
        <v>20</v>
      </c>
      <c r="H3290" s="2" t="s">
        <v>21</v>
      </c>
      <c r="I3290" s="2" t="s">
        <v>6782</v>
      </c>
      <c r="J3290" s="3" t="str">
        <f>HYPERLINK("https://www.boe.es/gazeta/dias/1820/10/09/pdfs/GGB-1820-103.pdf#page=4","Abrir facsímil")</f>
        <v>Abrir facsímil</v>
      </c>
      <c r="K3290" s="3" t="s">
        <v>23</v>
      </c>
    </row>
    <row r="3291" spans="1:11" ht="42" customHeight="1">
      <c r="A3291" s="2" t="s">
        <v>6783</v>
      </c>
      <c r="B3291" s="2" t="s">
        <v>6784</v>
      </c>
      <c r="C3291" s="2" t="s">
        <v>26</v>
      </c>
      <c r="D3291" s="2" t="s">
        <v>27</v>
      </c>
      <c r="E3291" s="5">
        <v>-28895</v>
      </c>
      <c r="F3291" s="3" t="s">
        <v>347</v>
      </c>
      <c r="G3291" s="3" t="s">
        <v>128</v>
      </c>
      <c r="H3291" s="2" t="s">
        <v>21</v>
      </c>
      <c r="I3291" s="2" t="s">
        <v>6785</v>
      </c>
      <c r="J3291" s="3" t="str">
        <f>HYPERLINK("https://www.boe.es/gazeta/dias/1820/11/19/pdfs/GGB-1820-146.pdf#page=1","Abrir facsímil")</f>
        <v>Abrir facsímil</v>
      </c>
      <c r="K3291" s="3" t="s">
        <v>23</v>
      </c>
    </row>
    <row r="3292" spans="1:11" ht="42" customHeight="1">
      <c r="A3292" s="2" t="s">
        <v>6786</v>
      </c>
      <c r="B3292" s="2" t="s">
        <v>6786</v>
      </c>
      <c r="C3292" s="2" t="s">
        <v>107</v>
      </c>
      <c r="D3292" s="2" t="s">
        <v>18</v>
      </c>
      <c r="E3292" s="5">
        <v>-29047</v>
      </c>
      <c r="F3292" s="3" t="s">
        <v>1033</v>
      </c>
      <c r="G3292" s="3" t="s">
        <v>1083</v>
      </c>
      <c r="H3292" s="2" t="s">
        <v>21</v>
      </c>
      <c r="I3292" s="2" t="s">
        <v>6787</v>
      </c>
      <c r="J3292" s="3" t="str">
        <f>HYPERLINK("https://www.boe.es/gazeta/dias/1820/06/20/pdfs/GMD-1820-96.pdf#page=12","Abrir facsímil")</f>
        <v>Abrir facsímil</v>
      </c>
      <c r="K3292" s="3" t="s">
        <v>23</v>
      </c>
    </row>
    <row r="3293" spans="1:11" ht="42" customHeight="1">
      <c r="A3293" s="2" t="s">
        <v>6788</v>
      </c>
      <c r="B3293" s="2" t="s">
        <v>6789</v>
      </c>
      <c r="C3293" s="2" t="s">
        <v>26</v>
      </c>
      <c r="D3293" s="2" t="s">
        <v>27</v>
      </c>
      <c r="E3293" s="5">
        <v>-28953</v>
      </c>
      <c r="F3293" s="3" t="s">
        <v>367</v>
      </c>
      <c r="G3293" s="3" t="s">
        <v>20</v>
      </c>
      <c r="H3293" s="2" t="s">
        <v>21</v>
      </c>
      <c r="I3293" s="2" t="s">
        <v>6790</v>
      </c>
      <c r="J3293" s="3" t="str">
        <f>HYPERLINK("https://www.boe.es/gazeta/dias/1820/09/22/pdfs/GGB-1820-86.pdf#page=4","Abrir facsímil")</f>
        <v>Abrir facsímil</v>
      </c>
      <c r="K3293" s="3" t="s">
        <v>23</v>
      </c>
    </row>
    <row r="3294" spans="1:11" ht="42" customHeight="1">
      <c r="A3294" s="2" t="s">
        <v>6791</v>
      </c>
      <c r="B3294" s="2" t="s">
        <v>6792</v>
      </c>
      <c r="C3294" s="2" t="s">
        <v>35</v>
      </c>
      <c r="D3294" s="2" t="s">
        <v>36</v>
      </c>
      <c r="E3294" s="5">
        <v>-29143</v>
      </c>
      <c r="F3294" s="3" t="s">
        <v>334</v>
      </c>
      <c r="G3294" s="3" t="s">
        <v>38</v>
      </c>
      <c r="H3294" s="2" t="s">
        <v>21</v>
      </c>
      <c r="I3294" s="2" t="s">
        <v>6793</v>
      </c>
      <c r="J3294" s="3" t="str">
        <f>HYPERLINK("https://www.boe.es/gazeta/dias/1820/03/16/pdfs/GMD-1820-42.pdf#page=6","Abrir facsímil")</f>
        <v>Abrir facsímil</v>
      </c>
      <c r="K3294" s="3" t="s">
        <v>23</v>
      </c>
    </row>
    <row r="3295" spans="1:11" ht="42" customHeight="1">
      <c r="A3295" s="2" t="s">
        <v>6794</v>
      </c>
      <c r="B3295" s="2" t="s">
        <v>6795</v>
      </c>
      <c r="C3295" s="2" t="s">
        <v>26</v>
      </c>
      <c r="D3295" s="2" t="s">
        <v>27</v>
      </c>
      <c r="E3295" s="5">
        <v>-28865</v>
      </c>
      <c r="F3295" s="3" t="s">
        <v>136</v>
      </c>
      <c r="G3295" s="3" t="s">
        <v>137</v>
      </c>
      <c r="H3295" s="2" t="s">
        <v>21</v>
      </c>
      <c r="I3295" s="2" t="s">
        <v>6796</v>
      </c>
      <c r="J3295" s="3" t="str">
        <f>HYPERLINK("https://www.boe.es/gazeta/dias/1820/12/19/pdfs/GGB-1820-176.pdf#page=3","Abrir facsímil")</f>
        <v>Abrir facsímil</v>
      </c>
      <c r="K3295" s="3" t="s">
        <v>23</v>
      </c>
    </row>
    <row r="3296" spans="1:11" ht="42" customHeight="1">
      <c r="A3296" s="2" t="s">
        <v>6797</v>
      </c>
      <c r="B3296" s="2" t="s">
        <v>6797</v>
      </c>
      <c r="C3296" s="2" t="s">
        <v>35</v>
      </c>
      <c r="D3296" s="2" t="s">
        <v>36</v>
      </c>
      <c r="E3296" s="5">
        <v>-28944</v>
      </c>
      <c r="F3296" s="3" t="s">
        <v>990</v>
      </c>
      <c r="G3296" s="3" t="s">
        <v>1174</v>
      </c>
      <c r="H3296" s="2" t="s">
        <v>21</v>
      </c>
      <c r="I3296" s="2" t="s">
        <v>6798</v>
      </c>
      <c r="J3296" s="3" t="str">
        <f>HYPERLINK("https://www.boe.es/gazeta/dias/1820/10/01/pdfs/GGB-1820-95.pdf#page=4","Abrir facsímil")</f>
        <v>Abrir facsímil</v>
      </c>
      <c r="K3296" s="3" t="s">
        <v>23</v>
      </c>
    </row>
    <row r="3297" spans="1:11" ht="42" customHeight="1">
      <c r="A3297" s="2" t="s">
        <v>6799</v>
      </c>
      <c r="B3297" s="2" t="s">
        <v>6799</v>
      </c>
      <c r="C3297" s="2" t="s">
        <v>74</v>
      </c>
      <c r="D3297" s="2" t="s">
        <v>18</v>
      </c>
      <c r="E3297" s="5">
        <v>-28956</v>
      </c>
      <c r="F3297" s="3" t="s">
        <v>190</v>
      </c>
      <c r="G3297" s="3" t="s">
        <v>62</v>
      </c>
      <c r="H3297" s="2" t="s">
        <v>21</v>
      </c>
      <c r="I3297" s="2" t="s">
        <v>6800</v>
      </c>
      <c r="J3297" s="3" t="str">
        <f>HYPERLINK("https://www.boe.es/gazeta/dias/1820/09/19/pdfs/GGB-1820-83.pdf#page=3","Abrir facsímil")</f>
        <v>Abrir facsímil</v>
      </c>
      <c r="K3297" s="3" t="s">
        <v>23</v>
      </c>
    </row>
    <row r="3298" spans="1:11" ht="42" customHeight="1">
      <c r="A3298" s="2" t="s">
        <v>6801</v>
      </c>
      <c r="B3298" s="2" t="s">
        <v>6801</v>
      </c>
      <c r="C3298" s="2" t="s">
        <v>26</v>
      </c>
      <c r="D3298" s="2" t="s">
        <v>27</v>
      </c>
      <c r="E3298" s="5">
        <v>-28964</v>
      </c>
      <c r="F3298" s="3" t="s">
        <v>240</v>
      </c>
      <c r="G3298" s="3" t="s">
        <v>20</v>
      </c>
      <c r="H3298" s="2" t="s">
        <v>21</v>
      </c>
      <c r="I3298" s="2" t="s">
        <v>6802</v>
      </c>
      <c r="J3298" s="3" t="str">
        <f>HYPERLINK("https://www.boe.es/gazeta/dias/1820/09/11/pdfs/GGB-1820-75.pdf#page=4","Abrir facsímil")</f>
        <v>Abrir facsímil</v>
      </c>
      <c r="K3298" s="3" t="s">
        <v>23</v>
      </c>
    </row>
    <row r="3299" spans="1:11" ht="42" customHeight="1">
      <c r="A3299" s="2" t="s">
        <v>6803</v>
      </c>
      <c r="B3299" s="2" t="s">
        <v>6804</v>
      </c>
      <c r="C3299" s="2" t="s">
        <v>17</v>
      </c>
      <c r="D3299" s="2" t="s">
        <v>18</v>
      </c>
      <c r="E3299" s="5">
        <v>-28961</v>
      </c>
      <c r="F3299" s="3" t="s">
        <v>242</v>
      </c>
      <c r="G3299" s="3" t="s">
        <v>128</v>
      </c>
      <c r="H3299" s="2" t="s">
        <v>21</v>
      </c>
      <c r="I3299" s="2" t="s">
        <v>6805</v>
      </c>
      <c r="J3299" s="3" t="str">
        <f>HYPERLINK("https://www.boe.es/gazeta/dias/1820/09/14/pdfs/GGB-1820-78.pdf#page=1","Abrir facsímil")</f>
        <v>Abrir facsímil</v>
      </c>
      <c r="K3299" s="3" t="s">
        <v>23</v>
      </c>
    </row>
    <row r="3300" spans="1:11" ht="42" customHeight="1">
      <c r="A3300" s="2" t="s">
        <v>6806</v>
      </c>
      <c r="B3300" s="2" t="s">
        <v>6807</v>
      </c>
      <c r="C3300" s="2" t="s">
        <v>35</v>
      </c>
      <c r="D3300" s="2" t="s">
        <v>36</v>
      </c>
      <c r="E3300" s="5">
        <v>-28875</v>
      </c>
      <c r="F3300" s="3" t="s">
        <v>2737</v>
      </c>
      <c r="G3300" s="3" t="s">
        <v>128</v>
      </c>
      <c r="H3300" s="2" t="s">
        <v>21</v>
      </c>
      <c r="I3300" s="2" t="s">
        <v>6808</v>
      </c>
      <c r="J3300" s="3" t="str">
        <f>HYPERLINK("https://www.boe.es/gazeta/dias/1820/12/09/pdfs/GGB-1820-166.pdf#page=1","Abrir facsímil")</f>
        <v>Abrir facsímil</v>
      </c>
      <c r="K3300" s="3" t="s">
        <v>23</v>
      </c>
    </row>
    <row r="3301" spans="1:11" ht="42" customHeight="1">
      <c r="A3301" s="2" t="s">
        <v>6809</v>
      </c>
      <c r="B3301" s="2" t="s">
        <v>6809</v>
      </c>
      <c r="C3301" s="2" t="s">
        <v>17</v>
      </c>
      <c r="D3301" s="2" t="s">
        <v>18</v>
      </c>
      <c r="E3301" s="5">
        <v>-28931</v>
      </c>
      <c r="F3301" s="3" t="s">
        <v>724</v>
      </c>
      <c r="G3301" s="3" t="s">
        <v>725</v>
      </c>
      <c r="H3301" s="2" t="s">
        <v>21</v>
      </c>
      <c r="I3301" s="2" t="s">
        <v>6810</v>
      </c>
      <c r="J3301" s="3" t="str">
        <f>HYPERLINK("https://www.boe.es/gazeta/dias/1820/10/14/pdfs/GGB-1820-108.pdf#page=3","Abrir facsímil")</f>
        <v>Abrir facsímil</v>
      </c>
      <c r="K3301" s="3" t="s">
        <v>23</v>
      </c>
    </row>
    <row r="3302" spans="1:11" ht="42" customHeight="1">
      <c r="A3302" s="2" t="s">
        <v>6811</v>
      </c>
      <c r="B3302" s="2" t="s">
        <v>6811</v>
      </c>
      <c r="C3302" s="2" t="s">
        <v>35</v>
      </c>
      <c r="D3302" s="2" t="s">
        <v>36</v>
      </c>
      <c r="E3302" s="5">
        <v>-29014</v>
      </c>
      <c r="F3302" s="3" t="s">
        <v>70</v>
      </c>
      <c r="G3302" s="3" t="s">
        <v>62</v>
      </c>
      <c r="H3302" s="2" t="s">
        <v>21</v>
      </c>
      <c r="I3302" s="2" t="s">
        <v>6812</v>
      </c>
      <c r="J3302" s="3" t="str">
        <f>HYPERLINK("https://www.boe.es/gazeta/dias/1820/07/23/pdfs/GGB-1820-25.pdf#page=3","Abrir facsímil")</f>
        <v>Abrir facsímil</v>
      </c>
      <c r="K3302" s="3" t="s">
        <v>23</v>
      </c>
    </row>
    <row r="3303" spans="1:11" ht="42" customHeight="1">
      <c r="A3303" s="2" t="s">
        <v>6813</v>
      </c>
      <c r="B3303" s="2" t="s">
        <v>6813</v>
      </c>
      <c r="C3303" s="2" t="s">
        <v>26</v>
      </c>
      <c r="D3303" s="2" t="s">
        <v>27</v>
      </c>
      <c r="E3303" s="5">
        <v>-28919</v>
      </c>
      <c r="F3303" s="3" t="s">
        <v>516</v>
      </c>
      <c r="G3303" s="3" t="s">
        <v>20</v>
      </c>
      <c r="H3303" s="2" t="s">
        <v>21</v>
      </c>
      <c r="I3303" s="2" t="s">
        <v>6814</v>
      </c>
      <c r="J3303" s="3" t="str">
        <f>HYPERLINK("https://www.boe.es/gazeta/dias/1820/10/26/pdfs/GGB-1820-120.pdf#page=4","Abrir facsímil")</f>
        <v>Abrir facsímil</v>
      </c>
      <c r="K3303" s="3" t="s">
        <v>23</v>
      </c>
    </row>
    <row r="3304" spans="1:11" ht="42" customHeight="1">
      <c r="A3304" s="2" t="s">
        <v>6815</v>
      </c>
      <c r="B3304" s="2" t="s">
        <v>6815</v>
      </c>
      <c r="C3304" s="2" t="s">
        <v>26</v>
      </c>
      <c r="D3304" s="2" t="s">
        <v>27</v>
      </c>
      <c r="E3304" s="5">
        <v>-29025</v>
      </c>
      <c r="F3304" s="3" t="s">
        <v>902</v>
      </c>
      <c r="G3304" s="3" t="s">
        <v>20</v>
      </c>
      <c r="H3304" s="2" t="s">
        <v>21</v>
      </c>
      <c r="I3304" s="2" t="s">
        <v>6816</v>
      </c>
      <c r="J3304" s="3" t="str">
        <f>HYPERLINK("https://www.boe.es/gazeta/dias/1820/07/12/pdfs/GGB-1820-14.pdf#page=4","Abrir facsímil")</f>
        <v>Abrir facsímil</v>
      </c>
      <c r="K3304" s="3" t="s">
        <v>23</v>
      </c>
    </row>
    <row r="3305" spans="1:11" ht="42" customHeight="1">
      <c r="A3305" s="2" t="s">
        <v>6815</v>
      </c>
      <c r="B3305" s="2" t="s">
        <v>6815</v>
      </c>
      <c r="C3305" s="2" t="s">
        <v>35</v>
      </c>
      <c r="D3305" s="2" t="s">
        <v>36</v>
      </c>
      <c r="E3305" s="5">
        <v>-29021</v>
      </c>
      <c r="F3305" s="3" t="s">
        <v>377</v>
      </c>
      <c r="G3305" s="3" t="s">
        <v>62</v>
      </c>
      <c r="H3305" s="2" t="s">
        <v>21</v>
      </c>
      <c r="I3305" s="2" t="s">
        <v>6817</v>
      </c>
      <c r="J3305" s="3" t="str">
        <f>HYPERLINK("https://www.boe.es/gazeta/dias/1820/07/16/pdfs/GGB-1820-18.pdf#page=3","Abrir facsímil")</f>
        <v>Abrir facsímil</v>
      </c>
      <c r="K3305" s="3" t="s">
        <v>23</v>
      </c>
    </row>
    <row r="3306" spans="1:11" ht="42" customHeight="1">
      <c r="A3306" s="2" t="s">
        <v>6815</v>
      </c>
      <c r="B3306" s="2" t="s">
        <v>6815</v>
      </c>
      <c r="C3306" s="2" t="s">
        <v>35</v>
      </c>
      <c r="D3306" s="2" t="s">
        <v>36</v>
      </c>
      <c r="E3306" s="5">
        <v>-29020</v>
      </c>
      <c r="F3306" s="3" t="s">
        <v>756</v>
      </c>
      <c r="G3306" s="3" t="s">
        <v>62</v>
      </c>
      <c r="H3306" s="2" t="s">
        <v>21</v>
      </c>
      <c r="I3306" s="2" t="s">
        <v>6818</v>
      </c>
      <c r="J3306" s="3" t="str">
        <f>HYPERLINK("https://www.boe.es/gazeta/dias/1820/07/17/pdfs/GGB-1820-19.pdf#page=3","Abrir facsímil")</f>
        <v>Abrir facsímil</v>
      </c>
      <c r="K3306" s="3" t="s">
        <v>23</v>
      </c>
    </row>
    <row r="3307" spans="1:11" ht="42" customHeight="1">
      <c r="A3307" s="2" t="s">
        <v>6815</v>
      </c>
      <c r="B3307" s="2" t="s">
        <v>6815</v>
      </c>
      <c r="C3307" s="2" t="s">
        <v>74</v>
      </c>
      <c r="D3307" s="2" t="s">
        <v>18</v>
      </c>
      <c r="E3307" s="5">
        <v>-29014</v>
      </c>
      <c r="F3307" s="3" t="s">
        <v>70</v>
      </c>
      <c r="G3307" s="3" t="s">
        <v>20</v>
      </c>
      <c r="H3307" s="2" t="s">
        <v>21</v>
      </c>
      <c r="I3307" s="2" t="s">
        <v>6819</v>
      </c>
      <c r="J3307" s="3" t="str">
        <f>HYPERLINK("https://www.boe.es/gazeta/dias/1820/07/23/pdfs/GGB-1820-25.pdf#page=4","Abrir facsímil")</f>
        <v>Abrir facsímil</v>
      </c>
      <c r="K3307" s="3" t="s">
        <v>23</v>
      </c>
    </row>
    <row r="3308" spans="1:11" ht="42" customHeight="1">
      <c r="A3308" s="2" t="s">
        <v>6815</v>
      </c>
      <c r="B3308" s="2" t="s">
        <v>6815</v>
      </c>
      <c r="C3308" s="2" t="s">
        <v>293</v>
      </c>
      <c r="D3308" s="2" t="s">
        <v>18</v>
      </c>
      <c r="E3308" s="5">
        <v>-29010</v>
      </c>
      <c r="F3308" s="3" t="s">
        <v>664</v>
      </c>
      <c r="G3308" s="3" t="s">
        <v>773</v>
      </c>
      <c r="H3308" s="2" t="s">
        <v>21</v>
      </c>
      <c r="I3308" s="2" t="s">
        <v>6820</v>
      </c>
      <c r="J3308" s="3" t="str">
        <f>HYPERLINK("https://www.boe.es/gazeta/dias/1820/07/27/pdfs/GGB-1820-29.pdf#page=4","Abrir facsímil")</f>
        <v>Abrir facsímil</v>
      </c>
      <c r="K3308" s="3" t="s">
        <v>23</v>
      </c>
    </row>
    <row r="3309" spans="1:11" ht="42" customHeight="1">
      <c r="A3309" s="2" t="s">
        <v>6815</v>
      </c>
      <c r="B3309" s="2" t="s">
        <v>6815</v>
      </c>
      <c r="C3309" s="2" t="s">
        <v>74</v>
      </c>
      <c r="D3309" s="2" t="s">
        <v>18</v>
      </c>
      <c r="E3309" s="5">
        <v>-29010</v>
      </c>
      <c r="F3309" s="3" t="s">
        <v>664</v>
      </c>
      <c r="G3309" s="3" t="s">
        <v>62</v>
      </c>
      <c r="H3309" s="2" t="s">
        <v>21</v>
      </c>
      <c r="I3309" s="2" t="s">
        <v>6821</v>
      </c>
      <c r="J3309" s="3" t="str">
        <f>HYPERLINK("https://www.boe.es/gazeta/dias/1820/07/27/pdfs/GGB-1820-29.pdf#page=3","Abrir facsímil")</f>
        <v>Abrir facsímil</v>
      </c>
      <c r="K3309" s="3" t="s">
        <v>23</v>
      </c>
    </row>
    <row r="3310" spans="1:11" ht="42" customHeight="1">
      <c r="A3310" s="2" t="s">
        <v>6815</v>
      </c>
      <c r="B3310" s="2" t="s">
        <v>6815</v>
      </c>
      <c r="C3310" s="2" t="s">
        <v>35</v>
      </c>
      <c r="D3310" s="2" t="s">
        <v>36</v>
      </c>
      <c r="E3310" s="5">
        <v>-29002</v>
      </c>
      <c r="F3310" s="3" t="s">
        <v>124</v>
      </c>
      <c r="G3310" s="3" t="s">
        <v>62</v>
      </c>
      <c r="H3310" s="2" t="s">
        <v>21</v>
      </c>
      <c r="I3310" s="2" t="s">
        <v>6822</v>
      </c>
      <c r="J3310" s="3" t="str">
        <f>HYPERLINK("https://www.boe.es/gazeta/dias/1820/08/04/pdfs/GGB-1820-37.pdf#page=3","Abrir facsímil")</f>
        <v>Abrir facsímil</v>
      </c>
      <c r="K3310" s="3" t="s">
        <v>23</v>
      </c>
    </row>
    <row r="3311" spans="1:11" ht="42" customHeight="1">
      <c r="A3311" s="2" t="s">
        <v>6815</v>
      </c>
      <c r="B3311" s="2" t="s">
        <v>6815</v>
      </c>
      <c r="C3311" s="2" t="s">
        <v>26</v>
      </c>
      <c r="D3311" s="2" t="s">
        <v>27</v>
      </c>
      <c r="E3311" s="5">
        <v>-28991</v>
      </c>
      <c r="F3311" s="3" t="s">
        <v>213</v>
      </c>
      <c r="G3311" s="3" t="s">
        <v>62</v>
      </c>
      <c r="H3311" s="2" t="s">
        <v>21</v>
      </c>
      <c r="I3311" s="2" t="s">
        <v>6823</v>
      </c>
      <c r="J3311" s="3" t="str">
        <f>HYPERLINK("https://www.boe.es/gazeta/dias/1820/08/15/pdfs/GGB-1820-48.pdf#page=3","Abrir facsímil")</f>
        <v>Abrir facsímil</v>
      </c>
      <c r="K3311" s="3" t="s">
        <v>23</v>
      </c>
    </row>
    <row r="3312" spans="1:11" ht="42" customHeight="1">
      <c r="A3312" s="2" t="s">
        <v>6815</v>
      </c>
      <c r="B3312" s="2" t="s">
        <v>6815</v>
      </c>
      <c r="C3312" s="2" t="s">
        <v>1808</v>
      </c>
      <c r="D3312" s="2" t="s">
        <v>36</v>
      </c>
      <c r="E3312" s="5">
        <v>-28969</v>
      </c>
      <c r="F3312" s="3" t="s">
        <v>225</v>
      </c>
      <c r="G3312" s="3" t="s">
        <v>226</v>
      </c>
      <c r="H3312" s="2" t="s">
        <v>21</v>
      </c>
      <c r="I3312" s="2" t="s">
        <v>6824</v>
      </c>
      <c r="J3312" s="3" t="str">
        <f>HYPERLINK("https://www.boe.es/gazeta/dias/1820/09/06/pdfs/GGB-1820-70.pdf#page=3","Abrir facsímil")</f>
        <v>Abrir facsímil</v>
      </c>
      <c r="K3312" s="3" t="s">
        <v>23</v>
      </c>
    </row>
    <row r="3313" spans="1:11" ht="42" customHeight="1">
      <c r="A3313" s="2" t="s">
        <v>6815</v>
      </c>
      <c r="B3313" s="2" t="s">
        <v>6815</v>
      </c>
      <c r="C3313" s="2" t="s">
        <v>26</v>
      </c>
      <c r="D3313" s="2" t="s">
        <v>27</v>
      </c>
      <c r="E3313" s="5">
        <v>-28969</v>
      </c>
      <c r="F3313" s="3" t="s">
        <v>225</v>
      </c>
      <c r="G3313" s="3" t="s">
        <v>43</v>
      </c>
      <c r="H3313" s="2" t="s">
        <v>21</v>
      </c>
      <c r="I3313" s="2" t="s">
        <v>6825</v>
      </c>
      <c r="J3313" s="3" t="str">
        <f>HYPERLINK("https://www.boe.es/gazeta/dias/1820/09/06/pdfs/GGB-1820-70.pdf#page=2","Abrir facsímil")</f>
        <v>Abrir facsímil</v>
      </c>
      <c r="K3313" s="3" t="s">
        <v>23</v>
      </c>
    </row>
    <row r="3314" spans="1:11" ht="42" customHeight="1">
      <c r="A3314" s="2" t="s">
        <v>6815</v>
      </c>
      <c r="B3314" s="2" t="s">
        <v>6815</v>
      </c>
      <c r="C3314" s="2" t="s">
        <v>17</v>
      </c>
      <c r="D3314" s="2" t="s">
        <v>18</v>
      </c>
      <c r="E3314" s="5">
        <v>-28969</v>
      </c>
      <c r="F3314" s="3" t="s">
        <v>225</v>
      </c>
      <c r="G3314" s="3" t="s">
        <v>20</v>
      </c>
      <c r="H3314" s="2" t="s">
        <v>21</v>
      </c>
      <c r="I3314" s="2" t="s">
        <v>6826</v>
      </c>
      <c r="J3314" s="3" t="str">
        <f>HYPERLINK("https://www.boe.es/gazeta/dias/1820/09/06/pdfs/GGB-1820-70.pdf#page=4","Abrir facsímil")</f>
        <v>Abrir facsímil</v>
      </c>
      <c r="K3314" s="3" t="s">
        <v>23</v>
      </c>
    </row>
    <row r="3315" spans="1:11" ht="42" customHeight="1">
      <c r="A3315" s="2" t="s">
        <v>6815</v>
      </c>
      <c r="B3315" s="2" t="s">
        <v>6815</v>
      </c>
      <c r="C3315" s="2" t="s">
        <v>35</v>
      </c>
      <c r="D3315" s="2" t="s">
        <v>36</v>
      </c>
      <c r="E3315" s="5">
        <v>-28956</v>
      </c>
      <c r="F3315" s="3" t="s">
        <v>190</v>
      </c>
      <c r="G3315" s="3" t="s">
        <v>62</v>
      </c>
      <c r="H3315" s="2" t="s">
        <v>21</v>
      </c>
      <c r="I3315" s="2" t="s">
        <v>6827</v>
      </c>
      <c r="J3315" s="3" t="str">
        <f>HYPERLINK("https://www.boe.es/gazeta/dias/1820/09/19/pdfs/GGB-1820-83.pdf#page=3","Abrir facsímil")</f>
        <v>Abrir facsímil</v>
      </c>
      <c r="K3315" s="3" t="s">
        <v>23</v>
      </c>
    </row>
    <row r="3316" spans="1:11" ht="42" customHeight="1">
      <c r="A3316" s="2" t="s">
        <v>6815</v>
      </c>
      <c r="B3316" s="2" t="s">
        <v>6815</v>
      </c>
      <c r="C3316" s="2" t="s">
        <v>74</v>
      </c>
      <c r="D3316" s="2" t="s">
        <v>18</v>
      </c>
      <c r="E3316" s="5">
        <v>-28954</v>
      </c>
      <c r="F3316" s="3" t="s">
        <v>28</v>
      </c>
      <c r="G3316" s="3" t="s">
        <v>29</v>
      </c>
      <c r="H3316" s="2" t="s">
        <v>21</v>
      </c>
      <c r="I3316" s="2" t="s">
        <v>6828</v>
      </c>
      <c r="J3316" s="3" t="str">
        <f>HYPERLINK("https://www.boe.es/gazeta/dias/1820/09/21/pdfs/GGB-1820-85.pdf#page=2","Abrir facsímil")</f>
        <v>Abrir facsímil</v>
      </c>
      <c r="K3316" s="3" t="s">
        <v>23</v>
      </c>
    </row>
    <row r="3317" spans="1:11" ht="42" customHeight="1">
      <c r="A3317" s="2" t="s">
        <v>6815</v>
      </c>
      <c r="B3317" s="2" t="s">
        <v>6815</v>
      </c>
      <c r="C3317" s="2" t="s">
        <v>74</v>
      </c>
      <c r="D3317" s="2" t="s">
        <v>18</v>
      </c>
      <c r="E3317" s="5">
        <v>-28948</v>
      </c>
      <c r="F3317" s="3" t="s">
        <v>1069</v>
      </c>
      <c r="G3317" s="3" t="s">
        <v>62</v>
      </c>
      <c r="H3317" s="2" t="s">
        <v>21</v>
      </c>
      <c r="I3317" s="2" t="s">
        <v>6829</v>
      </c>
      <c r="J3317" s="3" t="str">
        <f>HYPERLINK("https://www.boe.es/gazeta/dias/1820/09/27/pdfs/GGB-1820-91.pdf#page=3","Abrir facsímil")</f>
        <v>Abrir facsímil</v>
      </c>
      <c r="K3317" s="3" t="s">
        <v>23</v>
      </c>
    </row>
    <row r="3318" spans="1:11" ht="42" customHeight="1">
      <c r="A3318" s="2" t="s">
        <v>6815</v>
      </c>
      <c r="B3318" s="2" t="s">
        <v>6815</v>
      </c>
      <c r="C3318" s="2" t="s">
        <v>35</v>
      </c>
      <c r="D3318" s="2" t="s">
        <v>36</v>
      </c>
      <c r="E3318" s="5">
        <v>-28936</v>
      </c>
      <c r="F3318" s="3" t="s">
        <v>167</v>
      </c>
      <c r="G3318" s="3" t="s">
        <v>20</v>
      </c>
      <c r="H3318" s="2" t="s">
        <v>21</v>
      </c>
      <c r="I3318" s="2" t="s">
        <v>6830</v>
      </c>
      <c r="J3318" s="3" t="str">
        <f>HYPERLINK("https://www.boe.es/gazeta/dias/1820/10/09/pdfs/GGB-1820-103.pdf#page=4","Abrir facsímil")</f>
        <v>Abrir facsímil</v>
      </c>
      <c r="K3318" s="3" t="s">
        <v>23</v>
      </c>
    </row>
    <row r="3319" spans="1:11" ht="42" customHeight="1">
      <c r="A3319" s="2" t="s">
        <v>6815</v>
      </c>
      <c r="B3319" s="2" t="s">
        <v>6815</v>
      </c>
      <c r="C3319" s="2" t="s">
        <v>47</v>
      </c>
      <c r="D3319" s="2" t="s">
        <v>18</v>
      </c>
      <c r="E3319" s="5">
        <v>-28934</v>
      </c>
      <c r="F3319" s="3" t="s">
        <v>163</v>
      </c>
      <c r="G3319" s="3" t="s">
        <v>20</v>
      </c>
      <c r="H3319" s="2" t="s">
        <v>21</v>
      </c>
      <c r="I3319" s="2" t="s">
        <v>6831</v>
      </c>
      <c r="J3319" s="3" t="str">
        <f>HYPERLINK("https://www.boe.es/gazeta/dias/1820/10/11/pdfs/GGB-1820-105.pdf#page=4","Abrir facsímil")</f>
        <v>Abrir facsímil</v>
      </c>
      <c r="K3319" s="3" t="s">
        <v>23</v>
      </c>
    </row>
    <row r="3320" spans="1:11" ht="42" customHeight="1">
      <c r="A3320" s="2" t="s">
        <v>6815</v>
      </c>
      <c r="B3320" s="2" t="s">
        <v>6815</v>
      </c>
      <c r="C3320" s="2" t="s">
        <v>74</v>
      </c>
      <c r="D3320" s="2" t="s">
        <v>18</v>
      </c>
      <c r="E3320" s="5">
        <v>-28932</v>
      </c>
      <c r="F3320" s="3" t="s">
        <v>407</v>
      </c>
      <c r="G3320" s="3" t="s">
        <v>62</v>
      </c>
      <c r="H3320" s="2" t="s">
        <v>21</v>
      </c>
      <c r="I3320" s="2" t="s">
        <v>6832</v>
      </c>
      <c r="J3320" s="3" t="str">
        <f>HYPERLINK("https://www.boe.es/gazeta/dias/1820/10/13/pdfs/GGB-1820-107.pdf#page=3","Abrir facsímil")</f>
        <v>Abrir facsímil</v>
      </c>
      <c r="K3320" s="3" t="s">
        <v>23</v>
      </c>
    </row>
    <row r="3321" spans="1:11" ht="42" customHeight="1">
      <c r="A3321" s="2" t="s">
        <v>6815</v>
      </c>
      <c r="B3321" s="2" t="s">
        <v>6815</v>
      </c>
      <c r="C3321" s="2" t="s">
        <v>26</v>
      </c>
      <c r="D3321" s="2" t="s">
        <v>27</v>
      </c>
      <c r="E3321" s="5">
        <v>-28931</v>
      </c>
      <c r="F3321" s="3" t="s">
        <v>724</v>
      </c>
      <c r="G3321" s="3" t="s">
        <v>725</v>
      </c>
      <c r="H3321" s="2" t="s">
        <v>21</v>
      </c>
      <c r="I3321" s="2" t="s">
        <v>6833</v>
      </c>
      <c r="J3321" s="3" t="str">
        <f>HYPERLINK("https://www.boe.es/gazeta/dias/1820/10/14/pdfs/GGB-1820-108.pdf#page=3","Abrir facsímil")</f>
        <v>Abrir facsímil</v>
      </c>
      <c r="K3321" s="3" t="s">
        <v>23</v>
      </c>
    </row>
    <row r="3322" spans="1:11" ht="42" customHeight="1">
      <c r="A3322" s="2" t="s">
        <v>6815</v>
      </c>
      <c r="B3322" s="2" t="s">
        <v>6815</v>
      </c>
      <c r="C3322" s="2" t="s">
        <v>35</v>
      </c>
      <c r="D3322" s="2" t="s">
        <v>36</v>
      </c>
      <c r="E3322" s="5">
        <v>-28928</v>
      </c>
      <c r="F3322" s="3" t="s">
        <v>86</v>
      </c>
      <c r="G3322" s="3" t="s">
        <v>62</v>
      </c>
      <c r="H3322" s="2" t="s">
        <v>21</v>
      </c>
      <c r="I3322" s="2" t="s">
        <v>6834</v>
      </c>
      <c r="J3322" s="3" t="str">
        <f>HYPERLINK("https://www.boe.es/gazeta/dias/1820/10/17/pdfs/GGB-1820-111.pdf#page=3","Abrir facsímil")</f>
        <v>Abrir facsímil</v>
      </c>
      <c r="K3322" s="3" t="s">
        <v>23</v>
      </c>
    </row>
    <row r="3323" spans="1:11" ht="42" customHeight="1">
      <c r="A3323" s="2" t="s">
        <v>6815</v>
      </c>
      <c r="B3323" s="2" t="s">
        <v>6815</v>
      </c>
      <c r="C3323" s="2" t="s">
        <v>74</v>
      </c>
      <c r="D3323" s="2" t="s">
        <v>18</v>
      </c>
      <c r="E3323" s="5">
        <v>-28924</v>
      </c>
      <c r="F3323" s="3" t="s">
        <v>78</v>
      </c>
      <c r="G3323" s="3" t="s">
        <v>20</v>
      </c>
      <c r="H3323" s="2" t="s">
        <v>21</v>
      </c>
      <c r="I3323" s="2" t="s">
        <v>6835</v>
      </c>
      <c r="J3323" s="3" t="str">
        <f>HYPERLINK("https://www.boe.es/gazeta/dias/1820/10/21/pdfs/GGB-1820-115.pdf#page=4","Abrir facsímil")</f>
        <v>Abrir facsímil</v>
      </c>
      <c r="K3323" s="3" t="s">
        <v>23</v>
      </c>
    </row>
    <row r="3324" spans="1:11" ht="42" customHeight="1">
      <c r="A3324" s="2" t="s">
        <v>6815</v>
      </c>
      <c r="B3324" s="2" t="s">
        <v>6815</v>
      </c>
      <c r="C3324" s="2" t="s">
        <v>74</v>
      </c>
      <c r="D3324" s="2" t="s">
        <v>18</v>
      </c>
      <c r="E3324" s="5">
        <v>-28918</v>
      </c>
      <c r="F3324" s="3" t="s">
        <v>160</v>
      </c>
      <c r="G3324" s="3" t="s">
        <v>62</v>
      </c>
      <c r="H3324" s="2" t="s">
        <v>21</v>
      </c>
      <c r="I3324" s="2" t="s">
        <v>6836</v>
      </c>
      <c r="J3324" s="3" t="str">
        <f>HYPERLINK("https://www.boe.es/gazeta/dias/1820/10/27/pdfs/GGB-1820-121.pdf#page=3","Abrir facsímil")</f>
        <v>Abrir facsímil</v>
      </c>
      <c r="K3324" s="3" t="s">
        <v>23</v>
      </c>
    </row>
    <row r="3325" spans="1:11" ht="42" customHeight="1">
      <c r="A3325" s="2" t="s">
        <v>6815</v>
      </c>
      <c r="B3325" s="2" t="s">
        <v>6815</v>
      </c>
      <c r="C3325" s="2" t="s">
        <v>107</v>
      </c>
      <c r="D3325" s="2" t="s">
        <v>18</v>
      </c>
      <c r="E3325" s="5">
        <v>-28864</v>
      </c>
      <c r="F3325" s="3" t="s">
        <v>1275</v>
      </c>
      <c r="G3325" s="3" t="s">
        <v>62</v>
      </c>
      <c r="H3325" s="2" t="s">
        <v>21</v>
      </c>
      <c r="I3325" s="2" t="s">
        <v>6837</v>
      </c>
      <c r="J3325" s="3" t="str">
        <f>HYPERLINK("https://www.boe.es/gazeta/dias/1820/12/20/pdfs/GGB-1820-177.pdf#page=3","Abrir facsímil")</f>
        <v>Abrir facsímil</v>
      </c>
      <c r="K3325" s="3" t="s">
        <v>23</v>
      </c>
    </row>
    <row r="3326" spans="1:11" ht="42" customHeight="1">
      <c r="A3326" s="2" t="s">
        <v>6838</v>
      </c>
      <c r="B3326" s="2" t="s">
        <v>6839</v>
      </c>
      <c r="C3326" s="2" t="s">
        <v>35</v>
      </c>
      <c r="D3326" s="2" t="s">
        <v>36</v>
      </c>
      <c r="E3326" s="5">
        <v>-28886</v>
      </c>
      <c r="F3326" s="3" t="s">
        <v>874</v>
      </c>
      <c r="G3326" s="3" t="s">
        <v>62</v>
      </c>
      <c r="H3326" s="2" t="s">
        <v>21</v>
      </c>
      <c r="I3326" s="2" t="s">
        <v>6840</v>
      </c>
      <c r="J3326" s="3" t="str">
        <f>HYPERLINK("https://www.boe.es/gazeta/dias/1820/11/28/pdfs/GGB-1820-155.pdf#page=3","Abrir facsímil")</f>
        <v>Abrir facsímil</v>
      </c>
      <c r="K3326" s="3" t="s">
        <v>23</v>
      </c>
    </row>
    <row r="3327" spans="1:11" ht="42" customHeight="1">
      <c r="A3327" s="2" t="s">
        <v>6838</v>
      </c>
      <c r="B3327" s="2" t="s">
        <v>6839</v>
      </c>
      <c r="C3327" s="2" t="s">
        <v>107</v>
      </c>
      <c r="D3327" s="2" t="s">
        <v>18</v>
      </c>
      <c r="E3327" s="5">
        <v>-28861</v>
      </c>
      <c r="F3327" s="3" t="s">
        <v>894</v>
      </c>
      <c r="G3327" s="3" t="s">
        <v>43</v>
      </c>
      <c r="H3327" s="2" t="s">
        <v>21</v>
      </c>
      <c r="I3327" s="2" t="s">
        <v>6841</v>
      </c>
      <c r="J3327" s="3" t="str">
        <f>HYPERLINK("https://www.boe.es/gazeta/dias/1820/12/23/pdfs/GGB-1820-180.pdf#page=2","Abrir facsímil")</f>
        <v>Abrir facsímil</v>
      </c>
      <c r="K3327" s="3" t="s">
        <v>23</v>
      </c>
    </row>
    <row r="3328" spans="1:11" ht="42" customHeight="1">
      <c r="A3328" s="2" t="s">
        <v>6842</v>
      </c>
      <c r="B3328" s="2" t="s">
        <v>6843</v>
      </c>
      <c r="C3328" s="2" t="s">
        <v>35</v>
      </c>
      <c r="D3328" s="2" t="s">
        <v>36</v>
      </c>
      <c r="E3328" s="5">
        <v>-28947</v>
      </c>
      <c r="F3328" s="3" t="s">
        <v>127</v>
      </c>
      <c r="G3328" s="3" t="s">
        <v>62</v>
      </c>
      <c r="H3328" s="2" t="s">
        <v>21</v>
      </c>
      <c r="I3328" s="2" t="s">
        <v>6844</v>
      </c>
      <c r="J3328" s="3" t="str">
        <f>HYPERLINK("https://www.boe.es/gazeta/dias/1820/09/28/pdfs/GGB-1820-92.pdf#page=3","Abrir facsímil")</f>
        <v>Abrir facsímil</v>
      </c>
      <c r="K3328" s="3" t="s">
        <v>23</v>
      </c>
    </row>
    <row r="3329" spans="1:11" ht="42" customHeight="1">
      <c r="A3329" s="2" t="s">
        <v>6845</v>
      </c>
      <c r="B3329" s="2" t="s">
        <v>6845</v>
      </c>
      <c r="C3329" s="2" t="s">
        <v>107</v>
      </c>
      <c r="D3329" s="2" t="s">
        <v>18</v>
      </c>
      <c r="E3329" s="5">
        <v>-29014</v>
      </c>
      <c r="F3329" s="3" t="s">
        <v>70</v>
      </c>
      <c r="G3329" s="3" t="s">
        <v>62</v>
      </c>
      <c r="H3329" s="2" t="s">
        <v>21</v>
      </c>
      <c r="I3329" s="2" t="s">
        <v>6846</v>
      </c>
      <c r="J3329" s="3" t="str">
        <f>HYPERLINK("https://www.boe.es/gazeta/dias/1820/07/23/pdfs/GGB-1820-25.pdf#page=3","Abrir facsímil")</f>
        <v>Abrir facsímil</v>
      </c>
      <c r="K3329" s="3" t="s">
        <v>23</v>
      </c>
    </row>
    <row r="3330" spans="1:11" ht="42" customHeight="1">
      <c r="A3330" s="2" t="s">
        <v>6847</v>
      </c>
      <c r="B3330" s="2" t="s">
        <v>6847</v>
      </c>
      <c r="C3330" s="2" t="s">
        <v>17</v>
      </c>
      <c r="D3330" s="2" t="s">
        <v>18</v>
      </c>
      <c r="E3330" s="5">
        <v>-28879</v>
      </c>
      <c r="F3330" s="3" t="s">
        <v>953</v>
      </c>
      <c r="G3330" s="3" t="s">
        <v>128</v>
      </c>
      <c r="H3330" s="2" t="s">
        <v>21</v>
      </c>
      <c r="I3330" s="2" t="s">
        <v>6848</v>
      </c>
      <c r="J3330" s="3" t="str">
        <f>HYPERLINK("https://www.boe.es/gazeta/dias/1820/12/05/pdfs/GGB-1820-162.pdf#page=1","Abrir facsímil")</f>
        <v>Abrir facsímil</v>
      </c>
      <c r="K3330" s="3" t="s">
        <v>23</v>
      </c>
    </row>
    <row r="3331" spans="1:11" ht="42" customHeight="1">
      <c r="A3331" s="2" t="s">
        <v>6849</v>
      </c>
      <c r="B3331" s="2" t="s">
        <v>6850</v>
      </c>
      <c r="C3331" s="2" t="s">
        <v>17</v>
      </c>
      <c r="D3331" s="2" t="s">
        <v>18</v>
      </c>
      <c r="E3331" s="5">
        <v>-28941</v>
      </c>
      <c r="F3331" s="3" t="s">
        <v>1727</v>
      </c>
      <c r="G3331" s="3" t="s">
        <v>62</v>
      </c>
      <c r="H3331" s="2" t="s">
        <v>21</v>
      </c>
      <c r="I3331" s="2" t="s">
        <v>6851</v>
      </c>
      <c r="J3331" s="3" t="str">
        <f>HYPERLINK("https://www.boe.es/gazeta/dias/1820/10/04/pdfs/GGB-1820-98.pdf#page=3","Abrir facsímil")</f>
        <v>Abrir facsímil</v>
      </c>
      <c r="K3331" s="3" t="s">
        <v>23</v>
      </c>
    </row>
    <row r="3332" spans="1:11" ht="42" customHeight="1">
      <c r="A3332" s="2" t="s">
        <v>6852</v>
      </c>
      <c r="B3332" s="2" t="s">
        <v>6853</v>
      </c>
      <c r="C3332" s="2" t="s">
        <v>293</v>
      </c>
      <c r="D3332" s="2" t="s">
        <v>18</v>
      </c>
      <c r="E3332" s="5">
        <v>-28891</v>
      </c>
      <c r="F3332" s="3" t="s">
        <v>965</v>
      </c>
      <c r="G3332" s="3" t="s">
        <v>20</v>
      </c>
      <c r="H3332" s="2" t="s">
        <v>21</v>
      </c>
      <c r="I3332" s="2" t="s">
        <v>6854</v>
      </c>
      <c r="J3332" s="3" t="str">
        <f>HYPERLINK("https://www.boe.es/gazeta/dias/1820/11/23/pdfs/GGB-1820-150.pdf#page=4","Abrir facsímil")</f>
        <v>Abrir facsímil</v>
      </c>
      <c r="K3332" s="3" t="s">
        <v>23</v>
      </c>
    </row>
    <row r="3333" spans="1:11" ht="42" customHeight="1">
      <c r="A3333" s="2" t="s">
        <v>6855</v>
      </c>
      <c r="B3333" s="2" t="s">
        <v>6856</v>
      </c>
      <c r="C3333" s="2" t="s">
        <v>293</v>
      </c>
      <c r="D3333" s="2" t="s">
        <v>18</v>
      </c>
      <c r="E3333" s="5">
        <v>-29185</v>
      </c>
      <c r="F3333" s="3" t="s">
        <v>772</v>
      </c>
      <c r="G3333" s="3" t="s">
        <v>773</v>
      </c>
      <c r="H3333" s="2" t="s">
        <v>21</v>
      </c>
      <c r="I3333" s="2" t="s">
        <v>6857</v>
      </c>
      <c r="J3333" s="3" t="str">
        <f>HYPERLINK("https://www.boe.es/gazeta/dias/1820/02/03/pdfs/GMD-1820-15.pdf#page=8","Abrir facsímil")</f>
        <v>Abrir facsímil</v>
      </c>
      <c r="K3333" s="3" t="s">
        <v>23</v>
      </c>
    </row>
    <row r="3334" spans="1:11" ht="42" customHeight="1">
      <c r="A3334" s="2" t="s">
        <v>6855</v>
      </c>
      <c r="B3334" s="2" t="s">
        <v>6856</v>
      </c>
      <c r="C3334" s="2" t="s">
        <v>293</v>
      </c>
      <c r="D3334" s="2" t="s">
        <v>18</v>
      </c>
      <c r="E3334" s="5">
        <v>-29178</v>
      </c>
      <c r="F3334" s="3" t="s">
        <v>782</v>
      </c>
      <c r="G3334" s="3" t="s">
        <v>6087</v>
      </c>
      <c r="H3334" s="2" t="s">
        <v>21</v>
      </c>
      <c r="I3334" s="2" t="s">
        <v>6858</v>
      </c>
      <c r="J3334" s="3" t="str">
        <f>HYPERLINK("https://www.boe.es/gazeta/dias/1820/02/10/pdfs/GMD-1820-18.pdf#page=8","Abrir facsímil")</f>
        <v>Abrir facsímil</v>
      </c>
      <c r="K3334" s="3" t="s">
        <v>23</v>
      </c>
    </row>
    <row r="3335" spans="1:11" ht="42" customHeight="1">
      <c r="A3335" s="2" t="s">
        <v>6855</v>
      </c>
      <c r="B3335" s="2" t="s">
        <v>6856</v>
      </c>
      <c r="C3335" s="2" t="s">
        <v>17</v>
      </c>
      <c r="D3335" s="2" t="s">
        <v>18</v>
      </c>
      <c r="E3335" s="5">
        <v>-29021</v>
      </c>
      <c r="F3335" s="3" t="s">
        <v>377</v>
      </c>
      <c r="G3335" s="3" t="s">
        <v>20</v>
      </c>
      <c r="H3335" s="2" t="s">
        <v>21</v>
      </c>
      <c r="I3335" s="2" t="s">
        <v>6859</v>
      </c>
      <c r="J3335" s="3" t="str">
        <f>HYPERLINK("https://www.boe.es/gazeta/dias/1820/07/16/pdfs/GGB-1820-18.pdf#page=4","Abrir facsímil")</f>
        <v>Abrir facsímil</v>
      </c>
      <c r="K3335" s="3" t="s">
        <v>23</v>
      </c>
    </row>
    <row r="3336" spans="1:11" ht="42" customHeight="1">
      <c r="A3336" s="2" t="s">
        <v>6860</v>
      </c>
      <c r="B3336" s="2" t="s">
        <v>6861</v>
      </c>
      <c r="C3336" s="2" t="s">
        <v>47</v>
      </c>
      <c r="D3336" s="2" t="s">
        <v>18</v>
      </c>
      <c r="E3336" s="5">
        <v>-29171</v>
      </c>
      <c r="F3336" s="3" t="s">
        <v>764</v>
      </c>
      <c r="G3336" s="3" t="s">
        <v>3896</v>
      </c>
      <c r="H3336" s="2" t="s">
        <v>21</v>
      </c>
      <c r="I3336" s="2" t="s">
        <v>6862</v>
      </c>
      <c r="J3336" s="3" t="str">
        <f>HYPERLINK("https://www.boe.es/gazeta/dias/1820/02/17/pdfs/GMD-1820-21.pdf#page=6","Abrir facsímil")</f>
        <v>Abrir facsímil</v>
      </c>
      <c r="K3336" s="3" t="s">
        <v>23</v>
      </c>
    </row>
    <row r="3337" spans="1:11" ht="42" customHeight="1">
      <c r="A3337" s="2" t="s">
        <v>6863</v>
      </c>
      <c r="B3337" s="2" t="s">
        <v>6864</v>
      </c>
      <c r="C3337" s="2" t="s">
        <v>47</v>
      </c>
      <c r="D3337" s="2" t="s">
        <v>18</v>
      </c>
      <c r="E3337" s="5">
        <v>-29043</v>
      </c>
      <c r="F3337" s="3" t="s">
        <v>5696</v>
      </c>
      <c r="G3337" s="3" t="s">
        <v>201</v>
      </c>
      <c r="H3337" s="2" t="s">
        <v>30</v>
      </c>
      <c r="I3337" s="2" t="s">
        <v>6865</v>
      </c>
      <c r="J3337" s="3" t="str">
        <f>HYPERLINK("https://www.boe.es/gazeta/dias/1820/06/24/pdfs/GMD-1820-98.pdf#page=7","Abrir facsímil")</f>
        <v>Abrir facsímil</v>
      </c>
      <c r="K3337" s="3" t="s">
        <v>32</v>
      </c>
    </row>
    <row r="3338" spans="1:11" ht="42" customHeight="1">
      <c r="A3338" s="2" t="s">
        <v>6866</v>
      </c>
      <c r="B3338" s="2" t="s">
        <v>6867</v>
      </c>
      <c r="C3338" s="2" t="s">
        <v>17</v>
      </c>
      <c r="D3338" s="2" t="s">
        <v>18</v>
      </c>
      <c r="E3338" s="5">
        <v>-28889</v>
      </c>
      <c r="F3338" s="3" t="s">
        <v>777</v>
      </c>
      <c r="G3338" s="3" t="s">
        <v>778</v>
      </c>
      <c r="H3338" s="2" t="s">
        <v>30</v>
      </c>
      <c r="I3338" s="2" t="s">
        <v>6868</v>
      </c>
      <c r="J3338" s="3" t="str">
        <f>HYPERLINK("https://www.boe.es/gazeta/dias/1820/11/25/pdfs/GGB-1820-152.pdf#page=4","Abrir facsímil")</f>
        <v>Abrir facsímil</v>
      </c>
      <c r="K3338" s="3" t="s">
        <v>32</v>
      </c>
    </row>
    <row r="3339" spans="1:11" ht="42" customHeight="1">
      <c r="A3339" s="2" t="s">
        <v>6869</v>
      </c>
      <c r="B3339" s="2" t="s">
        <v>6870</v>
      </c>
      <c r="C3339" s="2" t="s">
        <v>35</v>
      </c>
      <c r="D3339" s="2" t="s">
        <v>36</v>
      </c>
      <c r="E3339" s="5">
        <v>-29120</v>
      </c>
      <c r="F3339" s="3" t="s">
        <v>852</v>
      </c>
      <c r="G3339" s="3" t="s">
        <v>201</v>
      </c>
      <c r="H3339" s="2" t="s">
        <v>30</v>
      </c>
      <c r="I3339" s="2" t="s">
        <v>6871</v>
      </c>
      <c r="J3339" s="3" t="str">
        <f>HYPERLINK("https://www.boe.es/gazeta/dias/1820/04/08/pdfs/GMD-1820-63.pdf#page=7","Abrir facsímil")</f>
        <v>Abrir facsímil</v>
      </c>
      <c r="K3339" s="3" t="s">
        <v>32</v>
      </c>
    </row>
    <row r="3340" spans="1:11" ht="42" customHeight="1">
      <c r="A3340" s="2" t="s">
        <v>6872</v>
      </c>
      <c r="B3340" s="2" t="s">
        <v>6873</v>
      </c>
      <c r="C3340" s="2" t="s">
        <v>74</v>
      </c>
      <c r="D3340" s="2" t="s">
        <v>18</v>
      </c>
      <c r="E3340" s="5">
        <v>-28947</v>
      </c>
      <c r="F3340" s="3" t="s">
        <v>127</v>
      </c>
      <c r="G3340" s="3" t="s">
        <v>62</v>
      </c>
      <c r="H3340" s="2" t="s">
        <v>30</v>
      </c>
      <c r="I3340" s="2" t="s">
        <v>6874</v>
      </c>
      <c r="J3340" s="3" t="str">
        <f>HYPERLINK("https://www.boe.es/gazeta/dias/1820/09/28/pdfs/GGB-1820-92.pdf#page=3","Abrir facsímil")</f>
        <v>Abrir facsímil</v>
      </c>
      <c r="K3340" s="3" t="s">
        <v>32</v>
      </c>
    </row>
    <row r="3341" spans="1:11" ht="42" customHeight="1">
      <c r="A3341" s="2" t="s">
        <v>6875</v>
      </c>
      <c r="B3341" s="2" t="s">
        <v>6876</v>
      </c>
      <c r="C3341" s="2" t="s">
        <v>111</v>
      </c>
      <c r="D3341" s="2" t="s">
        <v>18</v>
      </c>
      <c r="E3341" s="5">
        <v>-29197</v>
      </c>
      <c r="F3341" s="3" t="s">
        <v>48</v>
      </c>
      <c r="G3341" s="3" t="s">
        <v>201</v>
      </c>
      <c r="H3341" s="2" t="s">
        <v>30</v>
      </c>
      <c r="I3341" s="2" t="s">
        <v>6877</v>
      </c>
      <c r="J3341" s="3" t="str">
        <f>HYPERLINK("https://www.boe.es/gazeta/dias/1820/01/22/pdfs/GMD-1820-10.pdf#page=7","Abrir facsímil")</f>
        <v>Abrir facsímil</v>
      </c>
      <c r="K3341" s="3" t="s">
        <v>32</v>
      </c>
    </row>
    <row r="3342" spans="1:11" ht="42" customHeight="1">
      <c r="A3342" s="2" t="s">
        <v>6878</v>
      </c>
      <c r="B3342" s="2" t="s">
        <v>6878</v>
      </c>
      <c r="C3342" s="2" t="s">
        <v>26</v>
      </c>
      <c r="D3342" s="2" t="s">
        <v>27</v>
      </c>
      <c r="E3342" s="5">
        <v>-29183</v>
      </c>
      <c r="F3342" s="3" t="s">
        <v>476</v>
      </c>
      <c r="G3342" s="3" t="s">
        <v>256</v>
      </c>
      <c r="H3342" s="2" t="s">
        <v>21</v>
      </c>
      <c r="I3342" s="2" t="s">
        <v>6879</v>
      </c>
      <c r="J3342" s="3" t="str">
        <f>HYPERLINK("https://www.boe.es/gazeta/dias/1820/02/05/pdfs/GMD-1820-16.pdf#page=5","Abrir facsímil")</f>
        <v>Abrir facsímil</v>
      </c>
      <c r="K3342" s="3" t="s">
        <v>23</v>
      </c>
    </row>
    <row r="3343" spans="1:11" ht="42" customHeight="1">
      <c r="A3343" s="2" t="s">
        <v>6878</v>
      </c>
      <c r="B3343" s="2" t="s">
        <v>6878</v>
      </c>
      <c r="C3343" s="2" t="s">
        <v>35</v>
      </c>
      <c r="D3343" s="2" t="s">
        <v>36</v>
      </c>
      <c r="E3343" s="5">
        <v>-29117</v>
      </c>
      <c r="F3343" s="3" t="s">
        <v>1451</v>
      </c>
      <c r="G3343" s="3" t="s">
        <v>1452</v>
      </c>
      <c r="H3343" s="2" t="s">
        <v>21</v>
      </c>
      <c r="I3343" s="2" t="s">
        <v>6880</v>
      </c>
      <c r="J3343" s="3" t="str">
        <f>HYPERLINK("https://www.boe.es/gazeta/dias/1820/04/11/pdfs/GMD-1820-64.pdf#page=8","Abrir facsímil")</f>
        <v>Abrir facsímil</v>
      </c>
      <c r="K3343" s="3" t="s">
        <v>23</v>
      </c>
    </row>
    <row r="3344" spans="1:11" ht="42" customHeight="1">
      <c r="A3344" s="2" t="s">
        <v>6878</v>
      </c>
      <c r="B3344" s="2" t="s">
        <v>6878</v>
      </c>
      <c r="C3344" s="2" t="s">
        <v>26</v>
      </c>
      <c r="D3344" s="2" t="s">
        <v>27</v>
      </c>
      <c r="E3344" s="5">
        <v>-29115</v>
      </c>
      <c r="F3344" s="3" t="s">
        <v>289</v>
      </c>
      <c r="G3344" s="3" t="s">
        <v>142</v>
      </c>
      <c r="H3344" s="2" t="s">
        <v>21</v>
      </c>
      <c r="I3344" s="2" t="s">
        <v>6881</v>
      </c>
      <c r="J3344" s="3" t="str">
        <f>HYPERLINK("https://www.boe.es/gazeta/dias/1820/04/13/pdfs/GMD-1820-65.pdf#page=8","Abrir facsímil")</f>
        <v>Abrir facsímil</v>
      </c>
      <c r="K3344" s="3" t="s">
        <v>23</v>
      </c>
    </row>
    <row r="3345" spans="1:11" ht="42" customHeight="1">
      <c r="A3345" s="2" t="s">
        <v>6878</v>
      </c>
      <c r="B3345" s="2" t="s">
        <v>6878</v>
      </c>
      <c r="C3345" s="2" t="s">
        <v>17</v>
      </c>
      <c r="D3345" s="2" t="s">
        <v>18</v>
      </c>
      <c r="E3345" s="5">
        <v>-28992</v>
      </c>
      <c r="F3345" s="3" t="s">
        <v>587</v>
      </c>
      <c r="G3345" s="3" t="s">
        <v>128</v>
      </c>
      <c r="H3345" s="2" t="s">
        <v>21</v>
      </c>
      <c r="I3345" s="2" t="s">
        <v>6882</v>
      </c>
      <c r="J3345" s="3" t="str">
        <f>HYPERLINK("https://www.boe.es/gazeta/dias/1820/08/14/pdfs/GGB-1820-47.pdf#page=1","Abrir facsímil")</f>
        <v>Abrir facsímil</v>
      </c>
      <c r="K3345" s="3" t="s">
        <v>23</v>
      </c>
    </row>
    <row r="3346" spans="1:11" ht="42" customHeight="1">
      <c r="A3346" s="2" t="s">
        <v>6878</v>
      </c>
      <c r="B3346" s="2" t="s">
        <v>6878</v>
      </c>
      <c r="C3346" s="2" t="s">
        <v>111</v>
      </c>
      <c r="D3346" s="2" t="s">
        <v>18</v>
      </c>
      <c r="E3346" s="5">
        <v>-28936</v>
      </c>
      <c r="F3346" s="3" t="s">
        <v>167</v>
      </c>
      <c r="G3346" s="3" t="s">
        <v>20</v>
      </c>
      <c r="H3346" s="2" t="s">
        <v>21</v>
      </c>
      <c r="I3346" s="2" t="s">
        <v>6883</v>
      </c>
      <c r="J3346" s="3" t="str">
        <f>HYPERLINK("https://www.boe.es/gazeta/dias/1820/10/09/pdfs/GGB-1820-103.pdf#page=4","Abrir facsímil")</f>
        <v>Abrir facsímil</v>
      </c>
      <c r="K3346" s="3" t="s">
        <v>23</v>
      </c>
    </row>
    <row r="3347" spans="1:11" ht="42" customHeight="1">
      <c r="A3347" s="2" t="s">
        <v>6884</v>
      </c>
      <c r="B3347" s="2" t="s">
        <v>6885</v>
      </c>
      <c r="C3347" s="2" t="s">
        <v>35</v>
      </c>
      <c r="D3347" s="2" t="s">
        <v>36</v>
      </c>
      <c r="E3347" s="5">
        <v>-28948</v>
      </c>
      <c r="F3347" s="3" t="s">
        <v>1069</v>
      </c>
      <c r="G3347" s="3" t="s">
        <v>20</v>
      </c>
      <c r="H3347" s="2" t="s">
        <v>21</v>
      </c>
      <c r="I3347" s="2" t="s">
        <v>6886</v>
      </c>
      <c r="J3347" s="3" t="str">
        <f>HYPERLINK("https://www.boe.es/gazeta/dias/1820/09/27/pdfs/GGB-1820-91.pdf#page=4","Abrir facsímil")</f>
        <v>Abrir facsímil</v>
      </c>
      <c r="K3347" s="3" t="s">
        <v>23</v>
      </c>
    </row>
    <row r="3348" spans="1:11" ht="42" customHeight="1">
      <c r="A3348" s="2" t="s">
        <v>6887</v>
      </c>
      <c r="B3348" s="2" t="s">
        <v>6888</v>
      </c>
      <c r="C3348" s="2" t="s">
        <v>111</v>
      </c>
      <c r="D3348" s="2" t="s">
        <v>18</v>
      </c>
      <c r="E3348" s="5">
        <v>-29075</v>
      </c>
      <c r="F3348" s="3" t="s">
        <v>1186</v>
      </c>
      <c r="G3348" s="3" t="s">
        <v>479</v>
      </c>
      <c r="H3348" s="2" t="s">
        <v>30</v>
      </c>
      <c r="I3348" s="2" t="s">
        <v>6889</v>
      </c>
      <c r="J3348" s="3" t="str">
        <f>HYPERLINK("https://www.boe.es/gazeta/dias/1820/05/23/pdfs/GMD-1820-84.pdf#page=12","Abrir facsímil")</f>
        <v>Abrir facsímil</v>
      </c>
      <c r="K3348" s="3" t="s">
        <v>32</v>
      </c>
    </row>
    <row r="3349" spans="1:11" ht="42" customHeight="1">
      <c r="A3349" s="2" t="s">
        <v>6890</v>
      </c>
      <c r="B3349" s="2" t="s">
        <v>6891</v>
      </c>
      <c r="C3349" s="2" t="s">
        <v>26</v>
      </c>
      <c r="D3349" s="2" t="s">
        <v>27</v>
      </c>
      <c r="E3349" s="5">
        <v>-28945</v>
      </c>
      <c r="F3349" s="3" t="s">
        <v>99</v>
      </c>
      <c r="G3349" s="3" t="s">
        <v>43</v>
      </c>
      <c r="H3349" s="2" t="s">
        <v>21</v>
      </c>
      <c r="I3349" s="2" t="s">
        <v>6892</v>
      </c>
      <c r="J3349" s="3" t="str">
        <f>HYPERLINK("https://www.boe.es/gazeta/dias/1820/09/30/pdfs/GGB-1820-94.pdf#page=2","Abrir facsímil")</f>
        <v>Abrir facsímil</v>
      </c>
      <c r="K3349" s="3" t="s">
        <v>23</v>
      </c>
    </row>
    <row r="3350" spans="1:11" ht="42" customHeight="1">
      <c r="A3350" s="2" t="s">
        <v>6893</v>
      </c>
      <c r="B3350" s="2" t="s">
        <v>6894</v>
      </c>
      <c r="C3350" s="2" t="s">
        <v>35</v>
      </c>
      <c r="D3350" s="2" t="s">
        <v>36</v>
      </c>
      <c r="E3350" s="5">
        <v>-28985</v>
      </c>
      <c r="F3350" s="3" t="s">
        <v>905</v>
      </c>
      <c r="G3350" s="3" t="s">
        <v>928</v>
      </c>
      <c r="H3350" s="2" t="s">
        <v>21</v>
      </c>
      <c r="I3350" s="2" t="s">
        <v>6895</v>
      </c>
      <c r="J3350" s="3" t="str">
        <f>HYPERLINK("https://www.boe.es/gazeta/dias/1820/08/21/pdfs/GGB-1820-54.pdf#page=4","Abrir facsímil")</f>
        <v>Abrir facsímil</v>
      </c>
      <c r="K3350" s="3" t="s">
        <v>23</v>
      </c>
    </row>
    <row r="3351" spans="1:11" ht="42" customHeight="1">
      <c r="A3351" s="2" t="s">
        <v>6893</v>
      </c>
      <c r="B3351" s="2" t="s">
        <v>6894</v>
      </c>
      <c r="C3351" s="2" t="s">
        <v>26</v>
      </c>
      <c r="D3351" s="2" t="s">
        <v>27</v>
      </c>
      <c r="E3351" s="5">
        <v>-28898</v>
      </c>
      <c r="F3351" s="3" t="s">
        <v>1405</v>
      </c>
      <c r="G3351" s="3" t="s">
        <v>62</v>
      </c>
      <c r="H3351" s="2" t="s">
        <v>21</v>
      </c>
      <c r="I3351" s="2" t="s">
        <v>6896</v>
      </c>
      <c r="J3351" s="3" t="str">
        <f>HYPERLINK("https://www.boe.es/gazeta/dias/1820/11/16/pdfs/GGB-1820-142.pdf#page=3","Abrir facsímil")</f>
        <v>Abrir facsímil</v>
      </c>
      <c r="K3351" s="3" t="s">
        <v>23</v>
      </c>
    </row>
    <row r="3352" spans="1:11" ht="42" customHeight="1">
      <c r="A3352" s="2" t="s">
        <v>6897</v>
      </c>
      <c r="B3352" s="2" t="s">
        <v>6898</v>
      </c>
      <c r="C3352" s="2" t="s">
        <v>35</v>
      </c>
      <c r="D3352" s="2" t="s">
        <v>310</v>
      </c>
      <c r="E3352" s="5">
        <v>-29140</v>
      </c>
      <c r="F3352" s="3" t="s">
        <v>533</v>
      </c>
      <c r="G3352" s="3" t="s">
        <v>43</v>
      </c>
      <c r="H3352" s="2" t="s">
        <v>21</v>
      </c>
      <c r="I3352" s="2" t="s">
        <v>6899</v>
      </c>
      <c r="J3352" s="3" t="str">
        <f>HYPERLINK("https://www.boe.es/gazeta/dias/1820/03/19/pdfs/GMD-1820-45E.pdf#page=2","Abrir facsímil")</f>
        <v>Abrir facsímil</v>
      </c>
      <c r="K3352" s="3" t="s">
        <v>23</v>
      </c>
    </row>
    <row r="3353" spans="1:11" ht="42" customHeight="1">
      <c r="A3353" s="2" t="s">
        <v>6897</v>
      </c>
      <c r="B3353" s="2" t="s">
        <v>6898</v>
      </c>
      <c r="C3353" s="2" t="s">
        <v>74</v>
      </c>
      <c r="D3353" s="2" t="s">
        <v>18</v>
      </c>
      <c r="E3353" s="5">
        <v>-29085</v>
      </c>
      <c r="F3353" s="3" t="s">
        <v>1502</v>
      </c>
      <c r="G3353" s="3" t="s">
        <v>6900</v>
      </c>
      <c r="H3353" s="2" t="s">
        <v>21</v>
      </c>
      <c r="I3353" s="2" t="s">
        <v>6901</v>
      </c>
      <c r="J3353" s="3" t="str">
        <f>HYPERLINK("https://www.boe.es/gazeta/dias/1820/05/13/pdfs/GMD-1820-79.pdf#page=10","Abrir facsímil")</f>
        <v>Abrir facsímil</v>
      </c>
      <c r="K3353" s="3" t="s">
        <v>23</v>
      </c>
    </row>
    <row r="3354" spans="1:11" ht="42" customHeight="1">
      <c r="A3354" s="2" t="s">
        <v>6897</v>
      </c>
      <c r="B3354" s="2" t="s">
        <v>6898</v>
      </c>
      <c r="C3354" s="2" t="s">
        <v>35</v>
      </c>
      <c r="D3354" s="2" t="s">
        <v>36</v>
      </c>
      <c r="E3354" s="5">
        <v>-28939</v>
      </c>
      <c r="F3354" s="3" t="s">
        <v>992</v>
      </c>
      <c r="G3354" s="3" t="s">
        <v>20</v>
      </c>
      <c r="H3354" s="2" t="s">
        <v>21</v>
      </c>
      <c r="I3354" s="2" t="s">
        <v>6902</v>
      </c>
      <c r="J3354" s="3" t="str">
        <f>HYPERLINK("https://www.boe.es/gazeta/dias/1820/10/06/pdfs/GGB-1820-100.pdf#page=4","Abrir facsímil")</f>
        <v>Abrir facsímil</v>
      </c>
      <c r="K3354" s="3" t="s">
        <v>23</v>
      </c>
    </row>
    <row r="3355" spans="1:11" ht="42" customHeight="1">
      <c r="A3355" s="2" t="s">
        <v>6897</v>
      </c>
      <c r="B3355" s="2" t="s">
        <v>6898</v>
      </c>
      <c r="C3355" s="2" t="s">
        <v>26</v>
      </c>
      <c r="D3355" s="2" t="s">
        <v>27</v>
      </c>
      <c r="E3355" s="5">
        <v>-28936</v>
      </c>
      <c r="F3355" s="3" t="s">
        <v>167</v>
      </c>
      <c r="G3355" s="3" t="s">
        <v>20</v>
      </c>
      <c r="H3355" s="2" t="s">
        <v>21</v>
      </c>
      <c r="I3355" s="2" t="s">
        <v>6903</v>
      </c>
      <c r="J3355" s="3" t="str">
        <f>HYPERLINK("https://www.boe.es/gazeta/dias/1820/10/09/pdfs/GGB-1820-103.pdf#page=4","Abrir facsímil")</f>
        <v>Abrir facsímil</v>
      </c>
      <c r="K3355" s="3" t="s">
        <v>23</v>
      </c>
    </row>
    <row r="3356" spans="1:11" ht="42" customHeight="1">
      <c r="A3356" s="2" t="s">
        <v>6897</v>
      </c>
      <c r="B3356" s="2" t="s">
        <v>6898</v>
      </c>
      <c r="C3356" s="2" t="s">
        <v>26</v>
      </c>
      <c r="D3356" s="2" t="s">
        <v>27</v>
      </c>
      <c r="E3356" s="5">
        <v>-28904</v>
      </c>
      <c r="F3356" s="3" t="s">
        <v>541</v>
      </c>
      <c r="G3356" s="3" t="s">
        <v>20</v>
      </c>
      <c r="H3356" s="2" t="s">
        <v>21</v>
      </c>
      <c r="I3356" s="2" t="s">
        <v>6904</v>
      </c>
      <c r="J3356" s="3" t="str">
        <f>HYPERLINK("https://www.boe.es/gazeta/dias/1820/11/10/pdfs/GGB-1820-136.pdf#page=4","Abrir facsímil")</f>
        <v>Abrir facsímil</v>
      </c>
      <c r="K3356" s="3" t="s">
        <v>23</v>
      </c>
    </row>
    <row r="3357" spans="1:11" ht="42" customHeight="1">
      <c r="A3357" s="2" t="s">
        <v>6897</v>
      </c>
      <c r="B3357" s="2" t="s">
        <v>6898</v>
      </c>
      <c r="C3357" s="2" t="s">
        <v>26</v>
      </c>
      <c r="D3357" s="2" t="s">
        <v>27</v>
      </c>
      <c r="E3357" s="5">
        <v>-28898</v>
      </c>
      <c r="F3357" s="3" t="s">
        <v>1405</v>
      </c>
      <c r="G3357" s="3" t="s">
        <v>20</v>
      </c>
      <c r="H3357" s="2" t="s">
        <v>21</v>
      </c>
      <c r="I3357" s="2" t="s">
        <v>6905</v>
      </c>
      <c r="J3357" s="3" t="str">
        <f>HYPERLINK("https://www.boe.es/gazeta/dias/1820/11/16/pdfs/GGB-1820-142.pdf#page=4","Abrir facsímil")</f>
        <v>Abrir facsímil</v>
      </c>
      <c r="K3357" s="3" t="s">
        <v>23</v>
      </c>
    </row>
    <row r="3358" spans="1:11" ht="42" customHeight="1">
      <c r="A3358" s="2" t="s">
        <v>6897</v>
      </c>
      <c r="B3358" s="2" t="s">
        <v>6898</v>
      </c>
      <c r="C3358" s="2" t="s">
        <v>26</v>
      </c>
      <c r="D3358" s="2" t="s">
        <v>27</v>
      </c>
      <c r="E3358" s="5">
        <v>-28895</v>
      </c>
      <c r="F3358" s="3" t="s">
        <v>347</v>
      </c>
      <c r="G3358" s="3" t="s">
        <v>20</v>
      </c>
      <c r="H3358" s="2" t="s">
        <v>21</v>
      </c>
      <c r="I3358" s="2" t="s">
        <v>6906</v>
      </c>
      <c r="J3358" s="3" t="str">
        <f>HYPERLINK("https://www.boe.es/gazeta/dias/1820/11/19/pdfs/GGB-1820-146.pdf#page=4","Abrir facsímil")</f>
        <v>Abrir facsímil</v>
      </c>
      <c r="K3358" s="3" t="s">
        <v>23</v>
      </c>
    </row>
    <row r="3359" spans="1:11" ht="42" customHeight="1">
      <c r="A3359" s="2" t="s">
        <v>6897</v>
      </c>
      <c r="B3359" s="2" t="s">
        <v>6898</v>
      </c>
      <c r="C3359" s="2" t="s">
        <v>35</v>
      </c>
      <c r="D3359" s="2" t="s">
        <v>36</v>
      </c>
      <c r="E3359" s="5">
        <v>-28892</v>
      </c>
      <c r="F3359" s="3" t="s">
        <v>3036</v>
      </c>
      <c r="G3359" s="3" t="s">
        <v>62</v>
      </c>
      <c r="H3359" s="2" t="s">
        <v>21</v>
      </c>
      <c r="I3359" s="2" t="s">
        <v>6907</v>
      </c>
      <c r="J3359" s="3" t="str">
        <f>HYPERLINK("https://www.boe.es/gazeta/dias/1820/11/22/pdfs/GGB-1820-149.pdf#page=3","Abrir facsímil")</f>
        <v>Abrir facsímil</v>
      </c>
      <c r="K3359" s="3" t="s">
        <v>23</v>
      </c>
    </row>
    <row r="3360" spans="1:11" ht="42" customHeight="1">
      <c r="A3360" s="2" t="s">
        <v>6897</v>
      </c>
      <c r="B3360" s="2" t="s">
        <v>6898</v>
      </c>
      <c r="C3360" s="2" t="s">
        <v>35</v>
      </c>
      <c r="D3360" s="2" t="s">
        <v>36</v>
      </c>
      <c r="E3360" s="5">
        <v>-28889</v>
      </c>
      <c r="F3360" s="3" t="s">
        <v>777</v>
      </c>
      <c r="G3360" s="3" t="s">
        <v>62</v>
      </c>
      <c r="H3360" s="2" t="s">
        <v>21</v>
      </c>
      <c r="I3360" s="2" t="s">
        <v>6908</v>
      </c>
      <c r="J3360" s="3" t="str">
        <f>HYPERLINK("https://www.boe.es/gazeta/dias/1820/11/25/pdfs/GGB-1820-152.pdf#page=3","Abrir facsímil")</f>
        <v>Abrir facsímil</v>
      </c>
      <c r="K3360" s="3" t="s">
        <v>23</v>
      </c>
    </row>
    <row r="3361" spans="1:11" ht="42" customHeight="1">
      <c r="A3361" s="2" t="s">
        <v>6897</v>
      </c>
      <c r="B3361" s="2" t="s">
        <v>6898</v>
      </c>
      <c r="C3361" s="2" t="s">
        <v>17</v>
      </c>
      <c r="D3361" s="2" t="s">
        <v>18</v>
      </c>
      <c r="E3361" s="5">
        <v>-28885</v>
      </c>
      <c r="F3361" s="3" t="s">
        <v>2588</v>
      </c>
      <c r="G3361" s="3" t="s">
        <v>4924</v>
      </c>
      <c r="H3361" s="2" t="s">
        <v>21</v>
      </c>
      <c r="I3361" s="2" t="s">
        <v>6909</v>
      </c>
      <c r="J3361" s="3" t="str">
        <f>HYPERLINK("https://www.boe.es/gazeta/dias/1820/11/29/pdfs/GGB-1820-156.pdf#page=3","Abrir facsímil")</f>
        <v>Abrir facsímil</v>
      </c>
      <c r="K3361" s="3" t="s">
        <v>23</v>
      </c>
    </row>
    <row r="3362" spans="1:11" ht="42" customHeight="1">
      <c r="A3362" s="2" t="s">
        <v>6910</v>
      </c>
      <c r="B3362" s="2" t="s">
        <v>6911</v>
      </c>
      <c r="C3362" s="2" t="s">
        <v>74</v>
      </c>
      <c r="D3362" s="2" t="s">
        <v>18</v>
      </c>
      <c r="E3362" s="5">
        <v>-29085</v>
      </c>
      <c r="F3362" s="3" t="s">
        <v>1502</v>
      </c>
      <c r="G3362" s="3" t="s">
        <v>196</v>
      </c>
      <c r="H3362" s="2" t="s">
        <v>21</v>
      </c>
      <c r="I3362" s="2" t="s">
        <v>6912</v>
      </c>
      <c r="J3362" s="3" t="str">
        <f>HYPERLINK("https://www.boe.es/gazeta/dias/1820/05/13/pdfs/GMD-1820-79.pdf#page=11","Abrir facsímil")</f>
        <v>Abrir facsímil</v>
      </c>
      <c r="K3362" s="3" t="s">
        <v>23</v>
      </c>
    </row>
    <row r="3363" spans="1:11" ht="42" customHeight="1">
      <c r="A3363" s="2" t="s">
        <v>6913</v>
      </c>
      <c r="B3363" s="2" t="s">
        <v>6914</v>
      </c>
      <c r="C3363" s="2" t="s">
        <v>26</v>
      </c>
      <c r="D3363" s="2" t="s">
        <v>27</v>
      </c>
      <c r="E3363" s="5">
        <v>-29183</v>
      </c>
      <c r="F3363" s="3" t="s">
        <v>476</v>
      </c>
      <c r="G3363" s="3" t="s">
        <v>256</v>
      </c>
      <c r="H3363" s="2" t="s">
        <v>21</v>
      </c>
      <c r="I3363" s="2" t="s">
        <v>6915</v>
      </c>
      <c r="J3363" s="3" t="str">
        <f>HYPERLINK("https://www.boe.es/gazeta/dias/1820/02/05/pdfs/GMD-1820-16.pdf#page=5","Abrir facsímil")</f>
        <v>Abrir facsímil</v>
      </c>
      <c r="K3363" s="3" t="s">
        <v>23</v>
      </c>
    </row>
    <row r="3364" spans="1:11" ht="42" customHeight="1">
      <c r="A3364" s="2" t="s">
        <v>6916</v>
      </c>
      <c r="B3364" s="2" t="s">
        <v>6916</v>
      </c>
      <c r="C3364" s="2" t="s">
        <v>35</v>
      </c>
      <c r="D3364" s="2" t="s">
        <v>36</v>
      </c>
      <c r="E3364" s="5">
        <v>-28943</v>
      </c>
      <c r="F3364" s="3" t="s">
        <v>1403</v>
      </c>
      <c r="G3364" s="3" t="s">
        <v>128</v>
      </c>
      <c r="H3364" s="2" t="s">
        <v>21</v>
      </c>
      <c r="I3364" s="2" t="s">
        <v>6917</v>
      </c>
      <c r="J3364" s="3" t="str">
        <f>HYPERLINK("https://www.boe.es/gazeta/dias/1820/10/02/pdfs/GGB-1820-96.pdf#page=1","Abrir facsímil")</f>
        <v>Abrir facsímil</v>
      </c>
      <c r="K3364" s="3" t="s">
        <v>23</v>
      </c>
    </row>
    <row r="3365" spans="1:11" ht="42" customHeight="1">
      <c r="A3365" s="2" t="s">
        <v>6918</v>
      </c>
      <c r="B3365" s="2" t="s">
        <v>6918</v>
      </c>
      <c r="C3365" s="2" t="s">
        <v>26</v>
      </c>
      <c r="D3365" s="2" t="s">
        <v>27</v>
      </c>
      <c r="E3365" s="5">
        <v>-28858</v>
      </c>
      <c r="F3365" s="3" t="s">
        <v>117</v>
      </c>
      <c r="G3365" s="3" t="s">
        <v>128</v>
      </c>
      <c r="H3365" s="2" t="s">
        <v>21</v>
      </c>
      <c r="I3365" s="2" t="s">
        <v>6919</v>
      </c>
      <c r="J3365" s="3" t="str">
        <f>HYPERLINK("https://www.boe.es/gazeta/dias/1820/12/26/pdfs/GGB-1820-183.pdf#page=1","Abrir facsímil")</f>
        <v>Abrir facsímil</v>
      </c>
      <c r="K3365" s="3" t="s">
        <v>23</v>
      </c>
    </row>
    <row r="3366" spans="1:11" ht="42" customHeight="1">
      <c r="A3366" s="2" t="s">
        <v>6920</v>
      </c>
      <c r="B3366" s="2" t="s">
        <v>6920</v>
      </c>
      <c r="C3366" s="2" t="s">
        <v>35</v>
      </c>
      <c r="D3366" s="2" t="s">
        <v>36</v>
      </c>
      <c r="E3366" s="5">
        <v>-28901</v>
      </c>
      <c r="F3366" s="3" t="s">
        <v>1492</v>
      </c>
      <c r="G3366" s="3" t="s">
        <v>20</v>
      </c>
      <c r="H3366" s="2" t="s">
        <v>21</v>
      </c>
      <c r="I3366" s="2" t="s">
        <v>6921</v>
      </c>
      <c r="J3366" s="3" t="str">
        <f>HYPERLINK("https://www.boe.es/gazeta/dias/1820/11/13/pdfs/GGB-1820-139.pdf#page=4","Abrir facsímil")</f>
        <v>Abrir facsímil</v>
      </c>
      <c r="K3366" s="3" t="s">
        <v>23</v>
      </c>
    </row>
    <row r="3367" spans="1:11" ht="42" customHeight="1">
      <c r="A3367" s="2" t="s">
        <v>6922</v>
      </c>
      <c r="B3367" s="2" t="s">
        <v>6922</v>
      </c>
      <c r="C3367" s="2" t="s">
        <v>35</v>
      </c>
      <c r="D3367" s="2" t="s">
        <v>36</v>
      </c>
      <c r="E3367" s="5">
        <v>-29136</v>
      </c>
      <c r="F3367" s="3" t="s">
        <v>2972</v>
      </c>
      <c r="G3367" s="3" t="s">
        <v>295</v>
      </c>
      <c r="H3367" s="2" t="s">
        <v>21</v>
      </c>
      <c r="I3367" s="2" t="s">
        <v>6923</v>
      </c>
      <c r="J3367" s="3" t="str">
        <f>HYPERLINK("https://www.boe.es/gazeta/dias/1820/03/23/pdfs/GMD-1820-51.pdf#page=8","Abrir facsímil")</f>
        <v>Abrir facsímil</v>
      </c>
      <c r="K3367" s="3" t="s">
        <v>23</v>
      </c>
    </row>
    <row r="3368" spans="1:11" ht="42" customHeight="1">
      <c r="A3368" s="2" t="s">
        <v>6922</v>
      </c>
      <c r="B3368" s="2" t="s">
        <v>6922</v>
      </c>
      <c r="C3368" s="2" t="s">
        <v>35</v>
      </c>
      <c r="D3368" s="2" t="s">
        <v>36</v>
      </c>
      <c r="E3368" s="5">
        <v>-28901</v>
      </c>
      <c r="F3368" s="3" t="s">
        <v>1492</v>
      </c>
      <c r="G3368" s="3" t="s">
        <v>20</v>
      </c>
      <c r="H3368" s="2" t="s">
        <v>21</v>
      </c>
      <c r="I3368" s="2" t="s">
        <v>6924</v>
      </c>
      <c r="J3368" s="3" t="str">
        <f>HYPERLINK("https://www.boe.es/gazeta/dias/1820/11/13/pdfs/GGB-1820-139.pdf#page=4","Abrir facsímil")</f>
        <v>Abrir facsímil</v>
      </c>
      <c r="K3368" s="3" t="s">
        <v>23</v>
      </c>
    </row>
    <row r="3369" spans="1:11" ht="42" customHeight="1">
      <c r="A3369" s="2" t="s">
        <v>6925</v>
      </c>
      <c r="B3369" s="2" t="s">
        <v>6926</v>
      </c>
      <c r="C3369" s="2" t="s">
        <v>17</v>
      </c>
      <c r="D3369" s="2" t="s">
        <v>18</v>
      </c>
      <c r="E3369" s="5">
        <v>-28866</v>
      </c>
      <c r="F3369" s="3" t="s">
        <v>507</v>
      </c>
      <c r="G3369" s="3" t="s">
        <v>62</v>
      </c>
      <c r="H3369" s="2" t="s">
        <v>21</v>
      </c>
      <c r="I3369" s="2" t="s">
        <v>6927</v>
      </c>
      <c r="J3369" s="3" t="str">
        <f>HYPERLINK("https://www.boe.es/gazeta/dias/1820/12/18/pdfs/GGB-1820-175.pdf#page=3","Abrir facsímil")</f>
        <v>Abrir facsímil</v>
      </c>
      <c r="K3369" s="3" t="s">
        <v>23</v>
      </c>
    </row>
    <row r="3370" spans="1:11" ht="42" customHeight="1">
      <c r="A3370" s="2" t="s">
        <v>6928</v>
      </c>
      <c r="B3370" s="2" t="s">
        <v>6928</v>
      </c>
      <c r="C3370" s="2" t="s">
        <v>47</v>
      </c>
      <c r="D3370" s="2" t="s">
        <v>18</v>
      </c>
      <c r="E3370" s="5">
        <v>-28991</v>
      </c>
      <c r="F3370" s="3" t="s">
        <v>213</v>
      </c>
      <c r="G3370" s="3" t="s">
        <v>214</v>
      </c>
      <c r="H3370" s="2" t="s">
        <v>21</v>
      </c>
      <c r="I3370" s="2" t="s">
        <v>6929</v>
      </c>
      <c r="J3370" s="3" t="str">
        <f>HYPERLINK("https://www.boe.es/gazeta/dias/1820/08/15/pdfs/GGB-1820-48.pdf#page=2","Abrir facsímil")</f>
        <v>Abrir facsímil</v>
      </c>
      <c r="K3370" s="3" t="s">
        <v>23</v>
      </c>
    </row>
    <row r="3371" spans="1:11" ht="42" customHeight="1">
      <c r="A3371" s="2" t="s">
        <v>6930</v>
      </c>
      <c r="B3371" s="2" t="s">
        <v>6930</v>
      </c>
      <c r="C3371" s="2" t="s">
        <v>74</v>
      </c>
      <c r="D3371" s="2" t="s">
        <v>18</v>
      </c>
      <c r="E3371" s="5">
        <v>-28973</v>
      </c>
      <c r="F3371" s="3" t="s">
        <v>151</v>
      </c>
      <c r="G3371" s="3" t="s">
        <v>43</v>
      </c>
      <c r="H3371" s="2" t="s">
        <v>21</v>
      </c>
      <c r="I3371" s="2" t="s">
        <v>6931</v>
      </c>
      <c r="J3371" s="3" t="str">
        <f>HYPERLINK("https://www.boe.es/gazeta/dias/1820/09/02/pdfs/GGB-1820-66.pdf#page=2","Abrir facsímil")</f>
        <v>Abrir facsímil</v>
      </c>
      <c r="K3371" s="3" t="s">
        <v>23</v>
      </c>
    </row>
    <row r="3372" spans="1:11" ht="42" customHeight="1">
      <c r="A3372" s="2" t="s">
        <v>6932</v>
      </c>
      <c r="B3372" s="2" t="s">
        <v>6933</v>
      </c>
      <c r="C3372" s="2" t="s">
        <v>111</v>
      </c>
      <c r="D3372" s="2" t="s">
        <v>18</v>
      </c>
      <c r="E3372" s="5">
        <v>-29036</v>
      </c>
      <c r="F3372" s="3" t="s">
        <v>1167</v>
      </c>
      <c r="G3372" s="3" t="s">
        <v>20</v>
      </c>
      <c r="H3372" s="2" t="s">
        <v>21</v>
      </c>
      <c r="I3372" s="2" t="s">
        <v>6934</v>
      </c>
      <c r="J3372" s="3" t="str">
        <f>HYPERLINK("https://www.boe.es/gazeta/dias/1820/07/01/pdfs/GGB-1820-1.pdf#page=4","Abrir facsímil")</f>
        <v>Abrir facsímil</v>
      </c>
      <c r="K3372" s="3" t="s">
        <v>23</v>
      </c>
    </row>
    <row r="3373" spans="1:11" ht="42" customHeight="1">
      <c r="A3373" s="2" t="s">
        <v>6935</v>
      </c>
      <c r="B3373" s="2" t="s">
        <v>6936</v>
      </c>
      <c r="C3373" s="2" t="s">
        <v>26</v>
      </c>
      <c r="D3373" s="2" t="s">
        <v>27</v>
      </c>
      <c r="E3373" s="5">
        <v>-29120</v>
      </c>
      <c r="F3373" s="3" t="s">
        <v>852</v>
      </c>
      <c r="G3373" s="3" t="s">
        <v>295</v>
      </c>
      <c r="H3373" s="2" t="s">
        <v>21</v>
      </c>
      <c r="I3373" s="2" t="s">
        <v>6937</v>
      </c>
      <c r="J3373" s="3" t="str">
        <f>HYPERLINK("https://www.boe.es/gazeta/dias/1820/04/08/pdfs/GMD-1820-63.pdf#page=8","Abrir facsímil")</f>
        <v>Abrir facsímil</v>
      </c>
      <c r="K3373" s="3" t="s">
        <v>23</v>
      </c>
    </row>
    <row r="3374" spans="1:11" ht="42" customHeight="1">
      <c r="A3374" s="2" t="s">
        <v>6938</v>
      </c>
      <c r="B3374" s="2" t="s">
        <v>6939</v>
      </c>
      <c r="C3374" s="2" t="s">
        <v>17</v>
      </c>
      <c r="D3374" s="2" t="s">
        <v>18</v>
      </c>
      <c r="E3374" s="5">
        <v>-28898</v>
      </c>
      <c r="F3374" s="3" t="s">
        <v>1405</v>
      </c>
      <c r="G3374" s="3" t="s">
        <v>62</v>
      </c>
      <c r="H3374" s="2" t="s">
        <v>21</v>
      </c>
      <c r="I3374" s="2" t="s">
        <v>6940</v>
      </c>
      <c r="J3374" s="3" t="str">
        <f>HYPERLINK("https://www.boe.es/gazeta/dias/1820/11/16/pdfs/GGB-1820-142.pdf#page=3","Abrir facsímil")</f>
        <v>Abrir facsímil</v>
      </c>
      <c r="K3374" s="3" t="s">
        <v>23</v>
      </c>
    </row>
    <row r="3375" spans="1:11" ht="42" customHeight="1">
      <c r="A3375" s="2" t="s">
        <v>6941</v>
      </c>
      <c r="B3375" s="2" t="s">
        <v>6941</v>
      </c>
      <c r="C3375" s="2" t="s">
        <v>293</v>
      </c>
      <c r="D3375" s="2" t="s">
        <v>18</v>
      </c>
      <c r="E3375" s="5">
        <v>-29073</v>
      </c>
      <c r="F3375" s="3" t="s">
        <v>1928</v>
      </c>
      <c r="G3375" s="3" t="s">
        <v>128</v>
      </c>
      <c r="H3375" s="2" t="s">
        <v>21</v>
      </c>
      <c r="I3375" s="2" t="s">
        <v>6942</v>
      </c>
      <c r="J3375" s="3" t="str">
        <f>HYPERLINK("https://www.boe.es/gazeta/dias/1820/05/25/pdfs/GMD-1820-85.pdf#page=1","Abrir facsímil")</f>
        <v>Abrir facsímil</v>
      </c>
      <c r="K3375" s="3" t="s">
        <v>23</v>
      </c>
    </row>
    <row r="3376" spans="1:11" ht="42" customHeight="1">
      <c r="A3376" s="2" t="s">
        <v>6943</v>
      </c>
      <c r="B3376" s="2" t="s">
        <v>6943</v>
      </c>
      <c r="C3376" s="2" t="s">
        <v>74</v>
      </c>
      <c r="D3376" s="2" t="s">
        <v>18</v>
      </c>
      <c r="E3376" s="5">
        <v>-28894</v>
      </c>
      <c r="F3376" s="3" t="s">
        <v>469</v>
      </c>
      <c r="G3376" s="3" t="s">
        <v>62</v>
      </c>
      <c r="H3376" s="2" t="s">
        <v>21</v>
      </c>
      <c r="I3376" s="2" t="s">
        <v>6944</v>
      </c>
      <c r="J3376" s="3" t="str">
        <f>HYPERLINK("https://www.boe.es/gazeta/dias/1820/11/20/pdfs/GGB-1820-147.pdf#page=3","Abrir facsímil")</f>
        <v>Abrir facsímil</v>
      </c>
      <c r="K3376" s="3" t="s">
        <v>23</v>
      </c>
    </row>
    <row r="3377" spans="1:11" ht="42" customHeight="1">
      <c r="A3377" s="2" t="s">
        <v>6945</v>
      </c>
      <c r="B3377" s="2" t="s">
        <v>6946</v>
      </c>
      <c r="C3377" s="2" t="s">
        <v>35</v>
      </c>
      <c r="D3377" s="2" t="s">
        <v>36</v>
      </c>
      <c r="E3377" s="5">
        <v>-28894</v>
      </c>
      <c r="F3377" s="3" t="s">
        <v>469</v>
      </c>
      <c r="G3377" s="3" t="s">
        <v>62</v>
      </c>
      <c r="H3377" s="2" t="s">
        <v>21</v>
      </c>
      <c r="I3377" s="2" t="s">
        <v>6947</v>
      </c>
      <c r="J3377" s="3" t="str">
        <f>HYPERLINK("https://www.boe.es/gazeta/dias/1820/11/20/pdfs/GGB-1820-147.pdf#page=3","Abrir facsímil")</f>
        <v>Abrir facsímil</v>
      </c>
      <c r="K3377" s="3" t="s">
        <v>23</v>
      </c>
    </row>
    <row r="3378" spans="1:11" ht="42" customHeight="1">
      <c r="A3378" s="2" t="s">
        <v>6948</v>
      </c>
      <c r="B3378" s="2" t="s">
        <v>6949</v>
      </c>
      <c r="C3378" s="2" t="s">
        <v>35</v>
      </c>
      <c r="D3378" s="2" t="s">
        <v>36</v>
      </c>
      <c r="E3378" s="5">
        <v>-28924</v>
      </c>
      <c r="F3378" s="3" t="s">
        <v>78</v>
      </c>
      <c r="G3378" s="3" t="s">
        <v>20</v>
      </c>
      <c r="H3378" s="2" t="s">
        <v>30</v>
      </c>
      <c r="I3378" s="2" t="s">
        <v>6950</v>
      </c>
      <c r="J3378" s="3" t="str">
        <f>HYPERLINK("https://www.boe.es/gazeta/dias/1820/10/21/pdfs/GGB-1820-115.pdf#page=4","Abrir facsímil")</f>
        <v>Abrir facsímil</v>
      </c>
      <c r="K3378" s="3" t="s">
        <v>32</v>
      </c>
    </row>
    <row r="3379" spans="1:11" ht="42" customHeight="1">
      <c r="A3379" s="2" t="s">
        <v>6951</v>
      </c>
      <c r="B3379" s="2" t="s">
        <v>6951</v>
      </c>
      <c r="C3379" s="2" t="s">
        <v>17</v>
      </c>
      <c r="D3379" s="2" t="s">
        <v>18</v>
      </c>
      <c r="E3379" s="5">
        <v>-28935</v>
      </c>
      <c r="F3379" s="3" t="s">
        <v>2464</v>
      </c>
      <c r="G3379" s="3" t="s">
        <v>62</v>
      </c>
      <c r="H3379" s="2" t="s">
        <v>21</v>
      </c>
      <c r="I3379" s="2" t="s">
        <v>6952</v>
      </c>
      <c r="J3379" s="3" t="str">
        <f>HYPERLINK("https://www.boe.es/gazeta/dias/1820/10/10/pdfs/GGB-1820-104.pdf#page=3","Abrir facsímil")</f>
        <v>Abrir facsímil</v>
      </c>
      <c r="K3379" s="3" t="s">
        <v>23</v>
      </c>
    </row>
    <row r="3380" spans="1:11" ht="42" customHeight="1">
      <c r="A3380" s="2" t="s">
        <v>6953</v>
      </c>
      <c r="B3380" s="2" t="s">
        <v>6953</v>
      </c>
      <c r="C3380" s="2" t="s">
        <v>74</v>
      </c>
      <c r="D3380" s="2" t="s">
        <v>18</v>
      </c>
      <c r="E3380" s="5">
        <v>-29016</v>
      </c>
      <c r="F3380" s="3" t="s">
        <v>657</v>
      </c>
      <c r="G3380" s="3" t="s">
        <v>62</v>
      </c>
      <c r="H3380" s="2" t="s">
        <v>21</v>
      </c>
      <c r="I3380" s="2" t="s">
        <v>6954</v>
      </c>
      <c r="J3380" s="3" t="str">
        <f>HYPERLINK("https://www.boe.es/gazeta/dias/1820/07/21/pdfs/GGB-1820-23.pdf#page=3","Abrir facsímil")</f>
        <v>Abrir facsímil</v>
      </c>
      <c r="K3380" s="3" t="s">
        <v>23</v>
      </c>
    </row>
    <row r="3381" spans="1:11" ht="42" customHeight="1">
      <c r="A3381" s="2" t="s">
        <v>6953</v>
      </c>
      <c r="B3381" s="2" t="s">
        <v>6953</v>
      </c>
      <c r="C3381" s="2" t="s">
        <v>111</v>
      </c>
      <c r="D3381" s="2" t="s">
        <v>18</v>
      </c>
      <c r="E3381" s="5">
        <v>-29016</v>
      </c>
      <c r="F3381" s="3" t="s">
        <v>657</v>
      </c>
      <c r="G3381" s="3" t="s">
        <v>20</v>
      </c>
      <c r="H3381" s="2" t="s">
        <v>21</v>
      </c>
      <c r="I3381" s="2" t="s">
        <v>6955</v>
      </c>
      <c r="J3381" s="3" t="str">
        <f>HYPERLINK("https://www.boe.es/gazeta/dias/1820/07/21/pdfs/GGB-1820-23.pdf#page=4","Abrir facsímil")</f>
        <v>Abrir facsímil</v>
      </c>
      <c r="K3381" s="3" t="s">
        <v>23</v>
      </c>
    </row>
    <row r="3382" spans="1:11" ht="42" customHeight="1">
      <c r="A3382" s="2" t="s">
        <v>6953</v>
      </c>
      <c r="B3382" s="2" t="s">
        <v>6953</v>
      </c>
      <c r="C3382" s="2" t="s">
        <v>74</v>
      </c>
      <c r="D3382" s="2" t="s">
        <v>18</v>
      </c>
      <c r="E3382" s="5">
        <v>-28995</v>
      </c>
      <c r="F3382" s="3" t="s">
        <v>672</v>
      </c>
      <c r="G3382" s="3" t="s">
        <v>20</v>
      </c>
      <c r="H3382" s="2" t="s">
        <v>21</v>
      </c>
      <c r="I3382" s="2" t="s">
        <v>6956</v>
      </c>
      <c r="J3382" s="3" t="str">
        <f>HYPERLINK("https://www.boe.es/gazeta/dias/1820/08/11/pdfs/GGB-1820-44.pdf#page=4","Abrir facsímil")</f>
        <v>Abrir facsímil</v>
      </c>
      <c r="K3382" s="3" t="s">
        <v>23</v>
      </c>
    </row>
    <row r="3383" spans="1:11" ht="42" customHeight="1">
      <c r="A3383" s="2" t="s">
        <v>6953</v>
      </c>
      <c r="B3383" s="2" t="s">
        <v>6953</v>
      </c>
      <c r="C3383" s="2" t="s">
        <v>74</v>
      </c>
      <c r="D3383" s="2" t="s">
        <v>18</v>
      </c>
      <c r="E3383" s="5">
        <v>-28975</v>
      </c>
      <c r="F3383" s="3" t="s">
        <v>182</v>
      </c>
      <c r="G3383" s="3" t="s">
        <v>62</v>
      </c>
      <c r="H3383" s="2" t="s">
        <v>21</v>
      </c>
      <c r="I3383" s="2" t="s">
        <v>6957</v>
      </c>
      <c r="J3383" s="3" t="str">
        <f>HYPERLINK("https://www.boe.es/gazeta/dias/1820/08/31/pdfs/GGB-1820-64.pdf#page=3","Abrir facsímil")</f>
        <v>Abrir facsímil</v>
      </c>
      <c r="K3383" s="3" t="s">
        <v>23</v>
      </c>
    </row>
    <row r="3384" spans="1:11" ht="42" customHeight="1">
      <c r="A3384" s="2" t="s">
        <v>6953</v>
      </c>
      <c r="B3384" s="2" t="s">
        <v>6953</v>
      </c>
      <c r="C3384" s="2" t="s">
        <v>74</v>
      </c>
      <c r="D3384" s="2" t="s">
        <v>18</v>
      </c>
      <c r="E3384" s="5">
        <v>-28957</v>
      </c>
      <c r="F3384" s="3" t="s">
        <v>361</v>
      </c>
      <c r="G3384" s="3" t="s">
        <v>708</v>
      </c>
      <c r="H3384" s="2" t="s">
        <v>21</v>
      </c>
      <c r="I3384" s="2" t="s">
        <v>6958</v>
      </c>
      <c r="J3384" s="3" t="str">
        <f>HYPERLINK("https://www.boe.es/gazeta/dias/1820/09/18/pdfs/GGB-1820-82.pdf#page=4","Abrir facsímil")</f>
        <v>Abrir facsímil</v>
      </c>
      <c r="K3384" s="3" t="s">
        <v>23</v>
      </c>
    </row>
    <row r="3385" spans="1:11" ht="42" customHeight="1">
      <c r="A3385" s="2" t="s">
        <v>6953</v>
      </c>
      <c r="B3385" s="2" t="s">
        <v>6953</v>
      </c>
      <c r="C3385" s="2" t="s">
        <v>74</v>
      </c>
      <c r="D3385" s="2" t="s">
        <v>18</v>
      </c>
      <c r="E3385" s="5">
        <v>-28940</v>
      </c>
      <c r="F3385" s="3" t="s">
        <v>141</v>
      </c>
      <c r="G3385" s="3" t="s">
        <v>43</v>
      </c>
      <c r="H3385" s="2" t="s">
        <v>21</v>
      </c>
      <c r="I3385" s="2" t="s">
        <v>6959</v>
      </c>
      <c r="J3385" s="3" t="str">
        <f>HYPERLINK("https://www.boe.es/gazeta/dias/1820/10/05/pdfs/GGB-1820-99.pdf#page=2","Abrir facsímil")</f>
        <v>Abrir facsímil</v>
      </c>
      <c r="K3385" s="3" t="s">
        <v>23</v>
      </c>
    </row>
    <row r="3386" spans="1:11" ht="42" customHeight="1">
      <c r="A3386" s="2" t="s">
        <v>6953</v>
      </c>
      <c r="B3386" s="2" t="s">
        <v>6953</v>
      </c>
      <c r="C3386" s="2" t="s">
        <v>35</v>
      </c>
      <c r="D3386" s="2" t="s">
        <v>36</v>
      </c>
      <c r="E3386" s="5">
        <v>-28937</v>
      </c>
      <c r="F3386" s="3" t="s">
        <v>4254</v>
      </c>
      <c r="G3386" s="3" t="s">
        <v>6960</v>
      </c>
      <c r="H3386" s="2" t="s">
        <v>21</v>
      </c>
      <c r="I3386" s="2" t="s">
        <v>6961</v>
      </c>
      <c r="J3386" s="3" t="str">
        <f>HYPERLINK("https://www.boe.es/gazeta/dias/1820/10/08/pdfs/GGB-1820-102.pdf#page=2","Abrir facsímil")</f>
        <v>Abrir facsímil</v>
      </c>
      <c r="K3386" s="3" t="s">
        <v>23</v>
      </c>
    </row>
    <row r="3387" spans="1:11" ht="42" customHeight="1">
      <c r="A3387" s="2" t="s">
        <v>6953</v>
      </c>
      <c r="B3387" s="2" t="s">
        <v>6953</v>
      </c>
      <c r="C3387" s="2" t="s">
        <v>111</v>
      </c>
      <c r="D3387" s="2" t="s">
        <v>18</v>
      </c>
      <c r="E3387" s="5">
        <v>-28935</v>
      </c>
      <c r="F3387" s="3" t="s">
        <v>2464</v>
      </c>
      <c r="G3387" s="3" t="s">
        <v>62</v>
      </c>
      <c r="H3387" s="2" t="s">
        <v>21</v>
      </c>
      <c r="I3387" s="2" t="s">
        <v>6962</v>
      </c>
      <c r="J3387" s="3" t="str">
        <f>HYPERLINK("https://www.boe.es/gazeta/dias/1820/10/10/pdfs/GGB-1820-104.pdf#page=3","Abrir facsímil")</f>
        <v>Abrir facsímil</v>
      </c>
      <c r="K3387" s="3" t="s">
        <v>23</v>
      </c>
    </row>
    <row r="3388" spans="1:11" ht="42" customHeight="1">
      <c r="A3388" s="2" t="s">
        <v>6953</v>
      </c>
      <c r="B3388" s="2" t="s">
        <v>6953</v>
      </c>
      <c r="C3388" s="2" t="s">
        <v>74</v>
      </c>
      <c r="D3388" s="2" t="s">
        <v>18</v>
      </c>
      <c r="E3388" s="5">
        <v>-28932</v>
      </c>
      <c r="F3388" s="3" t="s">
        <v>407</v>
      </c>
      <c r="G3388" s="3" t="s">
        <v>62</v>
      </c>
      <c r="H3388" s="2" t="s">
        <v>21</v>
      </c>
      <c r="I3388" s="2" t="s">
        <v>6963</v>
      </c>
      <c r="J3388" s="3" t="str">
        <f>HYPERLINK("https://www.boe.es/gazeta/dias/1820/10/13/pdfs/GGB-1820-107.pdf#page=3","Abrir facsímil")</f>
        <v>Abrir facsímil</v>
      </c>
      <c r="K3388" s="3" t="s">
        <v>23</v>
      </c>
    </row>
    <row r="3389" spans="1:11" ht="42" customHeight="1">
      <c r="A3389" s="2" t="s">
        <v>6953</v>
      </c>
      <c r="B3389" s="2" t="s">
        <v>6953</v>
      </c>
      <c r="C3389" s="2" t="s">
        <v>293</v>
      </c>
      <c r="D3389" s="2" t="s">
        <v>18</v>
      </c>
      <c r="E3389" s="5">
        <v>-28929</v>
      </c>
      <c r="F3389" s="3" t="s">
        <v>728</v>
      </c>
      <c r="G3389" s="3" t="s">
        <v>62</v>
      </c>
      <c r="H3389" s="2" t="s">
        <v>21</v>
      </c>
      <c r="I3389" s="2" t="s">
        <v>6964</v>
      </c>
      <c r="J3389" s="3" t="str">
        <f>HYPERLINK("https://www.boe.es/gazeta/dias/1820/10/16/pdfs/GGB-1820-110.pdf#page=3","Abrir facsímil")</f>
        <v>Abrir facsímil</v>
      </c>
      <c r="K3389" s="3" t="s">
        <v>23</v>
      </c>
    </row>
    <row r="3390" spans="1:11" ht="42" customHeight="1">
      <c r="A3390" s="2" t="s">
        <v>6953</v>
      </c>
      <c r="B3390" s="2" t="s">
        <v>6953</v>
      </c>
      <c r="C3390" s="2" t="s">
        <v>17</v>
      </c>
      <c r="D3390" s="2" t="s">
        <v>18</v>
      </c>
      <c r="E3390" s="5">
        <v>-28922</v>
      </c>
      <c r="F3390" s="3" t="s">
        <v>735</v>
      </c>
      <c r="G3390" s="3" t="s">
        <v>43</v>
      </c>
      <c r="H3390" s="2" t="s">
        <v>21</v>
      </c>
      <c r="I3390" s="2" t="s">
        <v>6965</v>
      </c>
      <c r="J3390" s="3" t="str">
        <f>HYPERLINK("https://www.boe.es/gazeta/dias/1820/10/23/pdfs/GGB-1820-117.pdf#page=2","Abrir facsímil")</f>
        <v>Abrir facsímil</v>
      </c>
      <c r="K3390" s="3" t="s">
        <v>23</v>
      </c>
    </row>
    <row r="3391" spans="1:11" ht="42" customHeight="1">
      <c r="A3391" s="2" t="s">
        <v>6953</v>
      </c>
      <c r="B3391" s="2" t="s">
        <v>6953</v>
      </c>
      <c r="C3391" s="2" t="s">
        <v>111</v>
      </c>
      <c r="D3391" s="2" t="s">
        <v>18</v>
      </c>
      <c r="E3391" s="5">
        <v>-28922</v>
      </c>
      <c r="F3391" s="3" t="s">
        <v>735</v>
      </c>
      <c r="G3391" s="3" t="s">
        <v>62</v>
      </c>
      <c r="H3391" s="2" t="s">
        <v>21</v>
      </c>
      <c r="I3391" s="2" t="s">
        <v>6966</v>
      </c>
      <c r="J3391" s="3" t="str">
        <f>HYPERLINK("https://www.boe.es/gazeta/dias/1820/10/23/pdfs/GGB-1820-117.pdf#page=3","Abrir facsímil")</f>
        <v>Abrir facsímil</v>
      </c>
      <c r="K3391" s="3" t="s">
        <v>23</v>
      </c>
    </row>
    <row r="3392" spans="1:11" ht="42" customHeight="1">
      <c r="A3392" s="2" t="s">
        <v>6953</v>
      </c>
      <c r="B3392" s="2" t="s">
        <v>6953</v>
      </c>
      <c r="C3392" s="2" t="s">
        <v>26</v>
      </c>
      <c r="D3392" s="2" t="s">
        <v>27</v>
      </c>
      <c r="E3392" s="5">
        <v>-28914</v>
      </c>
      <c r="F3392" s="3" t="s">
        <v>434</v>
      </c>
      <c r="G3392" s="3" t="s">
        <v>43</v>
      </c>
      <c r="H3392" s="2" t="s">
        <v>21</v>
      </c>
      <c r="I3392" s="2" t="s">
        <v>6967</v>
      </c>
      <c r="J3392" s="3" t="str">
        <f>HYPERLINK("https://www.boe.es/gazeta/dias/1820/10/31/pdfs/GGB-1820-125.pdf#page=2","Abrir facsímil")</f>
        <v>Abrir facsímil</v>
      </c>
      <c r="K3392" s="3" t="s">
        <v>23</v>
      </c>
    </row>
    <row r="3393" spans="1:11" ht="42" customHeight="1">
      <c r="A3393" s="2" t="s">
        <v>6953</v>
      </c>
      <c r="B3393" s="2" t="s">
        <v>6953</v>
      </c>
      <c r="C3393" s="2" t="s">
        <v>35</v>
      </c>
      <c r="D3393" s="2" t="s">
        <v>36</v>
      </c>
      <c r="E3393" s="5">
        <v>-28907</v>
      </c>
      <c r="F3393" s="3" t="s">
        <v>374</v>
      </c>
      <c r="G3393" s="3" t="s">
        <v>43</v>
      </c>
      <c r="H3393" s="2" t="s">
        <v>21</v>
      </c>
      <c r="I3393" s="2" t="s">
        <v>6968</v>
      </c>
      <c r="J3393" s="3" t="str">
        <f>HYPERLINK("https://www.boe.es/gazeta/dias/1820/11/07/pdfs/GGB-1820-132.pdf#page=2","Abrir facsímil")</f>
        <v>Abrir facsímil</v>
      </c>
      <c r="K3393" s="3" t="s">
        <v>23</v>
      </c>
    </row>
    <row r="3394" spans="1:11" ht="42" customHeight="1">
      <c r="A3394" s="2" t="s">
        <v>6969</v>
      </c>
      <c r="B3394" s="2" t="s">
        <v>6970</v>
      </c>
      <c r="C3394" s="2" t="s">
        <v>35</v>
      </c>
      <c r="D3394" s="2" t="s">
        <v>36</v>
      </c>
      <c r="E3394" s="5">
        <v>-28911</v>
      </c>
      <c r="F3394" s="3" t="s">
        <v>82</v>
      </c>
      <c r="G3394" s="3" t="s">
        <v>43</v>
      </c>
      <c r="H3394" s="2" t="s">
        <v>21</v>
      </c>
      <c r="I3394" s="2" t="s">
        <v>6971</v>
      </c>
      <c r="J3394" s="3" t="str">
        <f>HYPERLINK("https://www.boe.es/gazeta/dias/1820/11/03/pdfs/GGB-1820-128.pdf#page=2","Abrir facsímil")</f>
        <v>Abrir facsímil</v>
      </c>
      <c r="K3394" s="3" t="s">
        <v>23</v>
      </c>
    </row>
    <row r="3395" spans="1:11" ht="42" customHeight="1">
      <c r="A3395" s="2" t="s">
        <v>6972</v>
      </c>
      <c r="B3395" s="2" t="s">
        <v>6972</v>
      </c>
      <c r="C3395" s="2" t="s">
        <v>111</v>
      </c>
      <c r="D3395" s="2" t="s">
        <v>18</v>
      </c>
      <c r="E3395" s="5">
        <v>-29183</v>
      </c>
      <c r="F3395" s="3" t="s">
        <v>476</v>
      </c>
      <c r="G3395" s="3" t="s">
        <v>295</v>
      </c>
      <c r="H3395" s="2" t="s">
        <v>21</v>
      </c>
      <c r="I3395" s="2" t="s">
        <v>6973</v>
      </c>
      <c r="J3395" s="3" t="str">
        <f>HYPERLINK("https://www.boe.es/gazeta/dias/1820/02/05/pdfs/GMD-1820-16.pdf#page=8","Abrir facsímil")</f>
        <v>Abrir facsímil</v>
      </c>
      <c r="K3395" s="3" t="s">
        <v>23</v>
      </c>
    </row>
    <row r="3396" spans="1:11" ht="42" customHeight="1">
      <c r="A3396" s="2" t="s">
        <v>6974</v>
      </c>
      <c r="B3396" s="2" t="s">
        <v>6975</v>
      </c>
      <c r="C3396" s="2" t="s">
        <v>35</v>
      </c>
      <c r="D3396" s="2" t="s">
        <v>36</v>
      </c>
      <c r="E3396" s="5">
        <v>-29213</v>
      </c>
      <c r="F3396" s="3" t="s">
        <v>195</v>
      </c>
      <c r="G3396" s="3" t="s">
        <v>821</v>
      </c>
      <c r="H3396" s="2" t="s">
        <v>21</v>
      </c>
      <c r="I3396" s="2" t="s">
        <v>6976</v>
      </c>
      <c r="J3396" s="3" t="str">
        <f>HYPERLINK("https://www.boe.es/gazeta/dias/1820/01/06/pdfs/GMD-1820-3.pdf#page=6","Abrir facsímil")</f>
        <v>Abrir facsímil</v>
      </c>
      <c r="K3396" s="3" t="s">
        <v>23</v>
      </c>
    </row>
    <row r="3397" spans="1:11" ht="42" customHeight="1">
      <c r="A3397" s="2" t="s">
        <v>6977</v>
      </c>
      <c r="B3397" s="2" t="s">
        <v>6978</v>
      </c>
      <c r="C3397" s="2" t="s">
        <v>35</v>
      </c>
      <c r="D3397" s="2" t="s">
        <v>36</v>
      </c>
      <c r="E3397" s="5">
        <v>-29094</v>
      </c>
      <c r="F3397" s="3" t="s">
        <v>560</v>
      </c>
      <c r="G3397" s="3" t="s">
        <v>295</v>
      </c>
      <c r="H3397" s="2" t="s">
        <v>21</v>
      </c>
      <c r="I3397" s="2" t="s">
        <v>6979</v>
      </c>
      <c r="J3397" s="3" t="str">
        <f>HYPERLINK("https://www.boe.es/gazeta/dias/1820/05/04/pdfs/GMD-1820-75.pdf#page=8","Abrir facsímil")</f>
        <v>Abrir facsímil</v>
      </c>
      <c r="K3397" s="3" t="s">
        <v>23</v>
      </c>
    </row>
    <row r="3398" spans="1:11" ht="42" customHeight="1">
      <c r="A3398" s="2" t="s">
        <v>6980</v>
      </c>
      <c r="B3398" s="2" t="s">
        <v>6981</v>
      </c>
      <c r="C3398" s="2" t="s">
        <v>26</v>
      </c>
      <c r="D3398" s="2" t="s">
        <v>27</v>
      </c>
      <c r="E3398" s="5">
        <v>-29208</v>
      </c>
      <c r="F3398" s="3" t="s">
        <v>770</v>
      </c>
      <c r="G3398" s="3" t="s">
        <v>256</v>
      </c>
      <c r="H3398" s="2" t="s">
        <v>21</v>
      </c>
      <c r="I3398" s="2" t="s">
        <v>6982</v>
      </c>
      <c r="J3398" s="3" t="str">
        <f>HYPERLINK("https://www.boe.es/gazeta/dias/1820/01/11/pdfs/GMD-1820-5.pdf#page=5","Abrir facsímil")</f>
        <v>Abrir facsímil</v>
      </c>
      <c r="K3398" s="3" t="s">
        <v>23</v>
      </c>
    </row>
    <row r="3399" spans="1:11" ht="42" customHeight="1">
      <c r="A3399" s="2" t="s">
        <v>6983</v>
      </c>
      <c r="B3399" s="2" t="s">
        <v>6984</v>
      </c>
      <c r="C3399" s="2" t="s">
        <v>26</v>
      </c>
      <c r="D3399" s="2" t="s">
        <v>310</v>
      </c>
      <c r="E3399" s="5">
        <v>-29134</v>
      </c>
      <c r="F3399" s="3" t="s">
        <v>2560</v>
      </c>
      <c r="G3399" s="3" t="s">
        <v>128</v>
      </c>
      <c r="H3399" s="2" t="s">
        <v>21</v>
      </c>
      <c r="I3399" s="2" t="s">
        <v>6985</v>
      </c>
      <c r="J3399" s="3" t="str">
        <f>HYPERLINK("https://www.boe.es/gazeta/dias/1820/03/25/pdfs/GMD-1820-54E.pdf#page=1","Abrir facsímil")</f>
        <v>Abrir facsímil</v>
      </c>
      <c r="K3399" s="3" t="s">
        <v>23</v>
      </c>
    </row>
    <row r="3400" spans="1:11" ht="42" customHeight="1">
      <c r="A3400" s="2" t="s">
        <v>6983</v>
      </c>
      <c r="B3400" s="2" t="s">
        <v>6984</v>
      </c>
      <c r="C3400" s="2" t="s">
        <v>17</v>
      </c>
      <c r="D3400" s="2" t="s">
        <v>310</v>
      </c>
      <c r="E3400" s="5">
        <v>-29132</v>
      </c>
      <c r="F3400" s="3" t="s">
        <v>311</v>
      </c>
      <c r="G3400" s="3" t="s">
        <v>128</v>
      </c>
      <c r="H3400" s="2" t="s">
        <v>21</v>
      </c>
      <c r="I3400" s="2" t="s">
        <v>6986</v>
      </c>
      <c r="J3400" s="3" t="str">
        <f>HYPERLINK("https://www.boe.es/gazeta/dias/1820/03/27/pdfs/GMD-1820-55E.pdf#page=1","Abrir facsímil")</f>
        <v>Abrir facsímil</v>
      </c>
      <c r="K3400" s="3" t="s">
        <v>23</v>
      </c>
    </row>
    <row r="3401" spans="1:11" ht="42" customHeight="1">
      <c r="A3401" s="2" t="s">
        <v>6987</v>
      </c>
      <c r="B3401" s="2" t="s">
        <v>6988</v>
      </c>
      <c r="C3401" s="2" t="s">
        <v>26</v>
      </c>
      <c r="D3401" s="2" t="s">
        <v>310</v>
      </c>
      <c r="E3401" s="5">
        <v>-29139</v>
      </c>
      <c r="F3401" s="3" t="s">
        <v>6989</v>
      </c>
      <c r="G3401" s="3" t="s">
        <v>128</v>
      </c>
      <c r="H3401" s="2" t="s">
        <v>21</v>
      </c>
      <c r="I3401" s="2" t="s">
        <v>6990</v>
      </c>
      <c r="J3401" s="3" t="str">
        <f>HYPERLINK("https://www.boe.es/gazeta/dias/1820/03/20/pdfs/GMD-1820-47E.pdf#page=1","Abrir facsímil")</f>
        <v>Abrir facsímil</v>
      </c>
      <c r="K3401" s="3" t="s">
        <v>23</v>
      </c>
    </row>
    <row r="3402" spans="1:11" ht="42" customHeight="1">
      <c r="A3402" s="2" t="s">
        <v>6991</v>
      </c>
      <c r="B3402" s="2" t="s">
        <v>6992</v>
      </c>
      <c r="C3402" s="2" t="s">
        <v>26</v>
      </c>
      <c r="D3402" s="2" t="s">
        <v>310</v>
      </c>
      <c r="E3402" s="5">
        <v>-29136</v>
      </c>
      <c r="F3402" s="3" t="s">
        <v>1089</v>
      </c>
      <c r="G3402" s="3" t="s">
        <v>128</v>
      </c>
      <c r="H3402" s="2" t="s">
        <v>21</v>
      </c>
      <c r="I3402" s="2" t="s">
        <v>6993</v>
      </c>
      <c r="J3402" s="3" t="str">
        <f>HYPERLINK("https://www.boe.es/gazeta/dias/1820/03/23/pdfs/GMD-1820-52E.pdf#page=1","Abrir facsímil")</f>
        <v>Abrir facsímil</v>
      </c>
      <c r="K3402" s="3" t="s">
        <v>23</v>
      </c>
    </row>
    <row r="3403" spans="1:11" ht="42" customHeight="1">
      <c r="A3403" s="2" t="s">
        <v>6994</v>
      </c>
      <c r="B3403" s="2" t="s">
        <v>6994</v>
      </c>
      <c r="C3403" s="2" t="s">
        <v>26</v>
      </c>
      <c r="D3403" s="2" t="s">
        <v>27</v>
      </c>
      <c r="E3403" s="5">
        <v>-28924</v>
      </c>
      <c r="F3403" s="3" t="s">
        <v>78</v>
      </c>
      <c r="G3403" s="3" t="s">
        <v>62</v>
      </c>
      <c r="H3403" s="2" t="s">
        <v>21</v>
      </c>
      <c r="I3403" s="2" t="s">
        <v>6995</v>
      </c>
      <c r="J3403" s="3" t="str">
        <f>HYPERLINK("https://www.boe.es/gazeta/dias/1820/10/21/pdfs/GGB-1820-115.pdf#page=3","Abrir facsímil")</f>
        <v>Abrir facsímil</v>
      </c>
      <c r="K3403" s="3" t="s">
        <v>23</v>
      </c>
    </row>
    <row r="3404" spans="1:11" ht="42" customHeight="1">
      <c r="A3404" s="2" t="s">
        <v>6994</v>
      </c>
      <c r="B3404" s="2" t="s">
        <v>6994</v>
      </c>
      <c r="C3404" s="2" t="s">
        <v>17</v>
      </c>
      <c r="D3404" s="2" t="s">
        <v>18</v>
      </c>
      <c r="E3404" s="5">
        <v>-28905</v>
      </c>
      <c r="F3404" s="3" t="s">
        <v>749</v>
      </c>
      <c r="G3404" s="3" t="s">
        <v>20</v>
      </c>
      <c r="H3404" s="2" t="s">
        <v>21</v>
      </c>
      <c r="I3404" s="2" t="s">
        <v>6996</v>
      </c>
      <c r="J3404" s="3" t="str">
        <f>HYPERLINK("https://www.boe.es/gazeta/dias/1820/11/09/pdfs/GGB-1820-134.pdf#page=4","Abrir facsímil")</f>
        <v>Abrir facsímil</v>
      </c>
      <c r="K3404" s="3" t="s">
        <v>23</v>
      </c>
    </row>
    <row r="3405" spans="1:11" ht="42" customHeight="1">
      <c r="A3405" s="2" t="s">
        <v>6997</v>
      </c>
      <c r="B3405" s="2" t="s">
        <v>6998</v>
      </c>
      <c r="C3405" s="2" t="s">
        <v>17</v>
      </c>
      <c r="D3405" s="2" t="s">
        <v>18</v>
      </c>
      <c r="E3405" s="5">
        <v>-28899</v>
      </c>
      <c r="F3405" s="3" t="s">
        <v>285</v>
      </c>
      <c r="G3405" s="3" t="s">
        <v>62</v>
      </c>
      <c r="H3405" s="2" t="s">
        <v>21</v>
      </c>
      <c r="I3405" s="2" t="s">
        <v>6999</v>
      </c>
      <c r="J3405" s="3" t="str">
        <f>HYPERLINK("https://www.boe.es/gazeta/dias/1820/11/15/pdfs/GGB-1820-141.pdf#page=3","Abrir facsímil")</f>
        <v>Abrir facsímil</v>
      </c>
      <c r="K3405" s="3" t="s">
        <v>23</v>
      </c>
    </row>
    <row r="3406" spans="1:11" ht="42" customHeight="1">
      <c r="A3406" s="2" t="s">
        <v>7000</v>
      </c>
      <c r="B3406" s="2" t="s">
        <v>7001</v>
      </c>
      <c r="C3406" s="2" t="s">
        <v>17</v>
      </c>
      <c r="D3406" s="2" t="s">
        <v>18</v>
      </c>
      <c r="E3406" s="5">
        <v>-28901</v>
      </c>
      <c r="F3406" s="3" t="s">
        <v>1492</v>
      </c>
      <c r="G3406" s="3" t="s">
        <v>20</v>
      </c>
      <c r="H3406" s="2" t="s">
        <v>21</v>
      </c>
      <c r="I3406" s="2" t="s">
        <v>7002</v>
      </c>
      <c r="J3406" s="3" t="str">
        <f>HYPERLINK("https://www.boe.es/gazeta/dias/1820/11/13/pdfs/GGB-1820-139.pdf#page=4","Abrir facsímil")</f>
        <v>Abrir facsímil</v>
      </c>
      <c r="K3406" s="3" t="s">
        <v>23</v>
      </c>
    </row>
    <row r="3407" spans="1:11" ht="42" customHeight="1">
      <c r="A3407" s="2" t="s">
        <v>7003</v>
      </c>
      <c r="B3407" s="2" t="s">
        <v>7004</v>
      </c>
      <c r="C3407" s="2" t="s">
        <v>293</v>
      </c>
      <c r="D3407" s="2" t="s">
        <v>18</v>
      </c>
      <c r="E3407" s="5">
        <v>-29050</v>
      </c>
      <c r="F3407" s="3" t="s">
        <v>423</v>
      </c>
      <c r="G3407" s="3" t="s">
        <v>201</v>
      </c>
      <c r="H3407" s="2" t="s">
        <v>21</v>
      </c>
      <c r="I3407" s="2" t="s">
        <v>7005</v>
      </c>
      <c r="J3407" s="3" t="str">
        <f>HYPERLINK("https://www.boe.es/gazeta/dias/1820/06/17/pdfs/GMD-1820-95.pdf#page=7","Abrir facsímil")</f>
        <v>Abrir facsímil</v>
      </c>
      <c r="K3407" s="3" t="s">
        <v>23</v>
      </c>
    </row>
    <row r="3408" spans="1:11" ht="42" customHeight="1">
      <c r="A3408" s="2" t="s">
        <v>7006</v>
      </c>
      <c r="B3408" s="2" t="s">
        <v>7006</v>
      </c>
      <c r="C3408" s="2" t="s">
        <v>35</v>
      </c>
      <c r="D3408" s="2" t="s">
        <v>36</v>
      </c>
      <c r="E3408" s="5">
        <v>-28864</v>
      </c>
      <c r="F3408" s="3" t="s">
        <v>1275</v>
      </c>
      <c r="G3408" s="3" t="s">
        <v>20</v>
      </c>
      <c r="H3408" s="2" t="s">
        <v>21</v>
      </c>
      <c r="I3408" s="2" t="s">
        <v>7007</v>
      </c>
      <c r="J3408" s="3" t="str">
        <f>HYPERLINK("https://www.boe.es/gazeta/dias/1820/12/20/pdfs/GGB-1820-177.pdf#page=4","Abrir facsímil")</f>
        <v>Abrir facsímil</v>
      </c>
      <c r="K3408" s="3" t="s">
        <v>23</v>
      </c>
    </row>
    <row r="3409" spans="1:11" ht="42" customHeight="1">
      <c r="A3409" s="2" t="s">
        <v>7008</v>
      </c>
      <c r="B3409" s="2" t="s">
        <v>7009</v>
      </c>
      <c r="C3409" s="2" t="s">
        <v>111</v>
      </c>
      <c r="D3409" s="2" t="s">
        <v>18</v>
      </c>
      <c r="E3409" s="5">
        <v>-28959</v>
      </c>
      <c r="F3409" s="3" t="s">
        <v>37</v>
      </c>
      <c r="G3409" s="3" t="s">
        <v>38</v>
      </c>
      <c r="H3409" s="2" t="s">
        <v>21</v>
      </c>
      <c r="I3409" s="2" t="s">
        <v>7010</v>
      </c>
      <c r="J3409" s="3" t="str">
        <f>HYPERLINK("https://www.boe.es/gazeta/dias/1820/09/16/pdfs/GGB-1820-80.pdf#page=6","Abrir facsímil")</f>
        <v>Abrir facsímil</v>
      </c>
      <c r="K3409" s="3" t="s">
        <v>23</v>
      </c>
    </row>
    <row r="3410" spans="1:11" ht="42" customHeight="1">
      <c r="A3410" s="2" t="s">
        <v>7011</v>
      </c>
      <c r="B3410" s="2" t="s">
        <v>7011</v>
      </c>
      <c r="C3410" s="2" t="s">
        <v>26</v>
      </c>
      <c r="D3410" s="2" t="s">
        <v>27</v>
      </c>
      <c r="E3410" s="5">
        <v>-28885</v>
      </c>
      <c r="F3410" s="3" t="s">
        <v>2588</v>
      </c>
      <c r="G3410" s="3" t="s">
        <v>4924</v>
      </c>
      <c r="H3410" s="2" t="s">
        <v>21</v>
      </c>
      <c r="I3410" s="2" t="s">
        <v>7012</v>
      </c>
      <c r="J3410" s="3" t="str">
        <f>HYPERLINK("https://www.boe.es/gazeta/dias/1820/11/29/pdfs/GGB-1820-156.pdf#page=3","Abrir facsímil")</f>
        <v>Abrir facsímil</v>
      </c>
      <c r="K3410" s="3" t="s">
        <v>23</v>
      </c>
    </row>
    <row r="3411" spans="1:11" ht="42" customHeight="1">
      <c r="A3411" s="2" t="s">
        <v>7013</v>
      </c>
      <c r="B3411" s="2" t="s">
        <v>7013</v>
      </c>
      <c r="C3411" s="2" t="s">
        <v>17</v>
      </c>
      <c r="D3411" s="2" t="s">
        <v>18</v>
      </c>
      <c r="E3411" s="5">
        <v>-28865</v>
      </c>
      <c r="F3411" s="3" t="s">
        <v>136</v>
      </c>
      <c r="G3411" s="3" t="s">
        <v>43</v>
      </c>
      <c r="H3411" s="2" t="s">
        <v>21</v>
      </c>
      <c r="I3411" s="2" t="s">
        <v>7014</v>
      </c>
      <c r="J3411" s="3" t="str">
        <f>HYPERLINK("https://www.boe.es/gazeta/dias/1820/12/19/pdfs/GGB-1820-176.pdf#page=2","Abrir facsímil")</f>
        <v>Abrir facsímil</v>
      </c>
      <c r="K3411" s="3" t="s">
        <v>23</v>
      </c>
    </row>
    <row r="3412" spans="1:11" ht="42" customHeight="1">
      <c r="A3412" s="2" t="s">
        <v>7015</v>
      </c>
      <c r="B3412" s="2" t="s">
        <v>7015</v>
      </c>
      <c r="C3412" s="2" t="s">
        <v>35</v>
      </c>
      <c r="D3412" s="2" t="s">
        <v>36</v>
      </c>
      <c r="E3412" s="5">
        <v>-28921</v>
      </c>
      <c r="F3412" s="3" t="s">
        <v>738</v>
      </c>
      <c r="G3412" s="3" t="s">
        <v>43</v>
      </c>
      <c r="H3412" s="2" t="s">
        <v>21</v>
      </c>
      <c r="I3412" s="2" t="s">
        <v>7016</v>
      </c>
      <c r="J3412" s="3" t="str">
        <f>HYPERLINK("https://www.boe.es/gazeta/dias/1820/10/24/pdfs/GGB-1820-118.pdf#page=2","Abrir facsímil")</f>
        <v>Abrir facsímil</v>
      </c>
      <c r="K3412" s="3" t="s">
        <v>23</v>
      </c>
    </row>
    <row r="3413" spans="1:11" ht="42" customHeight="1">
      <c r="A3413" s="2" t="s">
        <v>7017</v>
      </c>
      <c r="B3413" s="2" t="s">
        <v>7017</v>
      </c>
      <c r="C3413" s="2" t="s">
        <v>35</v>
      </c>
      <c r="D3413" s="2" t="s">
        <v>36</v>
      </c>
      <c r="E3413" s="5">
        <v>-28888</v>
      </c>
      <c r="F3413" s="3" t="s">
        <v>112</v>
      </c>
      <c r="G3413" s="3" t="s">
        <v>3931</v>
      </c>
      <c r="H3413" s="2" t="s">
        <v>21</v>
      </c>
      <c r="I3413" s="2" t="s">
        <v>7018</v>
      </c>
      <c r="J3413" s="3" t="str">
        <f>HYPERLINK("https://www.boe.es/gazeta/dias/1820/11/26/pdfs/GGB-1820-153.pdf#page=2","Abrir facsímil")</f>
        <v>Abrir facsímil</v>
      </c>
      <c r="K3413" s="3" t="s">
        <v>23</v>
      </c>
    </row>
    <row r="3414" spans="1:11" ht="42" customHeight="1">
      <c r="A3414" s="2" t="s">
        <v>7019</v>
      </c>
      <c r="B3414" s="2" t="s">
        <v>7019</v>
      </c>
      <c r="C3414" s="2" t="s">
        <v>26</v>
      </c>
      <c r="D3414" s="2" t="s">
        <v>27</v>
      </c>
      <c r="E3414" s="5">
        <v>-29178</v>
      </c>
      <c r="F3414" s="3" t="s">
        <v>782</v>
      </c>
      <c r="G3414" s="3" t="s">
        <v>256</v>
      </c>
      <c r="H3414" s="2" t="s">
        <v>21</v>
      </c>
      <c r="I3414" s="2" t="s">
        <v>7020</v>
      </c>
      <c r="J3414" s="3" t="str">
        <f>HYPERLINK("https://www.boe.es/gazeta/dias/1820/02/10/pdfs/GMD-1820-18.pdf#page=5","Abrir facsímil")</f>
        <v>Abrir facsímil</v>
      </c>
      <c r="K3414" s="3" t="s">
        <v>23</v>
      </c>
    </row>
    <row r="3415" spans="1:11" ht="42" customHeight="1">
      <c r="A3415" s="2" t="s">
        <v>7019</v>
      </c>
      <c r="B3415" s="2" t="s">
        <v>7019</v>
      </c>
      <c r="C3415" s="2" t="s">
        <v>35</v>
      </c>
      <c r="D3415" s="2" t="s">
        <v>36</v>
      </c>
      <c r="E3415" s="5">
        <v>-29159</v>
      </c>
      <c r="F3415" s="3" t="s">
        <v>1022</v>
      </c>
      <c r="G3415" s="3" t="s">
        <v>3766</v>
      </c>
      <c r="H3415" s="2" t="s">
        <v>21</v>
      </c>
      <c r="I3415" s="2" t="s">
        <v>7021</v>
      </c>
      <c r="J3415" s="3" t="str">
        <f>HYPERLINK("https://www.boe.es/gazeta/dias/1820/02/29/pdfs/GMD-1820-26.pdf#page=8","Abrir facsímil")</f>
        <v>Abrir facsímil</v>
      </c>
      <c r="K3415" s="3" t="s">
        <v>23</v>
      </c>
    </row>
    <row r="3416" spans="1:11" ht="42" customHeight="1">
      <c r="A3416" s="2" t="s">
        <v>7019</v>
      </c>
      <c r="B3416" s="2" t="s">
        <v>7019</v>
      </c>
      <c r="C3416" s="2" t="s">
        <v>26</v>
      </c>
      <c r="D3416" s="2" t="s">
        <v>310</v>
      </c>
      <c r="E3416" s="5">
        <v>-29138</v>
      </c>
      <c r="F3416" s="3" t="s">
        <v>2523</v>
      </c>
      <c r="G3416" s="3" t="s">
        <v>2551</v>
      </c>
      <c r="H3416" s="2" t="s">
        <v>21</v>
      </c>
      <c r="I3416" s="2" t="s">
        <v>7022</v>
      </c>
      <c r="J3416" s="3" t="str">
        <f>HYPERLINK("https://www.boe.es/gazeta/dias/1820/03/21/pdfs/GMD-1820-48E.pdf#page=13","Abrir facsímil")</f>
        <v>Abrir facsímil</v>
      </c>
      <c r="K3416" s="3" t="s">
        <v>23</v>
      </c>
    </row>
    <row r="3417" spans="1:11" ht="42" customHeight="1">
      <c r="A3417" s="2" t="s">
        <v>7019</v>
      </c>
      <c r="B3417" s="2" t="s">
        <v>7019</v>
      </c>
      <c r="C3417" s="2" t="s">
        <v>35</v>
      </c>
      <c r="D3417" s="2" t="s">
        <v>36</v>
      </c>
      <c r="E3417" s="5">
        <v>-29040</v>
      </c>
      <c r="F3417" s="3" t="s">
        <v>1125</v>
      </c>
      <c r="G3417" s="3" t="s">
        <v>196</v>
      </c>
      <c r="H3417" s="2" t="s">
        <v>21</v>
      </c>
      <c r="I3417" s="2" t="s">
        <v>7023</v>
      </c>
      <c r="J3417" s="3" t="str">
        <f>HYPERLINK("https://www.boe.es/gazeta/dias/1820/06/27/pdfs/GMD-1820-99.pdf#page=11","Abrir facsímil")</f>
        <v>Abrir facsímil</v>
      </c>
      <c r="K3417" s="3" t="s">
        <v>23</v>
      </c>
    </row>
    <row r="3418" spans="1:11" ht="42" customHeight="1">
      <c r="A3418" s="2" t="s">
        <v>7019</v>
      </c>
      <c r="B3418" s="2" t="s">
        <v>7019</v>
      </c>
      <c r="C3418" s="2" t="s">
        <v>26</v>
      </c>
      <c r="D3418" s="2" t="s">
        <v>27</v>
      </c>
      <c r="E3418" s="5">
        <v>-28973</v>
      </c>
      <c r="F3418" s="3" t="s">
        <v>151</v>
      </c>
      <c r="G3418" s="3" t="s">
        <v>20</v>
      </c>
      <c r="H3418" s="2" t="s">
        <v>21</v>
      </c>
      <c r="I3418" s="2" t="s">
        <v>7024</v>
      </c>
      <c r="J3418" s="3" t="str">
        <f>HYPERLINK("https://www.boe.es/gazeta/dias/1820/09/02/pdfs/GGB-1820-66.pdf#page=4","Abrir facsímil")</f>
        <v>Abrir facsímil</v>
      </c>
      <c r="K3418" s="3" t="s">
        <v>23</v>
      </c>
    </row>
    <row r="3419" spans="1:11" ht="42" customHeight="1">
      <c r="A3419" s="2" t="s">
        <v>7019</v>
      </c>
      <c r="B3419" s="2" t="s">
        <v>7019</v>
      </c>
      <c r="C3419" s="2" t="s">
        <v>26</v>
      </c>
      <c r="D3419" s="2" t="s">
        <v>27</v>
      </c>
      <c r="E3419" s="5">
        <v>-28966</v>
      </c>
      <c r="F3419" s="3" t="s">
        <v>701</v>
      </c>
      <c r="G3419" s="3" t="s">
        <v>62</v>
      </c>
      <c r="H3419" s="2" t="s">
        <v>21</v>
      </c>
      <c r="I3419" s="2" t="s">
        <v>7025</v>
      </c>
      <c r="J3419" s="3" t="str">
        <f>HYPERLINK("https://www.boe.es/gazeta/dias/1820/09/09/pdfs/GGB-1820-73.pdf#page=3","Abrir facsímil")</f>
        <v>Abrir facsímil</v>
      </c>
      <c r="K3419" s="3" t="s">
        <v>23</v>
      </c>
    </row>
    <row r="3420" spans="1:11" ht="42" customHeight="1">
      <c r="A3420" s="2" t="s">
        <v>7019</v>
      </c>
      <c r="B3420" s="2" t="s">
        <v>7019</v>
      </c>
      <c r="C3420" s="2" t="s">
        <v>35</v>
      </c>
      <c r="D3420" s="2" t="s">
        <v>36</v>
      </c>
      <c r="E3420" s="5">
        <v>-28960</v>
      </c>
      <c r="F3420" s="3" t="s">
        <v>704</v>
      </c>
      <c r="G3420" s="3" t="s">
        <v>43</v>
      </c>
      <c r="H3420" s="2" t="s">
        <v>21</v>
      </c>
      <c r="I3420" s="2" t="s">
        <v>7026</v>
      </c>
      <c r="J3420" s="3" t="str">
        <f>HYPERLINK("https://www.boe.es/gazeta/dias/1820/09/15/pdfs/GGB-1820-79.pdf#page=2","Abrir facsímil")</f>
        <v>Abrir facsímil</v>
      </c>
      <c r="K3420" s="3" t="s">
        <v>23</v>
      </c>
    </row>
    <row r="3421" spans="1:11" ht="42" customHeight="1">
      <c r="A3421" s="2" t="s">
        <v>7019</v>
      </c>
      <c r="B3421" s="2" t="s">
        <v>7019</v>
      </c>
      <c r="C3421" s="2" t="s">
        <v>17</v>
      </c>
      <c r="D3421" s="2" t="s">
        <v>18</v>
      </c>
      <c r="E3421" s="5">
        <v>-28854</v>
      </c>
      <c r="F3421" s="3" t="s">
        <v>147</v>
      </c>
      <c r="G3421" s="3" t="s">
        <v>43</v>
      </c>
      <c r="H3421" s="2" t="s">
        <v>21</v>
      </c>
      <c r="I3421" s="2" t="s">
        <v>7027</v>
      </c>
      <c r="J3421" s="3" t="str">
        <f>HYPERLINK("https://www.boe.es/gazeta/dias/1820/12/30/pdfs/GGB-1820-187.pdf#page=2","Abrir facsímil")</f>
        <v>Abrir facsímil</v>
      </c>
      <c r="K3421" s="3" t="s">
        <v>23</v>
      </c>
    </row>
    <row r="3422" spans="1:11" ht="42" customHeight="1">
      <c r="A3422" s="2" t="s">
        <v>7028</v>
      </c>
      <c r="B3422" s="2" t="s">
        <v>7028</v>
      </c>
      <c r="C3422" s="2" t="s">
        <v>26</v>
      </c>
      <c r="D3422" s="2" t="s">
        <v>27</v>
      </c>
      <c r="E3422" s="5">
        <v>-28965</v>
      </c>
      <c r="F3422" s="3" t="s">
        <v>1520</v>
      </c>
      <c r="G3422" s="3" t="s">
        <v>43</v>
      </c>
      <c r="H3422" s="2" t="s">
        <v>21</v>
      </c>
      <c r="I3422" s="2" t="s">
        <v>7029</v>
      </c>
      <c r="J3422" s="3" t="str">
        <f>HYPERLINK("https://www.boe.es/gazeta/dias/1820/09/10/pdfs/GGB-1820-74.pdf#page=2","Abrir facsímil")</f>
        <v>Abrir facsímil</v>
      </c>
      <c r="K3422" s="3" t="s">
        <v>23</v>
      </c>
    </row>
    <row r="3423" spans="1:11" ht="42" customHeight="1">
      <c r="A3423" s="2" t="s">
        <v>7030</v>
      </c>
      <c r="B3423" s="2" t="s">
        <v>7031</v>
      </c>
      <c r="C3423" s="2" t="s">
        <v>35</v>
      </c>
      <c r="D3423" s="2" t="s">
        <v>36</v>
      </c>
      <c r="E3423" s="5">
        <v>-29092</v>
      </c>
      <c r="F3423" s="3" t="s">
        <v>1261</v>
      </c>
      <c r="G3423" s="3" t="s">
        <v>295</v>
      </c>
      <c r="H3423" s="2" t="s">
        <v>21</v>
      </c>
      <c r="I3423" s="2" t="s">
        <v>7032</v>
      </c>
      <c r="J3423" s="3" t="str">
        <f>HYPERLINK("https://www.boe.es/gazeta/dias/1820/05/06/pdfs/GMD-1820-76.pdf#page=8","Abrir facsímil")</f>
        <v>Abrir facsímil</v>
      </c>
      <c r="K3423" s="3" t="s">
        <v>23</v>
      </c>
    </row>
    <row r="3424" spans="1:11" ht="42" customHeight="1">
      <c r="A3424" s="2" t="s">
        <v>7033</v>
      </c>
      <c r="B3424" s="2" t="s">
        <v>7034</v>
      </c>
      <c r="C3424" s="2" t="s">
        <v>35</v>
      </c>
      <c r="D3424" s="2" t="s">
        <v>36</v>
      </c>
      <c r="E3424" s="5">
        <v>-29117</v>
      </c>
      <c r="F3424" s="3" t="s">
        <v>1451</v>
      </c>
      <c r="G3424" s="3" t="s">
        <v>1452</v>
      </c>
      <c r="H3424" s="2" t="s">
        <v>21</v>
      </c>
      <c r="I3424" s="2" t="s">
        <v>7035</v>
      </c>
      <c r="J3424" s="3" t="str">
        <f>HYPERLINK("https://www.boe.es/gazeta/dias/1820/04/11/pdfs/GMD-1820-64.pdf#page=8","Abrir facsímil")</f>
        <v>Abrir facsímil</v>
      </c>
      <c r="K3424" s="3" t="s">
        <v>23</v>
      </c>
    </row>
    <row r="3425" spans="1:11" ht="42" customHeight="1">
      <c r="A3425" s="2" t="s">
        <v>7033</v>
      </c>
      <c r="B3425" s="2" t="s">
        <v>7034</v>
      </c>
      <c r="C3425" s="2" t="s">
        <v>293</v>
      </c>
      <c r="D3425" s="2" t="s">
        <v>18</v>
      </c>
      <c r="E3425" s="5">
        <v>-28966</v>
      </c>
      <c r="F3425" s="3" t="s">
        <v>701</v>
      </c>
      <c r="G3425" s="3" t="s">
        <v>20</v>
      </c>
      <c r="H3425" s="2" t="s">
        <v>21</v>
      </c>
      <c r="I3425" s="2" t="s">
        <v>7036</v>
      </c>
      <c r="J3425" s="3" t="str">
        <f>HYPERLINK("https://www.boe.es/gazeta/dias/1820/09/09/pdfs/GGB-1820-73.pdf#page=4","Abrir facsímil")</f>
        <v>Abrir facsímil</v>
      </c>
      <c r="K3425" s="3" t="s">
        <v>23</v>
      </c>
    </row>
    <row r="3426" spans="1:11" ht="42" customHeight="1">
      <c r="A3426" s="2" t="s">
        <v>7037</v>
      </c>
      <c r="B3426" s="2" t="s">
        <v>7037</v>
      </c>
      <c r="C3426" s="2" t="s">
        <v>26</v>
      </c>
      <c r="D3426" s="2" t="s">
        <v>27</v>
      </c>
      <c r="E3426" s="5">
        <v>-28976</v>
      </c>
      <c r="F3426" s="3" t="s">
        <v>689</v>
      </c>
      <c r="G3426" s="3" t="s">
        <v>20</v>
      </c>
      <c r="H3426" s="2" t="s">
        <v>21</v>
      </c>
      <c r="I3426" s="2" t="s">
        <v>7038</v>
      </c>
      <c r="J3426" s="3" t="str">
        <f>HYPERLINK("https://www.boe.es/gazeta/dias/1820/08/30/pdfs/GGB-1820-63.pdf#page=4","Abrir facsímil")</f>
        <v>Abrir facsímil</v>
      </c>
      <c r="K3426" s="3" t="s">
        <v>23</v>
      </c>
    </row>
    <row r="3427" spans="1:11" ht="42" customHeight="1">
      <c r="A3427" s="2" t="s">
        <v>7037</v>
      </c>
      <c r="B3427" s="2" t="s">
        <v>7037</v>
      </c>
      <c r="C3427" s="2" t="s">
        <v>26</v>
      </c>
      <c r="D3427" s="2" t="s">
        <v>27</v>
      </c>
      <c r="E3427" s="5">
        <v>-28974</v>
      </c>
      <c r="F3427" s="3" t="s">
        <v>1144</v>
      </c>
      <c r="G3427" s="3" t="s">
        <v>1145</v>
      </c>
      <c r="H3427" s="2" t="s">
        <v>21</v>
      </c>
      <c r="I3427" s="2" t="s">
        <v>7039</v>
      </c>
      <c r="J3427" s="3" t="str">
        <f>HYPERLINK("https://www.boe.es/gazeta/dias/1820/09/01/pdfs/GGB-1820-65.pdf#page=4","Abrir facsímil")</f>
        <v>Abrir facsímil</v>
      </c>
      <c r="K3427" s="3" t="s">
        <v>23</v>
      </c>
    </row>
    <row r="3428" spans="1:11" ht="42" customHeight="1">
      <c r="A3428" s="2" t="s">
        <v>7037</v>
      </c>
      <c r="B3428" s="2" t="s">
        <v>7037</v>
      </c>
      <c r="C3428" s="2" t="s">
        <v>17</v>
      </c>
      <c r="D3428" s="2" t="s">
        <v>18</v>
      </c>
      <c r="E3428" s="5">
        <v>-28855</v>
      </c>
      <c r="F3428" s="3" t="s">
        <v>2055</v>
      </c>
      <c r="G3428" s="3" t="s">
        <v>62</v>
      </c>
      <c r="H3428" s="2" t="s">
        <v>21</v>
      </c>
      <c r="I3428" s="2" t="s">
        <v>7040</v>
      </c>
      <c r="J3428" s="3" t="str">
        <f>HYPERLINK("https://www.boe.es/gazeta/dias/1820/12/29/pdfs/GGB-1820-186.pdf#page=3","Abrir facsímil")</f>
        <v>Abrir facsímil</v>
      </c>
      <c r="K3428" s="3" t="s">
        <v>23</v>
      </c>
    </row>
    <row r="3429" spans="1:11" ht="42" customHeight="1">
      <c r="A3429" s="2" t="s">
        <v>7041</v>
      </c>
      <c r="B3429" s="2" t="s">
        <v>7042</v>
      </c>
      <c r="C3429" s="2" t="s">
        <v>26</v>
      </c>
      <c r="D3429" s="2" t="s">
        <v>27</v>
      </c>
      <c r="E3429" s="5">
        <v>-28924</v>
      </c>
      <c r="F3429" s="3" t="s">
        <v>78</v>
      </c>
      <c r="G3429" s="3" t="s">
        <v>20</v>
      </c>
      <c r="H3429" s="2" t="s">
        <v>30</v>
      </c>
      <c r="I3429" s="2" t="s">
        <v>7043</v>
      </c>
      <c r="J3429" s="3" t="str">
        <f>HYPERLINK("https://www.boe.es/gazeta/dias/1820/10/21/pdfs/GGB-1820-115.pdf#page=4","Abrir facsímil")</f>
        <v>Abrir facsímil</v>
      </c>
      <c r="K3429" s="3" t="s">
        <v>32</v>
      </c>
    </row>
    <row r="3430" spans="1:11" ht="42" customHeight="1">
      <c r="A3430" s="2" t="s">
        <v>7044</v>
      </c>
      <c r="B3430" s="2" t="s">
        <v>7044</v>
      </c>
      <c r="C3430" s="2" t="s">
        <v>35</v>
      </c>
      <c r="D3430" s="2" t="s">
        <v>36</v>
      </c>
      <c r="E3430" s="5">
        <v>-28965</v>
      </c>
      <c r="F3430" s="3" t="s">
        <v>1520</v>
      </c>
      <c r="G3430" s="3" t="s">
        <v>62</v>
      </c>
      <c r="H3430" s="2" t="s">
        <v>21</v>
      </c>
      <c r="I3430" s="2" t="s">
        <v>7045</v>
      </c>
      <c r="J3430" s="3" t="str">
        <f>HYPERLINK("https://www.boe.es/gazeta/dias/1820/09/10/pdfs/GGB-1820-74.pdf#page=3","Abrir facsímil")</f>
        <v>Abrir facsímil</v>
      </c>
      <c r="K3430" s="3" t="s">
        <v>23</v>
      </c>
    </row>
    <row r="3431" spans="1:11" ht="42" customHeight="1">
      <c r="A3431" s="2" t="s">
        <v>7046</v>
      </c>
      <c r="B3431" s="2" t="s">
        <v>7046</v>
      </c>
      <c r="C3431" s="2" t="s">
        <v>26</v>
      </c>
      <c r="D3431" s="2" t="s">
        <v>27</v>
      </c>
      <c r="E3431" s="5">
        <v>-28870</v>
      </c>
      <c r="F3431" s="3" t="s">
        <v>1014</v>
      </c>
      <c r="G3431" s="3" t="s">
        <v>20</v>
      </c>
      <c r="H3431" s="2" t="s">
        <v>21</v>
      </c>
      <c r="I3431" s="2" t="s">
        <v>7047</v>
      </c>
      <c r="J3431" s="3" t="str">
        <f>HYPERLINK("https://www.boe.es/gazeta/dias/1820/12/14/pdfs/GGB-1820-171.pdf#page=4","Abrir facsímil")</f>
        <v>Abrir facsímil</v>
      </c>
      <c r="K3431" s="3" t="s">
        <v>23</v>
      </c>
    </row>
    <row r="3432" spans="1:11" ht="42" customHeight="1">
      <c r="A3432" s="2" t="s">
        <v>7048</v>
      </c>
      <c r="B3432" s="2" t="s">
        <v>7048</v>
      </c>
      <c r="C3432" s="2" t="s">
        <v>74</v>
      </c>
      <c r="D3432" s="2" t="s">
        <v>18</v>
      </c>
      <c r="E3432" s="5">
        <v>-29082</v>
      </c>
      <c r="F3432" s="3" t="s">
        <v>478</v>
      </c>
      <c r="G3432" s="3" t="s">
        <v>261</v>
      </c>
      <c r="H3432" s="2" t="s">
        <v>21</v>
      </c>
      <c r="I3432" s="2" t="s">
        <v>7049</v>
      </c>
      <c r="J3432" s="3" t="str">
        <f>HYPERLINK("https://www.boe.es/gazeta/dias/1820/05/16/pdfs/GMD-1820-80.pdf#page=9","Abrir facsímil")</f>
        <v>Abrir facsímil</v>
      </c>
      <c r="K3432" s="3" t="s">
        <v>23</v>
      </c>
    </row>
    <row r="3433" spans="1:11" ht="42" customHeight="1">
      <c r="A3433" s="2" t="s">
        <v>7050</v>
      </c>
      <c r="B3433" s="2" t="s">
        <v>7050</v>
      </c>
      <c r="C3433" s="2" t="s">
        <v>35</v>
      </c>
      <c r="D3433" s="2" t="s">
        <v>36</v>
      </c>
      <c r="E3433" s="5">
        <v>-29101</v>
      </c>
      <c r="F3433" s="3" t="s">
        <v>999</v>
      </c>
      <c r="G3433" s="3" t="s">
        <v>479</v>
      </c>
      <c r="H3433" s="2" t="s">
        <v>21</v>
      </c>
      <c r="I3433" s="2" t="s">
        <v>7051</v>
      </c>
      <c r="J3433" s="3" t="str">
        <f>HYPERLINK("https://www.boe.es/gazeta/dias/1820/04/27/pdfs/GMD-1820-72.pdf#page=12","Abrir facsímil")</f>
        <v>Abrir facsímil</v>
      </c>
      <c r="K3433" s="3" t="s">
        <v>23</v>
      </c>
    </row>
    <row r="3434" spans="1:11" ht="42" customHeight="1">
      <c r="A3434" s="2" t="s">
        <v>7050</v>
      </c>
      <c r="B3434" s="2" t="s">
        <v>7050</v>
      </c>
      <c r="C3434" s="2" t="s">
        <v>35</v>
      </c>
      <c r="D3434" s="2" t="s">
        <v>36</v>
      </c>
      <c r="E3434" s="5">
        <v>-29082</v>
      </c>
      <c r="F3434" s="3" t="s">
        <v>478</v>
      </c>
      <c r="G3434" s="3" t="s">
        <v>261</v>
      </c>
      <c r="H3434" s="2" t="s">
        <v>21</v>
      </c>
      <c r="I3434" s="2" t="s">
        <v>7052</v>
      </c>
      <c r="J3434" s="3" t="str">
        <f>HYPERLINK("https://www.boe.es/gazeta/dias/1820/05/16/pdfs/GMD-1820-80.pdf#page=9","Abrir facsímil")</f>
        <v>Abrir facsímil</v>
      </c>
      <c r="K3434" s="3" t="s">
        <v>23</v>
      </c>
    </row>
    <row r="3435" spans="1:11" ht="42" customHeight="1">
      <c r="A3435" s="2" t="s">
        <v>7050</v>
      </c>
      <c r="B3435" s="2" t="s">
        <v>7050</v>
      </c>
      <c r="C3435" s="2" t="s">
        <v>26</v>
      </c>
      <c r="D3435" s="2" t="s">
        <v>27</v>
      </c>
      <c r="E3435" s="5">
        <v>-29080</v>
      </c>
      <c r="F3435" s="3" t="s">
        <v>1031</v>
      </c>
      <c r="G3435" s="3" t="s">
        <v>256</v>
      </c>
      <c r="H3435" s="2" t="s">
        <v>21</v>
      </c>
      <c r="I3435" s="2" t="s">
        <v>7053</v>
      </c>
      <c r="J3435" s="3" t="str">
        <f>HYPERLINK("https://www.boe.es/gazeta/dias/1820/05/18/pdfs/GMD-1820-82.pdf#page=5","Abrir facsímil")</f>
        <v>Abrir facsímil</v>
      </c>
      <c r="K3435" s="3" t="s">
        <v>23</v>
      </c>
    </row>
    <row r="3436" spans="1:11" ht="42" customHeight="1">
      <c r="A3436" s="2" t="s">
        <v>7050</v>
      </c>
      <c r="B3436" s="2" t="s">
        <v>7050</v>
      </c>
      <c r="C3436" s="2" t="s">
        <v>111</v>
      </c>
      <c r="D3436" s="2" t="s">
        <v>18</v>
      </c>
      <c r="E3436" s="5">
        <v>-29025</v>
      </c>
      <c r="F3436" s="3" t="s">
        <v>902</v>
      </c>
      <c r="G3436" s="3" t="s">
        <v>128</v>
      </c>
      <c r="H3436" s="2" t="s">
        <v>21</v>
      </c>
      <c r="I3436" s="2" t="s">
        <v>7054</v>
      </c>
      <c r="J3436" s="3" t="str">
        <f>HYPERLINK("https://www.boe.es/gazeta/dias/1820/07/12/pdfs/GGB-1820-14.pdf#page=1","Abrir facsímil")</f>
        <v>Abrir facsímil</v>
      </c>
      <c r="K3436" s="3" t="s">
        <v>23</v>
      </c>
    </row>
    <row r="3437" spans="1:11" ht="42" customHeight="1">
      <c r="A3437" s="2" t="s">
        <v>7050</v>
      </c>
      <c r="B3437" s="2" t="s">
        <v>7050</v>
      </c>
      <c r="C3437" s="2" t="s">
        <v>26</v>
      </c>
      <c r="D3437" s="2" t="s">
        <v>27</v>
      </c>
      <c r="E3437" s="5">
        <v>-28997</v>
      </c>
      <c r="F3437" s="3" t="s">
        <v>1471</v>
      </c>
      <c r="G3437" s="3" t="s">
        <v>43</v>
      </c>
      <c r="H3437" s="2" t="s">
        <v>21</v>
      </c>
      <c r="I3437" s="2" t="s">
        <v>7055</v>
      </c>
      <c r="J3437" s="3" t="str">
        <f>HYPERLINK("https://www.boe.es/gazeta/dias/1820/08/09/pdfs/GGB-1820-42.pdf#page=2","Abrir facsímil")</f>
        <v>Abrir facsímil</v>
      </c>
      <c r="K3437" s="3" t="s">
        <v>23</v>
      </c>
    </row>
    <row r="3438" spans="1:11" ht="42" customHeight="1">
      <c r="A3438" s="2" t="s">
        <v>7050</v>
      </c>
      <c r="B3438" s="2" t="s">
        <v>7050</v>
      </c>
      <c r="C3438" s="2" t="s">
        <v>111</v>
      </c>
      <c r="D3438" s="2" t="s">
        <v>18</v>
      </c>
      <c r="E3438" s="5">
        <v>-28982</v>
      </c>
      <c r="F3438" s="3" t="s">
        <v>173</v>
      </c>
      <c r="G3438" s="3" t="s">
        <v>43</v>
      </c>
      <c r="H3438" s="2" t="s">
        <v>21</v>
      </c>
      <c r="I3438" s="2" t="s">
        <v>7056</v>
      </c>
      <c r="J3438" s="3" t="str">
        <f>HYPERLINK("https://www.boe.es/gazeta/dias/1820/08/24/pdfs/GGB-1820-57.pdf#page=2","Abrir facsímil")</f>
        <v>Abrir facsímil</v>
      </c>
      <c r="K3438" s="3" t="s">
        <v>23</v>
      </c>
    </row>
    <row r="3439" spans="1:11" ht="42" customHeight="1">
      <c r="A3439" s="2" t="s">
        <v>7050</v>
      </c>
      <c r="B3439" s="2" t="s">
        <v>7050</v>
      </c>
      <c r="C3439" s="2" t="s">
        <v>26</v>
      </c>
      <c r="D3439" s="2" t="s">
        <v>27</v>
      </c>
      <c r="E3439" s="5">
        <v>-28974</v>
      </c>
      <c r="F3439" s="3" t="s">
        <v>1144</v>
      </c>
      <c r="G3439" s="3" t="s">
        <v>1145</v>
      </c>
      <c r="H3439" s="2" t="s">
        <v>21</v>
      </c>
      <c r="I3439" s="2" t="s">
        <v>7057</v>
      </c>
      <c r="J3439" s="3" t="str">
        <f>HYPERLINK("https://www.boe.es/gazeta/dias/1820/09/01/pdfs/GGB-1820-65.pdf#page=4","Abrir facsímil")</f>
        <v>Abrir facsímil</v>
      </c>
      <c r="K3439" s="3" t="s">
        <v>23</v>
      </c>
    </row>
    <row r="3440" spans="1:11" ht="42" customHeight="1">
      <c r="A3440" s="2" t="s">
        <v>7050</v>
      </c>
      <c r="B3440" s="2" t="s">
        <v>7050</v>
      </c>
      <c r="C3440" s="2" t="s">
        <v>35</v>
      </c>
      <c r="D3440" s="2" t="s">
        <v>36</v>
      </c>
      <c r="E3440" s="5">
        <v>-28970</v>
      </c>
      <c r="F3440" s="3" t="s">
        <v>693</v>
      </c>
      <c r="G3440" s="3" t="s">
        <v>43</v>
      </c>
      <c r="H3440" s="2" t="s">
        <v>21</v>
      </c>
      <c r="I3440" s="2" t="s">
        <v>7058</v>
      </c>
      <c r="J3440" s="3" t="str">
        <f>HYPERLINK("https://www.boe.es/gazeta/dias/1820/09/05/pdfs/GGB-1820-69.pdf#page=2","Abrir facsímil")</f>
        <v>Abrir facsímil</v>
      </c>
      <c r="K3440" s="3" t="s">
        <v>23</v>
      </c>
    </row>
    <row r="3441" spans="1:11" ht="42" customHeight="1">
      <c r="A3441" s="2" t="s">
        <v>7050</v>
      </c>
      <c r="B3441" s="2" t="s">
        <v>7050</v>
      </c>
      <c r="C3441" s="2" t="s">
        <v>26</v>
      </c>
      <c r="D3441" s="2" t="s">
        <v>27</v>
      </c>
      <c r="E3441" s="5">
        <v>-28963</v>
      </c>
      <c r="F3441" s="3" t="s">
        <v>94</v>
      </c>
      <c r="G3441" s="3" t="s">
        <v>62</v>
      </c>
      <c r="H3441" s="2" t="s">
        <v>21</v>
      </c>
      <c r="I3441" s="2" t="s">
        <v>7059</v>
      </c>
      <c r="J3441" s="3" t="str">
        <f>HYPERLINK("https://www.boe.es/gazeta/dias/1820/09/12/pdfs/GGB-1820-76.pdf#page=3","Abrir facsímil")</f>
        <v>Abrir facsímil</v>
      </c>
      <c r="K3441" s="3" t="s">
        <v>23</v>
      </c>
    </row>
    <row r="3442" spans="1:11" ht="42" customHeight="1">
      <c r="A3442" s="2" t="s">
        <v>7060</v>
      </c>
      <c r="B3442" s="2" t="s">
        <v>7060</v>
      </c>
      <c r="C3442" s="2" t="s">
        <v>26</v>
      </c>
      <c r="D3442" s="2" t="s">
        <v>27</v>
      </c>
      <c r="E3442" s="5">
        <v>-28957</v>
      </c>
      <c r="F3442" s="3" t="s">
        <v>361</v>
      </c>
      <c r="G3442" s="3" t="s">
        <v>62</v>
      </c>
      <c r="H3442" s="2" t="s">
        <v>21</v>
      </c>
      <c r="I3442" s="2" t="s">
        <v>7061</v>
      </c>
      <c r="J3442" s="3" t="str">
        <f>HYPERLINK("https://www.boe.es/gazeta/dias/1820/09/18/pdfs/GGB-1820-82.pdf#page=3","Abrir facsímil")</f>
        <v>Abrir facsímil</v>
      </c>
      <c r="K3442" s="3" t="s">
        <v>23</v>
      </c>
    </row>
    <row r="3443" spans="1:11" ht="42" customHeight="1">
      <c r="A3443" s="2" t="s">
        <v>7050</v>
      </c>
      <c r="B3443" s="2" t="s">
        <v>7050</v>
      </c>
      <c r="C3443" s="2" t="s">
        <v>17</v>
      </c>
      <c r="D3443" s="2" t="s">
        <v>18</v>
      </c>
      <c r="E3443" s="5">
        <v>-28931</v>
      </c>
      <c r="F3443" s="3" t="s">
        <v>724</v>
      </c>
      <c r="G3443" s="3" t="s">
        <v>20</v>
      </c>
      <c r="H3443" s="2" t="s">
        <v>21</v>
      </c>
      <c r="I3443" s="2" t="s">
        <v>7062</v>
      </c>
      <c r="J3443" s="3" t="str">
        <f>HYPERLINK("https://www.boe.es/gazeta/dias/1820/10/14/pdfs/GGB-1820-108.pdf#page=4","Abrir facsímil")</f>
        <v>Abrir facsímil</v>
      </c>
      <c r="K3443" s="3" t="s">
        <v>23</v>
      </c>
    </row>
    <row r="3444" spans="1:11" ht="42" customHeight="1">
      <c r="A3444" s="2" t="s">
        <v>7050</v>
      </c>
      <c r="B3444" s="2" t="s">
        <v>7050</v>
      </c>
      <c r="C3444" s="2" t="s">
        <v>26</v>
      </c>
      <c r="D3444" s="2" t="s">
        <v>27</v>
      </c>
      <c r="E3444" s="5">
        <v>-28905</v>
      </c>
      <c r="F3444" s="3" t="s">
        <v>749</v>
      </c>
      <c r="G3444" s="3" t="s">
        <v>62</v>
      </c>
      <c r="H3444" s="2" t="s">
        <v>21</v>
      </c>
      <c r="I3444" s="2" t="s">
        <v>7063</v>
      </c>
      <c r="J3444" s="3" t="str">
        <f>HYPERLINK("https://www.boe.es/gazeta/dias/1820/11/09/pdfs/GGB-1820-134.pdf#page=3","Abrir facsímil")</f>
        <v>Abrir facsímil</v>
      </c>
      <c r="K3444" s="3" t="s">
        <v>23</v>
      </c>
    </row>
    <row r="3445" spans="1:11" ht="42" customHeight="1">
      <c r="A3445" s="2" t="s">
        <v>7064</v>
      </c>
      <c r="B3445" s="2" t="s">
        <v>7065</v>
      </c>
      <c r="C3445" s="2" t="s">
        <v>17</v>
      </c>
      <c r="D3445" s="2" t="s">
        <v>18</v>
      </c>
      <c r="E3445" s="5">
        <v>-29187</v>
      </c>
      <c r="F3445" s="3" t="s">
        <v>859</v>
      </c>
      <c r="G3445" s="3" t="s">
        <v>256</v>
      </c>
      <c r="H3445" s="2" t="s">
        <v>21</v>
      </c>
      <c r="I3445" s="2" t="s">
        <v>7066</v>
      </c>
      <c r="J3445" s="3" t="str">
        <f>HYPERLINK("https://www.boe.es/gazeta/dias/1820/02/01/pdfs/GMD-1820-14.pdf#page=5","Abrir facsímil")</f>
        <v>Abrir facsímil</v>
      </c>
      <c r="K3445" s="3" t="s">
        <v>23</v>
      </c>
    </row>
    <row r="3446" spans="1:11" ht="42" customHeight="1">
      <c r="A3446" s="2" t="s">
        <v>7067</v>
      </c>
      <c r="B3446" s="2" t="s">
        <v>7068</v>
      </c>
      <c r="C3446" s="2" t="s">
        <v>17</v>
      </c>
      <c r="D3446" s="2" t="s">
        <v>18</v>
      </c>
      <c r="E3446" s="5">
        <v>-29019</v>
      </c>
      <c r="F3446" s="3" t="s">
        <v>655</v>
      </c>
      <c r="G3446" s="3" t="s">
        <v>945</v>
      </c>
      <c r="H3446" s="2" t="s">
        <v>21</v>
      </c>
      <c r="I3446" s="2" t="s">
        <v>7069</v>
      </c>
      <c r="J3446" s="3" t="str">
        <f>HYPERLINK("https://www.boe.es/gazeta/dias/1820/07/18/pdfs/GGB-1820-20.pdf#page=2","Abrir facsímil")</f>
        <v>Abrir facsímil</v>
      </c>
      <c r="K3446" s="3" t="s">
        <v>23</v>
      </c>
    </row>
    <row r="3447" spans="1:11" ht="42" customHeight="1">
      <c r="A3447" s="2" t="s">
        <v>7070</v>
      </c>
      <c r="B3447" s="2" t="s">
        <v>7070</v>
      </c>
      <c r="C3447" s="2" t="s">
        <v>17</v>
      </c>
      <c r="D3447" s="2" t="s">
        <v>18</v>
      </c>
      <c r="E3447" s="5">
        <v>-28886</v>
      </c>
      <c r="F3447" s="3" t="s">
        <v>874</v>
      </c>
      <c r="G3447" s="3" t="s">
        <v>20</v>
      </c>
      <c r="H3447" s="2" t="s">
        <v>21</v>
      </c>
      <c r="I3447" s="2" t="s">
        <v>7071</v>
      </c>
      <c r="J3447" s="3" t="str">
        <f>HYPERLINK("https://www.boe.es/gazeta/dias/1820/11/28/pdfs/GGB-1820-155.pdf#page=4","Abrir facsímil")</f>
        <v>Abrir facsímil</v>
      </c>
      <c r="K3447" s="3" t="s">
        <v>23</v>
      </c>
    </row>
    <row r="3448" spans="1:11" ht="42" customHeight="1">
      <c r="A3448" s="2" t="s">
        <v>7072</v>
      </c>
      <c r="B3448" s="2" t="s">
        <v>7072</v>
      </c>
      <c r="C3448" s="2" t="s">
        <v>26</v>
      </c>
      <c r="D3448" s="2" t="s">
        <v>27</v>
      </c>
      <c r="E3448" s="5">
        <v>-29120</v>
      </c>
      <c r="F3448" s="3" t="s">
        <v>852</v>
      </c>
      <c r="G3448" s="3" t="s">
        <v>295</v>
      </c>
      <c r="H3448" s="2" t="s">
        <v>21</v>
      </c>
      <c r="I3448" s="2" t="s">
        <v>7073</v>
      </c>
      <c r="J3448" s="3" t="str">
        <f>HYPERLINK("https://www.boe.es/gazeta/dias/1820/04/08/pdfs/GMD-1820-63.pdf#page=8","Abrir facsímil")</f>
        <v>Abrir facsímil</v>
      </c>
      <c r="K3448" s="3" t="s">
        <v>23</v>
      </c>
    </row>
    <row r="3449" spans="1:11" ht="42" customHeight="1">
      <c r="A3449" s="2" t="s">
        <v>7074</v>
      </c>
      <c r="B3449" s="2" t="s">
        <v>7075</v>
      </c>
      <c r="C3449" s="2" t="s">
        <v>35</v>
      </c>
      <c r="D3449" s="2" t="s">
        <v>310</v>
      </c>
      <c r="E3449" s="5">
        <v>-29137</v>
      </c>
      <c r="F3449" s="3" t="s">
        <v>573</v>
      </c>
      <c r="G3449" s="3" t="s">
        <v>43</v>
      </c>
      <c r="H3449" s="2" t="s">
        <v>21</v>
      </c>
      <c r="I3449" s="2" t="s">
        <v>7076</v>
      </c>
      <c r="J3449" s="3" t="str">
        <f>HYPERLINK("https://www.boe.es/gazeta/dias/1820/03/22/pdfs/GMD-1820-50E.pdf#page=2","Abrir facsímil")</f>
        <v>Abrir facsímil</v>
      </c>
      <c r="K3449" s="3" t="s">
        <v>23</v>
      </c>
    </row>
    <row r="3450" spans="1:11" ht="42" customHeight="1">
      <c r="A3450" s="2" t="s">
        <v>7077</v>
      </c>
      <c r="B3450" s="2" t="s">
        <v>7077</v>
      </c>
      <c r="C3450" s="2" t="s">
        <v>35</v>
      </c>
      <c r="D3450" s="2" t="s">
        <v>36</v>
      </c>
      <c r="E3450" s="5">
        <v>-28920</v>
      </c>
      <c r="F3450" s="3" t="s">
        <v>399</v>
      </c>
      <c r="G3450" s="3" t="s">
        <v>43</v>
      </c>
      <c r="H3450" s="2" t="s">
        <v>21</v>
      </c>
      <c r="I3450" s="2" t="s">
        <v>7078</v>
      </c>
      <c r="J3450" s="3" t="str">
        <f>HYPERLINK("https://www.boe.es/gazeta/dias/1820/10/25/pdfs/GGB-1820-119.pdf#page=2","Abrir facsímil")</f>
        <v>Abrir facsímil</v>
      </c>
      <c r="K3450" s="3" t="s">
        <v>23</v>
      </c>
    </row>
    <row r="3451" spans="1:11" ht="42" customHeight="1">
      <c r="A3451" s="2" t="s">
        <v>7079</v>
      </c>
      <c r="B3451" s="2" t="s">
        <v>7079</v>
      </c>
      <c r="C3451" s="2" t="s">
        <v>26</v>
      </c>
      <c r="D3451" s="2" t="s">
        <v>27</v>
      </c>
      <c r="E3451" s="5">
        <v>-29001</v>
      </c>
      <c r="F3451" s="3" t="s">
        <v>633</v>
      </c>
      <c r="G3451" s="3" t="s">
        <v>43</v>
      </c>
      <c r="H3451" s="2" t="s">
        <v>21</v>
      </c>
      <c r="I3451" s="2" t="s">
        <v>7080</v>
      </c>
      <c r="J3451" s="3" t="str">
        <f>HYPERLINK("https://www.boe.es/gazeta/dias/1820/08/05/pdfs/GGB-1820-38.pdf#page=2","Abrir facsímil")</f>
        <v>Abrir facsímil</v>
      </c>
      <c r="K3451" s="3" t="s">
        <v>23</v>
      </c>
    </row>
    <row r="3452" spans="1:11" ht="42" customHeight="1">
      <c r="A3452" s="2" t="s">
        <v>7081</v>
      </c>
      <c r="B3452" s="2" t="s">
        <v>7081</v>
      </c>
      <c r="C3452" s="2" t="s">
        <v>107</v>
      </c>
      <c r="D3452" s="2" t="s">
        <v>18</v>
      </c>
      <c r="E3452" s="5">
        <v>-28962</v>
      </c>
      <c r="F3452" s="3" t="s">
        <v>90</v>
      </c>
      <c r="G3452" s="3" t="s">
        <v>3830</v>
      </c>
      <c r="H3452" s="2" t="s">
        <v>21</v>
      </c>
      <c r="I3452" s="2" t="s">
        <v>7082</v>
      </c>
      <c r="J3452" s="3" t="str">
        <f>HYPERLINK("https://www.boe.es/gazeta/dias/1820/09/13/pdfs/GGB-1820-77.pdf#page=2","Abrir facsímil")</f>
        <v>Abrir facsímil</v>
      </c>
      <c r="K3452" s="3" t="s">
        <v>23</v>
      </c>
    </row>
    <row r="3453" spans="1:11" ht="42" customHeight="1">
      <c r="A3453" s="2" t="s">
        <v>7083</v>
      </c>
      <c r="B3453" s="2" t="s">
        <v>7083</v>
      </c>
      <c r="C3453" s="2" t="s">
        <v>26</v>
      </c>
      <c r="D3453" s="2" t="s">
        <v>27</v>
      </c>
      <c r="E3453" s="5">
        <v>-29029</v>
      </c>
      <c r="F3453" s="3" t="s">
        <v>282</v>
      </c>
      <c r="G3453" s="3" t="s">
        <v>62</v>
      </c>
      <c r="H3453" s="2" t="s">
        <v>21</v>
      </c>
      <c r="I3453" s="2" t="s">
        <v>7084</v>
      </c>
      <c r="J3453" s="3" t="str">
        <f>HYPERLINK("https://www.boe.es/gazeta/dias/1820/07/08/pdfs/GGB-1820-9.pdf#page=3","Abrir facsímil")</f>
        <v>Abrir facsímil</v>
      </c>
      <c r="K3453" s="3" t="s">
        <v>23</v>
      </c>
    </row>
    <row r="3454" spans="1:11" ht="42" customHeight="1">
      <c r="A3454" s="2" t="s">
        <v>7085</v>
      </c>
      <c r="B3454" s="2" t="s">
        <v>7086</v>
      </c>
      <c r="C3454" s="2" t="s">
        <v>107</v>
      </c>
      <c r="D3454" s="2" t="s">
        <v>18</v>
      </c>
      <c r="E3454" s="5">
        <v>-29078</v>
      </c>
      <c r="F3454" s="3" t="s">
        <v>260</v>
      </c>
      <c r="G3454" s="3" t="s">
        <v>479</v>
      </c>
      <c r="H3454" s="2" t="s">
        <v>21</v>
      </c>
      <c r="I3454" s="2" t="s">
        <v>7087</v>
      </c>
      <c r="J3454" s="3" t="str">
        <f>HYPERLINK("https://www.boe.es/gazeta/dias/1820/05/20/pdfs/GMD-1820-83.pdf#page=12","Abrir facsímil")</f>
        <v>Abrir facsímil</v>
      </c>
      <c r="K3454" s="3" t="s">
        <v>23</v>
      </c>
    </row>
    <row r="3455" spans="1:11" ht="42" customHeight="1">
      <c r="A3455" s="2" t="s">
        <v>7088</v>
      </c>
      <c r="B3455" s="2" t="s">
        <v>7088</v>
      </c>
      <c r="C3455" s="2" t="s">
        <v>107</v>
      </c>
      <c r="D3455" s="2" t="s">
        <v>18</v>
      </c>
      <c r="E3455" s="5">
        <v>-29171</v>
      </c>
      <c r="F3455" s="3" t="s">
        <v>764</v>
      </c>
      <c r="G3455" s="3" t="s">
        <v>62</v>
      </c>
      <c r="H3455" s="2" t="s">
        <v>21</v>
      </c>
      <c r="I3455" s="2" t="s">
        <v>7089</v>
      </c>
      <c r="J3455" s="3" t="str">
        <f>HYPERLINK("https://www.boe.es/gazeta/dias/1820/02/17/pdfs/GMD-1820-21.pdf#page=3","Abrir facsímil")</f>
        <v>Abrir facsímil</v>
      </c>
      <c r="K3455" s="3" t="s">
        <v>23</v>
      </c>
    </row>
    <row r="3456" spans="1:11" ht="42" customHeight="1">
      <c r="A3456" s="2" t="s">
        <v>7088</v>
      </c>
      <c r="B3456" s="2" t="s">
        <v>7088</v>
      </c>
      <c r="C3456" s="2" t="s">
        <v>26</v>
      </c>
      <c r="D3456" s="2" t="s">
        <v>27</v>
      </c>
      <c r="E3456" s="5">
        <v>-28931</v>
      </c>
      <c r="F3456" s="3" t="s">
        <v>724</v>
      </c>
      <c r="G3456" s="3" t="s">
        <v>20</v>
      </c>
      <c r="H3456" s="2" t="s">
        <v>21</v>
      </c>
      <c r="I3456" s="2" t="s">
        <v>7090</v>
      </c>
      <c r="J3456" s="3" t="str">
        <f>HYPERLINK("https://www.boe.es/gazeta/dias/1820/10/14/pdfs/GGB-1820-108.pdf#page=4","Abrir facsímil")</f>
        <v>Abrir facsímil</v>
      </c>
      <c r="K3456" s="3" t="s">
        <v>23</v>
      </c>
    </row>
    <row r="3457" spans="1:11" ht="42" customHeight="1">
      <c r="A3457" s="2" t="s">
        <v>7091</v>
      </c>
      <c r="B3457" s="2" t="s">
        <v>7092</v>
      </c>
      <c r="C3457" s="2" t="s">
        <v>74</v>
      </c>
      <c r="D3457" s="2" t="s">
        <v>18</v>
      </c>
      <c r="E3457" s="5">
        <v>-28985</v>
      </c>
      <c r="F3457" s="3" t="s">
        <v>905</v>
      </c>
      <c r="G3457" s="3" t="s">
        <v>62</v>
      </c>
      <c r="H3457" s="2" t="s">
        <v>21</v>
      </c>
      <c r="I3457" s="2" t="s">
        <v>7093</v>
      </c>
      <c r="J3457" s="3" t="str">
        <f>HYPERLINK("https://www.boe.es/gazeta/dias/1820/08/21/pdfs/GGB-1820-54.pdf#page=3","Abrir facsímil")</f>
        <v>Abrir facsímil</v>
      </c>
      <c r="K3457" s="3" t="s">
        <v>23</v>
      </c>
    </row>
    <row r="3458" spans="1:11" ht="42" customHeight="1">
      <c r="A3458" s="2" t="s">
        <v>7094</v>
      </c>
      <c r="B3458" s="2" t="s">
        <v>7094</v>
      </c>
      <c r="C3458" s="2" t="s">
        <v>293</v>
      </c>
      <c r="D3458" s="2" t="s">
        <v>18</v>
      </c>
      <c r="E3458" s="5">
        <v>-29145</v>
      </c>
      <c r="F3458" s="3" t="s">
        <v>3537</v>
      </c>
      <c r="G3458" s="3" t="s">
        <v>38</v>
      </c>
      <c r="H3458" s="2" t="s">
        <v>21</v>
      </c>
      <c r="I3458" s="2" t="s">
        <v>7095</v>
      </c>
      <c r="J3458" s="3" t="str">
        <f>HYPERLINK("https://www.boe.es/gazeta/dias/1820/03/14/pdfs/GMD-1820-39.pdf#page=6","Abrir facsímil")</f>
        <v>Abrir facsímil</v>
      </c>
      <c r="K3458" s="3" t="s">
        <v>23</v>
      </c>
    </row>
    <row r="3459" spans="1:11" ht="42" customHeight="1">
      <c r="A3459" s="2" t="s">
        <v>7096</v>
      </c>
      <c r="B3459" s="2" t="s">
        <v>7097</v>
      </c>
      <c r="C3459" s="2" t="s">
        <v>17</v>
      </c>
      <c r="D3459" s="2" t="s">
        <v>18</v>
      </c>
      <c r="E3459" s="5">
        <v>-29197</v>
      </c>
      <c r="F3459" s="3" t="s">
        <v>48</v>
      </c>
      <c r="G3459" s="3" t="s">
        <v>256</v>
      </c>
      <c r="H3459" s="2" t="s">
        <v>21</v>
      </c>
      <c r="I3459" s="2" t="s">
        <v>7098</v>
      </c>
      <c r="J3459" s="3" t="str">
        <f>HYPERLINK("https://www.boe.es/gazeta/dias/1820/01/22/pdfs/GMD-1820-10.pdf#page=5","Abrir facsímil")</f>
        <v>Abrir facsímil</v>
      </c>
      <c r="K3459" s="3" t="s">
        <v>23</v>
      </c>
    </row>
    <row r="3460" spans="1:11" ht="42" customHeight="1">
      <c r="A3460" s="2" t="s">
        <v>7099</v>
      </c>
      <c r="B3460" s="2" t="s">
        <v>7099</v>
      </c>
      <c r="C3460" s="2" t="s">
        <v>17</v>
      </c>
      <c r="D3460" s="2" t="s">
        <v>18</v>
      </c>
      <c r="E3460" s="5">
        <v>-29180</v>
      </c>
      <c r="F3460" s="3" t="s">
        <v>294</v>
      </c>
      <c r="G3460" s="3" t="s">
        <v>256</v>
      </c>
      <c r="H3460" s="2" t="s">
        <v>21</v>
      </c>
      <c r="I3460" s="2" t="s">
        <v>7100</v>
      </c>
      <c r="J3460" s="3" t="str">
        <f>HYPERLINK("https://www.boe.es/gazeta/dias/1820/02/08/pdfs/GMD-1820-17.pdf#page=5","Abrir facsímil")</f>
        <v>Abrir facsímil</v>
      </c>
      <c r="K3460" s="3" t="s">
        <v>23</v>
      </c>
    </row>
    <row r="3461" spans="1:11" ht="42" customHeight="1">
      <c r="A3461" s="2" t="s">
        <v>7099</v>
      </c>
      <c r="B3461" s="2" t="s">
        <v>7099</v>
      </c>
      <c r="C3461" s="2" t="s">
        <v>26</v>
      </c>
      <c r="D3461" s="2" t="s">
        <v>27</v>
      </c>
      <c r="E3461" s="5">
        <v>-29176</v>
      </c>
      <c r="F3461" s="3" t="s">
        <v>797</v>
      </c>
      <c r="G3461" s="3" t="s">
        <v>256</v>
      </c>
      <c r="H3461" s="2" t="s">
        <v>21</v>
      </c>
      <c r="I3461" s="2" t="s">
        <v>7101</v>
      </c>
      <c r="J3461" s="3" t="str">
        <f>HYPERLINK("https://www.boe.es/gazeta/dias/1820/02/12/pdfs/GMD-1820-19.pdf#page=5","Abrir facsímil")</f>
        <v>Abrir facsímil</v>
      </c>
      <c r="K3461" s="3" t="s">
        <v>23</v>
      </c>
    </row>
    <row r="3462" spans="1:11" ht="42" customHeight="1">
      <c r="A3462" s="2" t="s">
        <v>7099</v>
      </c>
      <c r="B3462" s="2" t="s">
        <v>7099</v>
      </c>
      <c r="C3462" s="2" t="s">
        <v>26</v>
      </c>
      <c r="D3462" s="2" t="s">
        <v>27</v>
      </c>
      <c r="E3462" s="5">
        <v>-29176</v>
      </c>
      <c r="F3462" s="3" t="s">
        <v>797</v>
      </c>
      <c r="G3462" s="3" t="s">
        <v>38</v>
      </c>
      <c r="H3462" s="2" t="s">
        <v>21</v>
      </c>
      <c r="I3462" s="2" t="s">
        <v>7102</v>
      </c>
      <c r="J3462" s="3" t="str">
        <f>HYPERLINK("https://www.boe.es/gazeta/dias/1820/02/12/pdfs/GMD-1820-19.pdf#page=6","Abrir facsímil")</f>
        <v>Abrir facsímil</v>
      </c>
      <c r="K3462" s="3" t="s">
        <v>23</v>
      </c>
    </row>
    <row r="3463" spans="1:11" ht="42" customHeight="1">
      <c r="A3463" s="2" t="s">
        <v>7099</v>
      </c>
      <c r="B3463" s="2" t="s">
        <v>7099</v>
      </c>
      <c r="C3463" s="2" t="s">
        <v>35</v>
      </c>
      <c r="D3463" s="2" t="s">
        <v>36</v>
      </c>
      <c r="E3463" s="5">
        <v>-29159</v>
      </c>
      <c r="F3463" s="3" t="s">
        <v>1022</v>
      </c>
      <c r="G3463" s="3" t="s">
        <v>3766</v>
      </c>
      <c r="H3463" s="2" t="s">
        <v>21</v>
      </c>
      <c r="I3463" s="2" t="s">
        <v>7103</v>
      </c>
      <c r="J3463" s="3" t="str">
        <f>HYPERLINK("https://www.boe.es/gazeta/dias/1820/02/29/pdfs/GMD-1820-26.pdf#page=8","Abrir facsímil")</f>
        <v>Abrir facsímil</v>
      </c>
      <c r="K3463" s="3" t="s">
        <v>23</v>
      </c>
    </row>
    <row r="3464" spans="1:11" ht="42" customHeight="1">
      <c r="A3464" s="2" t="s">
        <v>7099</v>
      </c>
      <c r="B3464" s="2" t="s">
        <v>7099</v>
      </c>
      <c r="C3464" s="2" t="s">
        <v>26</v>
      </c>
      <c r="D3464" s="2" t="s">
        <v>27</v>
      </c>
      <c r="E3464" s="5">
        <v>-29155</v>
      </c>
      <c r="F3464" s="3" t="s">
        <v>2095</v>
      </c>
      <c r="G3464" s="3" t="s">
        <v>6100</v>
      </c>
      <c r="H3464" s="2" t="s">
        <v>21</v>
      </c>
      <c r="I3464" s="2" t="s">
        <v>7104</v>
      </c>
      <c r="J3464" s="3" t="str">
        <f>HYPERLINK("https://www.boe.es/gazeta/dias/1820/03/04/pdfs/GMD-1820-28.pdf#page=7","Abrir facsímil")</f>
        <v>Abrir facsímil</v>
      </c>
      <c r="K3464" s="3" t="s">
        <v>23</v>
      </c>
    </row>
    <row r="3465" spans="1:11" ht="42" customHeight="1">
      <c r="A3465" s="2" t="s">
        <v>7099</v>
      </c>
      <c r="B3465" s="2" t="s">
        <v>7099</v>
      </c>
      <c r="C3465" s="2" t="s">
        <v>26</v>
      </c>
      <c r="D3465" s="2" t="s">
        <v>27</v>
      </c>
      <c r="E3465" s="5">
        <v>-29122</v>
      </c>
      <c r="F3465" s="3" t="s">
        <v>844</v>
      </c>
      <c r="G3465" s="3" t="s">
        <v>1895</v>
      </c>
      <c r="H3465" s="2" t="s">
        <v>21</v>
      </c>
      <c r="I3465" s="2" t="s">
        <v>7105</v>
      </c>
      <c r="J3465" s="3" t="str">
        <f>HYPERLINK("https://www.boe.es/gazeta/dias/1820/04/06/pdfs/GMD-1820-62.pdf#page=4","Abrir facsímil")</f>
        <v>Abrir facsímil</v>
      </c>
      <c r="K3465" s="3" t="s">
        <v>23</v>
      </c>
    </row>
    <row r="3466" spans="1:11" ht="42" customHeight="1">
      <c r="A3466" s="2" t="s">
        <v>7099</v>
      </c>
      <c r="B3466" s="2" t="s">
        <v>7099</v>
      </c>
      <c r="C3466" s="2" t="s">
        <v>35</v>
      </c>
      <c r="D3466" s="2" t="s">
        <v>36</v>
      </c>
      <c r="E3466" s="5">
        <v>-29054</v>
      </c>
      <c r="F3466" s="3" t="s">
        <v>481</v>
      </c>
      <c r="G3466" s="3" t="s">
        <v>196</v>
      </c>
      <c r="H3466" s="2" t="s">
        <v>21</v>
      </c>
      <c r="I3466" s="2" t="s">
        <v>7106</v>
      </c>
      <c r="J3466" s="3" t="str">
        <f>HYPERLINK("https://www.boe.es/gazeta/dias/1820/06/13/pdfs/GMD-1820-93.pdf#page=11","Abrir facsímil")</f>
        <v>Abrir facsímil</v>
      </c>
      <c r="K3466" s="3" t="s">
        <v>23</v>
      </c>
    </row>
    <row r="3467" spans="1:11" ht="42" customHeight="1">
      <c r="A3467" s="2" t="s">
        <v>7107</v>
      </c>
      <c r="B3467" s="2" t="s">
        <v>7107</v>
      </c>
      <c r="C3467" s="2" t="s">
        <v>35</v>
      </c>
      <c r="D3467" s="2" t="s">
        <v>36</v>
      </c>
      <c r="E3467" s="5">
        <v>-29050</v>
      </c>
      <c r="F3467" s="3" t="s">
        <v>423</v>
      </c>
      <c r="G3467" s="3" t="s">
        <v>201</v>
      </c>
      <c r="H3467" s="2" t="s">
        <v>21</v>
      </c>
      <c r="I3467" s="2" t="s">
        <v>7108</v>
      </c>
      <c r="J3467" s="3" t="str">
        <f>HYPERLINK("https://www.boe.es/gazeta/dias/1820/06/17/pdfs/GMD-1820-95.pdf#page=7","Abrir facsímil")</f>
        <v>Abrir facsímil</v>
      </c>
      <c r="K3467" s="3" t="s">
        <v>23</v>
      </c>
    </row>
    <row r="3468" spans="1:11" ht="42" customHeight="1">
      <c r="A3468" s="2" t="s">
        <v>7099</v>
      </c>
      <c r="B3468" s="2" t="s">
        <v>7099</v>
      </c>
      <c r="C3468" s="2" t="s">
        <v>74</v>
      </c>
      <c r="D3468" s="2" t="s">
        <v>18</v>
      </c>
      <c r="E3468" s="5">
        <v>-29025</v>
      </c>
      <c r="F3468" s="3" t="s">
        <v>902</v>
      </c>
      <c r="G3468" s="3" t="s">
        <v>128</v>
      </c>
      <c r="H3468" s="2" t="s">
        <v>21</v>
      </c>
      <c r="I3468" s="2" t="s">
        <v>7109</v>
      </c>
      <c r="J3468" s="3" t="str">
        <f>HYPERLINK("https://www.boe.es/gazeta/dias/1820/07/12/pdfs/GGB-1820-14.pdf#page=1","Abrir facsímil")</f>
        <v>Abrir facsímil</v>
      </c>
      <c r="K3468" s="3" t="s">
        <v>23</v>
      </c>
    </row>
    <row r="3469" spans="1:11" ht="42" customHeight="1">
      <c r="A3469" s="2" t="s">
        <v>7099</v>
      </c>
      <c r="B3469" s="2" t="s">
        <v>7099</v>
      </c>
      <c r="C3469" s="2" t="s">
        <v>26</v>
      </c>
      <c r="D3469" s="2" t="s">
        <v>27</v>
      </c>
      <c r="E3469" s="5">
        <v>-29020</v>
      </c>
      <c r="F3469" s="3" t="s">
        <v>756</v>
      </c>
      <c r="G3469" s="3" t="s">
        <v>20</v>
      </c>
      <c r="H3469" s="2" t="s">
        <v>21</v>
      </c>
      <c r="I3469" s="2" t="s">
        <v>7110</v>
      </c>
      <c r="J3469" s="3" t="str">
        <f>HYPERLINK("https://www.boe.es/gazeta/dias/1820/07/17/pdfs/GGB-1820-19.pdf#page=4","Abrir facsímil")</f>
        <v>Abrir facsímil</v>
      </c>
      <c r="K3469" s="3" t="s">
        <v>23</v>
      </c>
    </row>
    <row r="3470" spans="1:11" ht="42" customHeight="1">
      <c r="A3470" s="2" t="s">
        <v>7099</v>
      </c>
      <c r="B3470" s="2" t="s">
        <v>7099</v>
      </c>
      <c r="C3470" s="2" t="s">
        <v>17</v>
      </c>
      <c r="D3470" s="2" t="s">
        <v>18</v>
      </c>
      <c r="E3470" s="5">
        <v>-28984</v>
      </c>
      <c r="F3470" s="3" t="s">
        <v>520</v>
      </c>
      <c r="G3470" s="3" t="s">
        <v>43</v>
      </c>
      <c r="H3470" s="2" t="s">
        <v>21</v>
      </c>
      <c r="I3470" s="2" t="s">
        <v>7111</v>
      </c>
      <c r="J3470" s="3" t="str">
        <f>HYPERLINK("https://www.boe.es/gazeta/dias/1820/08/22/pdfs/GGB-1820-55.pdf#page=2","Abrir facsímil")</f>
        <v>Abrir facsímil</v>
      </c>
      <c r="K3470" s="3" t="s">
        <v>23</v>
      </c>
    </row>
    <row r="3471" spans="1:11" ht="42" customHeight="1">
      <c r="A3471" s="2" t="s">
        <v>7099</v>
      </c>
      <c r="B3471" s="2" t="s">
        <v>7099</v>
      </c>
      <c r="C3471" s="2" t="s">
        <v>26</v>
      </c>
      <c r="D3471" s="2" t="s">
        <v>27</v>
      </c>
      <c r="E3471" s="5">
        <v>-28977</v>
      </c>
      <c r="F3471" s="3" t="s">
        <v>687</v>
      </c>
      <c r="G3471" s="3" t="s">
        <v>43</v>
      </c>
      <c r="H3471" s="2" t="s">
        <v>21</v>
      </c>
      <c r="I3471" s="2" t="s">
        <v>7112</v>
      </c>
      <c r="J3471" s="3" t="str">
        <f>HYPERLINK("https://www.boe.es/gazeta/dias/1820/08/29/pdfs/GGB-1820-62.pdf#page=2","Abrir facsímil")</f>
        <v>Abrir facsímil</v>
      </c>
      <c r="K3471" s="3" t="s">
        <v>23</v>
      </c>
    </row>
    <row r="3472" spans="1:11" ht="42" customHeight="1">
      <c r="A3472" s="2" t="s">
        <v>7099</v>
      </c>
      <c r="B3472" s="2" t="s">
        <v>7099</v>
      </c>
      <c r="C3472" s="2" t="s">
        <v>26</v>
      </c>
      <c r="D3472" s="2" t="s">
        <v>27</v>
      </c>
      <c r="E3472" s="5">
        <v>-28976</v>
      </c>
      <c r="F3472" s="3" t="s">
        <v>689</v>
      </c>
      <c r="G3472" s="3" t="s">
        <v>20</v>
      </c>
      <c r="H3472" s="2" t="s">
        <v>21</v>
      </c>
      <c r="I3472" s="2" t="s">
        <v>7113</v>
      </c>
      <c r="J3472" s="3" t="str">
        <f>HYPERLINK("https://www.boe.es/gazeta/dias/1820/08/30/pdfs/GGB-1820-63.pdf#page=4","Abrir facsímil")</f>
        <v>Abrir facsímil</v>
      </c>
      <c r="K3472" s="3" t="s">
        <v>23</v>
      </c>
    </row>
    <row r="3473" spans="1:11" ht="42" customHeight="1">
      <c r="A3473" s="2" t="s">
        <v>7099</v>
      </c>
      <c r="B3473" s="2" t="s">
        <v>7099</v>
      </c>
      <c r="C3473" s="2" t="s">
        <v>35</v>
      </c>
      <c r="D3473" s="2" t="s">
        <v>36</v>
      </c>
      <c r="E3473" s="5">
        <v>-28973</v>
      </c>
      <c r="F3473" s="3" t="s">
        <v>151</v>
      </c>
      <c r="G3473" s="3" t="s">
        <v>62</v>
      </c>
      <c r="H3473" s="2" t="s">
        <v>21</v>
      </c>
      <c r="I3473" s="2" t="s">
        <v>7114</v>
      </c>
      <c r="J3473" s="3" t="str">
        <f>HYPERLINK("https://www.boe.es/gazeta/dias/1820/09/02/pdfs/GGB-1820-66.pdf#page=3","Abrir facsímil")</f>
        <v>Abrir facsímil</v>
      </c>
      <c r="K3473" s="3" t="s">
        <v>23</v>
      </c>
    </row>
    <row r="3474" spans="1:11" ht="42" customHeight="1">
      <c r="A3474" s="2" t="s">
        <v>7099</v>
      </c>
      <c r="B3474" s="2" t="s">
        <v>7099</v>
      </c>
      <c r="C3474" s="2" t="s">
        <v>26</v>
      </c>
      <c r="D3474" s="2" t="s">
        <v>27</v>
      </c>
      <c r="E3474" s="5">
        <v>-28966</v>
      </c>
      <c r="F3474" s="3" t="s">
        <v>701</v>
      </c>
      <c r="G3474" s="3" t="s">
        <v>128</v>
      </c>
      <c r="H3474" s="2" t="s">
        <v>21</v>
      </c>
      <c r="I3474" s="2" t="s">
        <v>7115</v>
      </c>
      <c r="J3474" s="3" t="str">
        <f>HYPERLINK("https://www.boe.es/gazeta/dias/1820/09/09/pdfs/GGB-1820-73.pdf#page=1","Abrir facsímil")</f>
        <v>Abrir facsímil</v>
      </c>
      <c r="K3474" s="3" t="s">
        <v>23</v>
      </c>
    </row>
    <row r="3475" spans="1:11" ht="42" customHeight="1">
      <c r="A3475" s="2" t="s">
        <v>7099</v>
      </c>
      <c r="B3475" s="2" t="s">
        <v>7099</v>
      </c>
      <c r="C3475" s="2" t="s">
        <v>35</v>
      </c>
      <c r="D3475" s="2" t="s">
        <v>36</v>
      </c>
      <c r="E3475" s="5">
        <v>-28966</v>
      </c>
      <c r="F3475" s="3" t="s">
        <v>701</v>
      </c>
      <c r="G3475" s="3" t="s">
        <v>62</v>
      </c>
      <c r="H3475" s="2" t="s">
        <v>21</v>
      </c>
      <c r="I3475" s="2" t="s">
        <v>7116</v>
      </c>
      <c r="J3475" s="3" t="str">
        <f>HYPERLINK("https://www.boe.es/gazeta/dias/1820/09/09/pdfs/GGB-1820-73.pdf#page=3","Abrir facsímil")</f>
        <v>Abrir facsímil</v>
      </c>
      <c r="K3475" s="3" t="s">
        <v>23</v>
      </c>
    </row>
    <row r="3476" spans="1:11" ht="42" customHeight="1">
      <c r="A3476" s="2" t="s">
        <v>7099</v>
      </c>
      <c r="B3476" s="2" t="s">
        <v>7099</v>
      </c>
      <c r="C3476" s="2" t="s">
        <v>35</v>
      </c>
      <c r="D3476" s="2" t="s">
        <v>36</v>
      </c>
      <c r="E3476" s="5">
        <v>-28948</v>
      </c>
      <c r="F3476" s="3" t="s">
        <v>1069</v>
      </c>
      <c r="G3476" s="3" t="s">
        <v>20</v>
      </c>
      <c r="H3476" s="2" t="s">
        <v>21</v>
      </c>
      <c r="I3476" s="2" t="s">
        <v>7117</v>
      </c>
      <c r="J3476" s="3" t="str">
        <f>HYPERLINK("https://www.boe.es/gazeta/dias/1820/09/27/pdfs/GGB-1820-91.pdf#page=4","Abrir facsímil")</f>
        <v>Abrir facsímil</v>
      </c>
      <c r="K3476" s="3" t="s">
        <v>23</v>
      </c>
    </row>
    <row r="3477" spans="1:11" ht="42" customHeight="1">
      <c r="A3477" s="2" t="s">
        <v>7099</v>
      </c>
      <c r="B3477" s="2" t="s">
        <v>7099</v>
      </c>
      <c r="C3477" s="2" t="s">
        <v>35</v>
      </c>
      <c r="D3477" s="2" t="s">
        <v>36</v>
      </c>
      <c r="E3477" s="5">
        <v>-28946</v>
      </c>
      <c r="F3477" s="3" t="s">
        <v>1055</v>
      </c>
      <c r="G3477" s="3" t="s">
        <v>20</v>
      </c>
      <c r="H3477" s="2" t="s">
        <v>21</v>
      </c>
      <c r="I3477" s="2" t="s">
        <v>7118</v>
      </c>
      <c r="J3477" s="3" t="str">
        <f>HYPERLINK("https://www.boe.es/gazeta/dias/1820/09/29/pdfs/GGB-1820-93.pdf#page=4","Abrir facsímil")</f>
        <v>Abrir facsímil</v>
      </c>
      <c r="K3477" s="3" t="s">
        <v>23</v>
      </c>
    </row>
    <row r="3478" spans="1:11" ht="42" customHeight="1">
      <c r="A3478" s="2" t="s">
        <v>7099</v>
      </c>
      <c r="B3478" s="2" t="s">
        <v>7099</v>
      </c>
      <c r="C3478" s="2" t="s">
        <v>107</v>
      </c>
      <c r="D3478" s="2" t="s">
        <v>18</v>
      </c>
      <c r="E3478" s="5">
        <v>-28945</v>
      </c>
      <c r="F3478" s="3" t="s">
        <v>99</v>
      </c>
      <c r="G3478" s="3" t="s">
        <v>20</v>
      </c>
      <c r="H3478" s="2" t="s">
        <v>21</v>
      </c>
      <c r="I3478" s="2" t="s">
        <v>7119</v>
      </c>
      <c r="J3478" s="3" t="str">
        <f>HYPERLINK("https://www.boe.es/gazeta/dias/1820/09/30/pdfs/GGB-1820-94.pdf#page=4","Abrir facsímil")</f>
        <v>Abrir facsímil</v>
      </c>
      <c r="K3478" s="3" t="s">
        <v>23</v>
      </c>
    </row>
    <row r="3479" spans="1:11" ht="42" customHeight="1">
      <c r="A3479" s="2" t="s">
        <v>7099</v>
      </c>
      <c r="B3479" s="2" t="s">
        <v>7099</v>
      </c>
      <c r="C3479" s="2" t="s">
        <v>35</v>
      </c>
      <c r="D3479" s="2" t="s">
        <v>36</v>
      </c>
      <c r="E3479" s="5">
        <v>-28933</v>
      </c>
      <c r="F3479" s="3" t="s">
        <v>720</v>
      </c>
      <c r="G3479" s="3" t="s">
        <v>20</v>
      </c>
      <c r="H3479" s="2" t="s">
        <v>21</v>
      </c>
      <c r="I3479" s="2" t="s">
        <v>7120</v>
      </c>
      <c r="J3479" s="3" t="str">
        <f>HYPERLINK("https://www.boe.es/gazeta/dias/1820/10/12/pdfs/GGB-1820-106.pdf#page=4","Abrir facsímil")</f>
        <v>Abrir facsímil</v>
      </c>
      <c r="K3479" s="3" t="s">
        <v>23</v>
      </c>
    </row>
    <row r="3480" spans="1:11" ht="42" customHeight="1">
      <c r="A3480" s="2" t="s">
        <v>7099</v>
      </c>
      <c r="B3480" s="2" t="s">
        <v>7099</v>
      </c>
      <c r="C3480" s="2" t="s">
        <v>26</v>
      </c>
      <c r="D3480" s="2" t="s">
        <v>27</v>
      </c>
      <c r="E3480" s="5">
        <v>-28923</v>
      </c>
      <c r="F3480" s="3" t="s">
        <v>648</v>
      </c>
      <c r="G3480" s="3" t="s">
        <v>62</v>
      </c>
      <c r="H3480" s="2" t="s">
        <v>21</v>
      </c>
      <c r="I3480" s="2" t="s">
        <v>7121</v>
      </c>
      <c r="J3480" s="3" t="str">
        <f>HYPERLINK("https://www.boe.es/gazeta/dias/1820/10/22/pdfs/GGB-1820-116.pdf#page=3","Abrir facsímil")</f>
        <v>Abrir facsímil</v>
      </c>
      <c r="K3480" s="3" t="s">
        <v>23</v>
      </c>
    </row>
    <row r="3481" spans="1:11" ht="42" customHeight="1">
      <c r="A3481" s="2" t="s">
        <v>7099</v>
      </c>
      <c r="B3481" s="2" t="s">
        <v>7099</v>
      </c>
      <c r="C3481" s="2" t="s">
        <v>17</v>
      </c>
      <c r="D3481" s="2" t="s">
        <v>18</v>
      </c>
      <c r="E3481" s="5">
        <v>-28921</v>
      </c>
      <c r="F3481" s="3" t="s">
        <v>738</v>
      </c>
      <c r="G3481" s="3" t="s">
        <v>3686</v>
      </c>
      <c r="H3481" s="2" t="s">
        <v>21</v>
      </c>
      <c r="I3481" s="2" t="s">
        <v>7122</v>
      </c>
      <c r="J3481" s="3" t="str">
        <f>HYPERLINK("https://www.boe.es/gazeta/dias/1820/10/24/pdfs/GGB-1820-118.pdf#page=3","Abrir facsímil")</f>
        <v>Abrir facsímil</v>
      </c>
      <c r="K3481" s="3" t="s">
        <v>23</v>
      </c>
    </row>
    <row r="3482" spans="1:11" ht="42" customHeight="1">
      <c r="A3482" s="2" t="s">
        <v>7099</v>
      </c>
      <c r="B3482" s="2" t="s">
        <v>7099</v>
      </c>
      <c r="C3482" s="2" t="s">
        <v>74</v>
      </c>
      <c r="D3482" s="2" t="s">
        <v>18</v>
      </c>
      <c r="E3482" s="5">
        <v>-28914</v>
      </c>
      <c r="F3482" s="3" t="s">
        <v>434</v>
      </c>
      <c r="G3482" s="3" t="s">
        <v>20</v>
      </c>
      <c r="H3482" s="2" t="s">
        <v>21</v>
      </c>
      <c r="I3482" s="2" t="s">
        <v>7123</v>
      </c>
      <c r="J3482" s="3" t="str">
        <f>HYPERLINK("https://www.boe.es/gazeta/dias/1820/10/31/pdfs/GGB-1820-125.pdf#page=4","Abrir facsímil")</f>
        <v>Abrir facsímil</v>
      </c>
      <c r="K3482" s="3" t="s">
        <v>23</v>
      </c>
    </row>
    <row r="3483" spans="1:11" ht="42" customHeight="1">
      <c r="A3483" s="2" t="s">
        <v>7099</v>
      </c>
      <c r="B3483" s="2" t="s">
        <v>7099</v>
      </c>
      <c r="C3483" s="2" t="s">
        <v>26</v>
      </c>
      <c r="D3483" s="2" t="s">
        <v>27</v>
      </c>
      <c r="E3483" s="5">
        <v>-28913</v>
      </c>
      <c r="F3483" s="3" t="s">
        <v>230</v>
      </c>
      <c r="G3483" s="3" t="s">
        <v>43</v>
      </c>
      <c r="H3483" s="2" t="s">
        <v>21</v>
      </c>
      <c r="I3483" s="2" t="s">
        <v>7124</v>
      </c>
      <c r="J3483" s="3" t="str">
        <f>HYPERLINK("https://www.boe.es/gazeta/dias/1820/11/01/pdfs/GGB-1820-126.pdf#page=2","Abrir facsímil")</f>
        <v>Abrir facsímil</v>
      </c>
      <c r="K3483" s="3" t="s">
        <v>23</v>
      </c>
    </row>
    <row r="3484" spans="1:11" ht="42" customHeight="1">
      <c r="A3484" s="2" t="s">
        <v>7099</v>
      </c>
      <c r="B3484" s="2" t="s">
        <v>7099</v>
      </c>
      <c r="C3484" s="2" t="s">
        <v>26</v>
      </c>
      <c r="D3484" s="2" t="s">
        <v>27</v>
      </c>
      <c r="E3484" s="5">
        <v>-28912</v>
      </c>
      <c r="F3484" s="3" t="s">
        <v>1329</v>
      </c>
      <c r="G3484" s="3" t="s">
        <v>20</v>
      </c>
      <c r="H3484" s="2" t="s">
        <v>21</v>
      </c>
      <c r="I3484" s="2" t="s">
        <v>7125</v>
      </c>
      <c r="J3484" s="3" t="str">
        <f>HYPERLINK("https://www.boe.es/gazeta/dias/1820/11/02/pdfs/GGB-1820-127.pdf#page=4","Abrir facsímil")</f>
        <v>Abrir facsímil</v>
      </c>
      <c r="K3484" s="3" t="s">
        <v>23</v>
      </c>
    </row>
    <row r="3485" spans="1:11" ht="42" customHeight="1">
      <c r="A3485" s="2" t="s">
        <v>7099</v>
      </c>
      <c r="B3485" s="2" t="s">
        <v>7099</v>
      </c>
      <c r="C3485" s="2" t="s">
        <v>35</v>
      </c>
      <c r="D3485" s="2" t="s">
        <v>36</v>
      </c>
      <c r="E3485" s="5">
        <v>-28900</v>
      </c>
      <c r="F3485" s="3" t="s">
        <v>878</v>
      </c>
      <c r="G3485" s="3" t="s">
        <v>20</v>
      </c>
      <c r="H3485" s="2" t="s">
        <v>21</v>
      </c>
      <c r="I3485" s="2" t="s">
        <v>7126</v>
      </c>
      <c r="J3485" s="3" t="str">
        <f>HYPERLINK("https://www.boe.es/gazeta/dias/1820/11/14/pdfs/GGB-1820-140.pdf#page=4","Abrir facsímil")</f>
        <v>Abrir facsímil</v>
      </c>
      <c r="K3485" s="3" t="s">
        <v>23</v>
      </c>
    </row>
    <row r="3486" spans="1:11" ht="42" customHeight="1">
      <c r="A3486" s="2" t="s">
        <v>7099</v>
      </c>
      <c r="B3486" s="2" t="s">
        <v>7099</v>
      </c>
      <c r="C3486" s="2" t="s">
        <v>35</v>
      </c>
      <c r="D3486" s="2" t="s">
        <v>36</v>
      </c>
      <c r="E3486" s="5">
        <v>-28899</v>
      </c>
      <c r="F3486" s="3" t="s">
        <v>285</v>
      </c>
      <c r="G3486" s="3" t="s">
        <v>20</v>
      </c>
      <c r="H3486" s="2" t="s">
        <v>21</v>
      </c>
      <c r="I3486" s="2" t="s">
        <v>7127</v>
      </c>
      <c r="J3486" s="3" t="str">
        <f>HYPERLINK("https://www.boe.es/gazeta/dias/1820/11/15/pdfs/GGB-1820-141.pdf#page=4","Abrir facsímil")</f>
        <v>Abrir facsímil</v>
      </c>
      <c r="K3486" s="3" t="s">
        <v>23</v>
      </c>
    </row>
    <row r="3487" spans="1:11" ht="42" customHeight="1">
      <c r="A3487" s="2" t="s">
        <v>7099</v>
      </c>
      <c r="B3487" s="2" t="s">
        <v>7099</v>
      </c>
      <c r="C3487" s="2" t="s">
        <v>35</v>
      </c>
      <c r="D3487" s="2" t="s">
        <v>36</v>
      </c>
      <c r="E3487" s="5">
        <v>-28898</v>
      </c>
      <c r="F3487" s="3" t="s">
        <v>1405</v>
      </c>
      <c r="G3487" s="3" t="s">
        <v>20</v>
      </c>
      <c r="H3487" s="2" t="s">
        <v>21</v>
      </c>
      <c r="I3487" s="2" t="s">
        <v>7128</v>
      </c>
      <c r="J3487" s="3" t="str">
        <f>HYPERLINK("https://www.boe.es/gazeta/dias/1820/11/16/pdfs/GGB-1820-142.pdf#page=4","Abrir facsímil")</f>
        <v>Abrir facsímil</v>
      </c>
      <c r="K3487" s="3" t="s">
        <v>23</v>
      </c>
    </row>
    <row r="3488" spans="1:11" ht="42" customHeight="1">
      <c r="A3488" s="2" t="s">
        <v>7099</v>
      </c>
      <c r="B3488" s="2" t="s">
        <v>7099</v>
      </c>
      <c r="C3488" s="2" t="s">
        <v>26</v>
      </c>
      <c r="D3488" s="2" t="s">
        <v>27</v>
      </c>
      <c r="E3488" s="5">
        <v>-28897</v>
      </c>
      <c r="F3488" s="3" t="s">
        <v>1935</v>
      </c>
      <c r="G3488" s="3" t="s">
        <v>62</v>
      </c>
      <c r="H3488" s="2" t="s">
        <v>21</v>
      </c>
      <c r="I3488" s="2" t="s">
        <v>7129</v>
      </c>
      <c r="J3488" s="3" t="str">
        <f>HYPERLINK("https://www.boe.es/gazeta/dias/1820/11/17/pdfs/GGB-1820-143.pdf#page=3","Abrir facsímil")</f>
        <v>Abrir facsímil</v>
      </c>
      <c r="K3488" s="3" t="s">
        <v>23</v>
      </c>
    </row>
    <row r="3489" spans="1:11" ht="42" customHeight="1">
      <c r="A3489" s="2" t="s">
        <v>7099</v>
      </c>
      <c r="B3489" s="2" t="s">
        <v>7099</v>
      </c>
      <c r="C3489" s="2" t="s">
        <v>107</v>
      </c>
      <c r="D3489" s="2" t="s">
        <v>18</v>
      </c>
      <c r="E3489" s="5">
        <v>-28894</v>
      </c>
      <c r="F3489" s="3" t="s">
        <v>469</v>
      </c>
      <c r="G3489" s="3" t="s">
        <v>20</v>
      </c>
      <c r="H3489" s="2" t="s">
        <v>21</v>
      </c>
      <c r="I3489" s="2" t="s">
        <v>7130</v>
      </c>
      <c r="J3489" s="3" t="str">
        <f>HYPERLINK("https://www.boe.es/gazeta/dias/1820/11/20/pdfs/GGB-1820-147.pdf#page=4","Abrir facsímil")</f>
        <v>Abrir facsímil</v>
      </c>
      <c r="K3489" s="3" t="s">
        <v>23</v>
      </c>
    </row>
    <row r="3490" spans="1:11" ht="42" customHeight="1">
      <c r="A3490" s="2" t="s">
        <v>7099</v>
      </c>
      <c r="B3490" s="2" t="s">
        <v>7099</v>
      </c>
      <c r="C3490" s="2" t="s">
        <v>107</v>
      </c>
      <c r="D3490" s="2" t="s">
        <v>18</v>
      </c>
      <c r="E3490" s="5">
        <v>-28892</v>
      </c>
      <c r="F3490" s="3" t="s">
        <v>3036</v>
      </c>
      <c r="G3490" s="3" t="s">
        <v>20</v>
      </c>
      <c r="H3490" s="2" t="s">
        <v>21</v>
      </c>
      <c r="I3490" s="2" t="s">
        <v>7131</v>
      </c>
      <c r="J3490" s="3" t="str">
        <f>HYPERLINK("https://www.boe.es/gazeta/dias/1820/11/22/pdfs/GGB-1820-149.pdf#page=4","Abrir facsímil")</f>
        <v>Abrir facsímil</v>
      </c>
      <c r="K3490" s="3" t="s">
        <v>23</v>
      </c>
    </row>
    <row r="3491" spans="1:11" ht="42" customHeight="1">
      <c r="A3491" s="2" t="s">
        <v>7099</v>
      </c>
      <c r="B3491" s="2" t="s">
        <v>7099</v>
      </c>
      <c r="C3491" s="2" t="s">
        <v>74</v>
      </c>
      <c r="D3491" s="2" t="s">
        <v>18</v>
      </c>
      <c r="E3491" s="5">
        <v>-28888</v>
      </c>
      <c r="F3491" s="3" t="s">
        <v>112</v>
      </c>
      <c r="G3491" s="3" t="s">
        <v>113</v>
      </c>
      <c r="H3491" s="2" t="s">
        <v>21</v>
      </c>
      <c r="I3491" s="2" t="s">
        <v>7132</v>
      </c>
      <c r="J3491" s="3" t="str">
        <f>HYPERLINK("https://www.boe.es/gazeta/dias/1820/11/26/pdfs/GGB-1820-153.pdf#page=3","Abrir facsímil")</f>
        <v>Abrir facsímil</v>
      </c>
      <c r="K3491" s="3" t="s">
        <v>23</v>
      </c>
    </row>
    <row r="3492" spans="1:11" ht="42" customHeight="1">
      <c r="A3492" s="2" t="s">
        <v>7099</v>
      </c>
      <c r="B3492" s="2" t="s">
        <v>7099</v>
      </c>
      <c r="C3492" s="2" t="s">
        <v>47</v>
      </c>
      <c r="D3492" s="2" t="s">
        <v>18</v>
      </c>
      <c r="E3492" s="5">
        <v>-28873</v>
      </c>
      <c r="F3492" s="3" t="s">
        <v>4997</v>
      </c>
      <c r="G3492" s="3" t="s">
        <v>20</v>
      </c>
      <c r="H3492" s="2" t="s">
        <v>21</v>
      </c>
      <c r="I3492" s="2" t="s">
        <v>7133</v>
      </c>
      <c r="J3492" s="3" t="str">
        <f>HYPERLINK("https://www.boe.es/gazeta/dias/1820/12/11/pdfs/GGB-1820-168.pdf#page=4","Abrir facsímil")</f>
        <v>Abrir facsímil</v>
      </c>
      <c r="K3492" s="3" t="s">
        <v>23</v>
      </c>
    </row>
    <row r="3493" spans="1:11" ht="42" customHeight="1">
      <c r="A3493" s="2" t="s">
        <v>7099</v>
      </c>
      <c r="B3493" s="2" t="s">
        <v>7099</v>
      </c>
      <c r="C3493" s="2" t="s">
        <v>26</v>
      </c>
      <c r="D3493" s="2" t="s">
        <v>27</v>
      </c>
      <c r="E3493" s="5">
        <v>-28865</v>
      </c>
      <c r="F3493" s="3" t="s">
        <v>136</v>
      </c>
      <c r="G3493" s="3" t="s">
        <v>137</v>
      </c>
      <c r="H3493" s="2" t="s">
        <v>21</v>
      </c>
      <c r="I3493" s="2" t="s">
        <v>7134</v>
      </c>
      <c r="J3493" s="3" t="str">
        <f>HYPERLINK("https://www.boe.es/gazeta/dias/1820/12/19/pdfs/GGB-1820-176.pdf#page=3","Abrir facsímil")</f>
        <v>Abrir facsímil</v>
      </c>
      <c r="K3493" s="3" t="s">
        <v>23</v>
      </c>
    </row>
    <row r="3494" spans="1:11" ht="42" customHeight="1">
      <c r="A3494" s="2" t="s">
        <v>7135</v>
      </c>
      <c r="B3494" s="2" t="s">
        <v>7136</v>
      </c>
      <c r="C3494" s="2" t="s">
        <v>17</v>
      </c>
      <c r="D3494" s="2" t="s">
        <v>18</v>
      </c>
      <c r="E3494" s="5">
        <v>-28866</v>
      </c>
      <c r="F3494" s="3" t="s">
        <v>507</v>
      </c>
      <c r="G3494" s="3" t="s">
        <v>62</v>
      </c>
      <c r="H3494" s="2" t="s">
        <v>21</v>
      </c>
      <c r="I3494" s="2" t="s">
        <v>7137</v>
      </c>
      <c r="J3494" s="3" t="str">
        <f>HYPERLINK("https://www.boe.es/gazeta/dias/1820/12/18/pdfs/GGB-1820-175.pdf#page=3","Abrir facsímil")</f>
        <v>Abrir facsímil</v>
      </c>
      <c r="K3494" s="3" t="s">
        <v>23</v>
      </c>
    </row>
    <row r="3495" spans="1:11" ht="42" customHeight="1">
      <c r="A3495" s="2" t="s">
        <v>7138</v>
      </c>
      <c r="B3495" s="2" t="s">
        <v>7139</v>
      </c>
      <c r="C3495" s="2" t="s">
        <v>74</v>
      </c>
      <c r="D3495" s="2" t="s">
        <v>18</v>
      </c>
      <c r="E3495" s="5">
        <v>-29017</v>
      </c>
      <c r="F3495" s="3" t="s">
        <v>274</v>
      </c>
      <c r="G3495" s="3" t="s">
        <v>43</v>
      </c>
      <c r="H3495" s="2" t="s">
        <v>21</v>
      </c>
      <c r="I3495" s="2" t="s">
        <v>7140</v>
      </c>
      <c r="J3495" s="3" t="str">
        <f>HYPERLINK("https://www.boe.es/gazeta/dias/1820/07/20/pdfs/GGB-1820-22.pdf#page=2","Abrir facsímil")</f>
        <v>Abrir facsímil</v>
      </c>
      <c r="K3495" s="3" t="s">
        <v>23</v>
      </c>
    </row>
    <row r="3496" spans="1:11" ht="42" customHeight="1">
      <c r="A3496" s="2" t="s">
        <v>7141</v>
      </c>
      <c r="B3496" s="2" t="s">
        <v>7142</v>
      </c>
      <c r="C3496" s="2" t="s">
        <v>26</v>
      </c>
      <c r="D3496" s="2" t="s">
        <v>27</v>
      </c>
      <c r="E3496" s="5">
        <v>-29171</v>
      </c>
      <c r="F3496" s="3" t="s">
        <v>764</v>
      </c>
      <c r="G3496" s="3" t="s">
        <v>201</v>
      </c>
      <c r="H3496" s="2" t="s">
        <v>21</v>
      </c>
      <c r="I3496" s="2" t="s">
        <v>7143</v>
      </c>
      <c r="J3496" s="3" t="str">
        <f>HYPERLINK("https://www.boe.es/gazeta/dias/1820/02/17/pdfs/GMD-1820-21.pdf#page=7","Abrir facsímil")</f>
        <v>Abrir facsímil</v>
      </c>
      <c r="K3496" s="3" t="s">
        <v>23</v>
      </c>
    </row>
    <row r="3497" spans="1:11" ht="42" customHeight="1">
      <c r="A3497" s="2" t="s">
        <v>7144</v>
      </c>
      <c r="B3497" s="2" t="s">
        <v>7145</v>
      </c>
      <c r="C3497" s="2" t="s">
        <v>17</v>
      </c>
      <c r="D3497" s="2" t="s">
        <v>18</v>
      </c>
      <c r="E3497" s="5">
        <v>-29134</v>
      </c>
      <c r="F3497" s="3" t="s">
        <v>255</v>
      </c>
      <c r="G3497" s="3" t="s">
        <v>295</v>
      </c>
      <c r="H3497" s="2" t="s">
        <v>21</v>
      </c>
      <c r="I3497" s="2" t="s">
        <v>7146</v>
      </c>
      <c r="J3497" s="3" t="str">
        <f>HYPERLINK("https://www.boe.es/gazeta/dias/1820/03/25/pdfs/GMD-1820-53.pdf#page=8","Abrir facsímil")</f>
        <v>Abrir facsímil</v>
      </c>
      <c r="K3497" s="3" t="s">
        <v>23</v>
      </c>
    </row>
    <row r="3498" spans="1:11" ht="42" customHeight="1">
      <c r="A3498" s="2" t="s">
        <v>7144</v>
      </c>
      <c r="B3498" s="2" t="s">
        <v>7145</v>
      </c>
      <c r="C3498" s="2" t="s">
        <v>47</v>
      </c>
      <c r="D3498" s="2" t="s">
        <v>18</v>
      </c>
      <c r="E3498" s="5">
        <v>-29120</v>
      </c>
      <c r="F3498" s="3" t="s">
        <v>852</v>
      </c>
      <c r="G3498" s="3" t="s">
        <v>295</v>
      </c>
      <c r="H3498" s="2" t="s">
        <v>21</v>
      </c>
      <c r="I3498" s="2" t="s">
        <v>7147</v>
      </c>
      <c r="J3498" s="3" t="str">
        <f>HYPERLINK("https://www.boe.es/gazeta/dias/1820/04/08/pdfs/GMD-1820-63.pdf#page=8","Abrir facsímil")</f>
        <v>Abrir facsímil</v>
      </c>
      <c r="K3498" s="3" t="s">
        <v>23</v>
      </c>
    </row>
    <row r="3499" spans="1:11" ht="42" customHeight="1">
      <c r="A3499" s="2" t="s">
        <v>7148</v>
      </c>
      <c r="B3499" s="2" t="s">
        <v>7148</v>
      </c>
      <c r="C3499" s="2" t="s">
        <v>35</v>
      </c>
      <c r="D3499" s="2" t="s">
        <v>36</v>
      </c>
      <c r="E3499" s="5">
        <v>-29190</v>
      </c>
      <c r="F3499" s="3" t="s">
        <v>537</v>
      </c>
      <c r="G3499" s="3" t="s">
        <v>201</v>
      </c>
      <c r="H3499" s="2" t="s">
        <v>21</v>
      </c>
      <c r="I3499" s="2" t="s">
        <v>7149</v>
      </c>
      <c r="J3499" s="3" t="str">
        <f>HYPERLINK("https://www.boe.es/gazeta/dias/1820/01/29/pdfs/GMD-1820-13.pdf#page=7","Abrir facsímil")</f>
        <v>Abrir facsímil</v>
      </c>
      <c r="K3499" s="3" t="s">
        <v>23</v>
      </c>
    </row>
    <row r="3500" spans="1:11" ht="42" customHeight="1">
      <c r="A3500" s="2" t="s">
        <v>7148</v>
      </c>
      <c r="B3500" s="2" t="s">
        <v>7148</v>
      </c>
      <c r="C3500" s="2" t="s">
        <v>26</v>
      </c>
      <c r="D3500" s="2" t="s">
        <v>27</v>
      </c>
      <c r="E3500" s="5">
        <v>-28857</v>
      </c>
      <c r="F3500" s="3" t="s">
        <v>889</v>
      </c>
      <c r="G3500" s="3" t="s">
        <v>890</v>
      </c>
      <c r="H3500" s="2" t="s">
        <v>21</v>
      </c>
      <c r="I3500" s="2" t="s">
        <v>7150</v>
      </c>
      <c r="J3500" s="3" t="str">
        <f>HYPERLINK("https://www.boe.es/gazeta/dias/1820/12/27/pdfs/GGB-1820-184.pdf#page=4","Abrir facsímil")</f>
        <v>Abrir facsímil</v>
      </c>
      <c r="K3500" s="3" t="s">
        <v>23</v>
      </c>
    </row>
    <row r="3501" spans="1:11" ht="42" customHeight="1">
      <c r="A3501" s="2" t="s">
        <v>7151</v>
      </c>
      <c r="B3501" s="2" t="s">
        <v>7152</v>
      </c>
      <c r="C3501" s="2" t="s">
        <v>74</v>
      </c>
      <c r="D3501" s="2" t="s">
        <v>18</v>
      </c>
      <c r="E3501" s="5">
        <v>-29208</v>
      </c>
      <c r="F3501" s="3" t="s">
        <v>770</v>
      </c>
      <c r="G3501" s="3" t="s">
        <v>201</v>
      </c>
      <c r="H3501" s="2" t="s">
        <v>21</v>
      </c>
      <c r="I3501" s="2" t="s">
        <v>7153</v>
      </c>
      <c r="J3501" s="3" t="str">
        <f>HYPERLINK("https://www.boe.es/gazeta/dias/1820/01/11/pdfs/GMD-1820-5.pdf#page=7","Abrir facsímil")</f>
        <v>Abrir facsímil</v>
      </c>
      <c r="K3501" s="3" t="s">
        <v>23</v>
      </c>
    </row>
    <row r="3502" spans="1:11" ht="42" customHeight="1">
      <c r="A3502" s="2" t="s">
        <v>7151</v>
      </c>
      <c r="B3502" s="2" t="s">
        <v>7152</v>
      </c>
      <c r="C3502" s="2" t="s">
        <v>35</v>
      </c>
      <c r="D3502" s="2" t="s">
        <v>36</v>
      </c>
      <c r="E3502" s="5">
        <v>-29122</v>
      </c>
      <c r="F3502" s="3" t="s">
        <v>844</v>
      </c>
      <c r="G3502" s="3" t="s">
        <v>845</v>
      </c>
      <c r="H3502" s="2" t="s">
        <v>21</v>
      </c>
      <c r="I3502" s="2" t="s">
        <v>7154</v>
      </c>
      <c r="J3502" s="3" t="str">
        <f>HYPERLINK("https://www.boe.es/gazeta/dias/1820/04/06/pdfs/GMD-1820-62.pdf#page=8","Abrir facsímil")</f>
        <v>Abrir facsímil</v>
      </c>
      <c r="K3502" s="3" t="s">
        <v>23</v>
      </c>
    </row>
    <row r="3503" spans="1:11" ht="42" customHeight="1">
      <c r="A3503" s="2" t="s">
        <v>7155</v>
      </c>
      <c r="B3503" s="2" t="s">
        <v>7155</v>
      </c>
      <c r="C3503" s="2" t="s">
        <v>35</v>
      </c>
      <c r="D3503" s="2" t="s">
        <v>36</v>
      </c>
      <c r="E3503" s="5">
        <v>-29166</v>
      </c>
      <c r="F3503" s="3" t="s">
        <v>799</v>
      </c>
      <c r="G3503" s="3" t="s">
        <v>295</v>
      </c>
      <c r="H3503" s="2" t="s">
        <v>21</v>
      </c>
      <c r="I3503" s="2" t="s">
        <v>7156</v>
      </c>
      <c r="J3503" s="3" t="str">
        <f>HYPERLINK("https://www.boe.es/gazeta/dias/1820/02/22/pdfs/GMD-1820-23.pdf#page=8","Abrir facsímil")</f>
        <v>Abrir facsímil</v>
      </c>
      <c r="K3503" s="3" t="s">
        <v>23</v>
      </c>
    </row>
    <row r="3504" spans="1:11" ht="42" customHeight="1">
      <c r="A3504" s="2" t="s">
        <v>7157</v>
      </c>
      <c r="B3504" s="2" t="s">
        <v>7157</v>
      </c>
      <c r="C3504" s="2" t="s">
        <v>26</v>
      </c>
      <c r="D3504" s="2" t="s">
        <v>27</v>
      </c>
      <c r="E3504" s="5">
        <v>-29164</v>
      </c>
      <c r="F3504" s="3" t="s">
        <v>2516</v>
      </c>
      <c r="G3504" s="3" t="s">
        <v>256</v>
      </c>
      <c r="H3504" s="2" t="s">
        <v>21</v>
      </c>
      <c r="I3504" s="2" t="s">
        <v>7158</v>
      </c>
      <c r="J3504" s="3" t="str">
        <f>HYPERLINK("https://www.boe.es/gazeta/dias/1820/02/24/pdfs/GMD-1820-24.pdf#page=5","Abrir facsímil")</f>
        <v>Abrir facsímil</v>
      </c>
      <c r="K3504" s="3" t="s">
        <v>23</v>
      </c>
    </row>
    <row r="3505" spans="1:11" ht="42" customHeight="1">
      <c r="A3505" s="2" t="s">
        <v>7159</v>
      </c>
      <c r="B3505" s="2" t="s">
        <v>7159</v>
      </c>
      <c r="C3505" s="2" t="s">
        <v>26</v>
      </c>
      <c r="D3505" s="2" t="s">
        <v>27</v>
      </c>
      <c r="E3505" s="5">
        <v>-29211</v>
      </c>
      <c r="F3505" s="3" t="s">
        <v>578</v>
      </c>
      <c r="G3505" s="3" t="s">
        <v>38</v>
      </c>
      <c r="H3505" s="2" t="s">
        <v>21</v>
      </c>
      <c r="I3505" s="2" t="s">
        <v>7160</v>
      </c>
      <c r="J3505" s="3" t="str">
        <f>HYPERLINK("https://www.boe.es/gazeta/dias/1820/01/08/pdfs/GMD-1820-4.pdf#page=6","Abrir facsímil")</f>
        <v>Abrir facsímil</v>
      </c>
      <c r="K3505" s="3" t="s">
        <v>23</v>
      </c>
    </row>
    <row r="3506" spans="1:11" ht="42" customHeight="1">
      <c r="A3506" s="2" t="s">
        <v>7161</v>
      </c>
      <c r="B3506" s="2" t="s">
        <v>7161</v>
      </c>
      <c r="C3506" s="2" t="s">
        <v>26</v>
      </c>
      <c r="D3506" s="2" t="s">
        <v>310</v>
      </c>
      <c r="E3506" s="5">
        <v>-29140</v>
      </c>
      <c r="F3506" s="3" t="s">
        <v>533</v>
      </c>
      <c r="G3506" s="3" t="s">
        <v>43</v>
      </c>
      <c r="H3506" s="2" t="s">
        <v>21</v>
      </c>
      <c r="I3506" s="2" t="s">
        <v>7162</v>
      </c>
      <c r="J3506" s="3" t="str">
        <f>HYPERLINK("https://www.boe.es/gazeta/dias/1820/03/19/pdfs/GMD-1820-45E.pdf#page=2","Abrir facsímil")</f>
        <v>Abrir facsímil</v>
      </c>
      <c r="K3506" s="3" t="s">
        <v>23</v>
      </c>
    </row>
    <row r="3507" spans="1:11" ht="42" customHeight="1">
      <c r="A3507" s="2" t="s">
        <v>7163</v>
      </c>
      <c r="B3507" s="2" t="s">
        <v>7163</v>
      </c>
      <c r="C3507" s="2" t="s">
        <v>17</v>
      </c>
      <c r="D3507" s="2" t="s">
        <v>18</v>
      </c>
      <c r="E3507" s="5">
        <v>-28954</v>
      </c>
      <c r="F3507" s="3" t="s">
        <v>28</v>
      </c>
      <c r="G3507" s="3" t="s">
        <v>29</v>
      </c>
      <c r="H3507" s="2" t="s">
        <v>21</v>
      </c>
      <c r="I3507" s="2" t="s">
        <v>7164</v>
      </c>
      <c r="J3507" s="3" t="str">
        <f>HYPERLINK("https://www.boe.es/gazeta/dias/1820/09/21/pdfs/GGB-1820-85.pdf#page=2","Abrir facsímil")</f>
        <v>Abrir facsímil</v>
      </c>
      <c r="K3507" s="3" t="s">
        <v>23</v>
      </c>
    </row>
    <row r="3508" spans="1:11" ht="42" customHeight="1">
      <c r="A3508" s="2" t="s">
        <v>7165</v>
      </c>
      <c r="B3508" s="2" t="s">
        <v>7165</v>
      </c>
      <c r="C3508" s="2" t="s">
        <v>17</v>
      </c>
      <c r="D3508" s="2" t="s">
        <v>18</v>
      </c>
      <c r="E3508" s="5">
        <v>-28971</v>
      </c>
      <c r="F3508" s="3" t="s">
        <v>691</v>
      </c>
      <c r="G3508" s="3" t="s">
        <v>5078</v>
      </c>
      <c r="H3508" s="2" t="s">
        <v>21</v>
      </c>
      <c r="I3508" s="2" t="s">
        <v>7166</v>
      </c>
      <c r="J3508" s="3" t="str">
        <f>HYPERLINK("https://www.boe.es/gazeta/dias/1820/09/04/pdfs/GGB-1820-68.pdf#page=4","Abrir facsímil")</f>
        <v>Abrir facsímil</v>
      </c>
      <c r="K3508" s="3" t="s">
        <v>23</v>
      </c>
    </row>
    <row r="3509" spans="1:11" ht="42" customHeight="1">
      <c r="A3509" s="2" t="s">
        <v>7167</v>
      </c>
      <c r="B3509" s="2" t="s">
        <v>7167</v>
      </c>
      <c r="C3509" s="2" t="s">
        <v>26</v>
      </c>
      <c r="D3509" s="2" t="s">
        <v>27</v>
      </c>
      <c r="E3509" s="5">
        <v>-29029</v>
      </c>
      <c r="F3509" s="3" t="s">
        <v>282</v>
      </c>
      <c r="G3509" s="3" t="s">
        <v>20</v>
      </c>
      <c r="H3509" s="2" t="s">
        <v>21</v>
      </c>
      <c r="I3509" s="2" t="s">
        <v>7168</v>
      </c>
      <c r="J3509" s="3" t="str">
        <f>HYPERLINK("https://www.boe.es/gazeta/dias/1820/07/08/pdfs/GGB-1820-9.pdf#page=4","Abrir facsímil")</f>
        <v>Abrir facsímil</v>
      </c>
      <c r="K3509" s="3" t="s">
        <v>23</v>
      </c>
    </row>
    <row r="3510" spans="1:11" ht="42" customHeight="1">
      <c r="A3510" s="2" t="s">
        <v>7169</v>
      </c>
      <c r="B3510" s="2" t="s">
        <v>7169</v>
      </c>
      <c r="C3510" s="2" t="s">
        <v>26</v>
      </c>
      <c r="D3510" s="2" t="s">
        <v>27</v>
      </c>
      <c r="E3510" s="5">
        <v>-28935</v>
      </c>
      <c r="F3510" s="3" t="s">
        <v>2464</v>
      </c>
      <c r="G3510" s="3" t="s">
        <v>20</v>
      </c>
      <c r="H3510" s="2" t="s">
        <v>21</v>
      </c>
      <c r="I3510" s="2" t="s">
        <v>7170</v>
      </c>
      <c r="J3510" s="3" t="str">
        <f>HYPERLINK("https://www.boe.es/gazeta/dias/1820/10/10/pdfs/GGB-1820-104.pdf#page=4","Abrir facsímil")</f>
        <v>Abrir facsímil</v>
      </c>
      <c r="K3510" s="3" t="s">
        <v>23</v>
      </c>
    </row>
    <row r="3511" spans="1:11" ht="42" customHeight="1">
      <c r="A3511" s="2" t="s">
        <v>7171</v>
      </c>
      <c r="B3511" s="2" t="s">
        <v>7172</v>
      </c>
      <c r="C3511" s="2" t="s">
        <v>293</v>
      </c>
      <c r="D3511" s="2" t="s">
        <v>18</v>
      </c>
      <c r="E3511" s="5">
        <v>-29101</v>
      </c>
      <c r="F3511" s="3" t="s">
        <v>999</v>
      </c>
      <c r="G3511" s="3" t="s">
        <v>479</v>
      </c>
      <c r="H3511" s="2" t="s">
        <v>21</v>
      </c>
      <c r="I3511" s="2" t="s">
        <v>7173</v>
      </c>
      <c r="J3511" s="3" t="str">
        <f>HYPERLINK("https://www.boe.es/gazeta/dias/1820/04/27/pdfs/GMD-1820-72.pdf#page=12","Abrir facsímil")</f>
        <v>Abrir facsímil</v>
      </c>
      <c r="K3511" s="3" t="s">
        <v>23</v>
      </c>
    </row>
    <row r="3512" spans="1:11" ht="42" customHeight="1">
      <c r="A3512" s="2" t="s">
        <v>7174</v>
      </c>
      <c r="B3512" s="2" t="s">
        <v>7175</v>
      </c>
      <c r="C3512" s="2" t="s">
        <v>35</v>
      </c>
      <c r="D3512" s="2" t="s">
        <v>36</v>
      </c>
      <c r="E3512" s="5">
        <v>-29026</v>
      </c>
      <c r="F3512" s="3" t="s">
        <v>1197</v>
      </c>
      <c r="G3512" s="3" t="s">
        <v>1198</v>
      </c>
      <c r="H3512" s="2" t="s">
        <v>21</v>
      </c>
      <c r="I3512" s="2" t="s">
        <v>7176</v>
      </c>
      <c r="J3512" s="3" t="str">
        <f>HYPERLINK("https://www.boe.es/gazeta/dias/1820/07/11/pdfs/GGB-1820-13.pdf#page=4","Abrir facsímil")</f>
        <v>Abrir facsímil</v>
      </c>
      <c r="K3512" s="3" t="s">
        <v>23</v>
      </c>
    </row>
    <row r="3513" spans="1:11" ht="42" customHeight="1">
      <c r="A3513" s="2" t="s">
        <v>7177</v>
      </c>
      <c r="B3513" s="2" t="s">
        <v>7178</v>
      </c>
      <c r="C3513" s="2" t="s">
        <v>26</v>
      </c>
      <c r="D3513" s="2" t="s">
        <v>27</v>
      </c>
      <c r="E3513" s="5">
        <v>-29015</v>
      </c>
      <c r="F3513" s="3" t="s">
        <v>359</v>
      </c>
      <c r="G3513" s="3" t="s">
        <v>20</v>
      </c>
      <c r="H3513" s="2" t="s">
        <v>21</v>
      </c>
      <c r="I3513" s="2" t="s">
        <v>7179</v>
      </c>
      <c r="J3513" s="3" t="str">
        <f>HYPERLINK("https://www.boe.es/gazeta/dias/1820/07/22/pdfs/GGB-1820-24.pdf#page=4","Abrir facsímil")</f>
        <v>Abrir facsímil</v>
      </c>
      <c r="K3513" s="3" t="s">
        <v>23</v>
      </c>
    </row>
    <row r="3514" spans="1:11" ht="42" customHeight="1">
      <c r="A3514" s="2" t="s">
        <v>7180</v>
      </c>
      <c r="B3514" s="2" t="s">
        <v>7181</v>
      </c>
      <c r="C3514" s="2" t="s">
        <v>26</v>
      </c>
      <c r="D3514" s="2" t="s">
        <v>27</v>
      </c>
      <c r="E3514" s="5">
        <v>-28986</v>
      </c>
      <c r="F3514" s="3" t="s">
        <v>488</v>
      </c>
      <c r="G3514" s="3" t="s">
        <v>62</v>
      </c>
      <c r="H3514" s="2" t="s">
        <v>21</v>
      </c>
      <c r="I3514" s="2" t="s">
        <v>7182</v>
      </c>
      <c r="J3514" s="3" t="str">
        <f>HYPERLINK("https://www.boe.es/gazeta/dias/1820/08/20/pdfs/GGB-1820-53.pdf#page=3","Abrir facsímil")</f>
        <v>Abrir facsímil</v>
      </c>
      <c r="K3514" s="3" t="s">
        <v>23</v>
      </c>
    </row>
    <row r="3515" spans="1:11" ht="42" customHeight="1">
      <c r="A3515" s="2" t="s">
        <v>7180</v>
      </c>
      <c r="B3515" s="2" t="s">
        <v>7181</v>
      </c>
      <c r="C3515" s="2" t="s">
        <v>35</v>
      </c>
      <c r="D3515" s="2" t="s">
        <v>36</v>
      </c>
      <c r="E3515" s="5">
        <v>-28911</v>
      </c>
      <c r="F3515" s="3" t="s">
        <v>82</v>
      </c>
      <c r="G3515" s="3" t="s">
        <v>20</v>
      </c>
      <c r="H3515" s="2" t="s">
        <v>21</v>
      </c>
      <c r="I3515" s="2" t="s">
        <v>7183</v>
      </c>
      <c r="J3515" s="3" t="str">
        <f>HYPERLINK("https://www.boe.es/gazeta/dias/1820/11/03/pdfs/GGB-1820-128.pdf#page=4","Abrir facsímil")</f>
        <v>Abrir facsímil</v>
      </c>
      <c r="K3515" s="3" t="s">
        <v>23</v>
      </c>
    </row>
    <row r="3516" spans="1:11" ht="42" customHeight="1">
      <c r="A3516" s="2" t="s">
        <v>7184</v>
      </c>
      <c r="B3516" s="2" t="s">
        <v>7185</v>
      </c>
      <c r="C3516" s="2" t="s">
        <v>74</v>
      </c>
      <c r="D3516" s="2" t="s">
        <v>18</v>
      </c>
      <c r="E3516" s="5">
        <v>-29030</v>
      </c>
      <c r="F3516" s="3" t="s">
        <v>789</v>
      </c>
      <c r="G3516" s="3" t="s">
        <v>62</v>
      </c>
      <c r="H3516" s="2" t="s">
        <v>21</v>
      </c>
      <c r="I3516" s="2" t="s">
        <v>7186</v>
      </c>
      <c r="J3516" s="3" t="str">
        <f>HYPERLINK("https://www.boe.es/gazeta/dias/1820/07/07/pdfs/GGB-1820-8.pdf#page=3","Abrir facsímil")</f>
        <v>Abrir facsímil</v>
      </c>
      <c r="K3516" s="3" t="s">
        <v>23</v>
      </c>
    </row>
    <row r="3517" spans="1:11" ht="42" customHeight="1">
      <c r="A3517" s="2" t="s">
        <v>7184</v>
      </c>
      <c r="B3517" s="2" t="s">
        <v>7185</v>
      </c>
      <c r="C3517" s="2" t="s">
        <v>74</v>
      </c>
      <c r="D3517" s="2" t="s">
        <v>18</v>
      </c>
      <c r="E3517" s="5">
        <v>-28908</v>
      </c>
      <c r="F3517" s="3" t="s">
        <v>1060</v>
      </c>
      <c r="G3517" s="3" t="s">
        <v>62</v>
      </c>
      <c r="H3517" s="2" t="s">
        <v>21</v>
      </c>
      <c r="I3517" s="2" t="s">
        <v>7187</v>
      </c>
      <c r="J3517" s="3" t="str">
        <f>HYPERLINK("https://www.boe.es/gazeta/dias/1820/11/06/pdfs/GGB-1820-131.pdf#page=3","Abrir facsímil")</f>
        <v>Abrir facsímil</v>
      </c>
      <c r="K3517" s="3" t="s">
        <v>23</v>
      </c>
    </row>
    <row r="3518" spans="1:11" ht="42" customHeight="1">
      <c r="A3518" s="2" t="s">
        <v>7188</v>
      </c>
      <c r="B3518" s="2" t="s">
        <v>7188</v>
      </c>
      <c r="C3518" s="2" t="s">
        <v>26</v>
      </c>
      <c r="D3518" s="2" t="s">
        <v>27</v>
      </c>
      <c r="E3518" s="5">
        <v>-29085</v>
      </c>
      <c r="F3518" s="3" t="s">
        <v>1502</v>
      </c>
      <c r="G3518" s="3" t="s">
        <v>479</v>
      </c>
      <c r="H3518" s="2" t="s">
        <v>21</v>
      </c>
      <c r="I3518" s="2" t="s">
        <v>7189</v>
      </c>
      <c r="J3518" s="3" t="str">
        <f>HYPERLINK("https://www.boe.es/gazeta/dias/1820/05/13/pdfs/GMD-1820-79.pdf#page=12","Abrir facsímil")</f>
        <v>Abrir facsímil</v>
      </c>
      <c r="K3518" s="3" t="s">
        <v>23</v>
      </c>
    </row>
    <row r="3519" spans="1:11" ht="42" customHeight="1">
      <c r="A3519" s="2" t="s">
        <v>7190</v>
      </c>
      <c r="B3519" s="2" t="s">
        <v>7190</v>
      </c>
      <c r="C3519" s="2" t="s">
        <v>107</v>
      </c>
      <c r="D3519" s="2" t="s">
        <v>18</v>
      </c>
      <c r="E3519" s="5">
        <v>-29071</v>
      </c>
      <c r="F3519" s="3" t="s">
        <v>329</v>
      </c>
      <c r="G3519" s="3" t="s">
        <v>330</v>
      </c>
      <c r="H3519" s="2" t="s">
        <v>21</v>
      </c>
      <c r="I3519" s="2" t="s">
        <v>7191</v>
      </c>
      <c r="J3519" s="3" t="str">
        <f>HYPERLINK("https://www.boe.es/gazeta/dias/1820/05/27/pdfs/GMD-1820-86.pdf#page=8","Abrir facsímil")</f>
        <v>Abrir facsímil</v>
      </c>
      <c r="K3519" s="3" t="s">
        <v>23</v>
      </c>
    </row>
    <row r="3520" spans="1:11" ht="42" customHeight="1">
      <c r="A3520" s="2" t="s">
        <v>7192</v>
      </c>
      <c r="B3520" s="2" t="s">
        <v>7193</v>
      </c>
      <c r="C3520" s="2" t="s">
        <v>35</v>
      </c>
      <c r="D3520" s="2" t="s">
        <v>36</v>
      </c>
      <c r="E3520" s="5">
        <v>-29094</v>
      </c>
      <c r="F3520" s="3" t="s">
        <v>560</v>
      </c>
      <c r="G3520" s="3" t="s">
        <v>295</v>
      </c>
      <c r="H3520" s="2" t="s">
        <v>21</v>
      </c>
      <c r="I3520" s="2" t="s">
        <v>7194</v>
      </c>
      <c r="J3520" s="3" t="str">
        <f>HYPERLINK("https://www.boe.es/gazeta/dias/1820/05/04/pdfs/GMD-1820-75.pdf#page=8","Abrir facsímil")</f>
        <v>Abrir facsímil</v>
      </c>
      <c r="K3520" s="3" t="s">
        <v>23</v>
      </c>
    </row>
    <row r="3521" spans="1:11" ht="42" customHeight="1">
      <c r="A3521" s="2" t="s">
        <v>7195</v>
      </c>
      <c r="B3521" s="2" t="s">
        <v>7195</v>
      </c>
      <c r="C3521" s="2" t="s">
        <v>35</v>
      </c>
      <c r="D3521" s="2" t="s">
        <v>36</v>
      </c>
      <c r="E3521" s="5">
        <v>-28920</v>
      </c>
      <c r="F3521" s="3" t="s">
        <v>399</v>
      </c>
      <c r="G3521" s="3" t="s">
        <v>20</v>
      </c>
      <c r="H3521" s="2" t="s">
        <v>21</v>
      </c>
      <c r="I3521" s="2" t="s">
        <v>7196</v>
      </c>
      <c r="J3521" s="3" t="str">
        <f>HYPERLINK("https://www.boe.es/gazeta/dias/1820/10/25/pdfs/GGB-1820-119.pdf#page=4","Abrir facsímil")</f>
        <v>Abrir facsímil</v>
      </c>
      <c r="K3521" s="3" t="s">
        <v>23</v>
      </c>
    </row>
    <row r="3522" spans="1:11" ht="42" customHeight="1">
      <c r="A3522" s="2" t="s">
        <v>7197</v>
      </c>
      <c r="B3522" s="2" t="s">
        <v>7197</v>
      </c>
      <c r="C3522" s="2" t="s">
        <v>26</v>
      </c>
      <c r="D3522" s="2" t="s">
        <v>27</v>
      </c>
      <c r="E3522" s="5">
        <v>-29155</v>
      </c>
      <c r="F3522" s="3" t="s">
        <v>2095</v>
      </c>
      <c r="G3522" s="3" t="s">
        <v>6100</v>
      </c>
      <c r="H3522" s="2" t="s">
        <v>21</v>
      </c>
      <c r="I3522" s="2" t="s">
        <v>7198</v>
      </c>
      <c r="J3522" s="3" t="str">
        <f>HYPERLINK("https://www.boe.es/gazeta/dias/1820/03/04/pdfs/GMD-1820-28.pdf#page=7","Abrir facsímil")</f>
        <v>Abrir facsímil</v>
      </c>
      <c r="K3522" s="3" t="s">
        <v>23</v>
      </c>
    </row>
    <row r="3523" spans="1:11" ht="42" customHeight="1">
      <c r="A3523" s="2" t="s">
        <v>7197</v>
      </c>
      <c r="B3523" s="2" t="s">
        <v>7197</v>
      </c>
      <c r="C3523" s="2" t="s">
        <v>35</v>
      </c>
      <c r="D3523" s="2" t="s">
        <v>36</v>
      </c>
      <c r="E3523" s="5">
        <v>-28977</v>
      </c>
      <c r="F3523" s="3" t="s">
        <v>687</v>
      </c>
      <c r="G3523" s="3" t="s">
        <v>20</v>
      </c>
      <c r="H3523" s="2" t="s">
        <v>21</v>
      </c>
      <c r="I3523" s="2" t="s">
        <v>7199</v>
      </c>
      <c r="J3523" s="3" t="str">
        <f>HYPERLINK("https://www.boe.es/gazeta/dias/1820/08/29/pdfs/GGB-1820-62.pdf#page=4","Abrir facsímil")</f>
        <v>Abrir facsímil</v>
      </c>
      <c r="K3523" s="3" t="s">
        <v>23</v>
      </c>
    </row>
    <row r="3524" spans="1:11" ht="42" customHeight="1">
      <c r="A3524" s="2" t="s">
        <v>7200</v>
      </c>
      <c r="B3524" s="2" t="s">
        <v>7200</v>
      </c>
      <c r="C3524" s="2" t="s">
        <v>26</v>
      </c>
      <c r="D3524" s="2" t="s">
        <v>27</v>
      </c>
      <c r="E3524" s="5">
        <v>-28933</v>
      </c>
      <c r="F3524" s="3" t="s">
        <v>720</v>
      </c>
      <c r="G3524" s="3" t="s">
        <v>62</v>
      </c>
      <c r="H3524" s="2" t="s">
        <v>21</v>
      </c>
      <c r="I3524" s="2" t="s">
        <v>7201</v>
      </c>
      <c r="J3524" s="3" t="str">
        <f>HYPERLINK("https://www.boe.es/gazeta/dias/1820/10/12/pdfs/GGB-1820-106.pdf#page=3","Abrir facsímil")</f>
        <v>Abrir facsímil</v>
      </c>
      <c r="K3524" s="3" t="s">
        <v>23</v>
      </c>
    </row>
    <row r="3525" spans="1:11" ht="42" customHeight="1">
      <c r="A3525" s="2" t="s">
        <v>7202</v>
      </c>
      <c r="B3525" s="2" t="s">
        <v>7202</v>
      </c>
      <c r="C3525" s="2" t="s">
        <v>26</v>
      </c>
      <c r="D3525" s="2" t="s">
        <v>27</v>
      </c>
      <c r="E3525" s="5">
        <v>-29162</v>
      </c>
      <c r="F3525" s="3" t="s">
        <v>2134</v>
      </c>
      <c r="G3525" s="3" t="s">
        <v>38</v>
      </c>
      <c r="H3525" s="2" t="s">
        <v>21</v>
      </c>
      <c r="I3525" s="2" t="s">
        <v>7203</v>
      </c>
      <c r="J3525" s="3" t="str">
        <f>HYPERLINK("https://www.boe.es/gazeta/dias/1820/02/26/pdfs/GMD-1820-25.pdf#page=6","Abrir facsímil")</f>
        <v>Abrir facsímil</v>
      </c>
      <c r="K3525" s="3" t="s">
        <v>23</v>
      </c>
    </row>
    <row r="3526" spans="1:11" ht="42" customHeight="1">
      <c r="A3526" s="2" t="s">
        <v>7202</v>
      </c>
      <c r="B3526" s="2" t="s">
        <v>7202</v>
      </c>
      <c r="C3526" s="2" t="s">
        <v>111</v>
      </c>
      <c r="D3526" s="2" t="s">
        <v>18</v>
      </c>
      <c r="E3526" s="5">
        <v>-29136</v>
      </c>
      <c r="F3526" s="3" t="s">
        <v>2972</v>
      </c>
      <c r="G3526" s="3" t="s">
        <v>295</v>
      </c>
      <c r="H3526" s="2" t="s">
        <v>21</v>
      </c>
      <c r="I3526" s="2" t="s">
        <v>7204</v>
      </c>
      <c r="J3526" s="3" t="str">
        <f>HYPERLINK("https://www.boe.es/gazeta/dias/1820/03/23/pdfs/GMD-1820-51.pdf#page=8","Abrir facsímil")</f>
        <v>Abrir facsímil</v>
      </c>
      <c r="K3526" s="3" t="s">
        <v>23</v>
      </c>
    </row>
    <row r="3527" spans="1:11" ht="42" customHeight="1">
      <c r="A3527" s="2" t="s">
        <v>7202</v>
      </c>
      <c r="B3527" s="2" t="s">
        <v>7202</v>
      </c>
      <c r="C3527" s="2" t="s">
        <v>17</v>
      </c>
      <c r="D3527" s="2" t="s">
        <v>18</v>
      </c>
      <c r="E3527" s="5">
        <v>-29120</v>
      </c>
      <c r="F3527" s="3" t="s">
        <v>852</v>
      </c>
      <c r="G3527" s="3" t="s">
        <v>295</v>
      </c>
      <c r="H3527" s="2" t="s">
        <v>21</v>
      </c>
      <c r="I3527" s="2" t="s">
        <v>7205</v>
      </c>
      <c r="J3527" s="3" t="str">
        <f>HYPERLINK("https://www.boe.es/gazeta/dias/1820/04/08/pdfs/GMD-1820-63.pdf#page=8","Abrir facsímil")</f>
        <v>Abrir facsímil</v>
      </c>
      <c r="K3527" s="3" t="s">
        <v>23</v>
      </c>
    </row>
    <row r="3528" spans="1:11" ht="42" customHeight="1">
      <c r="A3528" s="2" t="s">
        <v>7202</v>
      </c>
      <c r="B3528" s="2" t="s">
        <v>7202</v>
      </c>
      <c r="C3528" s="2" t="s">
        <v>111</v>
      </c>
      <c r="D3528" s="2" t="s">
        <v>18</v>
      </c>
      <c r="E3528" s="5">
        <v>-29035</v>
      </c>
      <c r="F3528" s="3" t="s">
        <v>2267</v>
      </c>
      <c r="G3528" s="3" t="s">
        <v>62</v>
      </c>
      <c r="H3528" s="2" t="s">
        <v>21</v>
      </c>
      <c r="I3528" s="2" t="s">
        <v>7206</v>
      </c>
      <c r="J3528" s="3" t="str">
        <f>HYPERLINK("https://www.boe.es/gazeta/dias/1820/07/02/pdfs/GGB-1820-2.pdf#page=3","Abrir facsímil")</f>
        <v>Abrir facsímil</v>
      </c>
      <c r="K3528" s="3" t="s">
        <v>23</v>
      </c>
    </row>
    <row r="3529" spans="1:11" ht="42" customHeight="1">
      <c r="A3529" s="2" t="s">
        <v>7202</v>
      </c>
      <c r="B3529" s="2" t="s">
        <v>7202</v>
      </c>
      <c r="C3529" s="2" t="s">
        <v>26</v>
      </c>
      <c r="D3529" s="2" t="s">
        <v>27</v>
      </c>
      <c r="E3529" s="5">
        <v>-29029</v>
      </c>
      <c r="F3529" s="3" t="s">
        <v>282</v>
      </c>
      <c r="G3529" s="3" t="s">
        <v>20</v>
      </c>
      <c r="H3529" s="2" t="s">
        <v>21</v>
      </c>
      <c r="I3529" s="2" t="s">
        <v>7207</v>
      </c>
      <c r="J3529" s="3" t="str">
        <f>HYPERLINK("https://www.boe.es/gazeta/dias/1820/07/08/pdfs/GGB-1820-9.pdf#page=4","Abrir facsímil")</f>
        <v>Abrir facsímil</v>
      </c>
      <c r="K3529" s="3" t="s">
        <v>23</v>
      </c>
    </row>
    <row r="3530" spans="1:11" ht="42" customHeight="1">
      <c r="A3530" s="2" t="s">
        <v>7202</v>
      </c>
      <c r="B3530" s="2" t="s">
        <v>7202</v>
      </c>
      <c r="C3530" s="2" t="s">
        <v>35</v>
      </c>
      <c r="D3530" s="2" t="s">
        <v>36</v>
      </c>
      <c r="E3530" s="5">
        <v>-29025</v>
      </c>
      <c r="F3530" s="3" t="s">
        <v>902</v>
      </c>
      <c r="G3530" s="3" t="s">
        <v>128</v>
      </c>
      <c r="H3530" s="2" t="s">
        <v>21</v>
      </c>
      <c r="I3530" s="2" t="s">
        <v>7208</v>
      </c>
      <c r="J3530" s="3" t="str">
        <f>HYPERLINK("https://www.boe.es/gazeta/dias/1820/07/12/pdfs/GGB-1820-14.pdf#page=1","Abrir facsímil")</f>
        <v>Abrir facsímil</v>
      </c>
      <c r="K3530" s="3" t="s">
        <v>23</v>
      </c>
    </row>
    <row r="3531" spans="1:11" ht="42" customHeight="1">
      <c r="A3531" s="2" t="s">
        <v>7202</v>
      </c>
      <c r="B3531" s="2" t="s">
        <v>7202</v>
      </c>
      <c r="C3531" s="2" t="s">
        <v>26</v>
      </c>
      <c r="D3531" s="2" t="s">
        <v>27</v>
      </c>
      <c r="E3531" s="5">
        <v>-29013</v>
      </c>
      <c r="F3531" s="3" t="s">
        <v>52</v>
      </c>
      <c r="G3531" s="3" t="s">
        <v>53</v>
      </c>
      <c r="H3531" s="2" t="s">
        <v>21</v>
      </c>
      <c r="I3531" s="2" t="s">
        <v>7209</v>
      </c>
      <c r="J3531" s="3" t="str">
        <f>HYPERLINK("https://www.boe.es/gazeta/dias/1820/07/24/pdfs/GGB-1820-26.pdf#page=3","Abrir facsímil")</f>
        <v>Abrir facsímil</v>
      </c>
      <c r="K3531" s="3" t="s">
        <v>23</v>
      </c>
    </row>
    <row r="3532" spans="1:11" ht="42" customHeight="1">
      <c r="A3532" s="2" t="s">
        <v>7202</v>
      </c>
      <c r="B3532" s="2" t="s">
        <v>7202</v>
      </c>
      <c r="C3532" s="2" t="s">
        <v>26</v>
      </c>
      <c r="D3532" s="2" t="s">
        <v>27</v>
      </c>
      <c r="E3532" s="5">
        <v>-29011</v>
      </c>
      <c r="F3532" s="3" t="s">
        <v>338</v>
      </c>
      <c r="G3532" s="3" t="s">
        <v>20</v>
      </c>
      <c r="H3532" s="2" t="s">
        <v>21</v>
      </c>
      <c r="I3532" s="2" t="s">
        <v>7210</v>
      </c>
      <c r="J3532" s="3" t="str">
        <f>HYPERLINK("https://www.boe.es/gazeta/dias/1820/07/26/pdfs/GGB-1820-28.pdf#page=4","Abrir facsímil")</f>
        <v>Abrir facsímil</v>
      </c>
      <c r="K3532" s="3" t="s">
        <v>23</v>
      </c>
    </row>
    <row r="3533" spans="1:11" ht="42" customHeight="1">
      <c r="A3533" s="2" t="s">
        <v>7202</v>
      </c>
      <c r="B3533" s="2" t="s">
        <v>7202</v>
      </c>
      <c r="C3533" s="2" t="s">
        <v>35</v>
      </c>
      <c r="D3533" s="2" t="s">
        <v>36</v>
      </c>
      <c r="E3533" s="5">
        <v>-28953</v>
      </c>
      <c r="F3533" s="3" t="s">
        <v>367</v>
      </c>
      <c r="G3533" s="3" t="s">
        <v>62</v>
      </c>
      <c r="H3533" s="2" t="s">
        <v>21</v>
      </c>
      <c r="I3533" s="2" t="s">
        <v>7211</v>
      </c>
      <c r="J3533" s="3" t="str">
        <f>HYPERLINK("https://www.boe.es/gazeta/dias/1820/09/22/pdfs/GGB-1820-86.pdf#page=3","Abrir facsímil")</f>
        <v>Abrir facsímil</v>
      </c>
      <c r="K3533" s="3" t="s">
        <v>23</v>
      </c>
    </row>
    <row r="3534" spans="1:11" ht="42" customHeight="1">
      <c r="A3534" s="2" t="s">
        <v>7202</v>
      </c>
      <c r="B3534" s="2" t="s">
        <v>7202</v>
      </c>
      <c r="C3534" s="2" t="s">
        <v>26</v>
      </c>
      <c r="D3534" s="2" t="s">
        <v>27</v>
      </c>
      <c r="E3534" s="5">
        <v>-28952</v>
      </c>
      <c r="F3534" s="3" t="s">
        <v>370</v>
      </c>
      <c r="G3534" s="3" t="s">
        <v>128</v>
      </c>
      <c r="H3534" s="2" t="s">
        <v>21</v>
      </c>
      <c r="I3534" s="2" t="s">
        <v>7212</v>
      </c>
      <c r="J3534" s="3" t="str">
        <f>HYPERLINK("https://www.boe.es/gazeta/dias/1820/09/23/pdfs/GGB-1820-87.pdf#page=1","Abrir facsímil")</f>
        <v>Abrir facsímil</v>
      </c>
      <c r="K3534" s="3" t="s">
        <v>23</v>
      </c>
    </row>
    <row r="3535" spans="1:11" ht="42" customHeight="1">
      <c r="A3535" s="2" t="s">
        <v>7202</v>
      </c>
      <c r="B3535" s="2" t="s">
        <v>7202</v>
      </c>
      <c r="C3535" s="2" t="s">
        <v>17</v>
      </c>
      <c r="D3535" s="2" t="s">
        <v>18</v>
      </c>
      <c r="E3535" s="5">
        <v>-28950</v>
      </c>
      <c r="F3535" s="3" t="s">
        <v>1052</v>
      </c>
      <c r="G3535" s="3" t="s">
        <v>1372</v>
      </c>
      <c r="H3535" s="2" t="s">
        <v>21</v>
      </c>
      <c r="I3535" s="2" t="s">
        <v>7213</v>
      </c>
      <c r="J3535" s="3" t="str">
        <f>HYPERLINK("https://www.boe.es/gazeta/dias/1820/09/25/pdfs/GGB-1820-89.pdf#page=2","Abrir facsímil")</f>
        <v>Abrir facsímil</v>
      </c>
      <c r="K3535" s="3" t="s">
        <v>23</v>
      </c>
    </row>
    <row r="3536" spans="1:11" ht="42" customHeight="1">
      <c r="A3536" s="2" t="s">
        <v>7202</v>
      </c>
      <c r="B3536" s="2" t="s">
        <v>7202</v>
      </c>
      <c r="C3536" s="2" t="s">
        <v>111</v>
      </c>
      <c r="D3536" s="2" t="s">
        <v>18</v>
      </c>
      <c r="E3536" s="5">
        <v>-28948</v>
      </c>
      <c r="F3536" s="3" t="s">
        <v>1069</v>
      </c>
      <c r="G3536" s="3" t="s">
        <v>20</v>
      </c>
      <c r="H3536" s="2" t="s">
        <v>21</v>
      </c>
      <c r="I3536" s="2" t="s">
        <v>7214</v>
      </c>
      <c r="J3536" s="3" t="str">
        <f>HYPERLINK("https://www.boe.es/gazeta/dias/1820/09/27/pdfs/GGB-1820-91.pdf#page=4","Abrir facsímil")</f>
        <v>Abrir facsímil</v>
      </c>
      <c r="K3536" s="3" t="s">
        <v>23</v>
      </c>
    </row>
    <row r="3537" spans="1:11" ht="42" customHeight="1">
      <c r="A3537" s="2" t="s">
        <v>7202</v>
      </c>
      <c r="B3537" s="2" t="s">
        <v>7202</v>
      </c>
      <c r="C3537" s="2" t="s">
        <v>26</v>
      </c>
      <c r="D3537" s="2" t="s">
        <v>27</v>
      </c>
      <c r="E3537" s="5">
        <v>-28941</v>
      </c>
      <c r="F3537" s="3" t="s">
        <v>1727</v>
      </c>
      <c r="G3537" s="3" t="s">
        <v>43</v>
      </c>
      <c r="H3537" s="2" t="s">
        <v>21</v>
      </c>
      <c r="I3537" s="2" t="s">
        <v>7215</v>
      </c>
      <c r="J3537" s="3" t="str">
        <f>HYPERLINK("https://www.boe.es/gazeta/dias/1820/10/04/pdfs/GGB-1820-98.pdf#page=2","Abrir facsímil")</f>
        <v>Abrir facsímil</v>
      </c>
      <c r="K3537" s="3" t="s">
        <v>23</v>
      </c>
    </row>
    <row r="3538" spans="1:11" ht="42" customHeight="1">
      <c r="A3538" s="2" t="s">
        <v>7202</v>
      </c>
      <c r="B3538" s="2" t="s">
        <v>7202</v>
      </c>
      <c r="C3538" s="2" t="s">
        <v>17</v>
      </c>
      <c r="D3538" s="2" t="s">
        <v>18</v>
      </c>
      <c r="E3538" s="5">
        <v>-28931</v>
      </c>
      <c r="F3538" s="3" t="s">
        <v>724</v>
      </c>
      <c r="G3538" s="3" t="s">
        <v>20</v>
      </c>
      <c r="H3538" s="2" t="s">
        <v>21</v>
      </c>
      <c r="I3538" s="2" t="s">
        <v>7216</v>
      </c>
      <c r="J3538" s="3" t="str">
        <f>HYPERLINK("https://www.boe.es/gazeta/dias/1820/10/14/pdfs/GGB-1820-108.pdf#page=4","Abrir facsímil")</f>
        <v>Abrir facsímil</v>
      </c>
      <c r="K3538" s="3" t="s">
        <v>23</v>
      </c>
    </row>
    <row r="3539" spans="1:11" ht="42" customHeight="1">
      <c r="A3539" s="2" t="s">
        <v>7202</v>
      </c>
      <c r="B3539" s="2" t="s">
        <v>7202</v>
      </c>
      <c r="C3539" s="2" t="s">
        <v>35</v>
      </c>
      <c r="D3539" s="2" t="s">
        <v>36</v>
      </c>
      <c r="E3539" s="5">
        <v>-28901</v>
      </c>
      <c r="F3539" s="3" t="s">
        <v>1492</v>
      </c>
      <c r="G3539" s="3" t="s">
        <v>62</v>
      </c>
      <c r="H3539" s="2" t="s">
        <v>21</v>
      </c>
      <c r="I3539" s="2" t="s">
        <v>7217</v>
      </c>
      <c r="J3539" s="3" t="str">
        <f>HYPERLINK("https://www.boe.es/gazeta/dias/1820/11/13/pdfs/GGB-1820-139.pdf#page=3","Abrir facsímil")</f>
        <v>Abrir facsímil</v>
      </c>
      <c r="K3539" s="3" t="s">
        <v>23</v>
      </c>
    </row>
    <row r="3540" spans="1:11" ht="42" customHeight="1">
      <c r="A3540" s="2" t="s">
        <v>7202</v>
      </c>
      <c r="B3540" s="2" t="s">
        <v>7202</v>
      </c>
      <c r="C3540" s="2" t="s">
        <v>26</v>
      </c>
      <c r="D3540" s="2" t="s">
        <v>27</v>
      </c>
      <c r="E3540" s="5">
        <v>-28900</v>
      </c>
      <c r="F3540" s="3" t="s">
        <v>878</v>
      </c>
      <c r="G3540" s="3" t="s">
        <v>20</v>
      </c>
      <c r="H3540" s="2" t="s">
        <v>21</v>
      </c>
      <c r="I3540" s="2" t="s">
        <v>7218</v>
      </c>
      <c r="J3540" s="3" t="str">
        <f>HYPERLINK("https://www.boe.es/gazeta/dias/1820/11/14/pdfs/GGB-1820-140.pdf#page=4","Abrir facsímil")</f>
        <v>Abrir facsímil</v>
      </c>
      <c r="K3540" s="3" t="s">
        <v>23</v>
      </c>
    </row>
    <row r="3541" spans="1:11" ht="42" customHeight="1">
      <c r="A3541" s="2" t="s">
        <v>7202</v>
      </c>
      <c r="B3541" s="2" t="s">
        <v>7202</v>
      </c>
      <c r="C3541" s="2" t="s">
        <v>17</v>
      </c>
      <c r="D3541" s="2" t="s">
        <v>18</v>
      </c>
      <c r="E3541" s="5">
        <v>-28899</v>
      </c>
      <c r="F3541" s="3" t="s">
        <v>285</v>
      </c>
      <c r="G3541" s="3" t="s">
        <v>20</v>
      </c>
      <c r="H3541" s="2" t="s">
        <v>21</v>
      </c>
      <c r="I3541" s="2" t="s">
        <v>7219</v>
      </c>
      <c r="J3541" s="3" t="str">
        <f>HYPERLINK("https://www.boe.es/gazeta/dias/1820/11/15/pdfs/GGB-1820-141.pdf#page=4","Abrir facsímil")</f>
        <v>Abrir facsímil</v>
      </c>
      <c r="K3541" s="3" t="s">
        <v>23</v>
      </c>
    </row>
    <row r="3542" spans="1:11" ht="42" customHeight="1">
      <c r="A3542" s="2" t="s">
        <v>7202</v>
      </c>
      <c r="B3542" s="2" t="s">
        <v>7202</v>
      </c>
      <c r="C3542" s="2" t="s">
        <v>293</v>
      </c>
      <c r="D3542" s="2" t="s">
        <v>18</v>
      </c>
      <c r="E3542" s="5">
        <v>-28894</v>
      </c>
      <c r="F3542" s="3" t="s">
        <v>469</v>
      </c>
      <c r="G3542" s="3" t="s">
        <v>62</v>
      </c>
      <c r="H3542" s="2" t="s">
        <v>21</v>
      </c>
      <c r="I3542" s="2" t="s">
        <v>7220</v>
      </c>
      <c r="J3542" s="3" t="str">
        <f>HYPERLINK("https://www.boe.es/gazeta/dias/1820/11/20/pdfs/GGB-1820-147.pdf#page=3","Abrir facsímil")</f>
        <v>Abrir facsímil</v>
      </c>
      <c r="K3542" s="3" t="s">
        <v>23</v>
      </c>
    </row>
    <row r="3543" spans="1:11" ht="42" customHeight="1">
      <c r="A3543" s="2" t="s">
        <v>7202</v>
      </c>
      <c r="B3543" s="2" t="s">
        <v>7202</v>
      </c>
      <c r="C3543" s="2" t="s">
        <v>26</v>
      </c>
      <c r="D3543" s="2" t="s">
        <v>27</v>
      </c>
      <c r="E3543" s="5">
        <v>-28872</v>
      </c>
      <c r="F3543" s="3" t="s">
        <v>1939</v>
      </c>
      <c r="G3543" s="3" t="s">
        <v>62</v>
      </c>
      <c r="H3543" s="2" t="s">
        <v>21</v>
      </c>
      <c r="I3543" s="2" t="s">
        <v>7221</v>
      </c>
      <c r="J3543" s="3" t="str">
        <f>HYPERLINK("https://www.boe.es/gazeta/dias/1820/12/12/pdfs/GGB-1820-169.pdf#page=3","Abrir facsímil")</f>
        <v>Abrir facsímil</v>
      </c>
      <c r="K3543" s="3" t="s">
        <v>23</v>
      </c>
    </row>
    <row r="3544" spans="1:11" ht="42" customHeight="1">
      <c r="A3544" s="2" t="s">
        <v>7202</v>
      </c>
      <c r="B3544" s="2" t="s">
        <v>7202</v>
      </c>
      <c r="C3544" s="2" t="s">
        <v>26</v>
      </c>
      <c r="D3544" s="2" t="s">
        <v>27</v>
      </c>
      <c r="E3544" s="5">
        <v>-28858</v>
      </c>
      <c r="F3544" s="3" t="s">
        <v>117</v>
      </c>
      <c r="G3544" s="3" t="s">
        <v>20</v>
      </c>
      <c r="H3544" s="2" t="s">
        <v>21</v>
      </c>
      <c r="I3544" s="2" t="s">
        <v>7222</v>
      </c>
      <c r="J3544" s="3" t="str">
        <f>HYPERLINK("https://www.boe.es/gazeta/dias/1820/12/26/pdfs/GGB-1820-183.pdf#page=4","Abrir facsímil")</f>
        <v>Abrir facsímil</v>
      </c>
      <c r="K3544" s="3" t="s">
        <v>23</v>
      </c>
    </row>
    <row r="3545" spans="1:11" ht="42" customHeight="1">
      <c r="A3545" s="2" t="s">
        <v>7223</v>
      </c>
      <c r="B3545" s="2" t="s">
        <v>7223</v>
      </c>
      <c r="C3545" s="2" t="s">
        <v>26</v>
      </c>
      <c r="D3545" s="2" t="s">
        <v>27</v>
      </c>
      <c r="E3545" s="5">
        <v>-28942</v>
      </c>
      <c r="F3545" s="3" t="s">
        <v>244</v>
      </c>
      <c r="G3545" s="3" t="s">
        <v>62</v>
      </c>
      <c r="H3545" s="2" t="s">
        <v>21</v>
      </c>
      <c r="I3545" s="2" t="s">
        <v>7224</v>
      </c>
      <c r="J3545" s="3" t="str">
        <f>HYPERLINK("https://www.boe.es/gazeta/dias/1820/10/03/pdfs/GGB-1820-97.pdf#page=3","Abrir facsímil")</f>
        <v>Abrir facsímil</v>
      </c>
      <c r="K3545" s="3" t="s">
        <v>23</v>
      </c>
    </row>
    <row r="3546" spans="1:11" ht="42" customHeight="1">
      <c r="A3546" s="2" t="s">
        <v>7225</v>
      </c>
      <c r="B3546" s="2" t="s">
        <v>7226</v>
      </c>
      <c r="C3546" s="2" t="s">
        <v>26</v>
      </c>
      <c r="D3546" s="2" t="s">
        <v>27</v>
      </c>
      <c r="E3546" s="5">
        <v>-28897</v>
      </c>
      <c r="F3546" s="3" t="s">
        <v>1935</v>
      </c>
      <c r="G3546" s="3" t="s">
        <v>1967</v>
      </c>
      <c r="H3546" s="2" t="s">
        <v>30</v>
      </c>
      <c r="I3546" s="2" t="s">
        <v>7227</v>
      </c>
      <c r="J3546" s="3" t="str">
        <f>HYPERLINK("https://www.boe.es/gazeta/dias/1820/11/17/pdfs/GGB-1820-143.pdf#page=4","Abrir facsímil")</f>
        <v>Abrir facsímil</v>
      </c>
      <c r="K3546" s="3" t="s">
        <v>32</v>
      </c>
    </row>
    <row r="3547" spans="1:11" ht="42" customHeight="1">
      <c r="A3547" s="2" t="s">
        <v>7228</v>
      </c>
      <c r="B3547" s="2" t="s">
        <v>7229</v>
      </c>
      <c r="C3547" s="2" t="s">
        <v>26</v>
      </c>
      <c r="D3547" s="2" t="s">
        <v>27</v>
      </c>
      <c r="E3547" s="5">
        <v>-29185</v>
      </c>
      <c r="F3547" s="3" t="s">
        <v>772</v>
      </c>
      <c r="G3547" s="3" t="s">
        <v>201</v>
      </c>
      <c r="H3547" s="2" t="s">
        <v>21</v>
      </c>
      <c r="I3547" s="2" t="s">
        <v>7230</v>
      </c>
      <c r="J3547" s="3" t="str">
        <f>HYPERLINK("https://www.boe.es/gazeta/dias/1820/02/03/pdfs/GMD-1820-15.pdf#page=7","Abrir facsímil")</f>
        <v>Abrir facsímil</v>
      </c>
      <c r="K3547" s="3" t="s">
        <v>23</v>
      </c>
    </row>
    <row r="3548" spans="1:11" ht="42" customHeight="1">
      <c r="A3548" s="2" t="s">
        <v>7231</v>
      </c>
      <c r="B3548" s="2" t="s">
        <v>7232</v>
      </c>
      <c r="C3548" s="2" t="s">
        <v>17</v>
      </c>
      <c r="D3548" s="2" t="s">
        <v>18</v>
      </c>
      <c r="E3548" s="5">
        <v>-29010</v>
      </c>
      <c r="F3548" s="3" t="s">
        <v>664</v>
      </c>
      <c r="G3548" s="3" t="s">
        <v>62</v>
      </c>
      <c r="H3548" s="2" t="s">
        <v>21</v>
      </c>
      <c r="I3548" s="2" t="s">
        <v>7233</v>
      </c>
      <c r="J3548" s="3" t="str">
        <f>HYPERLINK("https://www.boe.es/gazeta/dias/1820/07/27/pdfs/GGB-1820-29.pdf#page=3","Abrir facsímil")</f>
        <v>Abrir facsímil</v>
      </c>
      <c r="K3548" s="3" t="s">
        <v>23</v>
      </c>
    </row>
    <row r="3549" spans="1:11" ht="42" customHeight="1">
      <c r="A3549" s="2" t="s">
        <v>7231</v>
      </c>
      <c r="B3549" s="2" t="s">
        <v>7232</v>
      </c>
      <c r="C3549" s="2" t="s">
        <v>111</v>
      </c>
      <c r="D3549" s="2" t="s">
        <v>18</v>
      </c>
      <c r="E3549" s="5">
        <v>-28950</v>
      </c>
      <c r="F3549" s="3" t="s">
        <v>1052</v>
      </c>
      <c r="G3549" s="3" t="s">
        <v>20</v>
      </c>
      <c r="H3549" s="2" t="s">
        <v>21</v>
      </c>
      <c r="I3549" s="2" t="s">
        <v>7234</v>
      </c>
      <c r="J3549" s="3" t="str">
        <f>HYPERLINK("https://www.boe.es/gazeta/dias/1820/09/25/pdfs/GGB-1820-89.pdf#page=4","Abrir facsímil")</f>
        <v>Abrir facsímil</v>
      </c>
      <c r="K3549" s="3" t="s">
        <v>23</v>
      </c>
    </row>
    <row r="3550" spans="1:11" ht="42" customHeight="1">
      <c r="A3550" s="2" t="s">
        <v>7235</v>
      </c>
      <c r="B3550" s="2" t="s">
        <v>7235</v>
      </c>
      <c r="C3550" s="2" t="s">
        <v>26</v>
      </c>
      <c r="D3550" s="2" t="s">
        <v>27</v>
      </c>
      <c r="E3550" s="5">
        <v>-29129</v>
      </c>
      <c r="F3550" s="3" t="s">
        <v>269</v>
      </c>
      <c r="G3550" s="3" t="s">
        <v>295</v>
      </c>
      <c r="H3550" s="2" t="s">
        <v>21</v>
      </c>
      <c r="I3550" s="2" t="s">
        <v>7236</v>
      </c>
      <c r="J3550" s="3" t="str">
        <f>HYPERLINK("https://www.boe.es/gazeta/dias/1820/03/30/pdfs/GMD-1820-58.pdf#page=8","Abrir facsímil")</f>
        <v>Abrir facsímil</v>
      </c>
      <c r="K3550" s="3" t="s">
        <v>23</v>
      </c>
    </row>
    <row r="3551" spans="1:11" ht="42" customHeight="1">
      <c r="A3551" s="2" t="s">
        <v>7237</v>
      </c>
      <c r="B3551" s="2" t="s">
        <v>7237</v>
      </c>
      <c r="C3551" s="2" t="s">
        <v>26</v>
      </c>
      <c r="D3551" s="2" t="s">
        <v>27</v>
      </c>
      <c r="E3551" s="5">
        <v>-29124</v>
      </c>
      <c r="F3551" s="3" t="s">
        <v>4097</v>
      </c>
      <c r="G3551" s="3" t="s">
        <v>256</v>
      </c>
      <c r="H3551" s="2" t="s">
        <v>21</v>
      </c>
      <c r="I3551" s="2" t="s">
        <v>7238</v>
      </c>
      <c r="J3551" s="3" t="str">
        <f>HYPERLINK("https://www.boe.es/gazeta/dias/1820/04/04/pdfs/GMD-1820-60.pdf#page=5","Abrir facsímil")</f>
        <v>Abrir facsímil</v>
      </c>
      <c r="K3551" s="3" t="s">
        <v>23</v>
      </c>
    </row>
    <row r="3552" spans="1:11" ht="42" customHeight="1">
      <c r="A3552" s="2" t="s">
        <v>7239</v>
      </c>
      <c r="B3552" s="2" t="s">
        <v>7239</v>
      </c>
      <c r="C3552" s="2" t="s">
        <v>74</v>
      </c>
      <c r="D3552" s="2" t="s">
        <v>18</v>
      </c>
      <c r="E3552" s="5">
        <v>-28993</v>
      </c>
      <c r="F3552" s="3" t="s">
        <v>465</v>
      </c>
      <c r="G3552" s="3" t="s">
        <v>43</v>
      </c>
      <c r="H3552" s="2" t="s">
        <v>21</v>
      </c>
      <c r="I3552" s="2" t="s">
        <v>7240</v>
      </c>
      <c r="J3552" s="3" t="str">
        <f>HYPERLINK("https://www.boe.es/gazeta/dias/1820/08/13/pdfs/GGB-1820-46.pdf#page=2","Abrir facsímil")</f>
        <v>Abrir facsímil</v>
      </c>
      <c r="K3552" s="3" t="s">
        <v>23</v>
      </c>
    </row>
    <row r="3553" spans="1:11" ht="42" customHeight="1">
      <c r="A3553" s="2" t="s">
        <v>7241</v>
      </c>
      <c r="B3553" s="2" t="s">
        <v>7242</v>
      </c>
      <c r="C3553" s="2" t="s">
        <v>17</v>
      </c>
      <c r="D3553" s="2" t="s">
        <v>18</v>
      </c>
      <c r="E3553" s="5">
        <v>-29166</v>
      </c>
      <c r="F3553" s="3" t="s">
        <v>799</v>
      </c>
      <c r="G3553" s="3" t="s">
        <v>38</v>
      </c>
      <c r="H3553" s="2" t="s">
        <v>21</v>
      </c>
      <c r="I3553" s="2" t="s">
        <v>7243</v>
      </c>
      <c r="J3553" s="3" t="str">
        <f>HYPERLINK("https://www.boe.es/gazeta/dias/1820/02/22/pdfs/GMD-1820-23.pdf#page=6","Abrir facsímil")</f>
        <v>Abrir facsímil</v>
      </c>
      <c r="K3553" s="3" t="s">
        <v>23</v>
      </c>
    </row>
    <row r="3554" spans="1:11" ht="42" customHeight="1">
      <c r="A3554" s="2" t="s">
        <v>7244</v>
      </c>
      <c r="B3554" s="2" t="s">
        <v>7244</v>
      </c>
      <c r="C3554" s="2" t="s">
        <v>26</v>
      </c>
      <c r="D3554" s="2" t="s">
        <v>27</v>
      </c>
      <c r="E3554" s="5">
        <v>-29183</v>
      </c>
      <c r="F3554" s="3" t="s">
        <v>476</v>
      </c>
      <c r="G3554" s="3" t="s">
        <v>4240</v>
      </c>
      <c r="H3554" s="2" t="s">
        <v>21</v>
      </c>
      <c r="I3554" s="2" t="s">
        <v>7245</v>
      </c>
      <c r="J3554" s="3" t="str">
        <f>HYPERLINK("https://www.boe.es/gazeta/dias/1820/02/05/pdfs/GMD-1820-16.pdf#page=6","Abrir facsímil")</f>
        <v>Abrir facsímil</v>
      </c>
      <c r="K3554" s="3" t="s">
        <v>23</v>
      </c>
    </row>
    <row r="3555" spans="1:11" ht="42" customHeight="1">
      <c r="A3555" s="2" t="s">
        <v>7246</v>
      </c>
      <c r="B3555" s="2" t="s">
        <v>7246</v>
      </c>
      <c r="C3555" s="2" t="s">
        <v>26</v>
      </c>
      <c r="D3555" s="2" t="s">
        <v>27</v>
      </c>
      <c r="E3555" s="5">
        <v>-29171</v>
      </c>
      <c r="F3555" s="3" t="s">
        <v>764</v>
      </c>
      <c r="G3555" s="3" t="s">
        <v>256</v>
      </c>
      <c r="H3555" s="2" t="s">
        <v>21</v>
      </c>
      <c r="I3555" s="2" t="s">
        <v>7247</v>
      </c>
      <c r="J3555" s="3" t="str">
        <f>HYPERLINK("https://www.boe.es/gazeta/dias/1820/02/17/pdfs/GMD-1820-21.pdf#page=5","Abrir facsímil")</f>
        <v>Abrir facsímil</v>
      </c>
      <c r="K3555" s="3" t="s">
        <v>23</v>
      </c>
    </row>
    <row r="3556" spans="1:11" ht="42" customHeight="1">
      <c r="A3556" s="2" t="s">
        <v>7248</v>
      </c>
      <c r="B3556" s="2" t="s">
        <v>7249</v>
      </c>
      <c r="C3556" s="2" t="s">
        <v>26</v>
      </c>
      <c r="D3556" s="2" t="s">
        <v>27</v>
      </c>
      <c r="E3556" s="5">
        <v>-29171</v>
      </c>
      <c r="F3556" s="3" t="s">
        <v>764</v>
      </c>
      <c r="G3556" s="3" t="s">
        <v>256</v>
      </c>
      <c r="H3556" s="2" t="s">
        <v>21</v>
      </c>
      <c r="I3556" s="2" t="s">
        <v>7250</v>
      </c>
      <c r="J3556" s="3" t="str">
        <f>HYPERLINK("https://www.boe.es/gazeta/dias/1820/02/17/pdfs/GMD-1820-21.pdf#page=5","Abrir facsímil")</f>
        <v>Abrir facsímil</v>
      </c>
      <c r="K3556" s="3" t="s">
        <v>23</v>
      </c>
    </row>
    <row r="3557" spans="1:11" ht="42" customHeight="1">
      <c r="A3557" s="2" t="s">
        <v>7251</v>
      </c>
      <c r="B3557" s="2" t="s">
        <v>7251</v>
      </c>
      <c r="C3557" s="2" t="s">
        <v>35</v>
      </c>
      <c r="D3557" s="2" t="s">
        <v>36</v>
      </c>
      <c r="E3557" s="5">
        <v>-28881</v>
      </c>
      <c r="F3557" s="3" t="s">
        <v>57</v>
      </c>
      <c r="G3557" s="3" t="s">
        <v>20</v>
      </c>
      <c r="H3557" s="2" t="s">
        <v>21</v>
      </c>
      <c r="I3557" s="2" t="s">
        <v>7252</v>
      </c>
      <c r="J3557" s="3" t="str">
        <f>HYPERLINK("https://www.boe.es/gazeta/dias/1820/12/03/pdfs/GGB-1820-160.pdf#page=4","Abrir facsímil")</f>
        <v>Abrir facsímil</v>
      </c>
      <c r="K3557" s="3" t="s">
        <v>23</v>
      </c>
    </row>
    <row r="3558" spans="1:11" ht="42" customHeight="1">
      <c r="A3558" s="2" t="s">
        <v>7253</v>
      </c>
      <c r="B3558" s="2" t="s">
        <v>7254</v>
      </c>
      <c r="C3558" s="2" t="s">
        <v>35</v>
      </c>
      <c r="D3558" s="2" t="s">
        <v>36</v>
      </c>
      <c r="E3558" s="5">
        <v>-28868</v>
      </c>
      <c r="F3558" s="3" t="s">
        <v>4191</v>
      </c>
      <c r="G3558" s="3" t="s">
        <v>20</v>
      </c>
      <c r="H3558" s="2" t="s">
        <v>21</v>
      </c>
      <c r="I3558" s="2" t="s">
        <v>7255</v>
      </c>
      <c r="J3558" s="3" t="str">
        <f>HYPERLINK("https://www.boe.es/gazeta/dias/1820/12/16/pdfs/GGB-1820-173.pdf#page=4","Abrir facsímil")</f>
        <v>Abrir facsímil</v>
      </c>
      <c r="K3558" s="3" t="s">
        <v>23</v>
      </c>
    </row>
    <row r="3559" spans="1:11" ht="42" customHeight="1">
      <c r="A3559" s="2" t="s">
        <v>7256</v>
      </c>
      <c r="B3559" s="2" t="s">
        <v>7256</v>
      </c>
      <c r="C3559" s="2" t="s">
        <v>35</v>
      </c>
      <c r="D3559" s="2" t="s">
        <v>36</v>
      </c>
      <c r="E3559" s="5">
        <v>-29089</v>
      </c>
      <c r="F3559" s="3" t="s">
        <v>2128</v>
      </c>
      <c r="G3559" s="3" t="s">
        <v>295</v>
      </c>
      <c r="H3559" s="2" t="s">
        <v>21</v>
      </c>
      <c r="I3559" s="2" t="s">
        <v>7257</v>
      </c>
      <c r="J3559" s="3" t="str">
        <f>HYPERLINK("https://www.boe.es/gazeta/dias/1820/05/09/pdfs/GMD-1820-77.pdf#page=8","Abrir facsímil")</f>
        <v>Abrir facsímil</v>
      </c>
      <c r="K3559" s="3" t="s">
        <v>23</v>
      </c>
    </row>
    <row r="3560" spans="1:11" ht="42" customHeight="1">
      <c r="A3560" s="2" t="s">
        <v>7258</v>
      </c>
      <c r="B3560" s="2" t="s">
        <v>7258</v>
      </c>
      <c r="C3560" s="2" t="s">
        <v>35</v>
      </c>
      <c r="D3560" s="2" t="s">
        <v>36</v>
      </c>
      <c r="E3560" s="5">
        <v>-28935</v>
      </c>
      <c r="F3560" s="3" t="s">
        <v>2464</v>
      </c>
      <c r="G3560" s="3" t="s">
        <v>62</v>
      </c>
      <c r="H3560" s="2" t="s">
        <v>21</v>
      </c>
      <c r="I3560" s="2" t="s">
        <v>7259</v>
      </c>
      <c r="J3560" s="3" t="str">
        <f>HYPERLINK("https://www.boe.es/gazeta/dias/1820/10/10/pdfs/GGB-1820-104.pdf#page=3","Abrir facsímil")</f>
        <v>Abrir facsímil</v>
      </c>
      <c r="K3560" s="3" t="s">
        <v>23</v>
      </c>
    </row>
    <row r="3561" spans="1:11" ht="42" customHeight="1">
      <c r="A3561" s="2" t="s">
        <v>7260</v>
      </c>
      <c r="B3561" s="2" t="s">
        <v>7260</v>
      </c>
      <c r="C3561" s="2" t="s">
        <v>26</v>
      </c>
      <c r="D3561" s="2" t="s">
        <v>310</v>
      </c>
      <c r="E3561" s="5">
        <v>-29145</v>
      </c>
      <c r="F3561" s="3" t="s">
        <v>392</v>
      </c>
      <c r="G3561" s="3" t="s">
        <v>128</v>
      </c>
      <c r="H3561" s="2" t="s">
        <v>21</v>
      </c>
      <c r="I3561" s="2" t="s">
        <v>7261</v>
      </c>
      <c r="J3561" s="3" t="str">
        <f>HYPERLINK("https://www.boe.es/gazeta/dias/1820/03/14/pdfs/GMD-1820-40E.pdf#page=1","Abrir facsímil")</f>
        <v>Abrir facsímil</v>
      </c>
      <c r="K3561" s="3" t="s">
        <v>23</v>
      </c>
    </row>
    <row r="3562" spans="1:11" ht="42" customHeight="1">
      <c r="A3562" s="2" t="s">
        <v>7262</v>
      </c>
      <c r="B3562" s="2" t="s">
        <v>7263</v>
      </c>
      <c r="C3562" s="2" t="s">
        <v>26</v>
      </c>
      <c r="D3562" s="2" t="s">
        <v>27</v>
      </c>
      <c r="E3562" s="5">
        <v>-28859</v>
      </c>
      <c r="F3562" s="3" t="s">
        <v>265</v>
      </c>
      <c r="G3562" s="3" t="s">
        <v>62</v>
      </c>
      <c r="H3562" s="2" t="s">
        <v>21</v>
      </c>
      <c r="I3562" s="2" t="s">
        <v>7264</v>
      </c>
      <c r="J3562" s="3" t="str">
        <f>HYPERLINK("https://www.boe.es/gazeta/dias/1820/12/25/pdfs/GGB-1820-182.pdf#page=3","Abrir facsímil")</f>
        <v>Abrir facsímil</v>
      </c>
      <c r="K3562" s="3" t="s">
        <v>23</v>
      </c>
    </row>
    <row r="3563" spans="1:11" ht="42" customHeight="1">
      <c r="A3563" s="2" t="s">
        <v>7265</v>
      </c>
      <c r="B3563" s="2" t="s">
        <v>7266</v>
      </c>
      <c r="C3563" s="2" t="s">
        <v>35</v>
      </c>
      <c r="D3563" s="2" t="s">
        <v>310</v>
      </c>
      <c r="E3563" s="5">
        <v>-29031</v>
      </c>
      <c r="F3563" s="3" t="s">
        <v>5349</v>
      </c>
      <c r="G3563" s="3" t="s">
        <v>128</v>
      </c>
      <c r="H3563" s="2" t="s">
        <v>30</v>
      </c>
      <c r="I3563" s="2" t="s">
        <v>7267</v>
      </c>
      <c r="J3563" s="3" t="str">
        <f>HYPERLINK("https://www.boe.es/gazeta/dias/1820/07/06/pdfs/GGB-1820-7E.pdf#page=1","Abrir facsímil")</f>
        <v>Abrir facsímil</v>
      </c>
      <c r="K3563" s="3" t="s">
        <v>32</v>
      </c>
    </row>
    <row r="3564" spans="1:11" ht="42" customHeight="1">
      <c r="A3564" s="2" t="s">
        <v>7268</v>
      </c>
      <c r="B3564" s="2" t="s">
        <v>7269</v>
      </c>
      <c r="C3564" s="2" t="s">
        <v>17</v>
      </c>
      <c r="D3564" s="2" t="s">
        <v>18</v>
      </c>
      <c r="E3564" s="5">
        <v>-29206</v>
      </c>
      <c r="F3564" s="3" t="s">
        <v>897</v>
      </c>
      <c r="G3564" s="3" t="s">
        <v>38</v>
      </c>
      <c r="H3564" s="2" t="s">
        <v>21</v>
      </c>
      <c r="I3564" s="2" t="s">
        <v>7270</v>
      </c>
      <c r="J3564" s="3" t="str">
        <f>HYPERLINK("https://www.boe.es/gazeta/dias/1820/01/13/pdfs/GMD-1820-6.pdf#page=6","Abrir facsímil")</f>
        <v>Abrir facsímil</v>
      </c>
      <c r="K3564" s="3" t="s">
        <v>23</v>
      </c>
    </row>
    <row r="3565" spans="1:11" ht="42" customHeight="1">
      <c r="A3565" s="2" t="s">
        <v>7271</v>
      </c>
      <c r="B3565" s="2" t="s">
        <v>7272</v>
      </c>
      <c r="C3565" s="2" t="s">
        <v>74</v>
      </c>
      <c r="D3565" s="2" t="s">
        <v>18</v>
      </c>
      <c r="E3565" s="5">
        <v>-29092</v>
      </c>
      <c r="F3565" s="3" t="s">
        <v>1261</v>
      </c>
      <c r="G3565" s="3" t="s">
        <v>62</v>
      </c>
      <c r="H3565" s="2" t="s">
        <v>21</v>
      </c>
      <c r="I3565" s="2" t="s">
        <v>7273</v>
      </c>
      <c r="J3565" s="3" t="str">
        <f>HYPERLINK("https://www.boe.es/gazeta/dias/1820/05/06/pdfs/GMD-1820-76.pdf#page=3","Abrir facsímil")</f>
        <v>Abrir facsímil</v>
      </c>
      <c r="K3565" s="3" t="s">
        <v>23</v>
      </c>
    </row>
    <row r="3566" spans="1:11" ht="42" customHeight="1">
      <c r="A3566" s="2" t="s">
        <v>7274</v>
      </c>
      <c r="B3566" s="2" t="s">
        <v>7275</v>
      </c>
      <c r="C3566" s="2" t="s">
        <v>35</v>
      </c>
      <c r="D3566" s="2" t="s">
        <v>310</v>
      </c>
      <c r="E3566" s="5">
        <v>-29149</v>
      </c>
      <c r="F3566" s="3" t="s">
        <v>5530</v>
      </c>
      <c r="G3566" s="3" t="s">
        <v>128</v>
      </c>
      <c r="H3566" s="2" t="s">
        <v>30</v>
      </c>
      <c r="I3566" s="2" t="s">
        <v>7276</v>
      </c>
      <c r="J3566" s="3" t="str">
        <f>HYPERLINK("https://www.boe.es/gazeta/dias/1820/03/10/pdfs/GMD-1820-35E.pdf#page=1","Abrir facsímil")</f>
        <v>Abrir facsímil</v>
      </c>
      <c r="K3566" s="3" t="s">
        <v>32</v>
      </c>
    </row>
    <row r="3567" spans="1:11" ht="42" customHeight="1">
      <c r="A3567" s="2" t="s">
        <v>7274</v>
      </c>
      <c r="B3567" s="2" t="s">
        <v>7275</v>
      </c>
      <c r="C3567" s="2" t="s">
        <v>35</v>
      </c>
      <c r="D3567" s="2" t="s">
        <v>310</v>
      </c>
      <c r="E3567" s="5">
        <v>-29031</v>
      </c>
      <c r="F3567" s="3" t="s">
        <v>5349</v>
      </c>
      <c r="G3567" s="3" t="s">
        <v>128</v>
      </c>
      <c r="H3567" s="2" t="s">
        <v>30</v>
      </c>
      <c r="I3567" s="2" t="s">
        <v>7277</v>
      </c>
      <c r="J3567" s="3" t="str">
        <f>HYPERLINK("https://www.boe.es/gazeta/dias/1820/07/06/pdfs/GGB-1820-7E.pdf#page=1","Abrir facsímil")</f>
        <v>Abrir facsímil</v>
      </c>
      <c r="K3567" s="3" t="s">
        <v>32</v>
      </c>
    </row>
    <row r="3568" spans="1:11" ht="42" customHeight="1">
      <c r="A3568" s="2" t="s">
        <v>7278</v>
      </c>
      <c r="B3568" s="2" t="s">
        <v>7278</v>
      </c>
      <c r="C3568" s="2" t="s">
        <v>26</v>
      </c>
      <c r="D3568" s="2" t="s">
        <v>27</v>
      </c>
      <c r="E3568" s="5">
        <v>-29025</v>
      </c>
      <c r="F3568" s="3" t="s">
        <v>902</v>
      </c>
      <c r="G3568" s="3" t="s">
        <v>7279</v>
      </c>
      <c r="H3568" s="2" t="s">
        <v>21</v>
      </c>
      <c r="I3568" s="2" t="s">
        <v>7280</v>
      </c>
      <c r="J3568" s="3" t="str">
        <f>HYPERLINK("https://www.boe.es/gazeta/dias/1820/07/12/pdfs/GGB-1820-14.pdf#page=2","Abrir facsímil")</f>
        <v>Abrir facsímil</v>
      </c>
      <c r="K3568" s="3" t="s">
        <v>23</v>
      </c>
    </row>
    <row r="3569" spans="1:11" ht="42" customHeight="1">
      <c r="A3569" s="2" t="s">
        <v>7281</v>
      </c>
      <c r="B3569" s="2" t="s">
        <v>7282</v>
      </c>
      <c r="C3569" s="2" t="s">
        <v>26</v>
      </c>
      <c r="D3569" s="2" t="s">
        <v>27</v>
      </c>
      <c r="E3569" s="5">
        <v>-28910</v>
      </c>
      <c r="F3569" s="3" t="s">
        <v>746</v>
      </c>
      <c r="G3569" s="3" t="s">
        <v>43</v>
      </c>
      <c r="H3569" s="2" t="s">
        <v>21</v>
      </c>
      <c r="I3569" s="2" t="s">
        <v>7283</v>
      </c>
      <c r="J3569" s="3" t="str">
        <f>HYPERLINK("https://www.boe.es/gazeta/dias/1820/11/04/pdfs/GGB-1820-129.pdf#page=2","Abrir facsímil")</f>
        <v>Abrir facsímil</v>
      </c>
      <c r="K3569" s="3" t="s">
        <v>23</v>
      </c>
    </row>
    <row r="3570" spans="1:11" ht="42" customHeight="1">
      <c r="A3570" s="2" t="s">
        <v>7284</v>
      </c>
      <c r="B3570" s="2" t="s">
        <v>7285</v>
      </c>
      <c r="C3570" s="2" t="s">
        <v>293</v>
      </c>
      <c r="D3570" s="2" t="s">
        <v>18</v>
      </c>
      <c r="E3570" s="5">
        <v>-28991</v>
      </c>
      <c r="F3570" s="3" t="s">
        <v>213</v>
      </c>
      <c r="G3570" s="3" t="s">
        <v>214</v>
      </c>
      <c r="H3570" s="2" t="s">
        <v>21</v>
      </c>
      <c r="I3570" s="2" t="s">
        <v>7286</v>
      </c>
      <c r="J3570" s="3" t="str">
        <f>HYPERLINK("https://www.boe.es/gazeta/dias/1820/08/15/pdfs/GGB-1820-48.pdf#page=2","Abrir facsímil")</f>
        <v>Abrir facsímil</v>
      </c>
      <c r="K3570" s="3" t="s">
        <v>23</v>
      </c>
    </row>
    <row r="3571" spans="1:11" ht="42" customHeight="1">
      <c r="A3571" s="2" t="s">
        <v>7284</v>
      </c>
      <c r="B3571" s="2" t="s">
        <v>7285</v>
      </c>
      <c r="C3571" s="2" t="s">
        <v>74</v>
      </c>
      <c r="D3571" s="2" t="s">
        <v>18</v>
      </c>
      <c r="E3571" s="5">
        <v>-28952</v>
      </c>
      <c r="F3571" s="3" t="s">
        <v>370</v>
      </c>
      <c r="G3571" s="3" t="s">
        <v>20</v>
      </c>
      <c r="H3571" s="2" t="s">
        <v>21</v>
      </c>
      <c r="I3571" s="2" t="s">
        <v>7287</v>
      </c>
      <c r="J3571" s="3" t="str">
        <f>HYPERLINK("https://www.boe.es/gazeta/dias/1820/09/23/pdfs/GGB-1820-87.pdf#page=4","Abrir facsímil")</f>
        <v>Abrir facsímil</v>
      </c>
      <c r="K3571" s="3" t="s">
        <v>23</v>
      </c>
    </row>
    <row r="3572" spans="1:11" ht="42" customHeight="1">
      <c r="A3572" s="2" t="s">
        <v>7284</v>
      </c>
      <c r="B3572" s="2" t="s">
        <v>7285</v>
      </c>
      <c r="C3572" s="2" t="s">
        <v>35</v>
      </c>
      <c r="D3572" s="2" t="s">
        <v>36</v>
      </c>
      <c r="E3572" s="5">
        <v>-28907</v>
      </c>
      <c r="F3572" s="3" t="s">
        <v>374</v>
      </c>
      <c r="G3572" s="3" t="s">
        <v>43</v>
      </c>
      <c r="H3572" s="2" t="s">
        <v>21</v>
      </c>
      <c r="I3572" s="2" t="s">
        <v>7288</v>
      </c>
      <c r="J3572" s="3" t="str">
        <f>HYPERLINK("https://www.boe.es/gazeta/dias/1820/11/07/pdfs/GGB-1820-132.pdf#page=2","Abrir facsímil")</f>
        <v>Abrir facsímil</v>
      </c>
      <c r="K3572" s="3" t="s">
        <v>23</v>
      </c>
    </row>
    <row r="3573" spans="1:11" ht="42" customHeight="1">
      <c r="A3573" s="2" t="s">
        <v>7289</v>
      </c>
      <c r="B3573" s="2" t="s">
        <v>7289</v>
      </c>
      <c r="C3573" s="2" t="s">
        <v>35</v>
      </c>
      <c r="D3573" s="2" t="s">
        <v>36</v>
      </c>
      <c r="E3573" s="5">
        <v>-29122</v>
      </c>
      <c r="F3573" s="3" t="s">
        <v>844</v>
      </c>
      <c r="G3573" s="3" t="s">
        <v>201</v>
      </c>
      <c r="H3573" s="2" t="s">
        <v>21</v>
      </c>
      <c r="I3573" s="2" t="s">
        <v>7290</v>
      </c>
      <c r="J3573" s="3" t="str">
        <f>HYPERLINK("https://www.boe.es/gazeta/dias/1820/04/06/pdfs/GMD-1820-62.pdf#page=7","Abrir facsímil")</f>
        <v>Abrir facsímil</v>
      </c>
      <c r="K3573" s="3" t="s">
        <v>23</v>
      </c>
    </row>
    <row r="3574" spans="1:11" ht="42" customHeight="1">
      <c r="A3574" s="2" t="s">
        <v>7291</v>
      </c>
      <c r="B3574" s="2" t="s">
        <v>7291</v>
      </c>
      <c r="C3574" s="2" t="s">
        <v>17</v>
      </c>
      <c r="D3574" s="2" t="s">
        <v>18</v>
      </c>
      <c r="E3574" s="5">
        <v>-28940</v>
      </c>
      <c r="F3574" s="3" t="s">
        <v>141</v>
      </c>
      <c r="G3574" s="3" t="s">
        <v>128</v>
      </c>
      <c r="H3574" s="2" t="s">
        <v>21</v>
      </c>
      <c r="I3574" s="2" t="s">
        <v>7292</v>
      </c>
      <c r="J3574" s="3" t="str">
        <f>HYPERLINK("https://www.boe.es/gazeta/dias/1820/10/05/pdfs/GGB-1820-99.pdf#page=1","Abrir facsímil")</f>
        <v>Abrir facsímil</v>
      </c>
      <c r="K3574" s="3" t="s">
        <v>23</v>
      </c>
    </row>
    <row r="3575" spans="1:11" ht="42" customHeight="1">
      <c r="A3575" s="2" t="s">
        <v>7293</v>
      </c>
      <c r="B3575" s="2" t="s">
        <v>7294</v>
      </c>
      <c r="C3575" s="2" t="s">
        <v>1808</v>
      </c>
      <c r="D3575" s="2" t="s">
        <v>36</v>
      </c>
      <c r="E3575" s="5">
        <v>-29040</v>
      </c>
      <c r="F3575" s="3" t="s">
        <v>1125</v>
      </c>
      <c r="G3575" s="3" t="s">
        <v>553</v>
      </c>
      <c r="H3575" s="2" t="s">
        <v>21</v>
      </c>
      <c r="I3575" s="2" t="s">
        <v>7295</v>
      </c>
      <c r="J3575" s="3" t="str">
        <f>HYPERLINK("https://www.boe.es/gazeta/dias/1820/06/27/pdfs/GMD-1820-99.pdf#page=10","Abrir facsímil")</f>
        <v>Abrir facsímil</v>
      </c>
      <c r="K3575" s="3" t="s">
        <v>23</v>
      </c>
    </row>
    <row r="3576" spans="1:11" ht="42" customHeight="1">
      <c r="A3576" s="2" t="s">
        <v>7293</v>
      </c>
      <c r="B3576" s="2" t="s">
        <v>7294</v>
      </c>
      <c r="C3576" s="2" t="s">
        <v>1808</v>
      </c>
      <c r="D3576" s="2" t="s">
        <v>36</v>
      </c>
      <c r="E3576" s="5">
        <v>-29040</v>
      </c>
      <c r="F3576" s="3" t="s">
        <v>1125</v>
      </c>
      <c r="G3576" s="3" t="s">
        <v>196</v>
      </c>
      <c r="H3576" s="2" t="s">
        <v>21</v>
      </c>
      <c r="I3576" s="2" t="s">
        <v>7296</v>
      </c>
      <c r="J3576" s="3" t="str">
        <f>HYPERLINK("https://www.boe.es/gazeta/dias/1820/06/27/pdfs/GMD-1820-99.pdf#page=11","Abrir facsímil")</f>
        <v>Abrir facsímil</v>
      </c>
      <c r="K3576" s="3" t="s">
        <v>23</v>
      </c>
    </row>
    <row r="3577" spans="1:11" ht="42" customHeight="1">
      <c r="A3577" s="2" t="s">
        <v>7297</v>
      </c>
      <c r="B3577" s="2" t="s">
        <v>7298</v>
      </c>
      <c r="C3577" s="2" t="s">
        <v>26</v>
      </c>
      <c r="D3577" s="2" t="s">
        <v>27</v>
      </c>
      <c r="E3577" s="5">
        <v>-29050</v>
      </c>
      <c r="F3577" s="3" t="s">
        <v>423</v>
      </c>
      <c r="G3577" s="3" t="s">
        <v>7299</v>
      </c>
      <c r="H3577" s="2" t="s">
        <v>21</v>
      </c>
      <c r="I3577" s="2" t="s">
        <v>7300</v>
      </c>
      <c r="J3577" s="3" t="str">
        <f>HYPERLINK("https://www.boe.es/gazeta/dias/1820/06/17/pdfs/GMD-1820-95.pdf#page=2","Abrir facsímil")</f>
        <v>Abrir facsímil</v>
      </c>
      <c r="K3577" s="3" t="s">
        <v>23</v>
      </c>
    </row>
    <row r="3578" spans="1:11" ht="42" customHeight="1">
      <c r="A3578" s="2" t="s">
        <v>7301</v>
      </c>
      <c r="B3578" s="2" t="s">
        <v>7301</v>
      </c>
      <c r="C3578" s="2" t="s">
        <v>35</v>
      </c>
      <c r="D3578" s="2" t="s">
        <v>36</v>
      </c>
      <c r="E3578" s="5">
        <v>-29073</v>
      </c>
      <c r="F3578" s="3" t="s">
        <v>1928</v>
      </c>
      <c r="G3578" s="3" t="s">
        <v>20</v>
      </c>
      <c r="H3578" s="2" t="s">
        <v>21</v>
      </c>
      <c r="I3578" s="2" t="s">
        <v>7302</v>
      </c>
      <c r="J3578" s="3" t="str">
        <f>HYPERLINK("https://www.boe.es/gazeta/dias/1820/05/25/pdfs/GMD-1820-85.pdf#page=4","Abrir facsímil")</f>
        <v>Abrir facsímil</v>
      </c>
      <c r="K3578" s="3" t="s">
        <v>23</v>
      </c>
    </row>
    <row r="3579" spans="1:11" ht="42" customHeight="1">
      <c r="A3579" s="2" t="s">
        <v>7301</v>
      </c>
      <c r="B3579" s="2" t="s">
        <v>7301</v>
      </c>
      <c r="C3579" s="2" t="s">
        <v>293</v>
      </c>
      <c r="D3579" s="2" t="s">
        <v>18</v>
      </c>
      <c r="E3579" s="5">
        <v>-28964</v>
      </c>
      <c r="F3579" s="3" t="s">
        <v>240</v>
      </c>
      <c r="G3579" s="3" t="s">
        <v>128</v>
      </c>
      <c r="H3579" s="2" t="s">
        <v>21</v>
      </c>
      <c r="I3579" s="2" t="s">
        <v>7303</v>
      </c>
      <c r="J3579" s="3" t="str">
        <f>HYPERLINK("https://www.boe.es/gazeta/dias/1820/09/11/pdfs/GGB-1820-75.pdf#page=1","Abrir facsímil")</f>
        <v>Abrir facsímil</v>
      </c>
      <c r="K3579" s="3" t="s">
        <v>23</v>
      </c>
    </row>
    <row r="3580" spans="1:11" ht="42" customHeight="1">
      <c r="A3580" s="2" t="s">
        <v>7301</v>
      </c>
      <c r="B3580" s="2" t="s">
        <v>7301</v>
      </c>
      <c r="C3580" s="2" t="s">
        <v>17</v>
      </c>
      <c r="D3580" s="2" t="s">
        <v>18</v>
      </c>
      <c r="E3580" s="5">
        <v>-28901</v>
      </c>
      <c r="F3580" s="3" t="s">
        <v>1492</v>
      </c>
      <c r="G3580" s="3" t="s">
        <v>43</v>
      </c>
      <c r="H3580" s="2" t="s">
        <v>21</v>
      </c>
      <c r="I3580" s="2" t="s">
        <v>7304</v>
      </c>
      <c r="J3580" s="3" t="str">
        <f>HYPERLINK("https://www.boe.es/gazeta/dias/1820/11/13/pdfs/GGB-1820-139.pdf#page=2","Abrir facsímil")</f>
        <v>Abrir facsímil</v>
      </c>
      <c r="K3580" s="3" t="s">
        <v>23</v>
      </c>
    </row>
    <row r="3581" spans="1:11" ht="42" customHeight="1">
      <c r="A3581" s="2" t="s">
        <v>7301</v>
      </c>
      <c r="B3581" s="2" t="s">
        <v>7301</v>
      </c>
      <c r="C3581" s="2" t="s">
        <v>35</v>
      </c>
      <c r="D3581" s="2" t="s">
        <v>36</v>
      </c>
      <c r="E3581" s="5">
        <v>-28886</v>
      </c>
      <c r="F3581" s="3" t="s">
        <v>874</v>
      </c>
      <c r="G3581" s="3" t="s">
        <v>128</v>
      </c>
      <c r="H3581" s="2" t="s">
        <v>21</v>
      </c>
      <c r="I3581" s="2" t="s">
        <v>7305</v>
      </c>
      <c r="J3581" s="3" t="str">
        <f>HYPERLINK("https://www.boe.es/gazeta/dias/1820/11/28/pdfs/GGB-1820-155.pdf#page=1","Abrir facsímil")</f>
        <v>Abrir facsímil</v>
      </c>
      <c r="K3581" s="3" t="s">
        <v>23</v>
      </c>
    </row>
    <row r="3582" spans="1:11" ht="42" customHeight="1">
      <c r="A3582" s="2" t="s">
        <v>7306</v>
      </c>
      <c r="B3582" s="2" t="s">
        <v>7306</v>
      </c>
      <c r="C3582" s="2" t="s">
        <v>17</v>
      </c>
      <c r="D3582" s="2" t="s">
        <v>18</v>
      </c>
      <c r="E3582" s="5">
        <v>-28902</v>
      </c>
      <c r="F3582" s="3" t="s">
        <v>440</v>
      </c>
      <c r="G3582" s="3" t="s">
        <v>62</v>
      </c>
      <c r="H3582" s="2" t="s">
        <v>21</v>
      </c>
      <c r="I3582" s="2" t="s">
        <v>7307</v>
      </c>
      <c r="J3582" s="3" t="str">
        <f>HYPERLINK("https://www.boe.es/gazeta/dias/1820/11/12/pdfs/GGB-1820-138.pdf#page=3","Abrir facsímil")</f>
        <v>Abrir facsímil</v>
      </c>
      <c r="K3582" s="3" t="s">
        <v>23</v>
      </c>
    </row>
    <row r="3583" spans="1:11" ht="42" customHeight="1">
      <c r="A3583" s="2" t="s">
        <v>7308</v>
      </c>
      <c r="B3583" s="2" t="s">
        <v>7309</v>
      </c>
      <c r="C3583" s="2" t="s">
        <v>26</v>
      </c>
      <c r="D3583" s="2" t="s">
        <v>27</v>
      </c>
      <c r="E3583" s="5">
        <v>-29192</v>
      </c>
      <c r="F3583" s="3" t="s">
        <v>497</v>
      </c>
      <c r="G3583" s="3" t="s">
        <v>38</v>
      </c>
      <c r="H3583" s="2" t="s">
        <v>21</v>
      </c>
      <c r="I3583" s="2" t="s">
        <v>7310</v>
      </c>
      <c r="J3583" s="3" t="str">
        <f>HYPERLINK("https://www.boe.es/gazeta/dias/1820/01/27/pdfs/GMD-1820-12.pdf#page=6","Abrir facsímil")</f>
        <v>Abrir facsímil</v>
      </c>
      <c r="K3583" s="3" t="s">
        <v>23</v>
      </c>
    </row>
    <row r="3584" spans="1:11" ht="42" customHeight="1">
      <c r="A3584" s="2" t="s">
        <v>7311</v>
      </c>
      <c r="B3584" s="2" t="s">
        <v>7311</v>
      </c>
      <c r="C3584" s="2" t="s">
        <v>26</v>
      </c>
      <c r="D3584" s="2" t="s">
        <v>27</v>
      </c>
      <c r="E3584" s="5">
        <v>-29166</v>
      </c>
      <c r="F3584" s="3" t="s">
        <v>799</v>
      </c>
      <c r="G3584" s="3" t="s">
        <v>43</v>
      </c>
      <c r="H3584" s="2" t="s">
        <v>21</v>
      </c>
      <c r="I3584" s="2" t="s">
        <v>7312</v>
      </c>
      <c r="J3584" s="3" t="str">
        <f>HYPERLINK("https://www.boe.es/gazeta/dias/1820/02/22/pdfs/GMD-1820-23.pdf#page=2","Abrir facsímil")</f>
        <v>Abrir facsímil</v>
      </c>
      <c r="K3584" s="3" t="s">
        <v>23</v>
      </c>
    </row>
    <row r="3585" spans="1:11" ht="42" customHeight="1">
      <c r="A3585" s="2" t="s">
        <v>7313</v>
      </c>
      <c r="B3585" s="2" t="s">
        <v>7313</v>
      </c>
      <c r="C3585" s="2" t="s">
        <v>35</v>
      </c>
      <c r="D3585" s="2" t="s">
        <v>36</v>
      </c>
      <c r="E3585" s="5">
        <v>-28883</v>
      </c>
      <c r="F3585" s="3" t="s">
        <v>306</v>
      </c>
      <c r="G3585" s="3" t="s">
        <v>20</v>
      </c>
      <c r="H3585" s="2" t="s">
        <v>21</v>
      </c>
      <c r="I3585" s="2" t="s">
        <v>7314</v>
      </c>
      <c r="J3585" s="3" t="str">
        <f>HYPERLINK("https://www.boe.es/gazeta/dias/1820/12/01/pdfs/GGB-1820-158.pdf#page=4","Abrir facsímil")</f>
        <v>Abrir facsímil</v>
      </c>
      <c r="K3585" s="3" t="s">
        <v>23</v>
      </c>
    </row>
    <row r="3586" spans="1:11" ht="42" customHeight="1">
      <c r="A3586" s="2" t="s">
        <v>7315</v>
      </c>
      <c r="B3586" s="2" t="s">
        <v>7315</v>
      </c>
      <c r="C3586" s="2" t="s">
        <v>111</v>
      </c>
      <c r="D3586" s="2" t="s">
        <v>18</v>
      </c>
      <c r="E3586" s="5">
        <v>-28869</v>
      </c>
      <c r="F3586" s="3" t="s">
        <v>449</v>
      </c>
      <c r="G3586" s="3" t="s">
        <v>450</v>
      </c>
      <c r="H3586" s="2" t="s">
        <v>21</v>
      </c>
      <c r="I3586" s="2" t="s">
        <v>7316</v>
      </c>
      <c r="J3586" s="3" t="str">
        <f>HYPERLINK("https://www.boe.es/gazeta/dias/1820/12/15/pdfs/GGB-1820-172.pdf#page=4","Abrir facsímil")</f>
        <v>Abrir facsímil</v>
      </c>
      <c r="K3586" s="3" t="s">
        <v>23</v>
      </c>
    </row>
    <row r="3587" spans="1:11" ht="42" customHeight="1">
      <c r="A3587" s="2" t="s">
        <v>7317</v>
      </c>
      <c r="B3587" s="2" t="s">
        <v>7317</v>
      </c>
      <c r="C3587" s="2" t="s">
        <v>26</v>
      </c>
      <c r="D3587" s="2" t="s">
        <v>27</v>
      </c>
      <c r="E3587" s="5">
        <v>-28910</v>
      </c>
      <c r="F3587" s="3" t="s">
        <v>746</v>
      </c>
      <c r="G3587" s="3" t="s">
        <v>128</v>
      </c>
      <c r="H3587" s="2" t="s">
        <v>21</v>
      </c>
      <c r="I3587" s="2" t="s">
        <v>7318</v>
      </c>
      <c r="J3587" s="3" t="str">
        <f>HYPERLINK("https://www.boe.es/gazeta/dias/1820/11/04/pdfs/GGB-1820-129.pdf#page=1","Abrir facsímil")</f>
        <v>Abrir facsímil</v>
      </c>
      <c r="K3587" s="3" t="s">
        <v>23</v>
      </c>
    </row>
    <row r="3588" spans="1:11" ht="42" customHeight="1">
      <c r="A3588" s="2" t="s">
        <v>7319</v>
      </c>
      <c r="B3588" s="2" t="s">
        <v>7320</v>
      </c>
      <c r="C3588" s="2" t="s">
        <v>74</v>
      </c>
      <c r="D3588" s="2" t="s">
        <v>18</v>
      </c>
      <c r="E3588" s="5">
        <v>-29005</v>
      </c>
      <c r="F3588" s="3" t="s">
        <v>1656</v>
      </c>
      <c r="G3588" s="3" t="s">
        <v>62</v>
      </c>
      <c r="H3588" s="2" t="s">
        <v>21</v>
      </c>
      <c r="I3588" s="2" t="s">
        <v>7321</v>
      </c>
      <c r="J3588" s="3" t="str">
        <f>HYPERLINK("https://www.boe.es/gazeta/dias/1820/08/01/pdfs/GGB-1820-34.pdf#page=3","Abrir facsímil")</f>
        <v>Abrir facsímil</v>
      </c>
      <c r="K3588" s="3" t="s">
        <v>23</v>
      </c>
    </row>
    <row r="3589" spans="1:11" ht="42" customHeight="1">
      <c r="A3589" s="2" t="s">
        <v>7322</v>
      </c>
      <c r="B3589" s="2" t="s">
        <v>7323</v>
      </c>
      <c r="C3589" s="2" t="s">
        <v>17</v>
      </c>
      <c r="D3589" s="2" t="s">
        <v>18</v>
      </c>
      <c r="E3589" s="5">
        <v>-28890</v>
      </c>
      <c r="F3589" s="3" t="s">
        <v>248</v>
      </c>
      <c r="G3589" s="3" t="s">
        <v>62</v>
      </c>
      <c r="H3589" s="2" t="s">
        <v>21</v>
      </c>
      <c r="I3589" s="2" t="s">
        <v>7324</v>
      </c>
      <c r="J3589" s="3" t="str">
        <f>HYPERLINK("https://www.boe.es/gazeta/dias/1820/11/24/pdfs/GGB-1820-151.pdf#page=3","Abrir facsímil")</f>
        <v>Abrir facsímil</v>
      </c>
      <c r="K3589" s="3" t="s">
        <v>23</v>
      </c>
    </row>
    <row r="3590" spans="1:11" ht="42" customHeight="1">
      <c r="A3590" s="2" t="s">
        <v>7325</v>
      </c>
      <c r="B3590" s="2" t="s">
        <v>7326</v>
      </c>
      <c r="C3590" s="2" t="s">
        <v>35</v>
      </c>
      <c r="D3590" s="2" t="s">
        <v>36</v>
      </c>
      <c r="E3590" s="5">
        <v>-29204</v>
      </c>
      <c r="F3590" s="3" t="s">
        <v>753</v>
      </c>
      <c r="G3590" s="3" t="s">
        <v>38</v>
      </c>
      <c r="H3590" s="2" t="s">
        <v>30</v>
      </c>
      <c r="I3590" s="2" t="s">
        <v>7327</v>
      </c>
      <c r="J3590" s="3" t="str">
        <f>HYPERLINK("https://www.boe.es/gazeta/dias/1820/01/15/pdfs/GMD-1820-7.pdf#page=6","Abrir facsímil")</f>
        <v>Abrir facsímil</v>
      </c>
      <c r="K3590" s="3" t="s">
        <v>32</v>
      </c>
    </row>
    <row r="3591" spans="1:11" ht="42" customHeight="1">
      <c r="A3591" s="2" t="s">
        <v>7325</v>
      </c>
      <c r="B3591" s="2" t="s">
        <v>7326</v>
      </c>
      <c r="C3591" s="2" t="s">
        <v>35</v>
      </c>
      <c r="D3591" s="2" t="s">
        <v>36</v>
      </c>
      <c r="E3591" s="5">
        <v>-28926</v>
      </c>
      <c r="F3591" s="3" t="s">
        <v>597</v>
      </c>
      <c r="G3591" s="3" t="s">
        <v>20</v>
      </c>
      <c r="H3591" s="2" t="s">
        <v>30</v>
      </c>
      <c r="I3591" s="2" t="s">
        <v>7328</v>
      </c>
      <c r="J3591" s="3" t="str">
        <f>HYPERLINK("https://www.boe.es/gazeta/dias/1820/10/19/pdfs/GGB-1820-113.pdf#page=4","Abrir facsímil")</f>
        <v>Abrir facsímil</v>
      </c>
      <c r="K3591" s="3" t="s">
        <v>32</v>
      </c>
    </row>
    <row r="3592" spans="1:11" ht="42" customHeight="1">
      <c r="A3592" s="2" t="s">
        <v>7329</v>
      </c>
      <c r="B3592" s="2" t="s">
        <v>7329</v>
      </c>
      <c r="C3592" s="2" t="s">
        <v>35</v>
      </c>
      <c r="D3592" s="2" t="s">
        <v>36</v>
      </c>
      <c r="E3592" s="5">
        <v>-28915</v>
      </c>
      <c r="F3592" s="3" t="s">
        <v>525</v>
      </c>
      <c r="G3592" s="3" t="s">
        <v>20</v>
      </c>
      <c r="H3592" s="2" t="s">
        <v>21</v>
      </c>
      <c r="I3592" s="2" t="s">
        <v>7330</v>
      </c>
      <c r="J3592" s="3" t="str">
        <f>HYPERLINK("https://www.boe.es/gazeta/dias/1820/10/30/pdfs/GGB-1820-124.pdf#page=4","Abrir facsímil")</f>
        <v>Abrir facsímil</v>
      </c>
      <c r="K3592" s="3" t="s">
        <v>23</v>
      </c>
    </row>
    <row r="3593" spans="1:11" ht="42" customHeight="1">
      <c r="A3593" s="2" t="s">
        <v>7331</v>
      </c>
      <c r="B3593" s="2" t="s">
        <v>7332</v>
      </c>
      <c r="C3593" s="2" t="s">
        <v>26</v>
      </c>
      <c r="D3593" s="2" t="s">
        <v>27</v>
      </c>
      <c r="E3593" s="5">
        <v>-29213</v>
      </c>
      <c r="F3593" s="3" t="s">
        <v>195</v>
      </c>
      <c r="G3593" s="3" t="s">
        <v>196</v>
      </c>
      <c r="H3593" s="2" t="s">
        <v>21</v>
      </c>
      <c r="I3593" s="2" t="s">
        <v>7333</v>
      </c>
      <c r="J3593" s="3" t="str">
        <f>HYPERLINK("https://www.boe.es/gazeta/dias/1820/01/06/pdfs/GMD-1820-3.pdf#page=11","Abrir facsímil")</f>
        <v>Abrir facsímil</v>
      </c>
      <c r="K3593" s="3" t="s">
        <v>23</v>
      </c>
    </row>
    <row r="3594" spans="1:11" ht="42" customHeight="1">
      <c r="A3594" s="2" t="s">
        <v>7334</v>
      </c>
      <c r="B3594" s="2" t="s">
        <v>7335</v>
      </c>
      <c r="C3594" s="2" t="s">
        <v>26</v>
      </c>
      <c r="D3594" s="2" t="s">
        <v>27</v>
      </c>
      <c r="E3594" s="5">
        <v>-28893</v>
      </c>
      <c r="F3594" s="3" t="s">
        <v>546</v>
      </c>
      <c r="G3594" s="3" t="s">
        <v>43</v>
      </c>
      <c r="H3594" s="2" t="s">
        <v>21</v>
      </c>
      <c r="I3594" s="2" t="s">
        <v>7336</v>
      </c>
      <c r="J3594" s="3" t="str">
        <f>HYPERLINK("https://www.boe.es/gazeta/dias/1820/11/21/pdfs/GGB-1820-148.pdf#page=2","Abrir facsímil")</f>
        <v>Abrir facsímil</v>
      </c>
      <c r="K3594" s="3" t="s">
        <v>23</v>
      </c>
    </row>
    <row r="3595" spans="1:11" ht="42" customHeight="1">
      <c r="A3595" s="2" t="s">
        <v>7337</v>
      </c>
      <c r="B3595" s="2" t="s">
        <v>7338</v>
      </c>
      <c r="C3595" s="2" t="s">
        <v>17</v>
      </c>
      <c r="D3595" s="2" t="s">
        <v>18</v>
      </c>
      <c r="E3595" s="5">
        <v>-29138</v>
      </c>
      <c r="F3595" s="3" t="s">
        <v>200</v>
      </c>
      <c r="G3595" s="3" t="s">
        <v>38</v>
      </c>
      <c r="H3595" s="2" t="s">
        <v>21</v>
      </c>
      <c r="I3595" s="2" t="s">
        <v>7339</v>
      </c>
      <c r="J3595" s="3" t="str">
        <f>HYPERLINK("https://www.boe.es/gazeta/dias/1820/03/21/pdfs/GMD-1820-46.pdf#page=6","Abrir facsímil")</f>
        <v>Abrir facsímil</v>
      </c>
      <c r="K3595" s="3" t="s">
        <v>23</v>
      </c>
    </row>
    <row r="3596" spans="1:11" ht="42" customHeight="1">
      <c r="A3596" s="2" t="s">
        <v>7340</v>
      </c>
      <c r="B3596" s="2" t="s">
        <v>7341</v>
      </c>
      <c r="C3596" s="2" t="s">
        <v>74</v>
      </c>
      <c r="D3596" s="2" t="s">
        <v>18</v>
      </c>
      <c r="E3596" s="5">
        <v>-28928</v>
      </c>
      <c r="F3596" s="3" t="s">
        <v>86</v>
      </c>
      <c r="G3596" s="3" t="s">
        <v>20</v>
      </c>
      <c r="H3596" s="2" t="s">
        <v>21</v>
      </c>
      <c r="I3596" s="2" t="s">
        <v>7342</v>
      </c>
      <c r="J3596" s="3" t="str">
        <f>HYPERLINK("https://www.boe.es/gazeta/dias/1820/10/17/pdfs/GGB-1820-111.pdf#page=4","Abrir facsímil")</f>
        <v>Abrir facsímil</v>
      </c>
      <c r="K3596" s="3" t="s">
        <v>23</v>
      </c>
    </row>
    <row r="3597" spans="1:11" ht="42" customHeight="1">
      <c r="A3597" s="2" t="s">
        <v>7343</v>
      </c>
      <c r="B3597" s="2" t="s">
        <v>7343</v>
      </c>
      <c r="C3597" s="2" t="s">
        <v>26</v>
      </c>
      <c r="D3597" s="2" t="s">
        <v>27</v>
      </c>
      <c r="E3597" s="5">
        <v>-28880</v>
      </c>
      <c r="F3597" s="3" t="s">
        <v>1574</v>
      </c>
      <c r="G3597" s="3" t="s">
        <v>62</v>
      </c>
      <c r="H3597" s="2" t="s">
        <v>21</v>
      </c>
      <c r="I3597" s="2" t="s">
        <v>7344</v>
      </c>
      <c r="J3597" s="3" t="str">
        <f>HYPERLINK("https://www.boe.es/gazeta/dias/1820/12/04/pdfs/GGB-1820-161.pdf#page=3","Abrir facsímil")</f>
        <v>Abrir facsímil</v>
      </c>
      <c r="K3597" s="3" t="s">
        <v>23</v>
      </c>
    </row>
    <row r="3598" spans="1:11" ht="42" customHeight="1">
      <c r="A3598" s="2" t="s">
        <v>7345</v>
      </c>
      <c r="B3598" s="2" t="s">
        <v>7345</v>
      </c>
      <c r="C3598" s="2" t="s">
        <v>26</v>
      </c>
      <c r="D3598" s="2" t="s">
        <v>27</v>
      </c>
      <c r="E3598" s="5">
        <v>-28892</v>
      </c>
      <c r="F3598" s="3" t="s">
        <v>3036</v>
      </c>
      <c r="G3598" s="3" t="s">
        <v>43</v>
      </c>
      <c r="H3598" s="2" t="s">
        <v>21</v>
      </c>
      <c r="I3598" s="2" t="s">
        <v>7346</v>
      </c>
      <c r="J3598" s="3" t="str">
        <f>HYPERLINK("https://www.boe.es/gazeta/dias/1820/11/22/pdfs/GGB-1820-149.pdf#page=2","Abrir facsímil")</f>
        <v>Abrir facsímil</v>
      </c>
      <c r="K3598" s="3" t="s">
        <v>23</v>
      </c>
    </row>
    <row r="3599" spans="1:11" ht="42" customHeight="1">
      <c r="A3599" s="2" t="s">
        <v>7347</v>
      </c>
      <c r="B3599" s="2" t="s">
        <v>7348</v>
      </c>
      <c r="C3599" s="2" t="s">
        <v>26</v>
      </c>
      <c r="D3599" s="2" t="s">
        <v>27</v>
      </c>
      <c r="E3599" s="5">
        <v>-29094</v>
      </c>
      <c r="F3599" s="3" t="s">
        <v>560</v>
      </c>
      <c r="G3599" s="3" t="s">
        <v>62</v>
      </c>
      <c r="H3599" s="2" t="s">
        <v>30</v>
      </c>
      <c r="I3599" s="2" t="s">
        <v>7349</v>
      </c>
      <c r="J3599" s="3" t="str">
        <f>HYPERLINK("https://www.boe.es/gazeta/dias/1820/05/04/pdfs/GMD-1820-75.pdf#page=3","Abrir facsímil")</f>
        <v>Abrir facsímil</v>
      </c>
      <c r="K3599" s="3" t="s">
        <v>32</v>
      </c>
    </row>
    <row r="3600" spans="1:11" ht="42" customHeight="1">
      <c r="A3600" s="2" t="s">
        <v>7350</v>
      </c>
      <c r="B3600" s="2" t="s">
        <v>7350</v>
      </c>
      <c r="C3600" s="2" t="s">
        <v>26</v>
      </c>
      <c r="D3600" s="2" t="s">
        <v>27</v>
      </c>
      <c r="E3600" s="5">
        <v>-29024</v>
      </c>
      <c r="F3600" s="3" t="s">
        <v>1916</v>
      </c>
      <c r="G3600" s="3" t="s">
        <v>62</v>
      </c>
      <c r="H3600" s="2" t="s">
        <v>21</v>
      </c>
      <c r="I3600" s="2" t="s">
        <v>7351</v>
      </c>
      <c r="J3600" s="3" t="str">
        <f>HYPERLINK("https://www.boe.es/gazeta/dias/1820/07/13/pdfs/GGB-1820-15.pdf#page=3","Abrir facsímil")</f>
        <v>Abrir facsímil</v>
      </c>
      <c r="K3600" s="3" t="s">
        <v>23</v>
      </c>
    </row>
    <row r="3601" spans="1:11" ht="42" customHeight="1">
      <c r="A3601" s="2" t="s">
        <v>7350</v>
      </c>
      <c r="B3601" s="2" t="s">
        <v>7350</v>
      </c>
      <c r="C3601" s="2" t="s">
        <v>26</v>
      </c>
      <c r="D3601" s="2" t="s">
        <v>27</v>
      </c>
      <c r="E3601" s="5">
        <v>-29014</v>
      </c>
      <c r="F3601" s="3" t="s">
        <v>70</v>
      </c>
      <c r="G3601" s="3" t="s">
        <v>43</v>
      </c>
      <c r="H3601" s="2" t="s">
        <v>21</v>
      </c>
      <c r="I3601" s="2" t="s">
        <v>7352</v>
      </c>
      <c r="J3601" s="3" t="str">
        <f>HYPERLINK("https://www.boe.es/gazeta/dias/1820/07/23/pdfs/GGB-1820-25.pdf#page=2","Abrir facsímil")</f>
        <v>Abrir facsímil</v>
      </c>
      <c r="K3601" s="3" t="s">
        <v>23</v>
      </c>
    </row>
    <row r="3602" spans="1:11" ht="42" customHeight="1">
      <c r="A3602" s="2" t="s">
        <v>7350</v>
      </c>
      <c r="B3602" s="2" t="s">
        <v>7350</v>
      </c>
      <c r="C3602" s="2" t="s">
        <v>26</v>
      </c>
      <c r="D3602" s="2" t="s">
        <v>27</v>
      </c>
      <c r="E3602" s="5">
        <v>-28982</v>
      </c>
      <c r="F3602" s="3" t="s">
        <v>173</v>
      </c>
      <c r="G3602" s="3" t="s">
        <v>62</v>
      </c>
      <c r="H3602" s="2" t="s">
        <v>21</v>
      </c>
      <c r="I3602" s="2" t="s">
        <v>7353</v>
      </c>
      <c r="J3602" s="3" t="str">
        <f>HYPERLINK("https://www.boe.es/gazeta/dias/1820/08/24/pdfs/GGB-1820-57.pdf#page=3","Abrir facsímil")</f>
        <v>Abrir facsímil</v>
      </c>
      <c r="K3602" s="3" t="s">
        <v>23</v>
      </c>
    </row>
    <row r="3603" spans="1:11" ht="42" customHeight="1">
      <c r="A3603" s="2" t="s">
        <v>7350</v>
      </c>
      <c r="B3603" s="2" t="s">
        <v>7350</v>
      </c>
      <c r="C3603" s="2" t="s">
        <v>26</v>
      </c>
      <c r="D3603" s="2" t="s">
        <v>27</v>
      </c>
      <c r="E3603" s="5">
        <v>-28939</v>
      </c>
      <c r="F3603" s="3" t="s">
        <v>992</v>
      </c>
      <c r="G3603" s="3" t="s">
        <v>62</v>
      </c>
      <c r="H3603" s="2" t="s">
        <v>21</v>
      </c>
      <c r="I3603" s="2" t="s">
        <v>7354</v>
      </c>
      <c r="J3603" s="3" t="str">
        <f>HYPERLINK("https://www.boe.es/gazeta/dias/1820/10/06/pdfs/GGB-1820-100.pdf#page=3","Abrir facsímil")</f>
        <v>Abrir facsímil</v>
      </c>
      <c r="K3603" s="3" t="s">
        <v>23</v>
      </c>
    </row>
    <row r="3604" spans="1:11" ht="42" customHeight="1">
      <c r="A3604" s="2" t="s">
        <v>7350</v>
      </c>
      <c r="B3604" s="2" t="s">
        <v>7350</v>
      </c>
      <c r="C3604" s="2" t="s">
        <v>26</v>
      </c>
      <c r="D3604" s="2" t="s">
        <v>27</v>
      </c>
      <c r="E3604" s="5">
        <v>-28926</v>
      </c>
      <c r="F3604" s="3" t="s">
        <v>597</v>
      </c>
      <c r="G3604" s="3" t="s">
        <v>62</v>
      </c>
      <c r="H3604" s="2" t="s">
        <v>21</v>
      </c>
      <c r="I3604" s="2" t="s">
        <v>7355</v>
      </c>
      <c r="J3604" s="3" t="str">
        <f>HYPERLINK("https://www.boe.es/gazeta/dias/1820/10/19/pdfs/GGB-1820-113.pdf#page=3","Abrir facsímil")</f>
        <v>Abrir facsímil</v>
      </c>
      <c r="K3604" s="3" t="s">
        <v>23</v>
      </c>
    </row>
    <row r="3605" spans="1:11" ht="42" customHeight="1">
      <c r="A3605" s="2" t="s">
        <v>7356</v>
      </c>
      <c r="B3605" s="2" t="s">
        <v>7357</v>
      </c>
      <c r="C3605" s="2" t="s">
        <v>26</v>
      </c>
      <c r="D3605" s="2" t="s">
        <v>27</v>
      </c>
      <c r="E3605" s="5">
        <v>-29021</v>
      </c>
      <c r="F3605" s="3" t="s">
        <v>377</v>
      </c>
      <c r="G3605" s="3" t="s">
        <v>43</v>
      </c>
      <c r="H3605" s="2" t="s">
        <v>21</v>
      </c>
      <c r="I3605" s="2" t="s">
        <v>7358</v>
      </c>
      <c r="J3605" s="3" t="str">
        <f>HYPERLINK("https://www.boe.es/gazeta/dias/1820/07/16/pdfs/GGB-1820-18.pdf#page=2","Abrir facsímil")</f>
        <v>Abrir facsímil</v>
      </c>
      <c r="K3605" s="3" t="s">
        <v>23</v>
      </c>
    </row>
    <row r="3606" spans="1:11" ht="42" customHeight="1">
      <c r="A3606" s="2" t="s">
        <v>7356</v>
      </c>
      <c r="B3606" s="2" t="s">
        <v>7357</v>
      </c>
      <c r="C3606" s="2" t="s">
        <v>26</v>
      </c>
      <c r="D3606" s="2" t="s">
        <v>27</v>
      </c>
      <c r="E3606" s="5">
        <v>-28933</v>
      </c>
      <c r="F3606" s="3" t="s">
        <v>720</v>
      </c>
      <c r="G3606" s="3" t="s">
        <v>62</v>
      </c>
      <c r="H3606" s="2" t="s">
        <v>21</v>
      </c>
      <c r="I3606" s="2" t="s">
        <v>7359</v>
      </c>
      <c r="J3606" s="3" t="str">
        <f>HYPERLINK("https://www.boe.es/gazeta/dias/1820/10/12/pdfs/GGB-1820-106.pdf#page=3","Abrir facsímil")</f>
        <v>Abrir facsímil</v>
      </c>
      <c r="K3606" s="3" t="s">
        <v>23</v>
      </c>
    </row>
    <row r="3607" spans="1:11" ht="42" customHeight="1">
      <c r="A3607" s="2" t="s">
        <v>7356</v>
      </c>
      <c r="B3607" s="2" t="s">
        <v>7357</v>
      </c>
      <c r="C3607" s="2" t="s">
        <v>26</v>
      </c>
      <c r="D3607" s="2" t="s">
        <v>27</v>
      </c>
      <c r="E3607" s="5">
        <v>-28926</v>
      </c>
      <c r="F3607" s="3" t="s">
        <v>597</v>
      </c>
      <c r="G3607" s="3" t="s">
        <v>62</v>
      </c>
      <c r="H3607" s="2" t="s">
        <v>21</v>
      </c>
      <c r="I3607" s="2" t="s">
        <v>7360</v>
      </c>
      <c r="J3607" s="3" t="str">
        <f>HYPERLINK("https://www.boe.es/gazeta/dias/1820/10/19/pdfs/GGB-1820-113.pdf#page=3","Abrir facsímil")</f>
        <v>Abrir facsímil</v>
      </c>
      <c r="K3607" s="3" t="s">
        <v>23</v>
      </c>
    </row>
    <row r="3608" spans="1:11" ht="42" customHeight="1">
      <c r="A3608" s="2" t="s">
        <v>7361</v>
      </c>
      <c r="B3608" s="2" t="s">
        <v>7362</v>
      </c>
      <c r="C3608" s="2" t="s">
        <v>26</v>
      </c>
      <c r="D3608" s="2" t="s">
        <v>27</v>
      </c>
      <c r="E3608" s="5">
        <v>-28937</v>
      </c>
      <c r="F3608" s="3" t="s">
        <v>4254</v>
      </c>
      <c r="G3608" s="3" t="s">
        <v>20</v>
      </c>
      <c r="H3608" s="2" t="s">
        <v>21</v>
      </c>
      <c r="I3608" s="2" t="s">
        <v>7363</v>
      </c>
      <c r="J3608" s="3" t="str">
        <f>HYPERLINK("https://www.boe.es/gazeta/dias/1820/10/08/pdfs/GGB-1820-102.pdf#page=4","Abrir facsímil")</f>
        <v>Abrir facsímil</v>
      </c>
      <c r="K3608" s="3" t="s">
        <v>23</v>
      </c>
    </row>
    <row r="3609" spans="1:11" ht="42" customHeight="1">
      <c r="A3609" s="2" t="s">
        <v>7364</v>
      </c>
      <c r="B3609" s="2" t="s">
        <v>7365</v>
      </c>
      <c r="C3609" s="2" t="s">
        <v>111</v>
      </c>
      <c r="D3609" s="2" t="s">
        <v>18</v>
      </c>
      <c r="E3609" s="5">
        <v>-29157</v>
      </c>
      <c r="F3609" s="3" t="s">
        <v>2658</v>
      </c>
      <c r="G3609" s="3" t="s">
        <v>2659</v>
      </c>
      <c r="H3609" s="2" t="s">
        <v>30</v>
      </c>
      <c r="I3609" s="2" t="s">
        <v>7366</v>
      </c>
      <c r="J3609" s="3" t="str">
        <f>HYPERLINK("https://www.boe.es/gazeta/dias/1820/03/02/pdfs/GMD-1820-27.pdf#page=8","Abrir facsímil")</f>
        <v>Abrir facsímil</v>
      </c>
      <c r="K3609" s="3" t="s">
        <v>32</v>
      </c>
    </row>
    <row r="3610" spans="1:11" ht="42" customHeight="1">
      <c r="A3610" s="2" t="s">
        <v>7367</v>
      </c>
      <c r="B3610" s="2" t="s">
        <v>7368</v>
      </c>
      <c r="C3610" s="2" t="s">
        <v>26</v>
      </c>
      <c r="D3610" s="2" t="s">
        <v>27</v>
      </c>
      <c r="E3610" s="5">
        <v>-28986</v>
      </c>
      <c r="F3610" s="3" t="s">
        <v>488</v>
      </c>
      <c r="G3610" s="3" t="s">
        <v>128</v>
      </c>
      <c r="H3610" s="2" t="s">
        <v>21</v>
      </c>
      <c r="I3610" s="2" t="s">
        <v>7369</v>
      </c>
      <c r="J3610" s="3" t="str">
        <f>HYPERLINK("https://www.boe.es/gazeta/dias/1820/08/20/pdfs/GGB-1820-53.pdf#page=1","Abrir facsímil")</f>
        <v>Abrir facsímil</v>
      </c>
      <c r="K3610" s="3" t="s">
        <v>23</v>
      </c>
    </row>
    <row r="3611" spans="1:11" ht="42" customHeight="1">
      <c r="A3611" s="2" t="s">
        <v>7370</v>
      </c>
      <c r="B3611" s="2" t="s">
        <v>7370</v>
      </c>
      <c r="C3611" s="2" t="s">
        <v>17</v>
      </c>
      <c r="D3611" s="2" t="s">
        <v>18</v>
      </c>
      <c r="E3611" s="5">
        <v>-29020</v>
      </c>
      <c r="F3611" s="3" t="s">
        <v>756</v>
      </c>
      <c r="G3611" s="3" t="s">
        <v>62</v>
      </c>
      <c r="H3611" s="2" t="s">
        <v>21</v>
      </c>
      <c r="I3611" s="2" t="s">
        <v>7371</v>
      </c>
      <c r="J3611" s="3" t="str">
        <f>HYPERLINK("https://www.boe.es/gazeta/dias/1820/07/17/pdfs/GGB-1820-19.pdf#page=3","Abrir facsímil")</f>
        <v>Abrir facsímil</v>
      </c>
      <c r="K3611" s="3" t="s">
        <v>23</v>
      </c>
    </row>
    <row r="3612" spans="1:11" ht="42" customHeight="1">
      <c r="A3612" s="2" t="s">
        <v>7370</v>
      </c>
      <c r="B3612" s="2" t="s">
        <v>7370</v>
      </c>
      <c r="C3612" s="2" t="s">
        <v>74</v>
      </c>
      <c r="D3612" s="2" t="s">
        <v>18</v>
      </c>
      <c r="E3612" s="5">
        <v>-29017</v>
      </c>
      <c r="F3612" s="3" t="s">
        <v>274</v>
      </c>
      <c r="G3612" s="3" t="s">
        <v>62</v>
      </c>
      <c r="H3612" s="2" t="s">
        <v>21</v>
      </c>
      <c r="I3612" s="2" t="s">
        <v>7372</v>
      </c>
      <c r="J3612" s="3" t="str">
        <f>HYPERLINK("https://www.boe.es/gazeta/dias/1820/07/20/pdfs/GGB-1820-22.pdf#page=3","Abrir facsímil")</f>
        <v>Abrir facsímil</v>
      </c>
      <c r="K3612" s="3" t="s">
        <v>23</v>
      </c>
    </row>
    <row r="3613" spans="1:11" ht="42" customHeight="1">
      <c r="A3613" s="2" t="s">
        <v>7370</v>
      </c>
      <c r="B3613" s="2" t="s">
        <v>7370</v>
      </c>
      <c r="C3613" s="2" t="s">
        <v>293</v>
      </c>
      <c r="D3613" s="2" t="s">
        <v>18</v>
      </c>
      <c r="E3613" s="5">
        <v>-29005</v>
      </c>
      <c r="F3613" s="3" t="s">
        <v>1656</v>
      </c>
      <c r="G3613" s="3" t="s">
        <v>62</v>
      </c>
      <c r="H3613" s="2" t="s">
        <v>21</v>
      </c>
      <c r="I3613" s="2" t="s">
        <v>7373</v>
      </c>
      <c r="J3613" s="3" t="str">
        <f>HYPERLINK("https://www.boe.es/gazeta/dias/1820/08/01/pdfs/GGB-1820-34.pdf#page=3","Abrir facsímil")</f>
        <v>Abrir facsímil</v>
      </c>
      <c r="K3613" s="3" t="s">
        <v>23</v>
      </c>
    </row>
    <row r="3614" spans="1:11" ht="42" customHeight="1">
      <c r="A3614" s="2" t="s">
        <v>7370</v>
      </c>
      <c r="B3614" s="2" t="s">
        <v>7370</v>
      </c>
      <c r="C3614" s="2" t="s">
        <v>26</v>
      </c>
      <c r="D3614" s="2" t="s">
        <v>27</v>
      </c>
      <c r="E3614" s="5">
        <v>-28955</v>
      </c>
      <c r="F3614" s="3" t="s">
        <v>175</v>
      </c>
      <c r="G3614" s="3" t="s">
        <v>20</v>
      </c>
      <c r="H3614" s="2" t="s">
        <v>21</v>
      </c>
      <c r="I3614" s="2" t="s">
        <v>7374</v>
      </c>
      <c r="J3614" s="3" t="str">
        <f>HYPERLINK("https://www.boe.es/gazeta/dias/1820/09/20/pdfs/GGB-1820-84.pdf#page=4","Abrir facsímil")</f>
        <v>Abrir facsímil</v>
      </c>
      <c r="K3614" s="3" t="s">
        <v>23</v>
      </c>
    </row>
    <row r="3615" spans="1:11" ht="42" customHeight="1">
      <c r="A3615" s="2" t="s">
        <v>7370</v>
      </c>
      <c r="B3615" s="2" t="s">
        <v>7370</v>
      </c>
      <c r="C3615" s="2" t="s">
        <v>35</v>
      </c>
      <c r="D3615" s="2" t="s">
        <v>36</v>
      </c>
      <c r="E3615" s="5">
        <v>-28931</v>
      </c>
      <c r="F3615" s="3" t="s">
        <v>724</v>
      </c>
      <c r="G3615" s="3" t="s">
        <v>43</v>
      </c>
      <c r="H3615" s="2" t="s">
        <v>21</v>
      </c>
      <c r="I3615" s="2" t="s">
        <v>7375</v>
      </c>
      <c r="J3615" s="3" t="str">
        <f>HYPERLINK("https://www.boe.es/gazeta/dias/1820/10/14/pdfs/GGB-1820-108.pdf#page=2","Abrir facsímil")</f>
        <v>Abrir facsímil</v>
      </c>
      <c r="K3615" s="3" t="s">
        <v>23</v>
      </c>
    </row>
    <row r="3616" spans="1:11" ht="42" customHeight="1">
      <c r="A3616" s="2" t="s">
        <v>7376</v>
      </c>
      <c r="B3616" s="2" t="s">
        <v>7377</v>
      </c>
      <c r="C3616" s="2" t="s">
        <v>17</v>
      </c>
      <c r="D3616" s="2" t="s">
        <v>18</v>
      </c>
      <c r="E3616" s="5">
        <v>-28931</v>
      </c>
      <c r="F3616" s="3" t="s">
        <v>724</v>
      </c>
      <c r="G3616" s="3" t="s">
        <v>20</v>
      </c>
      <c r="H3616" s="2" t="s">
        <v>21</v>
      </c>
      <c r="I3616" s="2" t="s">
        <v>7378</v>
      </c>
      <c r="J3616" s="3" t="str">
        <f>HYPERLINK("https://www.boe.es/gazeta/dias/1820/10/14/pdfs/GGB-1820-108.pdf#page=4","Abrir facsímil")</f>
        <v>Abrir facsímil</v>
      </c>
      <c r="K3616" s="3" t="s">
        <v>23</v>
      </c>
    </row>
    <row r="3617" spans="1:11" ht="42" customHeight="1">
      <c r="A3617" s="2" t="s">
        <v>7379</v>
      </c>
      <c r="B3617" s="2" t="s">
        <v>7380</v>
      </c>
      <c r="C3617" s="2" t="s">
        <v>26</v>
      </c>
      <c r="D3617" s="2" t="s">
        <v>27</v>
      </c>
      <c r="E3617" s="5">
        <v>-29138</v>
      </c>
      <c r="F3617" s="3" t="s">
        <v>200</v>
      </c>
      <c r="G3617" s="3" t="s">
        <v>201</v>
      </c>
      <c r="H3617" s="2" t="s">
        <v>21</v>
      </c>
      <c r="I3617" s="2" t="s">
        <v>7381</v>
      </c>
      <c r="J3617" s="3" t="str">
        <f>HYPERLINK("https://www.boe.es/gazeta/dias/1820/03/21/pdfs/GMD-1820-46.pdf#page=7","Abrir facsímil")</f>
        <v>Abrir facsímil</v>
      </c>
      <c r="K3617" s="3" t="s">
        <v>23</v>
      </c>
    </row>
    <row r="3618" spans="1:11" ht="42" customHeight="1">
      <c r="A3618" s="2" t="s">
        <v>7382</v>
      </c>
      <c r="B3618" s="2" t="s">
        <v>7382</v>
      </c>
      <c r="C3618" s="2" t="s">
        <v>74</v>
      </c>
      <c r="D3618" s="2" t="s">
        <v>18</v>
      </c>
      <c r="E3618" s="5">
        <v>-28989</v>
      </c>
      <c r="F3618" s="3" t="s">
        <v>809</v>
      </c>
      <c r="G3618" s="3" t="s">
        <v>43</v>
      </c>
      <c r="H3618" s="2" t="s">
        <v>21</v>
      </c>
      <c r="I3618" s="2" t="s">
        <v>7383</v>
      </c>
      <c r="J3618" s="3" t="str">
        <f>HYPERLINK("https://www.boe.es/gazeta/dias/1820/08/17/pdfs/GGB-1820-50.pdf#page=2","Abrir facsímil")</f>
        <v>Abrir facsímil</v>
      </c>
      <c r="K3618" s="3" t="s">
        <v>23</v>
      </c>
    </row>
    <row r="3619" spans="1:11" ht="42" customHeight="1">
      <c r="A3619" s="2" t="s">
        <v>7384</v>
      </c>
      <c r="B3619" s="2" t="s">
        <v>7385</v>
      </c>
      <c r="C3619" s="2" t="s">
        <v>26</v>
      </c>
      <c r="D3619" s="2" t="s">
        <v>27</v>
      </c>
      <c r="E3619" s="5">
        <v>-29029</v>
      </c>
      <c r="F3619" s="3" t="s">
        <v>282</v>
      </c>
      <c r="G3619" s="3" t="s">
        <v>20</v>
      </c>
      <c r="H3619" s="2" t="s">
        <v>21</v>
      </c>
      <c r="I3619" s="2" t="s">
        <v>7386</v>
      </c>
      <c r="J3619" s="3" t="str">
        <f>HYPERLINK("https://www.boe.es/gazeta/dias/1820/07/08/pdfs/GGB-1820-9.pdf#page=4","Abrir facsímil")</f>
        <v>Abrir facsímil</v>
      </c>
      <c r="K3619" s="3" t="s">
        <v>23</v>
      </c>
    </row>
    <row r="3620" spans="1:11" ht="42" customHeight="1">
      <c r="A3620" s="2" t="s">
        <v>7387</v>
      </c>
      <c r="B3620" s="2" t="s">
        <v>7388</v>
      </c>
      <c r="C3620" s="2" t="s">
        <v>35</v>
      </c>
      <c r="D3620" s="2" t="s">
        <v>36</v>
      </c>
      <c r="E3620" s="5">
        <v>-29015</v>
      </c>
      <c r="F3620" s="3" t="s">
        <v>359</v>
      </c>
      <c r="G3620" s="3" t="s">
        <v>62</v>
      </c>
      <c r="H3620" s="2" t="s">
        <v>21</v>
      </c>
      <c r="I3620" s="2" t="s">
        <v>7389</v>
      </c>
      <c r="J3620" s="3" t="str">
        <f>HYPERLINK("https://www.boe.es/gazeta/dias/1820/07/22/pdfs/GGB-1820-24.pdf#page=3","Abrir facsímil")</f>
        <v>Abrir facsímil</v>
      </c>
      <c r="K3620" s="3" t="s">
        <v>23</v>
      </c>
    </row>
    <row r="3621" spans="1:11" ht="42" customHeight="1">
      <c r="A3621" s="2" t="s">
        <v>7390</v>
      </c>
      <c r="B3621" s="2" t="s">
        <v>7390</v>
      </c>
      <c r="C3621" s="2" t="s">
        <v>26</v>
      </c>
      <c r="D3621" s="2" t="s">
        <v>27</v>
      </c>
      <c r="E3621" s="5">
        <v>-28975</v>
      </c>
      <c r="F3621" s="3" t="s">
        <v>182</v>
      </c>
      <c r="G3621" s="3" t="s">
        <v>62</v>
      </c>
      <c r="H3621" s="2" t="s">
        <v>21</v>
      </c>
      <c r="I3621" s="2" t="s">
        <v>7391</v>
      </c>
      <c r="J3621" s="3" t="str">
        <f>HYPERLINK("https://www.boe.es/gazeta/dias/1820/08/31/pdfs/GGB-1820-64.pdf#page=3","Abrir facsímil")</f>
        <v>Abrir facsímil</v>
      </c>
      <c r="K3621" s="3" t="s">
        <v>23</v>
      </c>
    </row>
    <row r="3622" spans="1:11" ht="42" customHeight="1">
      <c r="A3622" s="2" t="s">
        <v>7392</v>
      </c>
      <c r="B3622" s="2" t="s">
        <v>7392</v>
      </c>
      <c r="C3622" s="2" t="s">
        <v>26</v>
      </c>
      <c r="D3622" s="2" t="s">
        <v>27</v>
      </c>
      <c r="E3622" s="5">
        <v>-28948</v>
      </c>
      <c r="F3622" s="3" t="s">
        <v>1069</v>
      </c>
      <c r="G3622" s="3" t="s">
        <v>128</v>
      </c>
      <c r="H3622" s="2" t="s">
        <v>21</v>
      </c>
      <c r="I3622" s="2" t="s">
        <v>7393</v>
      </c>
      <c r="J3622" s="3" t="str">
        <f>HYPERLINK("https://www.boe.es/gazeta/dias/1820/09/27/pdfs/GGB-1820-91.pdf#page=1","Abrir facsímil")</f>
        <v>Abrir facsímil</v>
      </c>
      <c r="K3622" s="3" t="s">
        <v>23</v>
      </c>
    </row>
    <row r="3623" spans="1:11" ht="42" customHeight="1">
      <c r="A3623" s="2" t="s">
        <v>7394</v>
      </c>
      <c r="B3623" s="2" t="s">
        <v>7395</v>
      </c>
      <c r="C3623" s="2" t="s">
        <v>26</v>
      </c>
      <c r="D3623" s="2" t="s">
        <v>27</v>
      </c>
      <c r="E3623" s="5">
        <v>-29045</v>
      </c>
      <c r="F3623" s="3" t="s">
        <v>155</v>
      </c>
      <c r="G3623" s="3" t="s">
        <v>38</v>
      </c>
      <c r="H3623" s="2" t="s">
        <v>21</v>
      </c>
      <c r="I3623" s="2" t="s">
        <v>7396</v>
      </c>
      <c r="J3623" s="3" t="str">
        <f>HYPERLINK("https://www.boe.es/gazeta/dias/1820/06/22/pdfs/GMD-1820-97.pdf#page=6","Abrir facsímil")</f>
        <v>Abrir facsímil</v>
      </c>
      <c r="K3623" s="3" t="s">
        <v>23</v>
      </c>
    </row>
    <row r="3624" spans="1:11" ht="42" customHeight="1">
      <c r="A3624" s="2" t="s">
        <v>7397</v>
      </c>
      <c r="B3624" s="2" t="s">
        <v>7397</v>
      </c>
      <c r="C3624" s="2" t="s">
        <v>26</v>
      </c>
      <c r="D3624" s="2" t="s">
        <v>27</v>
      </c>
      <c r="E3624" s="5">
        <v>-28872</v>
      </c>
      <c r="F3624" s="3" t="s">
        <v>1939</v>
      </c>
      <c r="G3624" s="3" t="s">
        <v>43</v>
      </c>
      <c r="H3624" s="2" t="s">
        <v>21</v>
      </c>
      <c r="I3624" s="2" t="s">
        <v>7398</v>
      </c>
      <c r="J3624" s="3" t="str">
        <f>HYPERLINK("https://www.boe.es/gazeta/dias/1820/12/12/pdfs/GGB-1820-169.pdf#page=2","Abrir facsímil")</f>
        <v>Abrir facsímil</v>
      </c>
      <c r="K3624" s="3" t="s">
        <v>23</v>
      </c>
    </row>
    <row r="3625" spans="1:11" ht="42" customHeight="1">
      <c r="A3625" s="2" t="s">
        <v>7399</v>
      </c>
      <c r="B3625" s="2" t="s">
        <v>7400</v>
      </c>
      <c r="C3625" s="2" t="s">
        <v>35</v>
      </c>
      <c r="D3625" s="2" t="s">
        <v>36</v>
      </c>
      <c r="E3625" s="5">
        <v>-28866</v>
      </c>
      <c r="F3625" s="3" t="s">
        <v>507</v>
      </c>
      <c r="G3625" s="3" t="s">
        <v>62</v>
      </c>
      <c r="H3625" s="2" t="s">
        <v>21</v>
      </c>
      <c r="I3625" s="2" t="s">
        <v>7401</v>
      </c>
      <c r="J3625" s="3" t="str">
        <f>HYPERLINK("https://www.boe.es/gazeta/dias/1820/12/18/pdfs/GGB-1820-175.pdf#page=3","Abrir facsímil")</f>
        <v>Abrir facsímil</v>
      </c>
      <c r="K3625" s="3" t="s">
        <v>23</v>
      </c>
    </row>
    <row r="3626" spans="1:11" ht="42" customHeight="1">
      <c r="A3626" s="2" t="s">
        <v>7402</v>
      </c>
      <c r="B3626" s="2" t="s">
        <v>7402</v>
      </c>
      <c r="C3626" s="2" t="s">
        <v>35</v>
      </c>
      <c r="D3626" s="2" t="s">
        <v>36</v>
      </c>
      <c r="E3626" s="5">
        <v>-28861</v>
      </c>
      <c r="F3626" s="3" t="s">
        <v>894</v>
      </c>
      <c r="G3626" s="3" t="s">
        <v>43</v>
      </c>
      <c r="H3626" s="2" t="s">
        <v>21</v>
      </c>
      <c r="I3626" s="2" t="s">
        <v>7403</v>
      </c>
      <c r="J3626" s="3" t="str">
        <f>HYPERLINK("https://www.boe.es/gazeta/dias/1820/12/23/pdfs/GGB-1820-180.pdf#page=2","Abrir facsímil")</f>
        <v>Abrir facsímil</v>
      </c>
      <c r="K3626" s="3" t="s">
        <v>23</v>
      </c>
    </row>
    <row r="3627" spans="1:11" ht="42" customHeight="1">
      <c r="A3627" s="2" t="s">
        <v>7404</v>
      </c>
      <c r="B3627" s="2" t="s">
        <v>7405</v>
      </c>
      <c r="C3627" s="2" t="s">
        <v>74</v>
      </c>
      <c r="D3627" s="2" t="s">
        <v>18</v>
      </c>
      <c r="E3627" s="5">
        <v>-28911</v>
      </c>
      <c r="F3627" s="3" t="s">
        <v>82</v>
      </c>
      <c r="G3627" s="3" t="s">
        <v>43</v>
      </c>
      <c r="H3627" s="2" t="s">
        <v>21</v>
      </c>
      <c r="I3627" s="2" t="s">
        <v>7406</v>
      </c>
      <c r="J3627" s="3" t="str">
        <f>HYPERLINK("https://www.boe.es/gazeta/dias/1820/11/03/pdfs/GGB-1820-128.pdf#page=2","Abrir facsímil")</f>
        <v>Abrir facsímil</v>
      </c>
      <c r="K3627" s="3" t="s">
        <v>23</v>
      </c>
    </row>
    <row r="3628" spans="1:11" ht="42" customHeight="1">
      <c r="A3628" s="2" t="s">
        <v>7407</v>
      </c>
      <c r="B3628" s="2" t="s">
        <v>7407</v>
      </c>
      <c r="C3628" s="2" t="s">
        <v>26</v>
      </c>
      <c r="D3628" s="2" t="s">
        <v>27</v>
      </c>
      <c r="E3628" s="5">
        <v>-28865</v>
      </c>
      <c r="F3628" s="3" t="s">
        <v>136</v>
      </c>
      <c r="G3628" s="3" t="s">
        <v>20</v>
      </c>
      <c r="H3628" s="2" t="s">
        <v>21</v>
      </c>
      <c r="I3628" s="2" t="s">
        <v>7408</v>
      </c>
      <c r="J3628" s="3" t="str">
        <f>HYPERLINK("https://www.boe.es/gazeta/dias/1820/12/19/pdfs/GGB-1820-176.pdf#page=4","Abrir facsímil")</f>
        <v>Abrir facsímil</v>
      </c>
      <c r="K3628" s="3" t="s">
        <v>23</v>
      </c>
    </row>
    <row r="3629" spans="1:11" ht="42" customHeight="1">
      <c r="A3629" s="2" t="s">
        <v>7409</v>
      </c>
      <c r="B3629" s="2" t="s">
        <v>7410</v>
      </c>
      <c r="C3629" s="2" t="s">
        <v>26</v>
      </c>
      <c r="D3629" s="2" t="s">
        <v>27</v>
      </c>
      <c r="E3629" s="5">
        <v>-28865</v>
      </c>
      <c r="F3629" s="3" t="s">
        <v>136</v>
      </c>
      <c r="G3629" s="3" t="s">
        <v>20</v>
      </c>
      <c r="H3629" s="2" t="s">
        <v>21</v>
      </c>
      <c r="I3629" s="2" t="s">
        <v>7411</v>
      </c>
      <c r="J3629" s="3" t="str">
        <f>HYPERLINK("https://www.boe.es/gazeta/dias/1820/12/19/pdfs/GGB-1820-176.pdf#page=4","Abrir facsímil")</f>
        <v>Abrir facsímil</v>
      </c>
      <c r="K3629" s="3" t="s">
        <v>23</v>
      </c>
    </row>
    <row r="3630" spans="1:11" ht="42" customHeight="1">
      <c r="A3630" s="2" t="s">
        <v>7412</v>
      </c>
      <c r="B3630" s="2" t="s">
        <v>7413</v>
      </c>
      <c r="C3630" s="2" t="s">
        <v>26</v>
      </c>
      <c r="D3630" s="2" t="s">
        <v>27</v>
      </c>
      <c r="E3630" s="5">
        <v>-29176</v>
      </c>
      <c r="F3630" s="3" t="s">
        <v>797</v>
      </c>
      <c r="G3630" s="3" t="s">
        <v>256</v>
      </c>
      <c r="H3630" s="2" t="s">
        <v>21</v>
      </c>
      <c r="I3630" s="2" t="s">
        <v>7414</v>
      </c>
      <c r="J3630" s="3" t="str">
        <f>HYPERLINK("https://www.boe.es/gazeta/dias/1820/02/12/pdfs/GMD-1820-19.pdf#page=5","Abrir facsímil")</f>
        <v>Abrir facsímil</v>
      </c>
      <c r="K3630" s="3" t="s">
        <v>23</v>
      </c>
    </row>
    <row r="3631" spans="1:11" ht="42" customHeight="1">
      <c r="A3631" s="2" t="s">
        <v>7415</v>
      </c>
      <c r="B3631" s="2" t="s">
        <v>7416</v>
      </c>
      <c r="C3631" s="2" t="s">
        <v>26</v>
      </c>
      <c r="D3631" s="2" t="s">
        <v>27</v>
      </c>
      <c r="E3631" s="5">
        <v>-29164</v>
      </c>
      <c r="F3631" s="3" t="s">
        <v>2516</v>
      </c>
      <c r="G3631" s="3" t="s">
        <v>256</v>
      </c>
      <c r="H3631" s="2" t="s">
        <v>21</v>
      </c>
      <c r="I3631" s="2" t="s">
        <v>7417</v>
      </c>
      <c r="J3631" s="3" t="str">
        <f>HYPERLINK("https://www.boe.es/gazeta/dias/1820/02/24/pdfs/GMD-1820-24.pdf#page=5","Abrir facsímil")</f>
        <v>Abrir facsímil</v>
      </c>
      <c r="K3631" s="3" t="s">
        <v>23</v>
      </c>
    </row>
    <row r="3632" spans="1:11" ht="42" customHeight="1">
      <c r="A3632" s="2" t="s">
        <v>7418</v>
      </c>
      <c r="B3632" s="2" t="s">
        <v>7419</v>
      </c>
      <c r="C3632" s="2" t="s">
        <v>26</v>
      </c>
      <c r="D3632" s="2" t="s">
        <v>27</v>
      </c>
      <c r="E3632" s="5">
        <v>-29178</v>
      </c>
      <c r="F3632" s="3" t="s">
        <v>782</v>
      </c>
      <c r="G3632" s="3" t="s">
        <v>6087</v>
      </c>
      <c r="H3632" s="2" t="s">
        <v>21</v>
      </c>
      <c r="I3632" s="2" t="s">
        <v>7420</v>
      </c>
      <c r="J3632" s="3" t="str">
        <f>HYPERLINK("https://www.boe.es/gazeta/dias/1820/02/10/pdfs/GMD-1820-18.pdf#page=8","Abrir facsímil")</f>
        <v>Abrir facsímil</v>
      </c>
      <c r="K3632" s="3" t="s">
        <v>23</v>
      </c>
    </row>
    <row r="3633" spans="1:11" ht="42" customHeight="1">
      <c r="A3633" s="2" t="s">
        <v>7421</v>
      </c>
      <c r="B3633" s="2" t="s">
        <v>7422</v>
      </c>
      <c r="C3633" s="2" t="s">
        <v>35</v>
      </c>
      <c r="D3633" s="2" t="s">
        <v>36</v>
      </c>
      <c r="E3633" s="5">
        <v>-28916</v>
      </c>
      <c r="F3633" s="3" t="s">
        <v>2688</v>
      </c>
      <c r="G3633" s="3" t="s">
        <v>128</v>
      </c>
      <c r="H3633" s="2" t="s">
        <v>21</v>
      </c>
      <c r="I3633" s="2" t="s">
        <v>7423</v>
      </c>
      <c r="J3633" s="3" t="str">
        <f>HYPERLINK("https://www.boe.es/gazeta/dias/1820/10/29/pdfs/GGB-1820-123.pdf#page=1","Abrir facsímil")</f>
        <v>Abrir facsímil</v>
      </c>
      <c r="K3633" s="3" t="s">
        <v>23</v>
      </c>
    </row>
    <row r="3634" spans="1:11" ht="42" customHeight="1">
      <c r="A3634" s="2" t="s">
        <v>7424</v>
      </c>
      <c r="B3634" s="2" t="s">
        <v>7425</v>
      </c>
      <c r="C3634" s="2" t="s">
        <v>17</v>
      </c>
      <c r="D3634" s="2" t="s">
        <v>18</v>
      </c>
      <c r="E3634" s="5">
        <v>-28931</v>
      </c>
      <c r="F3634" s="3" t="s">
        <v>724</v>
      </c>
      <c r="G3634" s="3" t="s">
        <v>20</v>
      </c>
      <c r="H3634" s="2" t="s">
        <v>21</v>
      </c>
      <c r="I3634" s="2" t="s">
        <v>7426</v>
      </c>
      <c r="J3634" s="3" t="str">
        <f>HYPERLINK("https://www.boe.es/gazeta/dias/1820/10/14/pdfs/GGB-1820-108.pdf#page=4","Abrir facsímil")</f>
        <v>Abrir facsímil</v>
      </c>
      <c r="K3634" s="3" t="s">
        <v>23</v>
      </c>
    </row>
    <row r="3635" spans="1:11" ht="42" customHeight="1">
      <c r="A3635" s="2" t="s">
        <v>7427</v>
      </c>
      <c r="B3635" s="2" t="s">
        <v>7427</v>
      </c>
      <c r="C3635" s="2" t="s">
        <v>35</v>
      </c>
      <c r="D3635" s="2" t="s">
        <v>36</v>
      </c>
      <c r="E3635" s="5">
        <v>-28915</v>
      </c>
      <c r="F3635" s="3" t="s">
        <v>525</v>
      </c>
      <c r="G3635" s="3" t="s">
        <v>20</v>
      </c>
      <c r="H3635" s="2" t="s">
        <v>21</v>
      </c>
      <c r="I3635" s="2" t="s">
        <v>7428</v>
      </c>
      <c r="J3635" s="3" t="str">
        <f>HYPERLINK("https://www.boe.es/gazeta/dias/1820/10/30/pdfs/GGB-1820-124.pdf#page=4","Abrir facsímil")</f>
        <v>Abrir facsímil</v>
      </c>
      <c r="K3635" s="3" t="s">
        <v>23</v>
      </c>
    </row>
    <row r="3636" spans="1:11" ht="42" customHeight="1">
      <c r="A3636" s="2" t="s">
        <v>7429</v>
      </c>
      <c r="B3636" s="2" t="s">
        <v>7430</v>
      </c>
      <c r="C3636" s="2" t="s">
        <v>26</v>
      </c>
      <c r="D3636" s="2" t="s">
        <v>27</v>
      </c>
      <c r="E3636" s="5">
        <v>-28904</v>
      </c>
      <c r="F3636" s="3" t="s">
        <v>541</v>
      </c>
      <c r="G3636" s="3" t="s">
        <v>43</v>
      </c>
      <c r="H3636" s="2" t="s">
        <v>21</v>
      </c>
      <c r="I3636" s="2" t="s">
        <v>7431</v>
      </c>
      <c r="J3636" s="3" t="str">
        <f>HYPERLINK("https://www.boe.es/gazeta/dias/1820/11/10/pdfs/GGB-1820-136.pdf#page=2","Abrir facsímil")</f>
        <v>Abrir facsímil</v>
      </c>
      <c r="K3636" s="3" t="s">
        <v>23</v>
      </c>
    </row>
    <row r="3637" spans="1:11" ht="42" customHeight="1">
      <c r="A3637" s="2" t="s">
        <v>7432</v>
      </c>
      <c r="B3637" s="2" t="s">
        <v>7433</v>
      </c>
      <c r="C3637" s="2" t="s">
        <v>26</v>
      </c>
      <c r="D3637" s="2" t="s">
        <v>27</v>
      </c>
      <c r="E3637" s="5">
        <v>-28906</v>
      </c>
      <c r="F3637" s="3" t="s">
        <v>232</v>
      </c>
      <c r="G3637" s="3" t="s">
        <v>62</v>
      </c>
      <c r="H3637" s="2" t="s">
        <v>30</v>
      </c>
      <c r="I3637" s="2" t="s">
        <v>7434</v>
      </c>
      <c r="J3637" s="3" t="str">
        <f>HYPERLINK("https://www.boe.es/gazeta/dias/1820/11/08/pdfs/GGB-1820-133.pdf#page=3","Abrir facsímil")</f>
        <v>Abrir facsímil</v>
      </c>
      <c r="K3637" s="3" t="s">
        <v>32</v>
      </c>
    </row>
    <row r="3638" spans="1:11" ht="42" customHeight="1">
      <c r="A3638" s="2" t="s">
        <v>7435</v>
      </c>
      <c r="B3638" s="2" t="s">
        <v>7436</v>
      </c>
      <c r="C3638" s="2" t="s">
        <v>26</v>
      </c>
      <c r="D3638" s="2" t="s">
        <v>27</v>
      </c>
      <c r="E3638" s="5">
        <v>-28893</v>
      </c>
      <c r="F3638" s="3" t="s">
        <v>546</v>
      </c>
      <c r="G3638" s="3" t="s">
        <v>43</v>
      </c>
      <c r="H3638" s="2" t="s">
        <v>21</v>
      </c>
      <c r="I3638" s="2" t="s">
        <v>7437</v>
      </c>
      <c r="J3638" s="3" t="str">
        <f>HYPERLINK("https://www.boe.es/gazeta/dias/1820/11/21/pdfs/GGB-1820-148.pdf#page=2","Abrir facsímil")</f>
        <v>Abrir facsímil</v>
      </c>
      <c r="K3638" s="3" t="s">
        <v>23</v>
      </c>
    </row>
    <row r="3639" spans="1:11" ht="42" customHeight="1">
      <c r="A3639" s="2" t="s">
        <v>7438</v>
      </c>
      <c r="B3639" s="2" t="s">
        <v>7438</v>
      </c>
      <c r="C3639" s="2" t="s">
        <v>74</v>
      </c>
      <c r="D3639" s="2" t="s">
        <v>18</v>
      </c>
      <c r="E3639" s="5">
        <v>-28968</v>
      </c>
      <c r="F3639" s="3" t="s">
        <v>66</v>
      </c>
      <c r="G3639" s="3" t="s">
        <v>403</v>
      </c>
      <c r="H3639" s="2" t="s">
        <v>21</v>
      </c>
      <c r="I3639" s="2" t="s">
        <v>7439</v>
      </c>
      <c r="J3639" s="3" t="str">
        <f>HYPERLINK("https://www.boe.es/gazeta/dias/1820/09/07/pdfs/GGB-1820-71.pdf#page=4","Abrir facsímil")</f>
        <v>Abrir facsímil</v>
      </c>
      <c r="K3639" s="3" t="s">
        <v>23</v>
      </c>
    </row>
    <row r="3640" spans="1:11" ht="42" customHeight="1">
      <c r="A3640" s="2" t="s">
        <v>7438</v>
      </c>
      <c r="B3640" s="2" t="s">
        <v>7438</v>
      </c>
      <c r="C3640" s="2" t="s">
        <v>26</v>
      </c>
      <c r="D3640" s="2" t="s">
        <v>27</v>
      </c>
      <c r="E3640" s="5">
        <v>-28968</v>
      </c>
      <c r="F3640" s="3" t="s">
        <v>66</v>
      </c>
      <c r="G3640" s="3" t="s">
        <v>62</v>
      </c>
      <c r="H3640" s="2" t="s">
        <v>21</v>
      </c>
      <c r="I3640" s="2" t="s">
        <v>7440</v>
      </c>
      <c r="J3640" s="3" t="str">
        <f>HYPERLINK("https://www.boe.es/gazeta/dias/1820/09/07/pdfs/GGB-1820-71.pdf#page=3","Abrir facsímil")</f>
        <v>Abrir facsímil</v>
      </c>
      <c r="K3640" s="3" t="s">
        <v>23</v>
      </c>
    </row>
    <row r="3641" spans="1:11" ht="42" customHeight="1">
      <c r="A3641" s="2" t="s">
        <v>7441</v>
      </c>
      <c r="B3641" s="2" t="s">
        <v>7442</v>
      </c>
      <c r="C3641" s="2" t="s">
        <v>26</v>
      </c>
      <c r="D3641" s="2" t="s">
        <v>27</v>
      </c>
      <c r="E3641" s="5">
        <v>-29201</v>
      </c>
      <c r="F3641" s="3" t="s">
        <v>411</v>
      </c>
      <c r="G3641" s="3" t="s">
        <v>20</v>
      </c>
      <c r="H3641" s="2" t="s">
        <v>21</v>
      </c>
      <c r="I3641" s="2" t="s">
        <v>7443</v>
      </c>
      <c r="J3641" s="3" t="str">
        <f>HYPERLINK("https://www.boe.es/gazeta/dias/1820/01/18/pdfs/GMD-1820-8.pdf#page=4","Abrir facsímil")</f>
        <v>Abrir facsímil</v>
      </c>
      <c r="K3641" s="3" t="s">
        <v>23</v>
      </c>
    </row>
    <row r="3642" spans="1:11" ht="42" customHeight="1">
      <c r="A3642" s="2" t="s">
        <v>7444</v>
      </c>
      <c r="B3642" s="2" t="s">
        <v>7444</v>
      </c>
      <c r="C3642" s="2" t="s">
        <v>17</v>
      </c>
      <c r="D3642" s="2" t="s">
        <v>18</v>
      </c>
      <c r="E3642" s="5">
        <v>-29020</v>
      </c>
      <c r="F3642" s="3" t="s">
        <v>756</v>
      </c>
      <c r="G3642" s="3" t="s">
        <v>43</v>
      </c>
      <c r="H3642" s="2" t="s">
        <v>21</v>
      </c>
      <c r="I3642" s="2" t="s">
        <v>7445</v>
      </c>
      <c r="J3642" s="3" t="str">
        <f>HYPERLINK("https://www.boe.es/gazeta/dias/1820/07/17/pdfs/GGB-1820-19.pdf#page=2","Abrir facsímil")</f>
        <v>Abrir facsímil</v>
      </c>
      <c r="K3642" s="3" t="s">
        <v>23</v>
      </c>
    </row>
    <row r="3643" spans="1:11" ht="42" customHeight="1">
      <c r="A3643" s="2" t="s">
        <v>7446</v>
      </c>
      <c r="B3643" s="2" t="s">
        <v>7446</v>
      </c>
      <c r="C3643" s="2" t="s">
        <v>293</v>
      </c>
      <c r="D3643" s="2" t="s">
        <v>18</v>
      </c>
      <c r="E3643" s="5">
        <v>-28936</v>
      </c>
      <c r="F3643" s="3" t="s">
        <v>167</v>
      </c>
      <c r="G3643" s="3" t="s">
        <v>62</v>
      </c>
      <c r="H3643" s="2" t="s">
        <v>21</v>
      </c>
      <c r="I3643" s="2" t="s">
        <v>7447</v>
      </c>
      <c r="J3643" s="3" t="str">
        <f>HYPERLINK("https://www.boe.es/gazeta/dias/1820/10/09/pdfs/GGB-1820-103.pdf#page=3","Abrir facsímil")</f>
        <v>Abrir facsímil</v>
      </c>
      <c r="K3643" s="3" t="s">
        <v>23</v>
      </c>
    </row>
    <row r="3644" spans="1:11" ht="42" customHeight="1">
      <c r="A3644" s="2" t="s">
        <v>7448</v>
      </c>
      <c r="B3644" s="2" t="s">
        <v>7448</v>
      </c>
      <c r="C3644" s="2" t="s">
        <v>26</v>
      </c>
      <c r="D3644" s="2" t="s">
        <v>27</v>
      </c>
      <c r="E3644" s="5">
        <v>-29005</v>
      </c>
      <c r="F3644" s="3" t="s">
        <v>1656</v>
      </c>
      <c r="G3644" s="3" t="s">
        <v>1657</v>
      </c>
      <c r="H3644" s="2" t="s">
        <v>21</v>
      </c>
      <c r="I3644" s="2" t="s">
        <v>7449</v>
      </c>
      <c r="J3644" s="3" t="str">
        <f>HYPERLINK("https://www.boe.es/gazeta/dias/1820/08/01/pdfs/GGB-1820-34.pdf#page=4","Abrir facsímil")</f>
        <v>Abrir facsímil</v>
      </c>
      <c r="K3644" s="3" t="s">
        <v>23</v>
      </c>
    </row>
    <row r="3645" spans="1:11" ht="42" customHeight="1">
      <c r="A3645" s="2" t="s">
        <v>7450</v>
      </c>
      <c r="B3645" s="2" t="s">
        <v>7450</v>
      </c>
      <c r="C3645" s="2" t="s">
        <v>26</v>
      </c>
      <c r="D3645" s="2" t="s">
        <v>27</v>
      </c>
      <c r="E3645" s="5">
        <v>-29009</v>
      </c>
      <c r="F3645" s="3" t="s">
        <v>605</v>
      </c>
      <c r="G3645" s="3" t="s">
        <v>62</v>
      </c>
      <c r="H3645" s="2" t="s">
        <v>21</v>
      </c>
      <c r="I3645" s="2" t="s">
        <v>7451</v>
      </c>
      <c r="J3645" s="3" t="str">
        <f>HYPERLINK("https://www.boe.es/gazeta/dias/1820/07/28/pdfs/GGB-1820-30.pdf#page=3","Abrir facsímil")</f>
        <v>Abrir facsímil</v>
      </c>
      <c r="K3645" s="3" t="s">
        <v>23</v>
      </c>
    </row>
    <row r="3646" spans="1:11" ht="42" customHeight="1">
      <c r="A3646" s="2" t="s">
        <v>7450</v>
      </c>
      <c r="B3646" s="2" t="s">
        <v>7450</v>
      </c>
      <c r="C3646" s="2" t="s">
        <v>26</v>
      </c>
      <c r="D3646" s="2" t="s">
        <v>27</v>
      </c>
      <c r="E3646" s="5">
        <v>-29004</v>
      </c>
      <c r="F3646" s="3" t="s">
        <v>75</v>
      </c>
      <c r="G3646" s="3" t="s">
        <v>76</v>
      </c>
      <c r="H3646" s="2" t="s">
        <v>21</v>
      </c>
      <c r="I3646" s="2" t="s">
        <v>7452</v>
      </c>
      <c r="J3646" s="3" t="str">
        <f>HYPERLINK("https://www.boe.es/gazeta/dias/1820/08/02/pdfs/GGB-1820-35.pdf#page=2","Abrir facsímil")</f>
        <v>Abrir facsímil</v>
      </c>
      <c r="K3646" s="3" t="s">
        <v>23</v>
      </c>
    </row>
    <row r="3647" spans="1:11" ht="42" customHeight="1">
      <c r="A3647" s="2" t="s">
        <v>7450</v>
      </c>
      <c r="B3647" s="2" t="s">
        <v>7450</v>
      </c>
      <c r="C3647" s="2" t="s">
        <v>17</v>
      </c>
      <c r="D3647" s="2" t="s">
        <v>18</v>
      </c>
      <c r="E3647" s="5">
        <v>-29003</v>
      </c>
      <c r="F3647" s="3" t="s">
        <v>340</v>
      </c>
      <c r="G3647" s="3" t="s">
        <v>62</v>
      </c>
      <c r="H3647" s="2" t="s">
        <v>21</v>
      </c>
      <c r="I3647" s="2" t="s">
        <v>7453</v>
      </c>
      <c r="J3647" s="3" t="str">
        <f>HYPERLINK("https://www.boe.es/gazeta/dias/1820/08/03/pdfs/GGB-1820-36.pdf#page=3","Abrir facsímil")</f>
        <v>Abrir facsímil</v>
      </c>
      <c r="K3647" s="3" t="s">
        <v>23</v>
      </c>
    </row>
    <row r="3648" spans="1:11" ht="42" customHeight="1">
      <c r="A3648" s="2" t="s">
        <v>7450</v>
      </c>
      <c r="B3648" s="2" t="s">
        <v>7450</v>
      </c>
      <c r="C3648" s="2" t="s">
        <v>74</v>
      </c>
      <c r="D3648" s="2" t="s">
        <v>18</v>
      </c>
      <c r="E3648" s="5">
        <v>-28999</v>
      </c>
      <c r="F3648" s="3" t="s">
        <v>342</v>
      </c>
      <c r="G3648" s="3" t="s">
        <v>343</v>
      </c>
      <c r="H3648" s="2" t="s">
        <v>21</v>
      </c>
      <c r="I3648" s="2" t="s">
        <v>7454</v>
      </c>
      <c r="J3648" s="3" t="str">
        <f>HYPERLINK("https://www.boe.es/gazeta/dias/1820/08/07/pdfs/GGB-1820-40.pdf#page=2","Abrir facsímil")</f>
        <v>Abrir facsímil</v>
      </c>
      <c r="K3648" s="3" t="s">
        <v>23</v>
      </c>
    </row>
    <row r="3649" spans="1:11" ht="42" customHeight="1">
      <c r="A3649" s="2" t="s">
        <v>7450</v>
      </c>
      <c r="B3649" s="2" t="s">
        <v>7450</v>
      </c>
      <c r="C3649" s="2" t="s">
        <v>35</v>
      </c>
      <c r="D3649" s="2" t="s">
        <v>36</v>
      </c>
      <c r="E3649" s="5">
        <v>-28994</v>
      </c>
      <c r="F3649" s="3" t="s">
        <v>1612</v>
      </c>
      <c r="G3649" s="3" t="s">
        <v>43</v>
      </c>
      <c r="H3649" s="2" t="s">
        <v>21</v>
      </c>
      <c r="I3649" s="2" t="s">
        <v>7455</v>
      </c>
      <c r="J3649" s="3" t="str">
        <f>HYPERLINK("https://www.boe.es/gazeta/dias/1820/08/12/pdfs/GGB-1820-45.pdf#page=2","Abrir facsímil")</f>
        <v>Abrir facsímil</v>
      </c>
      <c r="K3649" s="3" t="s">
        <v>23</v>
      </c>
    </row>
    <row r="3650" spans="1:11" ht="42" customHeight="1">
      <c r="A3650" s="2" t="s">
        <v>7450</v>
      </c>
      <c r="B3650" s="2" t="s">
        <v>7450</v>
      </c>
      <c r="C3650" s="2" t="s">
        <v>74</v>
      </c>
      <c r="D3650" s="2" t="s">
        <v>18</v>
      </c>
      <c r="E3650" s="5">
        <v>-28993</v>
      </c>
      <c r="F3650" s="3" t="s">
        <v>465</v>
      </c>
      <c r="G3650" s="3" t="s">
        <v>62</v>
      </c>
      <c r="H3650" s="2" t="s">
        <v>21</v>
      </c>
      <c r="I3650" s="2" t="s">
        <v>7456</v>
      </c>
      <c r="J3650" s="3" t="str">
        <f>HYPERLINK("https://www.boe.es/gazeta/dias/1820/08/13/pdfs/GGB-1820-46.pdf#page=3","Abrir facsímil")</f>
        <v>Abrir facsímil</v>
      </c>
      <c r="K3650" s="3" t="s">
        <v>23</v>
      </c>
    </row>
    <row r="3651" spans="1:11" ht="42" customHeight="1">
      <c r="A3651" s="2" t="s">
        <v>7450</v>
      </c>
      <c r="B3651" s="2" t="s">
        <v>7450</v>
      </c>
      <c r="C3651" s="2" t="s">
        <v>35</v>
      </c>
      <c r="D3651" s="2" t="s">
        <v>36</v>
      </c>
      <c r="E3651" s="5">
        <v>-28992</v>
      </c>
      <c r="F3651" s="3" t="s">
        <v>587</v>
      </c>
      <c r="G3651" s="3" t="s">
        <v>43</v>
      </c>
      <c r="H3651" s="2" t="s">
        <v>21</v>
      </c>
      <c r="I3651" s="2" t="s">
        <v>7457</v>
      </c>
      <c r="J3651" s="3" t="str">
        <f>HYPERLINK("https://www.boe.es/gazeta/dias/1820/08/14/pdfs/GGB-1820-47.pdf#page=2","Abrir facsímil")</f>
        <v>Abrir facsímil</v>
      </c>
      <c r="K3651" s="3" t="s">
        <v>23</v>
      </c>
    </row>
    <row r="3652" spans="1:11" ht="42" customHeight="1">
      <c r="A3652" s="2" t="s">
        <v>7450</v>
      </c>
      <c r="B3652" s="2" t="s">
        <v>7450</v>
      </c>
      <c r="C3652" s="2" t="s">
        <v>74</v>
      </c>
      <c r="D3652" s="2" t="s">
        <v>18</v>
      </c>
      <c r="E3652" s="5">
        <v>-28990</v>
      </c>
      <c r="F3652" s="3" t="s">
        <v>61</v>
      </c>
      <c r="G3652" s="3" t="s">
        <v>1438</v>
      </c>
      <c r="H3652" s="2" t="s">
        <v>21</v>
      </c>
      <c r="I3652" s="2" t="s">
        <v>7458</v>
      </c>
      <c r="J3652" s="3" t="str">
        <f>HYPERLINK("https://www.boe.es/gazeta/dias/1820/08/16/pdfs/GGB-1820-49.pdf#page=4","Abrir facsímil")</f>
        <v>Abrir facsímil</v>
      </c>
      <c r="K3652" s="3" t="s">
        <v>23</v>
      </c>
    </row>
    <row r="3653" spans="1:11" ht="42" customHeight="1">
      <c r="A3653" s="2" t="s">
        <v>7450</v>
      </c>
      <c r="B3653" s="2" t="s">
        <v>7450</v>
      </c>
      <c r="C3653" s="2" t="s">
        <v>35</v>
      </c>
      <c r="D3653" s="2" t="s">
        <v>36</v>
      </c>
      <c r="E3653" s="5">
        <v>-28987</v>
      </c>
      <c r="F3653" s="3" t="s">
        <v>680</v>
      </c>
      <c r="G3653" s="3" t="s">
        <v>20</v>
      </c>
      <c r="H3653" s="2" t="s">
        <v>21</v>
      </c>
      <c r="I3653" s="2" t="s">
        <v>7459</v>
      </c>
      <c r="J3653" s="3" t="str">
        <f>HYPERLINK("https://www.boe.es/gazeta/dias/1820/08/19/pdfs/GGB-1820-52.pdf#page=4","Abrir facsímil")</f>
        <v>Abrir facsímil</v>
      </c>
      <c r="K3653" s="3" t="s">
        <v>23</v>
      </c>
    </row>
    <row r="3654" spans="1:11" ht="42" customHeight="1">
      <c r="A3654" s="2" t="s">
        <v>7450</v>
      </c>
      <c r="B3654" s="2" t="s">
        <v>7450</v>
      </c>
      <c r="C3654" s="2" t="s">
        <v>26</v>
      </c>
      <c r="D3654" s="2" t="s">
        <v>27</v>
      </c>
      <c r="E3654" s="5">
        <v>-28982</v>
      </c>
      <c r="F3654" s="3" t="s">
        <v>173</v>
      </c>
      <c r="G3654" s="3" t="s">
        <v>62</v>
      </c>
      <c r="H3654" s="2" t="s">
        <v>21</v>
      </c>
      <c r="I3654" s="2" t="s">
        <v>7460</v>
      </c>
      <c r="J3654" s="3" t="str">
        <f>HYPERLINK("https://www.boe.es/gazeta/dias/1820/08/24/pdfs/GGB-1820-57.pdf#page=3","Abrir facsímil")</f>
        <v>Abrir facsímil</v>
      </c>
      <c r="K3654" s="3" t="s">
        <v>23</v>
      </c>
    </row>
    <row r="3655" spans="1:11" ht="42" customHeight="1">
      <c r="A3655" s="2" t="s">
        <v>7450</v>
      </c>
      <c r="B3655" s="2" t="s">
        <v>7450</v>
      </c>
      <c r="C3655" s="2" t="s">
        <v>17</v>
      </c>
      <c r="D3655" s="2" t="s">
        <v>18</v>
      </c>
      <c r="E3655" s="5">
        <v>-28971</v>
      </c>
      <c r="F3655" s="3" t="s">
        <v>691</v>
      </c>
      <c r="G3655" s="3" t="s">
        <v>62</v>
      </c>
      <c r="H3655" s="2" t="s">
        <v>21</v>
      </c>
      <c r="I3655" s="2" t="s">
        <v>7461</v>
      </c>
      <c r="J3655" s="3" t="str">
        <f>HYPERLINK("https://www.boe.es/gazeta/dias/1820/09/04/pdfs/GGB-1820-68.pdf#page=3","Abrir facsímil")</f>
        <v>Abrir facsímil</v>
      </c>
      <c r="K3655" s="3" t="s">
        <v>23</v>
      </c>
    </row>
    <row r="3656" spans="1:11" ht="42" customHeight="1">
      <c r="A3656" s="2" t="s">
        <v>7450</v>
      </c>
      <c r="B3656" s="2" t="s">
        <v>7450</v>
      </c>
      <c r="C3656" s="2" t="s">
        <v>35</v>
      </c>
      <c r="D3656" s="2" t="s">
        <v>36</v>
      </c>
      <c r="E3656" s="5">
        <v>-28961</v>
      </c>
      <c r="F3656" s="3" t="s">
        <v>242</v>
      </c>
      <c r="G3656" s="3" t="s">
        <v>62</v>
      </c>
      <c r="H3656" s="2" t="s">
        <v>21</v>
      </c>
      <c r="I3656" s="2" t="s">
        <v>7462</v>
      </c>
      <c r="J3656" s="3" t="str">
        <f>HYPERLINK("https://www.boe.es/gazeta/dias/1820/09/14/pdfs/GGB-1820-78.pdf#page=3","Abrir facsímil")</f>
        <v>Abrir facsímil</v>
      </c>
      <c r="K3656" s="3" t="s">
        <v>23</v>
      </c>
    </row>
    <row r="3657" spans="1:11" ht="42" customHeight="1">
      <c r="A3657" s="2" t="s">
        <v>7450</v>
      </c>
      <c r="B3657" s="2" t="s">
        <v>7450</v>
      </c>
      <c r="C3657" s="2" t="s">
        <v>26</v>
      </c>
      <c r="D3657" s="2" t="s">
        <v>27</v>
      </c>
      <c r="E3657" s="5">
        <v>-28940</v>
      </c>
      <c r="F3657" s="3" t="s">
        <v>141</v>
      </c>
      <c r="G3657" s="3" t="s">
        <v>142</v>
      </c>
      <c r="H3657" s="2" t="s">
        <v>21</v>
      </c>
      <c r="I3657" s="2" t="s">
        <v>7463</v>
      </c>
      <c r="J3657" s="3" t="str">
        <f>HYPERLINK("https://www.boe.es/gazeta/dias/1820/10/05/pdfs/GGB-1820-99.pdf#page=4","Abrir facsímil")</f>
        <v>Abrir facsímil</v>
      </c>
      <c r="K3657" s="3" t="s">
        <v>23</v>
      </c>
    </row>
    <row r="3658" spans="1:11" ht="42" customHeight="1">
      <c r="A3658" s="2" t="s">
        <v>7450</v>
      </c>
      <c r="B3658" s="2" t="s">
        <v>7450</v>
      </c>
      <c r="C3658" s="2" t="s">
        <v>293</v>
      </c>
      <c r="D3658" s="2" t="s">
        <v>18</v>
      </c>
      <c r="E3658" s="5">
        <v>-28915</v>
      </c>
      <c r="F3658" s="3" t="s">
        <v>525</v>
      </c>
      <c r="G3658" s="3" t="s">
        <v>20</v>
      </c>
      <c r="H3658" s="2" t="s">
        <v>21</v>
      </c>
      <c r="I3658" s="2" t="s">
        <v>7464</v>
      </c>
      <c r="J3658" s="3" t="str">
        <f>HYPERLINK("https://www.boe.es/gazeta/dias/1820/10/30/pdfs/GGB-1820-124.pdf#page=4","Abrir facsímil")</f>
        <v>Abrir facsímil</v>
      </c>
      <c r="K3658" s="3" t="s">
        <v>23</v>
      </c>
    </row>
    <row r="3659" spans="1:11" ht="42" customHeight="1">
      <c r="A3659" s="2" t="s">
        <v>7465</v>
      </c>
      <c r="B3659" s="2" t="s">
        <v>7466</v>
      </c>
      <c r="C3659" s="2" t="s">
        <v>35</v>
      </c>
      <c r="D3659" s="2" t="s">
        <v>36</v>
      </c>
      <c r="E3659" s="5">
        <v>-28946</v>
      </c>
      <c r="F3659" s="3" t="s">
        <v>1055</v>
      </c>
      <c r="G3659" s="3" t="s">
        <v>20</v>
      </c>
      <c r="H3659" s="2" t="s">
        <v>21</v>
      </c>
      <c r="I3659" s="2" t="s">
        <v>7467</v>
      </c>
      <c r="J3659" s="3" t="str">
        <f>HYPERLINK("https://www.boe.es/gazeta/dias/1820/09/29/pdfs/GGB-1820-93.pdf#page=4","Abrir facsímil")</f>
        <v>Abrir facsímil</v>
      </c>
      <c r="K3659" s="3" t="s">
        <v>23</v>
      </c>
    </row>
    <row r="3660" spans="1:11" ht="42" customHeight="1">
      <c r="A3660" s="2" t="s">
        <v>7468</v>
      </c>
      <c r="B3660" s="2" t="s">
        <v>7468</v>
      </c>
      <c r="C3660" s="2" t="s">
        <v>111</v>
      </c>
      <c r="D3660" s="2" t="s">
        <v>18</v>
      </c>
      <c r="E3660" s="5">
        <v>-29007</v>
      </c>
      <c r="F3660" s="3" t="s">
        <v>251</v>
      </c>
      <c r="G3660" s="3" t="s">
        <v>20</v>
      </c>
      <c r="H3660" s="2" t="s">
        <v>21</v>
      </c>
      <c r="I3660" s="2" t="s">
        <v>7469</v>
      </c>
      <c r="J3660" s="3" t="str">
        <f>HYPERLINK("https://www.boe.es/gazeta/dias/1820/07/30/pdfs/GGB-1820-32.pdf#page=4","Abrir facsímil")</f>
        <v>Abrir facsímil</v>
      </c>
      <c r="K3660" s="3" t="s">
        <v>23</v>
      </c>
    </row>
    <row r="3661" spans="1:11" ht="42" customHeight="1">
      <c r="A3661" s="2" t="s">
        <v>7470</v>
      </c>
      <c r="B3661" s="2" t="s">
        <v>7471</v>
      </c>
      <c r="C3661" s="2" t="s">
        <v>35</v>
      </c>
      <c r="D3661" s="2" t="s">
        <v>36</v>
      </c>
      <c r="E3661" s="5">
        <v>-29194</v>
      </c>
      <c r="F3661" s="3" t="s">
        <v>416</v>
      </c>
      <c r="G3661" s="3" t="s">
        <v>256</v>
      </c>
      <c r="H3661" s="2" t="s">
        <v>21</v>
      </c>
      <c r="I3661" s="2" t="s">
        <v>7472</v>
      </c>
      <c r="J3661" s="3" t="str">
        <f>HYPERLINK("https://www.boe.es/gazeta/dias/1820/01/25/pdfs/GMD-1820-11.pdf#page=5","Abrir facsímil")</f>
        <v>Abrir facsímil</v>
      </c>
      <c r="K3661" s="3" t="s">
        <v>23</v>
      </c>
    </row>
    <row r="3662" spans="1:11" ht="42" customHeight="1">
      <c r="A3662" s="2" t="s">
        <v>7473</v>
      </c>
      <c r="B3662" s="2" t="s">
        <v>7474</v>
      </c>
      <c r="C3662" s="2" t="s">
        <v>35</v>
      </c>
      <c r="D3662" s="2" t="s">
        <v>36</v>
      </c>
      <c r="E3662" s="5">
        <v>-28989</v>
      </c>
      <c r="F3662" s="3" t="s">
        <v>809</v>
      </c>
      <c r="G3662" s="3" t="s">
        <v>43</v>
      </c>
      <c r="H3662" s="2" t="s">
        <v>21</v>
      </c>
      <c r="I3662" s="2" t="s">
        <v>7475</v>
      </c>
      <c r="J3662" s="3" t="str">
        <f>HYPERLINK("https://www.boe.es/gazeta/dias/1820/08/17/pdfs/GGB-1820-50.pdf#page=2","Abrir facsímil")</f>
        <v>Abrir facsímil</v>
      </c>
      <c r="K3662" s="3" t="s">
        <v>23</v>
      </c>
    </row>
    <row r="3663" spans="1:11" ht="42" customHeight="1">
      <c r="A3663" s="2" t="s">
        <v>7476</v>
      </c>
      <c r="B3663" s="2" t="s">
        <v>7476</v>
      </c>
      <c r="C3663" s="2" t="s">
        <v>74</v>
      </c>
      <c r="D3663" s="2" t="s">
        <v>18</v>
      </c>
      <c r="E3663" s="5">
        <v>-29010</v>
      </c>
      <c r="F3663" s="3" t="s">
        <v>664</v>
      </c>
      <c r="G3663" s="3" t="s">
        <v>62</v>
      </c>
      <c r="H3663" s="2" t="s">
        <v>21</v>
      </c>
      <c r="I3663" s="2" t="s">
        <v>7477</v>
      </c>
      <c r="J3663" s="3" t="str">
        <f>HYPERLINK("https://www.boe.es/gazeta/dias/1820/07/27/pdfs/GGB-1820-29.pdf#page=3","Abrir facsímil")</f>
        <v>Abrir facsímil</v>
      </c>
      <c r="K3663" s="3" t="s">
        <v>23</v>
      </c>
    </row>
    <row r="3664" spans="1:11" ht="42" customHeight="1">
      <c r="A3664" s="2" t="s">
        <v>7478</v>
      </c>
      <c r="B3664" s="2" t="s">
        <v>7479</v>
      </c>
      <c r="C3664" s="2" t="s">
        <v>26</v>
      </c>
      <c r="D3664" s="2" t="s">
        <v>27</v>
      </c>
      <c r="E3664" s="5">
        <v>-29122</v>
      </c>
      <c r="F3664" s="3" t="s">
        <v>844</v>
      </c>
      <c r="G3664" s="3" t="s">
        <v>256</v>
      </c>
      <c r="H3664" s="2" t="s">
        <v>21</v>
      </c>
      <c r="I3664" s="2" t="s">
        <v>7480</v>
      </c>
      <c r="J3664" s="3" t="str">
        <f>HYPERLINK("https://www.boe.es/gazeta/dias/1820/04/06/pdfs/GMD-1820-62.pdf#page=5","Abrir facsímil")</f>
        <v>Abrir facsímil</v>
      </c>
      <c r="K3664" s="3" t="s">
        <v>23</v>
      </c>
    </row>
    <row r="3665" spans="1:11" ht="42" customHeight="1">
      <c r="A3665" s="2" t="s">
        <v>7481</v>
      </c>
      <c r="B3665" s="2" t="s">
        <v>7481</v>
      </c>
      <c r="C3665" s="2" t="s">
        <v>35</v>
      </c>
      <c r="D3665" s="2" t="s">
        <v>36</v>
      </c>
      <c r="E3665" s="5">
        <v>-29015</v>
      </c>
      <c r="F3665" s="3" t="s">
        <v>359</v>
      </c>
      <c r="G3665" s="3" t="s">
        <v>62</v>
      </c>
      <c r="H3665" s="2" t="s">
        <v>21</v>
      </c>
      <c r="I3665" s="2" t="s">
        <v>7482</v>
      </c>
      <c r="J3665" s="3" t="str">
        <f>HYPERLINK("https://www.boe.es/gazeta/dias/1820/07/22/pdfs/GGB-1820-24.pdf#page=3","Abrir facsímil")</f>
        <v>Abrir facsímil</v>
      </c>
      <c r="K3665" s="3" t="s">
        <v>23</v>
      </c>
    </row>
    <row r="3666" spans="1:11" ht="42" customHeight="1">
      <c r="A3666" s="2" t="s">
        <v>7483</v>
      </c>
      <c r="B3666" s="2" t="s">
        <v>7483</v>
      </c>
      <c r="C3666" s="2" t="s">
        <v>74</v>
      </c>
      <c r="D3666" s="2" t="s">
        <v>18</v>
      </c>
      <c r="E3666" s="5">
        <v>-29010</v>
      </c>
      <c r="F3666" s="3" t="s">
        <v>664</v>
      </c>
      <c r="G3666" s="3" t="s">
        <v>62</v>
      </c>
      <c r="H3666" s="2" t="s">
        <v>21</v>
      </c>
      <c r="I3666" s="2" t="s">
        <v>7484</v>
      </c>
      <c r="J3666" s="3" t="str">
        <f>HYPERLINK("https://www.boe.es/gazeta/dias/1820/07/27/pdfs/GGB-1820-29.pdf#page=3","Abrir facsímil")</f>
        <v>Abrir facsímil</v>
      </c>
      <c r="K3666" s="3" t="s">
        <v>23</v>
      </c>
    </row>
    <row r="3667" spans="1:11" ht="42" customHeight="1">
      <c r="A3667" s="2" t="s">
        <v>7485</v>
      </c>
      <c r="B3667" s="2" t="s">
        <v>7485</v>
      </c>
      <c r="C3667" s="2" t="s">
        <v>26</v>
      </c>
      <c r="D3667" s="2" t="s">
        <v>27</v>
      </c>
      <c r="E3667" s="5">
        <v>-28997</v>
      </c>
      <c r="F3667" s="3" t="s">
        <v>1471</v>
      </c>
      <c r="G3667" s="3" t="s">
        <v>62</v>
      </c>
      <c r="H3667" s="2" t="s">
        <v>21</v>
      </c>
      <c r="I3667" s="2" t="s">
        <v>7486</v>
      </c>
      <c r="J3667" s="3" t="str">
        <f>HYPERLINK("https://www.boe.es/gazeta/dias/1820/08/09/pdfs/GGB-1820-42.pdf#page=3","Abrir facsímil")</f>
        <v>Abrir facsímil</v>
      </c>
      <c r="K3667" s="3" t="s">
        <v>23</v>
      </c>
    </row>
    <row r="3668" spans="1:11" ht="42" customHeight="1">
      <c r="A3668" s="2" t="s">
        <v>7485</v>
      </c>
      <c r="B3668" s="2" t="s">
        <v>7485</v>
      </c>
      <c r="C3668" s="2" t="s">
        <v>35</v>
      </c>
      <c r="D3668" s="2" t="s">
        <v>36</v>
      </c>
      <c r="E3668" s="5">
        <v>-28988</v>
      </c>
      <c r="F3668" s="3" t="s">
        <v>618</v>
      </c>
      <c r="G3668" s="3" t="s">
        <v>20</v>
      </c>
      <c r="H3668" s="2" t="s">
        <v>21</v>
      </c>
      <c r="I3668" s="2" t="s">
        <v>7487</v>
      </c>
      <c r="J3668" s="3" t="str">
        <f>HYPERLINK("https://www.boe.es/gazeta/dias/1820/08/18/pdfs/GGB-1820-51.pdf#page=4","Abrir facsímil")</f>
        <v>Abrir facsímil</v>
      </c>
      <c r="K3668" s="3" t="s">
        <v>23</v>
      </c>
    </row>
    <row r="3669" spans="1:11" ht="42" customHeight="1">
      <c r="A3669" s="2" t="s">
        <v>7485</v>
      </c>
      <c r="B3669" s="2" t="s">
        <v>7485</v>
      </c>
      <c r="C3669" s="2" t="s">
        <v>35</v>
      </c>
      <c r="D3669" s="2" t="s">
        <v>36</v>
      </c>
      <c r="E3669" s="5">
        <v>-28984</v>
      </c>
      <c r="F3669" s="3" t="s">
        <v>520</v>
      </c>
      <c r="G3669" s="3" t="s">
        <v>62</v>
      </c>
      <c r="H3669" s="2" t="s">
        <v>21</v>
      </c>
      <c r="I3669" s="2" t="s">
        <v>7488</v>
      </c>
      <c r="J3669" s="3" t="str">
        <f>HYPERLINK("https://www.boe.es/gazeta/dias/1820/08/22/pdfs/GGB-1820-55.pdf#page=3","Abrir facsímil")</f>
        <v>Abrir facsímil</v>
      </c>
      <c r="K3669" s="3" t="s">
        <v>23</v>
      </c>
    </row>
    <row r="3670" spans="1:11" ht="42" customHeight="1">
      <c r="A3670" s="2" t="s">
        <v>7485</v>
      </c>
      <c r="B3670" s="2" t="s">
        <v>7485</v>
      </c>
      <c r="C3670" s="2" t="s">
        <v>293</v>
      </c>
      <c r="D3670" s="2" t="s">
        <v>18</v>
      </c>
      <c r="E3670" s="5">
        <v>-28981</v>
      </c>
      <c r="F3670" s="3" t="s">
        <v>42</v>
      </c>
      <c r="G3670" s="3" t="s">
        <v>20</v>
      </c>
      <c r="H3670" s="2" t="s">
        <v>21</v>
      </c>
      <c r="I3670" s="2" t="s">
        <v>7489</v>
      </c>
      <c r="J3670" s="3" t="str">
        <f>HYPERLINK("https://www.boe.es/gazeta/dias/1820/08/25/pdfs/GGB-1820-58.pdf#page=4","Abrir facsímil")</f>
        <v>Abrir facsímil</v>
      </c>
      <c r="K3670" s="3" t="s">
        <v>23</v>
      </c>
    </row>
    <row r="3671" spans="1:11" ht="42" customHeight="1">
      <c r="A3671" s="2" t="s">
        <v>7485</v>
      </c>
      <c r="B3671" s="2" t="s">
        <v>7485</v>
      </c>
      <c r="C3671" s="2" t="s">
        <v>26</v>
      </c>
      <c r="D3671" s="2" t="s">
        <v>27</v>
      </c>
      <c r="E3671" s="5">
        <v>-28928</v>
      </c>
      <c r="F3671" s="3" t="s">
        <v>86</v>
      </c>
      <c r="G3671" s="3" t="s">
        <v>62</v>
      </c>
      <c r="H3671" s="2" t="s">
        <v>21</v>
      </c>
      <c r="I3671" s="2" t="s">
        <v>7490</v>
      </c>
      <c r="J3671" s="3" t="str">
        <f>HYPERLINK("https://www.boe.es/gazeta/dias/1820/10/17/pdfs/GGB-1820-111.pdf#page=3","Abrir facsímil")</f>
        <v>Abrir facsímil</v>
      </c>
      <c r="K3671" s="3" t="s">
        <v>23</v>
      </c>
    </row>
    <row r="3672" spans="1:11" ht="42" customHeight="1">
      <c r="A3672" s="2" t="s">
        <v>7485</v>
      </c>
      <c r="B3672" s="2" t="s">
        <v>7485</v>
      </c>
      <c r="C3672" s="2" t="s">
        <v>293</v>
      </c>
      <c r="D3672" s="2" t="s">
        <v>18</v>
      </c>
      <c r="E3672" s="5">
        <v>-28923</v>
      </c>
      <c r="F3672" s="3" t="s">
        <v>648</v>
      </c>
      <c r="G3672" s="3" t="s">
        <v>128</v>
      </c>
      <c r="H3672" s="2" t="s">
        <v>21</v>
      </c>
      <c r="I3672" s="2" t="s">
        <v>7491</v>
      </c>
      <c r="J3672" s="3" t="str">
        <f>HYPERLINK("https://www.boe.es/gazeta/dias/1820/10/22/pdfs/GGB-1820-116.pdf#page=1","Abrir facsímil")</f>
        <v>Abrir facsímil</v>
      </c>
      <c r="K3672" s="3" t="s">
        <v>23</v>
      </c>
    </row>
    <row r="3673" spans="1:11" ht="42" customHeight="1">
      <c r="A3673" s="2" t="s">
        <v>7492</v>
      </c>
      <c r="B3673" s="2" t="s">
        <v>7492</v>
      </c>
      <c r="C3673" s="2" t="s">
        <v>26</v>
      </c>
      <c r="D3673" s="2" t="s">
        <v>27</v>
      </c>
      <c r="E3673" s="5">
        <v>-28970</v>
      </c>
      <c r="F3673" s="3" t="s">
        <v>693</v>
      </c>
      <c r="G3673" s="3" t="s">
        <v>62</v>
      </c>
      <c r="H3673" s="2" t="s">
        <v>21</v>
      </c>
      <c r="I3673" s="2" t="s">
        <v>7493</v>
      </c>
      <c r="J3673" s="3" t="str">
        <f>HYPERLINK("https://www.boe.es/gazeta/dias/1820/09/05/pdfs/GGB-1820-69.pdf#page=3","Abrir facsímil")</f>
        <v>Abrir facsímil</v>
      </c>
      <c r="K3673" s="3" t="s">
        <v>23</v>
      </c>
    </row>
    <row r="3674" spans="1:11" ht="42" customHeight="1">
      <c r="A3674" s="2" t="s">
        <v>7494</v>
      </c>
      <c r="B3674" s="2" t="s">
        <v>7495</v>
      </c>
      <c r="C3674" s="2" t="s">
        <v>26</v>
      </c>
      <c r="D3674" s="2" t="s">
        <v>27</v>
      </c>
      <c r="E3674" s="5">
        <v>-28858</v>
      </c>
      <c r="F3674" s="3" t="s">
        <v>117</v>
      </c>
      <c r="G3674" s="3" t="s">
        <v>62</v>
      </c>
      <c r="H3674" s="2" t="s">
        <v>21</v>
      </c>
      <c r="I3674" s="2" t="s">
        <v>7496</v>
      </c>
      <c r="J3674" s="3" t="str">
        <f>HYPERLINK("https://www.boe.es/gazeta/dias/1820/12/26/pdfs/GGB-1820-183.pdf#page=3","Abrir facsímil")</f>
        <v>Abrir facsímil</v>
      </c>
      <c r="K3674" s="3" t="s">
        <v>23</v>
      </c>
    </row>
    <row r="3675" spans="1:11" ht="42" customHeight="1">
      <c r="A3675" s="2" t="s">
        <v>7497</v>
      </c>
      <c r="B3675" s="2" t="s">
        <v>7498</v>
      </c>
      <c r="C3675" s="2" t="s">
        <v>107</v>
      </c>
      <c r="D3675" s="2" t="s">
        <v>18</v>
      </c>
      <c r="E3675" s="5">
        <v>-28993</v>
      </c>
      <c r="F3675" s="3" t="s">
        <v>465</v>
      </c>
      <c r="G3675" s="3" t="s">
        <v>43</v>
      </c>
      <c r="H3675" s="2" t="s">
        <v>21</v>
      </c>
      <c r="I3675" s="2" t="s">
        <v>7499</v>
      </c>
      <c r="J3675" s="3" t="str">
        <f>HYPERLINK("https://www.boe.es/gazeta/dias/1820/08/13/pdfs/GGB-1820-46.pdf#page=2","Abrir facsímil")</f>
        <v>Abrir facsímil</v>
      </c>
      <c r="K3675" s="3" t="s">
        <v>23</v>
      </c>
    </row>
    <row r="3676" spans="1:11" ht="42" customHeight="1">
      <c r="A3676" s="2" t="s">
        <v>7500</v>
      </c>
      <c r="B3676" s="2" t="s">
        <v>7500</v>
      </c>
      <c r="C3676" s="2" t="s">
        <v>26</v>
      </c>
      <c r="D3676" s="2" t="s">
        <v>27</v>
      </c>
      <c r="E3676" s="5">
        <v>-28890</v>
      </c>
      <c r="F3676" s="3" t="s">
        <v>248</v>
      </c>
      <c r="G3676" s="3" t="s">
        <v>43</v>
      </c>
      <c r="H3676" s="2" t="s">
        <v>21</v>
      </c>
      <c r="I3676" s="2" t="s">
        <v>7501</v>
      </c>
      <c r="J3676" s="3" t="str">
        <f>HYPERLINK("https://www.boe.es/gazeta/dias/1820/11/24/pdfs/GGB-1820-151.pdf#page=2","Abrir facsímil")</f>
        <v>Abrir facsímil</v>
      </c>
      <c r="K3676" s="3" t="s">
        <v>23</v>
      </c>
    </row>
    <row r="3677" spans="1:11" ht="42" customHeight="1">
      <c r="A3677" s="2" t="s">
        <v>7502</v>
      </c>
      <c r="B3677" s="2" t="s">
        <v>7502</v>
      </c>
      <c r="C3677" s="2" t="s">
        <v>107</v>
      </c>
      <c r="D3677" s="2" t="s">
        <v>18</v>
      </c>
      <c r="E3677" s="5">
        <v>-28918</v>
      </c>
      <c r="F3677" s="3" t="s">
        <v>160</v>
      </c>
      <c r="G3677" s="3" t="s">
        <v>43</v>
      </c>
      <c r="H3677" s="2" t="s">
        <v>21</v>
      </c>
      <c r="I3677" s="2" t="s">
        <v>7503</v>
      </c>
      <c r="J3677" s="3" t="str">
        <f>HYPERLINK("https://www.boe.es/gazeta/dias/1820/10/27/pdfs/GGB-1820-121.pdf#page=2","Abrir facsímil")</f>
        <v>Abrir facsímil</v>
      </c>
      <c r="K3677" s="3" t="s">
        <v>23</v>
      </c>
    </row>
    <row r="3678" spans="1:11" ht="42" customHeight="1">
      <c r="A3678" s="2" t="s">
        <v>7502</v>
      </c>
      <c r="B3678" s="2" t="s">
        <v>7502</v>
      </c>
      <c r="C3678" s="2" t="s">
        <v>17</v>
      </c>
      <c r="D3678" s="2" t="s">
        <v>18</v>
      </c>
      <c r="E3678" s="5">
        <v>-28888</v>
      </c>
      <c r="F3678" s="3" t="s">
        <v>112</v>
      </c>
      <c r="G3678" s="3" t="s">
        <v>3931</v>
      </c>
      <c r="H3678" s="2" t="s">
        <v>21</v>
      </c>
      <c r="I3678" s="2" t="s">
        <v>7504</v>
      </c>
      <c r="J3678" s="3" t="str">
        <f>HYPERLINK("https://www.boe.es/gazeta/dias/1820/11/26/pdfs/GGB-1820-153.pdf#page=2","Abrir facsímil")</f>
        <v>Abrir facsímil</v>
      </c>
      <c r="K3678" s="3" t="s">
        <v>23</v>
      </c>
    </row>
    <row r="3679" spans="1:11" ht="42" customHeight="1">
      <c r="A3679" s="2" t="s">
        <v>7505</v>
      </c>
      <c r="B3679" s="2" t="s">
        <v>7505</v>
      </c>
      <c r="C3679" s="2" t="s">
        <v>26</v>
      </c>
      <c r="D3679" s="2" t="s">
        <v>27</v>
      </c>
      <c r="E3679" s="5">
        <v>-29001</v>
      </c>
      <c r="F3679" s="3" t="s">
        <v>633</v>
      </c>
      <c r="G3679" s="3" t="s">
        <v>128</v>
      </c>
      <c r="H3679" s="2" t="s">
        <v>21</v>
      </c>
      <c r="I3679" s="2" t="s">
        <v>7506</v>
      </c>
      <c r="J3679" s="3" t="str">
        <f>HYPERLINK("https://www.boe.es/gazeta/dias/1820/08/05/pdfs/GGB-1820-38.pdf#page=1","Abrir facsímil")</f>
        <v>Abrir facsímil</v>
      </c>
      <c r="K3679" s="3" t="s">
        <v>23</v>
      </c>
    </row>
    <row r="3680" spans="1:11" ht="42" customHeight="1">
      <c r="A3680" s="2" t="s">
        <v>7507</v>
      </c>
      <c r="B3680" s="2" t="s">
        <v>7508</v>
      </c>
      <c r="C3680" s="2" t="s">
        <v>26</v>
      </c>
      <c r="D3680" s="2" t="s">
        <v>27</v>
      </c>
      <c r="E3680" s="5">
        <v>-28870</v>
      </c>
      <c r="F3680" s="3" t="s">
        <v>1014</v>
      </c>
      <c r="G3680" s="3" t="s">
        <v>128</v>
      </c>
      <c r="H3680" s="2" t="s">
        <v>30</v>
      </c>
      <c r="I3680" s="2" t="s">
        <v>7509</v>
      </c>
      <c r="J3680" s="3" t="str">
        <f>HYPERLINK("https://www.boe.es/gazeta/dias/1820/12/14/pdfs/GGB-1820-171.pdf#page=1","Abrir facsímil")</f>
        <v>Abrir facsímil</v>
      </c>
      <c r="K3680" s="3" t="s">
        <v>32</v>
      </c>
    </row>
    <row r="3681" spans="1:11" ht="42" customHeight="1">
      <c r="A3681" s="2" t="s">
        <v>7510</v>
      </c>
      <c r="B3681" s="2" t="s">
        <v>7510</v>
      </c>
      <c r="C3681" s="2" t="s">
        <v>26</v>
      </c>
      <c r="D3681" s="2" t="s">
        <v>27</v>
      </c>
      <c r="E3681" s="5">
        <v>-28956</v>
      </c>
      <c r="F3681" s="3" t="s">
        <v>190</v>
      </c>
      <c r="G3681" s="3" t="s">
        <v>20</v>
      </c>
      <c r="H3681" s="2" t="s">
        <v>21</v>
      </c>
      <c r="I3681" s="2" t="s">
        <v>7511</v>
      </c>
      <c r="J3681" s="3" t="str">
        <f>HYPERLINK("https://www.boe.es/gazeta/dias/1820/09/19/pdfs/GGB-1820-83.pdf#page=4","Abrir facsímil")</f>
        <v>Abrir facsímil</v>
      </c>
      <c r="K3681" s="3" t="s">
        <v>23</v>
      </c>
    </row>
    <row r="3682" spans="1:11" ht="42" customHeight="1">
      <c r="A3682" s="2" t="s">
        <v>7512</v>
      </c>
      <c r="B3682" s="2" t="s">
        <v>7513</v>
      </c>
      <c r="C3682" s="2" t="s">
        <v>17</v>
      </c>
      <c r="D3682" s="2" t="s">
        <v>18</v>
      </c>
      <c r="E3682" s="5">
        <v>-28865</v>
      </c>
      <c r="F3682" s="3" t="s">
        <v>136</v>
      </c>
      <c r="G3682" s="3" t="s">
        <v>137</v>
      </c>
      <c r="H3682" s="2" t="s">
        <v>21</v>
      </c>
      <c r="I3682" s="2" t="s">
        <v>7514</v>
      </c>
      <c r="J3682" s="3" t="str">
        <f>HYPERLINK("https://www.boe.es/gazeta/dias/1820/12/19/pdfs/GGB-1820-176.pdf#page=3","Abrir facsímil")</f>
        <v>Abrir facsímil</v>
      </c>
      <c r="K3682" s="3" t="s">
        <v>23</v>
      </c>
    </row>
    <row r="3683" spans="1:11" ht="42" customHeight="1">
      <c r="A3683" s="2" t="s">
        <v>7515</v>
      </c>
      <c r="B3683" s="2" t="s">
        <v>7515</v>
      </c>
      <c r="C3683" s="2" t="s">
        <v>74</v>
      </c>
      <c r="D3683" s="2" t="s">
        <v>18</v>
      </c>
      <c r="E3683" s="5">
        <v>-28929</v>
      </c>
      <c r="F3683" s="3" t="s">
        <v>728</v>
      </c>
      <c r="G3683" s="3" t="s">
        <v>62</v>
      </c>
      <c r="H3683" s="2" t="s">
        <v>21</v>
      </c>
      <c r="I3683" s="2" t="s">
        <v>7516</v>
      </c>
      <c r="J3683" s="3" t="str">
        <f>HYPERLINK("https://www.boe.es/gazeta/dias/1820/10/16/pdfs/GGB-1820-110.pdf#page=3","Abrir facsímil")</f>
        <v>Abrir facsímil</v>
      </c>
      <c r="K3683" s="3" t="s">
        <v>23</v>
      </c>
    </row>
    <row r="3684" spans="1:11" ht="42" customHeight="1">
      <c r="A3684" s="2" t="s">
        <v>7517</v>
      </c>
      <c r="B3684" s="2" t="s">
        <v>7517</v>
      </c>
      <c r="C3684" s="2" t="s">
        <v>26</v>
      </c>
      <c r="D3684" s="2" t="s">
        <v>27</v>
      </c>
      <c r="E3684" s="5">
        <v>-29020</v>
      </c>
      <c r="F3684" s="3" t="s">
        <v>756</v>
      </c>
      <c r="G3684" s="3" t="s">
        <v>128</v>
      </c>
      <c r="H3684" s="2" t="s">
        <v>21</v>
      </c>
      <c r="I3684" s="2" t="s">
        <v>7518</v>
      </c>
      <c r="J3684" s="3" t="str">
        <f>HYPERLINK("https://www.boe.es/gazeta/dias/1820/07/17/pdfs/GGB-1820-19.pdf#page=1","Abrir facsímil")</f>
        <v>Abrir facsímil</v>
      </c>
      <c r="K3684" s="3" t="s">
        <v>23</v>
      </c>
    </row>
    <row r="3685" spans="1:11" ht="42" customHeight="1">
      <c r="A3685" s="2" t="s">
        <v>7519</v>
      </c>
      <c r="B3685" s="2" t="s">
        <v>7520</v>
      </c>
      <c r="C3685" s="2" t="s">
        <v>74</v>
      </c>
      <c r="D3685" s="2" t="s">
        <v>18</v>
      </c>
      <c r="E3685" s="5">
        <v>-28903</v>
      </c>
      <c r="F3685" s="3" t="s">
        <v>2163</v>
      </c>
      <c r="G3685" s="3" t="s">
        <v>20</v>
      </c>
      <c r="H3685" s="2" t="s">
        <v>21</v>
      </c>
      <c r="I3685" s="2" t="s">
        <v>7521</v>
      </c>
      <c r="J3685" s="3" t="str">
        <f>HYPERLINK("https://www.boe.es/gazeta/dias/1820/11/11/pdfs/GGB-1820-137.pdf#page=4","Abrir facsímil")</f>
        <v>Abrir facsímil</v>
      </c>
      <c r="K3685" s="3" t="s">
        <v>23</v>
      </c>
    </row>
    <row r="3686" spans="1:11" ht="42" customHeight="1">
      <c r="A3686" s="2" t="s">
        <v>7519</v>
      </c>
      <c r="B3686" s="2" t="s">
        <v>7520</v>
      </c>
      <c r="C3686" s="2" t="s">
        <v>17</v>
      </c>
      <c r="D3686" s="2" t="s">
        <v>18</v>
      </c>
      <c r="E3686" s="5">
        <v>-28866</v>
      </c>
      <c r="F3686" s="3" t="s">
        <v>507</v>
      </c>
      <c r="G3686" s="3" t="s">
        <v>20</v>
      </c>
      <c r="H3686" s="2" t="s">
        <v>21</v>
      </c>
      <c r="I3686" s="2" t="s">
        <v>7522</v>
      </c>
      <c r="J3686" s="3" t="str">
        <f>HYPERLINK("https://www.boe.es/gazeta/dias/1820/12/18/pdfs/GGB-1820-175.pdf#page=4","Abrir facsímil")</f>
        <v>Abrir facsímil</v>
      </c>
      <c r="K3686" s="3" t="s">
        <v>23</v>
      </c>
    </row>
    <row r="3687" spans="1:11" ht="42" customHeight="1">
      <c r="A3687" s="2" t="s">
        <v>7523</v>
      </c>
      <c r="B3687" s="2" t="s">
        <v>7523</v>
      </c>
      <c r="C3687" s="2" t="s">
        <v>17</v>
      </c>
      <c r="D3687" s="2" t="s">
        <v>18</v>
      </c>
      <c r="E3687" s="5">
        <v>-29003</v>
      </c>
      <c r="F3687" s="3" t="s">
        <v>340</v>
      </c>
      <c r="G3687" s="3" t="s">
        <v>62</v>
      </c>
      <c r="H3687" s="2" t="s">
        <v>21</v>
      </c>
      <c r="I3687" s="2" t="s">
        <v>7524</v>
      </c>
      <c r="J3687" s="3" t="str">
        <f>HYPERLINK("https://www.boe.es/gazeta/dias/1820/08/03/pdfs/GGB-1820-36.pdf#page=3","Abrir facsímil")</f>
        <v>Abrir facsímil</v>
      </c>
      <c r="K3687" s="3" t="s">
        <v>23</v>
      </c>
    </row>
    <row r="3688" spans="1:11" ht="42" customHeight="1">
      <c r="A3688" s="2" t="s">
        <v>7523</v>
      </c>
      <c r="B3688" s="2" t="s">
        <v>7523</v>
      </c>
      <c r="C3688" s="2" t="s">
        <v>35</v>
      </c>
      <c r="D3688" s="2" t="s">
        <v>36</v>
      </c>
      <c r="E3688" s="5">
        <v>-29001</v>
      </c>
      <c r="F3688" s="3" t="s">
        <v>633</v>
      </c>
      <c r="G3688" s="3" t="s">
        <v>62</v>
      </c>
      <c r="H3688" s="2" t="s">
        <v>21</v>
      </c>
      <c r="I3688" s="2" t="s">
        <v>7525</v>
      </c>
      <c r="J3688" s="3" t="str">
        <f>HYPERLINK("https://www.boe.es/gazeta/dias/1820/08/05/pdfs/GGB-1820-38.pdf#page=3","Abrir facsímil")</f>
        <v>Abrir facsímil</v>
      </c>
      <c r="K3688" s="3" t="s">
        <v>23</v>
      </c>
    </row>
    <row r="3689" spans="1:11" ht="42" customHeight="1">
      <c r="A3689" s="2" t="s">
        <v>7523</v>
      </c>
      <c r="B3689" s="2" t="s">
        <v>7523</v>
      </c>
      <c r="C3689" s="2" t="s">
        <v>26</v>
      </c>
      <c r="D3689" s="2" t="s">
        <v>27</v>
      </c>
      <c r="E3689" s="5">
        <v>-28996</v>
      </c>
      <c r="F3689" s="3" t="s">
        <v>636</v>
      </c>
      <c r="G3689" s="3" t="s">
        <v>637</v>
      </c>
      <c r="H3689" s="2" t="s">
        <v>21</v>
      </c>
      <c r="I3689" s="2" t="s">
        <v>7526</v>
      </c>
      <c r="J3689" s="3" t="str">
        <f>HYPERLINK("https://www.boe.es/gazeta/dias/1820/08/10/pdfs/GGB-1820-43.pdf#page=3","Abrir facsímil")</f>
        <v>Abrir facsímil</v>
      </c>
      <c r="K3689" s="3" t="s">
        <v>23</v>
      </c>
    </row>
    <row r="3690" spans="1:11" ht="42" customHeight="1">
      <c r="A3690" s="2" t="s">
        <v>7523</v>
      </c>
      <c r="B3690" s="2" t="s">
        <v>7523</v>
      </c>
      <c r="C3690" s="2" t="s">
        <v>17</v>
      </c>
      <c r="D3690" s="2" t="s">
        <v>18</v>
      </c>
      <c r="E3690" s="5">
        <v>-28993</v>
      </c>
      <c r="F3690" s="3" t="s">
        <v>465</v>
      </c>
      <c r="G3690" s="3" t="s">
        <v>62</v>
      </c>
      <c r="H3690" s="2" t="s">
        <v>21</v>
      </c>
      <c r="I3690" s="2" t="s">
        <v>7527</v>
      </c>
      <c r="J3690" s="3" t="str">
        <f>HYPERLINK("https://www.boe.es/gazeta/dias/1820/08/13/pdfs/GGB-1820-46.pdf#page=3","Abrir facsímil")</f>
        <v>Abrir facsímil</v>
      </c>
      <c r="K3690" s="3" t="s">
        <v>23</v>
      </c>
    </row>
    <row r="3691" spans="1:11" ht="42" customHeight="1">
      <c r="A3691" s="2" t="s">
        <v>7523</v>
      </c>
      <c r="B3691" s="2" t="s">
        <v>7523</v>
      </c>
      <c r="C3691" s="2" t="s">
        <v>17</v>
      </c>
      <c r="D3691" s="2" t="s">
        <v>18</v>
      </c>
      <c r="E3691" s="5">
        <v>-28981</v>
      </c>
      <c r="F3691" s="3" t="s">
        <v>42</v>
      </c>
      <c r="G3691" s="3" t="s">
        <v>62</v>
      </c>
      <c r="H3691" s="2" t="s">
        <v>21</v>
      </c>
      <c r="I3691" s="2" t="s">
        <v>7528</v>
      </c>
      <c r="J3691" s="3" t="str">
        <f>HYPERLINK("https://www.boe.es/gazeta/dias/1820/08/25/pdfs/GGB-1820-58.pdf#page=3","Abrir facsímil")</f>
        <v>Abrir facsímil</v>
      </c>
      <c r="K3691" s="3" t="s">
        <v>23</v>
      </c>
    </row>
    <row r="3692" spans="1:11" ht="42" customHeight="1">
      <c r="A3692" s="2" t="s">
        <v>7529</v>
      </c>
      <c r="B3692" s="2" t="s">
        <v>7530</v>
      </c>
      <c r="C3692" s="2" t="s">
        <v>111</v>
      </c>
      <c r="D3692" s="2" t="s">
        <v>18</v>
      </c>
      <c r="E3692" s="5">
        <v>-29030</v>
      </c>
      <c r="F3692" s="3" t="s">
        <v>789</v>
      </c>
      <c r="G3692" s="3" t="s">
        <v>1987</v>
      </c>
      <c r="H3692" s="2" t="s">
        <v>21</v>
      </c>
      <c r="I3692" s="2" t="s">
        <v>7531</v>
      </c>
      <c r="J3692" s="3" t="str">
        <f>HYPERLINK("https://www.boe.es/gazeta/dias/1820/07/07/pdfs/GGB-1820-8.pdf#page=4","Abrir facsímil")</f>
        <v>Abrir facsímil</v>
      </c>
      <c r="K3692" s="3" t="s">
        <v>23</v>
      </c>
    </row>
    <row r="3693" spans="1:11" ht="42" customHeight="1">
      <c r="A3693" s="2" t="s">
        <v>7532</v>
      </c>
      <c r="B3693" s="2" t="s">
        <v>7533</v>
      </c>
      <c r="C3693" s="2" t="s">
        <v>35</v>
      </c>
      <c r="D3693" s="2" t="s">
        <v>36</v>
      </c>
      <c r="E3693" s="5">
        <v>-29018</v>
      </c>
      <c r="F3693" s="3" t="s">
        <v>601</v>
      </c>
      <c r="G3693" s="3" t="s">
        <v>43</v>
      </c>
      <c r="H3693" s="2" t="s">
        <v>21</v>
      </c>
      <c r="I3693" s="2" t="s">
        <v>7534</v>
      </c>
      <c r="J3693" s="3" t="str">
        <f>HYPERLINK("https://www.boe.es/gazeta/dias/1820/07/19/pdfs/GGB-1820-21.pdf#page=2","Abrir facsímil")</f>
        <v>Abrir facsímil</v>
      </c>
      <c r="K3693" s="3" t="s">
        <v>23</v>
      </c>
    </row>
    <row r="3694" spans="1:11" ht="42" customHeight="1">
      <c r="A3694" s="2" t="s">
        <v>7535</v>
      </c>
      <c r="B3694" s="2" t="s">
        <v>7536</v>
      </c>
      <c r="C3694" s="2" t="s">
        <v>35</v>
      </c>
      <c r="D3694" s="2" t="s">
        <v>36</v>
      </c>
      <c r="E3694" s="5">
        <v>-29015</v>
      </c>
      <c r="F3694" s="3" t="s">
        <v>359</v>
      </c>
      <c r="G3694" s="3" t="s">
        <v>62</v>
      </c>
      <c r="H3694" s="2" t="s">
        <v>21</v>
      </c>
      <c r="I3694" s="2" t="s">
        <v>7537</v>
      </c>
      <c r="J3694" s="3" t="str">
        <f>HYPERLINK("https://www.boe.es/gazeta/dias/1820/07/22/pdfs/GGB-1820-24.pdf#page=3","Abrir facsímil")</f>
        <v>Abrir facsímil</v>
      </c>
      <c r="K3694" s="3" t="s">
        <v>23</v>
      </c>
    </row>
    <row r="3695" spans="1:11" ht="42" customHeight="1">
      <c r="A3695" s="2" t="s">
        <v>7532</v>
      </c>
      <c r="B3695" s="2" t="s">
        <v>7533</v>
      </c>
      <c r="C3695" s="2" t="s">
        <v>35</v>
      </c>
      <c r="D3695" s="2" t="s">
        <v>36</v>
      </c>
      <c r="E3695" s="5">
        <v>-29014</v>
      </c>
      <c r="F3695" s="3" t="s">
        <v>70</v>
      </c>
      <c r="G3695" s="3" t="s">
        <v>62</v>
      </c>
      <c r="H3695" s="2" t="s">
        <v>21</v>
      </c>
      <c r="I3695" s="2" t="s">
        <v>7538</v>
      </c>
      <c r="J3695" s="3" t="str">
        <f>HYPERLINK("https://www.boe.es/gazeta/dias/1820/07/23/pdfs/GGB-1820-25.pdf#page=3","Abrir facsímil")</f>
        <v>Abrir facsímil</v>
      </c>
      <c r="K3695" s="3" t="s">
        <v>23</v>
      </c>
    </row>
    <row r="3696" spans="1:11" ht="42" customHeight="1">
      <c r="A3696" s="2" t="s">
        <v>7532</v>
      </c>
      <c r="B3696" s="2" t="s">
        <v>7533</v>
      </c>
      <c r="C3696" s="2" t="s">
        <v>35</v>
      </c>
      <c r="D3696" s="2" t="s">
        <v>36</v>
      </c>
      <c r="E3696" s="5">
        <v>-28983</v>
      </c>
      <c r="F3696" s="3" t="s">
        <v>682</v>
      </c>
      <c r="G3696" s="3" t="s">
        <v>62</v>
      </c>
      <c r="H3696" s="2" t="s">
        <v>21</v>
      </c>
      <c r="I3696" s="2" t="s">
        <v>7539</v>
      </c>
      <c r="J3696" s="3" t="str">
        <f>HYPERLINK("https://www.boe.es/gazeta/dias/1820/08/23/pdfs/GGB-1820-56.pdf#page=3","Abrir facsímil")</f>
        <v>Abrir facsímil</v>
      </c>
      <c r="K3696" s="3" t="s">
        <v>23</v>
      </c>
    </row>
    <row r="3697" spans="1:11" ht="42" customHeight="1">
      <c r="A3697" s="2" t="s">
        <v>7532</v>
      </c>
      <c r="B3697" s="2" t="s">
        <v>7533</v>
      </c>
      <c r="C3697" s="2" t="s">
        <v>17</v>
      </c>
      <c r="D3697" s="2" t="s">
        <v>18</v>
      </c>
      <c r="E3697" s="5">
        <v>-28952</v>
      </c>
      <c r="F3697" s="3" t="s">
        <v>370</v>
      </c>
      <c r="G3697" s="3" t="s">
        <v>62</v>
      </c>
      <c r="H3697" s="2" t="s">
        <v>21</v>
      </c>
      <c r="I3697" s="2" t="s">
        <v>7540</v>
      </c>
      <c r="J3697" s="3" t="str">
        <f>HYPERLINK("https://www.boe.es/gazeta/dias/1820/09/23/pdfs/GGB-1820-87.pdf#page=3","Abrir facsímil")</f>
        <v>Abrir facsímil</v>
      </c>
      <c r="K3697" s="3" t="s">
        <v>23</v>
      </c>
    </row>
    <row r="3698" spans="1:11" ht="42" customHeight="1">
      <c r="A3698" s="2" t="s">
        <v>7541</v>
      </c>
      <c r="B3698" s="2" t="s">
        <v>7541</v>
      </c>
      <c r="C3698" s="2" t="s">
        <v>17</v>
      </c>
      <c r="D3698" s="2" t="s">
        <v>18</v>
      </c>
      <c r="E3698" s="5">
        <v>-29002</v>
      </c>
      <c r="F3698" s="3" t="s">
        <v>124</v>
      </c>
      <c r="G3698" s="3" t="s">
        <v>20</v>
      </c>
      <c r="H3698" s="2" t="s">
        <v>21</v>
      </c>
      <c r="I3698" s="2" t="s">
        <v>7542</v>
      </c>
      <c r="J3698" s="3" t="str">
        <f>HYPERLINK("https://www.boe.es/gazeta/dias/1820/08/04/pdfs/GGB-1820-37.pdf#page=4","Abrir facsímil")</f>
        <v>Abrir facsímil</v>
      </c>
      <c r="K3698" s="3" t="s">
        <v>23</v>
      </c>
    </row>
    <row r="3699" spans="1:11" ht="42" customHeight="1">
      <c r="A3699" s="2" t="s">
        <v>7543</v>
      </c>
      <c r="B3699" s="2" t="s">
        <v>7543</v>
      </c>
      <c r="C3699" s="2" t="s">
        <v>26</v>
      </c>
      <c r="D3699" s="2" t="s">
        <v>27</v>
      </c>
      <c r="E3699" s="5">
        <v>-29015</v>
      </c>
      <c r="F3699" s="3" t="s">
        <v>359</v>
      </c>
      <c r="G3699" s="3" t="s">
        <v>62</v>
      </c>
      <c r="H3699" s="2" t="s">
        <v>21</v>
      </c>
      <c r="I3699" s="2" t="s">
        <v>7544</v>
      </c>
      <c r="J3699" s="3" t="str">
        <f>HYPERLINK("https://www.boe.es/gazeta/dias/1820/07/22/pdfs/GGB-1820-24.pdf#page=3","Abrir facsímil")</f>
        <v>Abrir facsímil</v>
      </c>
      <c r="K3699" s="3" t="s">
        <v>23</v>
      </c>
    </row>
    <row r="3700" spans="1:11" ht="42" customHeight="1">
      <c r="A3700" s="2" t="s">
        <v>7545</v>
      </c>
      <c r="B3700" s="2" t="s">
        <v>7546</v>
      </c>
      <c r="C3700" s="2" t="s">
        <v>107</v>
      </c>
      <c r="D3700" s="2" t="s">
        <v>18</v>
      </c>
      <c r="E3700" s="5">
        <v>-28865</v>
      </c>
      <c r="F3700" s="3" t="s">
        <v>136</v>
      </c>
      <c r="G3700" s="3" t="s">
        <v>137</v>
      </c>
      <c r="H3700" s="2" t="s">
        <v>21</v>
      </c>
      <c r="I3700" s="2" t="s">
        <v>7547</v>
      </c>
      <c r="J3700" s="3" t="str">
        <f>HYPERLINK("https://www.boe.es/gazeta/dias/1820/12/19/pdfs/GGB-1820-176.pdf#page=3","Abrir facsímil")</f>
        <v>Abrir facsímil</v>
      </c>
      <c r="K3700" s="3" t="s">
        <v>23</v>
      </c>
    </row>
    <row r="3701" spans="1:11" ht="42" customHeight="1">
      <c r="A3701" s="2" t="s">
        <v>7548</v>
      </c>
      <c r="B3701" s="2" t="s">
        <v>7548</v>
      </c>
      <c r="C3701" s="2" t="s">
        <v>35</v>
      </c>
      <c r="D3701" s="2" t="s">
        <v>36</v>
      </c>
      <c r="E3701" s="5">
        <v>-28975</v>
      </c>
      <c r="F3701" s="3" t="s">
        <v>182</v>
      </c>
      <c r="G3701" s="3" t="s">
        <v>62</v>
      </c>
      <c r="H3701" s="2" t="s">
        <v>21</v>
      </c>
      <c r="I3701" s="2" t="s">
        <v>7549</v>
      </c>
      <c r="J3701" s="3" t="str">
        <f>HYPERLINK("https://www.boe.es/gazeta/dias/1820/08/31/pdfs/GGB-1820-64.pdf#page=3","Abrir facsímil")</f>
        <v>Abrir facsímil</v>
      </c>
      <c r="K3701" s="3" t="s">
        <v>23</v>
      </c>
    </row>
    <row r="3702" spans="1:11" ht="42" customHeight="1">
      <c r="A3702" s="2" t="s">
        <v>7550</v>
      </c>
      <c r="B3702" s="2" t="s">
        <v>7551</v>
      </c>
      <c r="C3702" s="2" t="s">
        <v>35</v>
      </c>
      <c r="D3702" s="2" t="s">
        <v>36</v>
      </c>
      <c r="E3702" s="5">
        <v>-29145</v>
      </c>
      <c r="F3702" s="3" t="s">
        <v>3537</v>
      </c>
      <c r="G3702" s="3" t="s">
        <v>4091</v>
      </c>
      <c r="H3702" s="2" t="s">
        <v>21</v>
      </c>
      <c r="I3702" s="2" t="s">
        <v>7552</v>
      </c>
      <c r="J3702" s="3" t="str">
        <f>HYPERLINK("https://www.boe.es/gazeta/dias/1820/03/14/pdfs/GMD-1820-39.pdf#page=5","Abrir facsímil")</f>
        <v>Abrir facsímil</v>
      </c>
      <c r="K3702" s="3" t="s">
        <v>23</v>
      </c>
    </row>
    <row r="3703" spans="1:11" ht="42" customHeight="1">
      <c r="A3703" s="2" t="s">
        <v>7553</v>
      </c>
      <c r="B3703" s="2" t="s">
        <v>7553</v>
      </c>
      <c r="C3703" s="2" t="s">
        <v>35</v>
      </c>
      <c r="D3703" s="2" t="s">
        <v>36</v>
      </c>
      <c r="E3703" s="5">
        <v>-28914</v>
      </c>
      <c r="F3703" s="3" t="s">
        <v>434</v>
      </c>
      <c r="G3703" s="3" t="s">
        <v>43</v>
      </c>
      <c r="H3703" s="2" t="s">
        <v>21</v>
      </c>
      <c r="I3703" s="2" t="s">
        <v>7554</v>
      </c>
      <c r="J3703" s="3" t="str">
        <f>HYPERLINK("https://www.boe.es/gazeta/dias/1820/10/31/pdfs/GGB-1820-125.pdf#page=2","Abrir facsímil")</f>
        <v>Abrir facsímil</v>
      </c>
      <c r="K3703" s="3" t="s">
        <v>23</v>
      </c>
    </row>
    <row r="3704" spans="1:11" ht="42" customHeight="1">
      <c r="A3704" s="2" t="s">
        <v>7555</v>
      </c>
      <c r="B3704" s="2" t="s">
        <v>7556</v>
      </c>
      <c r="C3704" s="2" t="s">
        <v>26</v>
      </c>
      <c r="D3704" s="2" t="s">
        <v>27</v>
      </c>
      <c r="E3704" s="5">
        <v>-28904</v>
      </c>
      <c r="F3704" s="3" t="s">
        <v>541</v>
      </c>
      <c r="G3704" s="3" t="s">
        <v>43</v>
      </c>
      <c r="H3704" s="2" t="s">
        <v>21</v>
      </c>
      <c r="I3704" s="2" t="s">
        <v>7557</v>
      </c>
      <c r="J3704" s="3" t="str">
        <f>HYPERLINK("https://www.boe.es/gazeta/dias/1820/11/10/pdfs/GGB-1820-136.pdf#page=2","Abrir facsímil")</f>
        <v>Abrir facsímil</v>
      </c>
      <c r="K3704" s="3" t="s">
        <v>23</v>
      </c>
    </row>
    <row r="3705" spans="1:11" ht="42" customHeight="1">
      <c r="A3705" s="2" t="s">
        <v>7558</v>
      </c>
      <c r="B3705" s="2" t="s">
        <v>7559</v>
      </c>
      <c r="C3705" s="2" t="s">
        <v>26</v>
      </c>
      <c r="D3705" s="2" t="s">
        <v>27</v>
      </c>
      <c r="E3705" s="5">
        <v>-29073</v>
      </c>
      <c r="F3705" s="3" t="s">
        <v>1928</v>
      </c>
      <c r="G3705" s="3" t="s">
        <v>20</v>
      </c>
      <c r="H3705" s="2" t="s">
        <v>21</v>
      </c>
      <c r="I3705" s="2" t="s">
        <v>7560</v>
      </c>
      <c r="J3705" s="3" t="str">
        <f>HYPERLINK("https://www.boe.es/gazeta/dias/1820/05/25/pdfs/GMD-1820-85.pdf#page=4","Abrir facsímil")</f>
        <v>Abrir facsímil</v>
      </c>
      <c r="K3705" s="3" t="s">
        <v>23</v>
      </c>
    </row>
    <row r="3706" spans="1:11" ht="42" customHeight="1">
      <c r="A3706" s="2" t="s">
        <v>7561</v>
      </c>
      <c r="B3706" s="2" t="s">
        <v>7561</v>
      </c>
      <c r="C3706" s="2" t="s">
        <v>17</v>
      </c>
      <c r="D3706" s="2" t="s">
        <v>18</v>
      </c>
      <c r="E3706" s="5">
        <v>-28997</v>
      </c>
      <c r="F3706" s="3" t="s">
        <v>1471</v>
      </c>
      <c r="G3706" s="3" t="s">
        <v>43</v>
      </c>
      <c r="H3706" s="2" t="s">
        <v>21</v>
      </c>
      <c r="I3706" s="2" t="s">
        <v>7562</v>
      </c>
      <c r="J3706" s="3" t="str">
        <f>HYPERLINK("https://www.boe.es/gazeta/dias/1820/08/09/pdfs/GGB-1820-42.pdf#page=2","Abrir facsímil")</f>
        <v>Abrir facsímil</v>
      </c>
      <c r="K3706" s="3" t="s">
        <v>23</v>
      </c>
    </row>
    <row r="3707" spans="1:11" ht="42" customHeight="1">
      <c r="A3707" s="2" t="s">
        <v>7563</v>
      </c>
      <c r="B3707" s="2" t="s">
        <v>7563</v>
      </c>
      <c r="C3707" s="2" t="s">
        <v>26</v>
      </c>
      <c r="D3707" s="2" t="s">
        <v>27</v>
      </c>
      <c r="E3707" s="5">
        <v>-28975</v>
      </c>
      <c r="F3707" s="3" t="s">
        <v>182</v>
      </c>
      <c r="G3707" s="3" t="s">
        <v>128</v>
      </c>
      <c r="H3707" s="2" t="s">
        <v>21</v>
      </c>
      <c r="I3707" s="2" t="s">
        <v>7564</v>
      </c>
      <c r="J3707" s="3" t="str">
        <f>HYPERLINK("https://www.boe.es/gazeta/dias/1820/08/31/pdfs/GGB-1820-64.pdf#page=1","Abrir facsímil")</f>
        <v>Abrir facsímil</v>
      </c>
      <c r="K3707" s="3" t="s">
        <v>23</v>
      </c>
    </row>
    <row r="3708" spans="1:11" ht="42" customHeight="1">
      <c r="A3708" s="2" t="s">
        <v>7565</v>
      </c>
      <c r="B3708" s="2" t="s">
        <v>7566</v>
      </c>
      <c r="C3708" s="2" t="s">
        <v>26</v>
      </c>
      <c r="D3708" s="2" t="s">
        <v>27</v>
      </c>
      <c r="E3708" s="5">
        <v>-28903</v>
      </c>
      <c r="F3708" s="3" t="s">
        <v>2163</v>
      </c>
      <c r="G3708" s="3" t="s">
        <v>62</v>
      </c>
      <c r="H3708" s="2" t="s">
        <v>21</v>
      </c>
      <c r="I3708" s="2" t="s">
        <v>7567</v>
      </c>
      <c r="J3708" s="3" t="str">
        <f>HYPERLINK("https://www.boe.es/gazeta/dias/1820/11/11/pdfs/GGB-1820-137.pdf#page=3","Abrir facsímil")</f>
        <v>Abrir facsímil</v>
      </c>
      <c r="K3708" s="3" t="s">
        <v>23</v>
      </c>
    </row>
    <row r="3709" spans="1:11" ht="42" customHeight="1">
      <c r="A3709" s="2" t="s">
        <v>7568</v>
      </c>
      <c r="B3709" s="2" t="s">
        <v>7569</v>
      </c>
      <c r="C3709" s="2" t="s">
        <v>26</v>
      </c>
      <c r="D3709" s="2" t="s">
        <v>27</v>
      </c>
      <c r="E3709" s="5">
        <v>-28903</v>
      </c>
      <c r="F3709" s="3" t="s">
        <v>2163</v>
      </c>
      <c r="G3709" s="3" t="s">
        <v>62</v>
      </c>
      <c r="H3709" s="2" t="s">
        <v>21</v>
      </c>
      <c r="I3709" s="2" t="s">
        <v>7570</v>
      </c>
      <c r="J3709" s="3" t="str">
        <f>HYPERLINK("https://www.boe.es/gazeta/dias/1820/11/11/pdfs/GGB-1820-137.pdf#page=3","Abrir facsímil")</f>
        <v>Abrir facsímil</v>
      </c>
      <c r="K3709" s="3" t="s">
        <v>23</v>
      </c>
    </row>
    <row r="3710" spans="1:11" ht="42" customHeight="1">
      <c r="A3710" s="2" t="s">
        <v>7571</v>
      </c>
      <c r="B3710" s="2" t="s">
        <v>7572</v>
      </c>
      <c r="C3710" s="2" t="s">
        <v>35</v>
      </c>
      <c r="D3710" s="2" t="s">
        <v>36</v>
      </c>
      <c r="E3710" s="5">
        <v>-28863</v>
      </c>
      <c r="F3710" s="3" t="s">
        <v>3630</v>
      </c>
      <c r="G3710" s="3" t="s">
        <v>20</v>
      </c>
      <c r="H3710" s="2" t="s">
        <v>21</v>
      </c>
      <c r="I3710" s="2" t="s">
        <v>7573</v>
      </c>
      <c r="J3710" s="3" t="str">
        <f>HYPERLINK("https://www.boe.es/gazeta/dias/1820/12/21/pdfs/GGB-1820-178.pdf#page=4","Abrir facsímil")</f>
        <v>Abrir facsímil</v>
      </c>
      <c r="K3710" s="3" t="s">
        <v>23</v>
      </c>
    </row>
    <row r="3711" spans="1:11" ht="42" customHeight="1">
      <c r="A3711" s="2" t="s">
        <v>7574</v>
      </c>
      <c r="B3711" s="2" t="s">
        <v>7575</v>
      </c>
      <c r="C3711" s="2" t="s">
        <v>26</v>
      </c>
      <c r="D3711" s="2" t="s">
        <v>27</v>
      </c>
      <c r="E3711" s="5">
        <v>-29029</v>
      </c>
      <c r="F3711" s="3" t="s">
        <v>282</v>
      </c>
      <c r="G3711" s="3" t="s">
        <v>20</v>
      </c>
      <c r="H3711" s="2" t="s">
        <v>21</v>
      </c>
      <c r="I3711" s="2" t="s">
        <v>7576</v>
      </c>
      <c r="J3711" s="3" t="str">
        <f>HYPERLINK("https://www.boe.es/gazeta/dias/1820/07/08/pdfs/GGB-1820-9.pdf#page=4","Abrir facsímil")</f>
        <v>Abrir facsímil</v>
      </c>
      <c r="K3711" s="3" t="s">
        <v>23</v>
      </c>
    </row>
    <row r="3712" spans="1:11" ht="42" customHeight="1">
      <c r="A3712" s="2" t="s">
        <v>7574</v>
      </c>
      <c r="B3712" s="2" t="s">
        <v>7575</v>
      </c>
      <c r="C3712" s="2" t="s">
        <v>26</v>
      </c>
      <c r="D3712" s="2" t="s">
        <v>27</v>
      </c>
      <c r="E3712" s="5">
        <v>-29020</v>
      </c>
      <c r="F3712" s="3" t="s">
        <v>756</v>
      </c>
      <c r="G3712" s="3" t="s">
        <v>20</v>
      </c>
      <c r="H3712" s="2" t="s">
        <v>21</v>
      </c>
      <c r="I3712" s="2" t="s">
        <v>7577</v>
      </c>
      <c r="J3712" s="3" t="str">
        <f>HYPERLINK("https://www.boe.es/gazeta/dias/1820/07/17/pdfs/GGB-1820-19.pdf#page=4","Abrir facsímil")</f>
        <v>Abrir facsímil</v>
      </c>
      <c r="K3712" s="3" t="s">
        <v>23</v>
      </c>
    </row>
    <row r="3713" spans="1:11" ht="42" customHeight="1">
      <c r="A3713" s="2" t="s">
        <v>7578</v>
      </c>
      <c r="B3713" s="2" t="s">
        <v>7579</v>
      </c>
      <c r="C3713" s="2" t="s">
        <v>26</v>
      </c>
      <c r="D3713" s="2" t="s">
        <v>27</v>
      </c>
      <c r="E3713" s="5">
        <v>-28972</v>
      </c>
      <c r="F3713" s="3" t="s">
        <v>522</v>
      </c>
      <c r="G3713" s="3" t="s">
        <v>62</v>
      </c>
      <c r="H3713" s="2" t="s">
        <v>30</v>
      </c>
      <c r="I3713" s="2" t="s">
        <v>7580</v>
      </c>
      <c r="J3713" s="3" t="str">
        <f>HYPERLINK("https://www.boe.es/gazeta/dias/1820/09/03/pdfs/GGB-1820-67.pdf#page=3","Abrir facsímil")</f>
        <v>Abrir facsímil</v>
      </c>
      <c r="K3713" s="3" t="s">
        <v>32</v>
      </c>
    </row>
    <row r="3714" spans="1:11" ht="42" customHeight="1">
      <c r="A3714" s="2" t="s">
        <v>7581</v>
      </c>
      <c r="B3714" s="2" t="s">
        <v>7582</v>
      </c>
      <c r="C3714" s="2" t="s">
        <v>26</v>
      </c>
      <c r="D3714" s="2" t="s">
        <v>27</v>
      </c>
      <c r="E3714" s="5">
        <v>-28969</v>
      </c>
      <c r="F3714" s="3" t="s">
        <v>225</v>
      </c>
      <c r="G3714" s="3" t="s">
        <v>43</v>
      </c>
      <c r="H3714" s="2" t="s">
        <v>21</v>
      </c>
      <c r="I3714" s="2" t="s">
        <v>7583</v>
      </c>
      <c r="J3714" s="3" t="str">
        <f>HYPERLINK("https://www.boe.es/gazeta/dias/1820/09/06/pdfs/GGB-1820-70.pdf#page=2","Abrir facsímil")</f>
        <v>Abrir facsímil</v>
      </c>
      <c r="K3714" s="3" t="s">
        <v>23</v>
      </c>
    </row>
    <row r="3715" spans="1:11" ht="42" customHeight="1">
      <c r="A3715" s="2" t="s">
        <v>7581</v>
      </c>
      <c r="B3715" s="2" t="s">
        <v>7582</v>
      </c>
      <c r="C3715" s="2" t="s">
        <v>26</v>
      </c>
      <c r="D3715" s="2" t="s">
        <v>27</v>
      </c>
      <c r="E3715" s="5">
        <v>-28928</v>
      </c>
      <c r="F3715" s="3" t="s">
        <v>86</v>
      </c>
      <c r="G3715" s="3" t="s">
        <v>43</v>
      </c>
      <c r="H3715" s="2" t="s">
        <v>21</v>
      </c>
      <c r="I3715" s="2" t="s">
        <v>7584</v>
      </c>
      <c r="J3715" s="3" t="str">
        <f>HYPERLINK("https://www.boe.es/gazeta/dias/1820/10/17/pdfs/GGB-1820-111.pdf#page=2","Abrir facsímil")</f>
        <v>Abrir facsímil</v>
      </c>
      <c r="K3715" s="3" t="s">
        <v>23</v>
      </c>
    </row>
    <row r="3716" spans="1:11" ht="42" customHeight="1">
      <c r="A3716" s="2" t="s">
        <v>7585</v>
      </c>
      <c r="B3716" s="2" t="s">
        <v>7586</v>
      </c>
      <c r="C3716" s="2" t="s">
        <v>17</v>
      </c>
      <c r="D3716" s="2" t="s">
        <v>18</v>
      </c>
      <c r="E3716" s="5">
        <v>-28920</v>
      </c>
      <c r="F3716" s="3" t="s">
        <v>399</v>
      </c>
      <c r="G3716" s="3" t="s">
        <v>62</v>
      </c>
      <c r="H3716" s="2" t="s">
        <v>21</v>
      </c>
      <c r="I3716" s="2" t="s">
        <v>7587</v>
      </c>
      <c r="J3716" s="3" t="str">
        <f>HYPERLINK("https://www.boe.es/gazeta/dias/1820/10/25/pdfs/GGB-1820-119.pdf#page=3","Abrir facsímil")</f>
        <v>Abrir facsímil</v>
      </c>
      <c r="K3716" s="3" t="s">
        <v>23</v>
      </c>
    </row>
    <row r="3717" spans="1:11" ht="42" customHeight="1">
      <c r="A3717" s="2" t="s">
        <v>7588</v>
      </c>
      <c r="B3717" s="2" t="s">
        <v>7588</v>
      </c>
      <c r="C3717" s="2" t="s">
        <v>74</v>
      </c>
      <c r="D3717" s="2" t="s">
        <v>18</v>
      </c>
      <c r="E3717" s="5">
        <v>-29006</v>
      </c>
      <c r="F3717" s="3" t="s">
        <v>609</v>
      </c>
      <c r="G3717" s="3" t="s">
        <v>1073</v>
      </c>
      <c r="H3717" s="2" t="s">
        <v>21</v>
      </c>
      <c r="I3717" s="2" t="s">
        <v>7589</v>
      </c>
      <c r="J3717" s="3" t="str">
        <f>HYPERLINK("https://www.boe.es/gazeta/dias/1820/07/31/pdfs/GGB-1820-33.pdf#page=4","Abrir facsímil")</f>
        <v>Abrir facsímil</v>
      </c>
      <c r="K3717" s="3" t="s">
        <v>23</v>
      </c>
    </row>
    <row r="3718" spans="1:11" ht="42" customHeight="1">
      <c r="A3718" s="2" t="s">
        <v>7590</v>
      </c>
      <c r="B3718" s="2" t="s">
        <v>7591</v>
      </c>
      <c r="C3718" s="2" t="s">
        <v>35</v>
      </c>
      <c r="D3718" s="2" t="s">
        <v>36</v>
      </c>
      <c r="E3718" s="5">
        <v>-29064</v>
      </c>
      <c r="F3718" s="3" t="s">
        <v>1264</v>
      </c>
      <c r="G3718" s="3" t="s">
        <v>256</v>
      </c>
      <c r="H3718" s="2" t="s">
        <v>21</v>
      </c>
      <c r="I3718" s="2" t="s">
        <v>7592</v>
      </c>
      <c r="J3718" s="3" t="str">
        <f>HYPERLINK("https://www.boe.es/gazeta/dias/1820/06/03/pdfs/GMD-1820-89.pdf#page=5","Abrir facsímil")</f>
        <v>Abrir facsímil</v>
      </c>
      <c r="K3718" s="3" t="s">
        <v>23</v>
      </c>
    </row>
    <row r="3719" spans="1:11" ht="42" customHeight="1">
      <c r="A3719" s="2" t="s">
        <v>7593</v>
      </c>
      <c r="B3719" s="2" t="s">
        <v>7594</v>
      </c>
      <c r="C3719" s="2" t="s">
        <v>74</v>
      </c>
      <c r="D3719" s="2" t="s">
        <v>18</v>
      </c>
      <c r="E3719" s="5">
        <v>-28989</v>
      </c>
      <c r="F3719" s="3" t="s">
        <v>809</v>
      </c>
      <c r="G3719" s="3" t="s">
        <v>43</v>
      </c>
      <c r="H3719" s="2" t="s">
        <v>30</v>
      </c>
      <c r="I3719" s="2" t="s">
        <v>7595</v>
      </c>
      <c r="J3719" s="3" t="str">
        <f>HYPERLINK("https://www.boe.es/gazeta/dias/1820/08/17/pdfs/GGB-1820-50.pdf#page=2","Abrir facsímil")</f>
        <v>Abrir facsímil</v>
      </c>
      <c r="K3719" s="3" t="s">
        <v>32</v>
      </c>
    </row>
    <row r="3720" spans="1:11" ht="42" customHeight="1">
      <c r="A3720" s="2" t="s">
        <v>7596</v>
      </c>
      <c r="B3720" s="2" t="s">
        <v>7597</v>
      </c>
      <c r="C3720" s="2" t="s">
        <v>26</v>
      </c>
      <c r="D3720" s="2" t="s">
        <v>27</v>
      </c>
      <c r="E3720" s="5">
        <v>-28975</v>
      </c>
      <c r="F3720" s="3" t="s">
        <v>182</v>
      </c>
      <c r="G3720" s="3" t="s">
        <v>43</v>
      </c>
      <c r="H3720" s="2" t="s">
        <v>21</v>
      </c>
      <c r="I3720" s="2" t="s">
        <v>7598</v>
      </c>
      <c r="J3720" s="3" t="str">
        <f>HYPERLINK("https://www.boe.es/gazeta/dias/1820/08/31/pdfs/GGB-1820-64.pdf#page=2","Abrir facsímil")</f>
        <v>Abrir facsímil</v>
      </c>
      <c r="K3720" s="3" t="s">
        <v>23</v>
      </c>
    </row>
    <row r="3721" spans="1:11" ht="42" customHeight="1">
      <c r="A3721" s="2" t="s">
        <v>7599</v>
      </c>
      <c r="B3721" s="2" t="s">
        <v>7600</v>
      </c>
      <c r="C3721" s="2" t="s">
        <v>26</v>
      </c>
      <c r="D3721" s="2" t="s">
        <v>27</v>
      </c>
      <c r="E3721" s="5">
        <v>-28926</v>
      </c>
      <c r="F3721" s="3" t="s">
        <v>597</v>
      </c>
      <c r="G3721" s="3" t="s">
        <v>62</v>
      </c>
      <c r="H3721" s="2" t="s">
        <v>21</v>
      </c>
      <c r="I3721" s="2" t="s">
        <v>7601</v>
      </c>
      <c r="J3721" s="3" t="str">
        <f>HYPERLINK("https://www.boe.es/gazeta/dias/1820/10/19/pdfs/GGB-1820-113.pdf#page=3","Abrir facsímil")</f>
        <v>Abrir facsímil</v>
      </c>
      <c r="K3721" s="3" t="s">
        <v>23</v>
      </c>
    </row>
    <row r="3722" spans="1:11" ht="42" customHeight="1">
      <c r="A3722" s="2" t="s">
        <v>7602</v>
      </c>
      <c r="B3722" s="2" t="s">
        <v>7602</v>
      </c>
      <c r="C3722" s="2" t="s">
        <v>26</v>
      </c>
      <c r="D3722" s="2" t="s">
        <v>27</v>
      </c>
      <c r="E3722" s="5">
        <v>-28902</v>
      </c>
      <c r="F3722" s="3" t="s">
        <v>440</v>
      </c>
      <c r="G3722" s="3" t="s">
        <v>1080</v>
      </c>
      <c r="H3722" s="2" t="s">
        <v>21</v>
      </c>
      <c r="I3722" s="2" t="s">
        <v>7603</v>
      </c>
      <c r="J3722" s="3" t="str">
        <f>HYPERLINK("https://www.boe.es/gazeta/dias/1820/11/12/pdfs/GGB-1820-138.pdf#page=1","Abrir facsímil")</f>
        <v>Abrir facsímil</v>
      </c>
      <c r="K3722" s="3" t="s">
        <v>23</v>
      </c>
    </row>
    <row r="3723" spans="1:11" ht="42" customHeight="1">
      <c r="A3723" s="2" t="s">
        <v>7604</v>
      </c>
      <c r="B3723" s="2" t="s">
        <v>7605</v>
      </c>
      <c r="C3723" s="2" t="s">
        <v>35</v>
      </c>
      <c r="D3723" s="2" t="s">
        <v>36</v>
      </c>
      <c r="E3723" s="5">
        <v>-29138</v>
      </c>
      <c r="F3723" s="3" t="s">
        <v>200</v>
      </c>
      <c r="G3723" s="3" t="s">
        <v>201</v>
      </c>
      <c r="H3723" s="2" t="s">
        <v>21</v>
      </c>
      <c r="I3723" s="2" t="s">
        <v>7606</v>
      </c>
      <c r="J3723" s="3" t="str">
        <f>HYPERLINK("https://www.boe.es/gazeta/dias/1820/03/21/pdfs/GMD-1820-46.pdf#page=7","Abrir facsímil")</f>
        <v>Abrir facsímil</v>
      </c>
      <c r="K3723" s="3" t="s">
        <v>23</v>
      </c>
    </row>
    <row r="3724" spans="1:11" ht="42" customHeight="1">
      <c r="A3724" s="2" t="s">
        <v>7607</v>
      </c>
      <c r="B3724" s="2" t="s">
        <v>7607</v>
      </c>
      <c r="C3724" s="2" t="s">
        <v>35</v>
      </c>
      <c r="D3724" s="2" t="s">
        <v>36</v>
      </c>
      <c r="E3724" s="5">
        <v>-28866</v>
      </c>
      <c r="F3724" s="3" t="s">
        <v>507</v>
      </c>
      <c r="G3724" s="3" t="s">
        <v>20</v>
      </c>
      <c r="H3724" s="2" t="s">
        <v>21</v>
      </c>
      <c r="I3724" s="2" t="s">
        <v>7608</v>
      </c>
      <c r="J3724" s="3" t="str">
        <f>HYPERLINK("https://www.boe.es/gazeta/dias/1820/12/18/pdfs/GGB-1820-175.pdf#page=4","Abrir facsímil")</f>
        <v>Abrir facsímil</v>
      </c>
      <c r="K3724" s="3" t="s">
        <v>23</v>
      </c>
    </row>
    <row r="3725" spans="1:11" ht="42" customHeight="1">
      <c r="A3725" s="2" t="s">
        <v>7609</v>
      </c>
      <c r="B3725" s="2" t="s">
        <v>7610</v>
      </c>
      <c r="C3725" s="2" t="s">
        <v>35</v>
      </c>
      <c r="D3725" s="2" t="s">
        <v>36</v>
      </c>
      <c r="E3725" s="5">
        <v>-28914</v>
      </c>
      <c r="F3725" s="3" t="s">
        <v>434</v>
      </c>
      <c r="G3725" s="3" t="s">
        <v>20</v>
      </c>
      <c r="H3725" s="2" t="s">
        <v>21</v>
      </c>
      <c r="I3725" s="2" t="s">
        <v>7611</v>
      </c>
      <c r="J3725" s="3" t="str">
        <f>HYPERLINK("https://www.boe.es/gazeta/dias/1820/10/31/pdfs/GGB-1820-125.pdf#page=4","Abrir facsímil")</f>
        <v>Abrir facsímil</v>
      </c>
      <c r="K3725" s="3" t="s">
        <v>23</v>
      </c>
    </row>
    <row r="3726" spans="1:11" ht="42" customHeight="1">
      <c r="A3726" s="2" t="s">
        <v>7612</v>
      </c>
      <c r="B3726" s="2" t="s">
        <v>7612</v>
      </c>
      <c r="C3726" s="2" t="s">
        <v>17</v>
      </c>
      <c r="D3726" s="2" t="s">
        <v>18</v>
      </c>
      <c r="E3726" s="5">
        <v>-29040</v>
      </c>
      <c r="F3726" s="3" t="s">
        <v>1125</v>
      </c>
      <c r="G3726" s="3" t="s">
        <v>128</v>
      </c>
      <c r="H3726" s="2" t="s">
        <v>21</v>
      </c>
      <c r="I3726" s="2" t="s">
        <v>7613</v>
      </c>
      <c r="J3726" s="3" t="str">
        <f>HYPERLINK("https://www.boe.es/gazeta/dias/1820/06/27/pdfs/GMD-1820-99.pdf#page=1","Abrir facsímil")</f>
        <v>Abrir facsímil</v>
      </c>
      <c r="K3726" s="3" t="s">
        <v>23</v>
      </c>
    </row>
    <row r="3727" spans="1:11" ht="42" customHeight="1">
      <c r="A3727" s="2" t="s">
        <v>7612</v>
      </c>
      <c r="B3727" s="2" t="s">
        <v>7612</v>
      </c>
      <c r="C3727" s="2" t="s">
        <v>293</v>
      </c>
      <c r="D3727" s="2" t="s">
        <v>18</v>
      </c>
      <c r="E3727" s="5">
        <v>-29038</v>
      </c>
      <c r="F3727" s="3" t="s">
        <v>957</v>
      </c>
      <c r="G3727" s="3" t="s">
        <v>62</v>
      </c>
      <c r="H3727" s="2" t="s">
        <v>21</v>
      </c>
      <c r="I3727" s="2" t="s">
        <v>7614</v>
      </c>
      <c r="J3727" s="3" t="str">
        <f>HYPERLINK("https://www.boe.es/gazeta/dias/1820/06/29/pdfs/GMD-1820-100.pdf#page=3","Abrir facsímil")</f>
        <v>Abrir facsímil</v>
      </c>
      <c r="K3727" s="3" t="s">
        <v>23</v>
      </c>
    </row>
    <row r="3728" spans="1:11" ht="42" customHeight="1">
      <c r="A3728" s="2" t="s">
        <v>7612</v>
      </c>
      <c r="B3728" s="2" t="s">
        <v>7612</v>
      </c>
      <c r="C3728" s="2" t="s">
        <v>35</v>
      </c>
      <c r="D3728" s="2" t="s">
        <v>36</v>
      </c>
      <c r="E3728" s="5">
        <v>-28965</v>
      </c>
      <c r="F3728" s="3" t="s">
        <v>1520</v>
      </c>
      <c r="G3728" s="3" t="s">
        <v>128</v>
      </c>
      <c r="H3728" s="2" t="s">
        <v>21</v>
      </c>
      <c r="I3728" s="2" t="s">
        <v>7615</v>
      </c>
      <c r="J3728" s="3" t="str">
        <f>HYPERLINK("https://www.boe.es/gazeta/dias/1820/09/10/pdfs/GGB-1820-74.pdf#page=1","Abrir facsímil")</f>
        <v>Abrir facsímil</v>
      </c>
      <c r="K3728" s="3" t="s">
        <v>23</v>
      </c>
    </row>
    <row r="3729" spans="1:11" ht="42" customHeight="1">
      <c r="A3729" s="2" t="s">
        <v>7616</v>
      </c>
      <c r="B3729" s="2" t="s">
        <v>7617</v>
      </c>
      <c r="C3729" s="2" t="s">
        <v>35</v>
      </c>
      <c r="D3729" s="2" t="s">
        <v>36</v>
      </c>
      <c r="E3729" s="5">
        <v>-28914</v>
      </c>
      <c r="F3729" s="3" t="s">
        <v>434</v>
      </c>
      <c r="G3729" s="3" t="s">
        <v>43</v>
      </c>
      <c r="H3729" s="2" t="s">
        <v>21</v>
      </c>
      <c r="I3729" s="2" t="s">
        <v>7618</v>
      </c>
      <c r="J3729" s="3" t="str">
        <f>HYPERLINK("https://www.boe.es/gazeta/dias/1820/10/31/pdfs/GGB-1820-125.pdf#page=2","Abrir facsímil")</f>
        <v>Abrir facsímil</v>
      </c>
      <c r="K3729" s="3" t="s">
        <v>23</v>
      </c>
    </row>
    <row r="3730" spans="1:11" ht="42" customHeight="1">
      <c r="A3730" s="2" t="s">
        <v>7619</v>
      </c>
      <c r="B3730" s="2" t="s">
        <v>7620</v>
      </c>
      <c r="C3730" s="2" t="s">
        <v>17</v>
      </c>
      <c r="D3730" s="2" t="s">
        <v>18</v>
      </c>
      <c r="E3730" s="5">
        <v>-29141</v>
      </c>
      <c r="F3730" s="3" t="s">
        <v>319</v>
      </c>
      <c r="G3730" s="3" t="s">
        <v>38</v>
      </c>
      <c r="H3730" s="2" t="s">
        <v>21</v>
      </c>
      <c r="I3730" s="2" t="s">
        <v>7621</v>
      </c>
      <c r="J3730" s="3" t="str">
        <f>HYPERLINK("https://www.boe.es/gazeta/dias/1820/03/18/pdfs/GMD-1820-44.pdf#page=6","Abrir facsímil")</f>
        <v>Abrir facsímil</v>
      </c>
      <c r="K3730" s="3" t="s">
        <v>23</v>
      </c>
    </row>
    <row r="3731" spans="1:11" ht="42" customHeight="1">
      <c r="A3731" s="2" t="s">
        <v>7622</v>
      </c>
      <c r="B3731" s="2" t="s">
        <v>7623</v>
      </c>
      <c r="C3731" s="2" t="s">
        <v>111</v>
      </c>
      <c r="D3731" s="2" t="s">
        <v>18</v>
      </c>
      <c r="E3731" s="5">
        <v>-29143</v>
      </c>
      <c r="F3731" s="3" t="s">
        <v>334</v>
      </c>
      <c r="G3731" s="3" t="s">
        <v>295</v>
      </c>
      <c r="H3731" s="2" t="s">
        <v>21</v>
      </c>
      <c r="I3731" s="2" t="s">
        <v>7624</v>
      </c>
      <c r="J3731" s="3" t="str">
        <f>HYPERLINK("https://www.boe.es/gazeta/dias/1820/03/16/pdfs/GMD-1820-42.pdf#page=8","Abrir facsímil")</f>
        <v>Abrir facsímil</v>
      </c>
      <c r="K3731" s="3" t="s">
        <v>23</v>
      </c>
    </row>
    <row r="3732" spans="1:11" ht="42" customHeight="1">
      <c r="A3732" s="2" t="s">
        <v>7625</v>
      </c>
      <c r="B3732" s="2" t="s">
        <v>7626</v>
      </c>
      <c r="C3732" s="2" t="s">
        <v>26</v>
      </c>
      <c r="D3732" s="2" t="s">
        <v>27</v>
      </c>
      <c r="E3732" s="5">
        <v>-28905</v>
      </c>
      <c r="F3732" s="3" t="s">
        <v>749</v>
      </c>
      <c r="G3732" s="3" t="s">
        <v>43</v>
      </c>
      <c r="H3732" s="2" t="s">
        <v>21</v>
      </c>
      <c r="I3732" s="2" t="s">
        <v>7627</v>
      </c>
      <c r="J3732" s="3" t="str">
        <f>HYPERLINK("https://www.boe.es/gazeta/dias/1820/11/09/pdfs/GGB-1820-134.pdf#page=2","Abrir facsímil")</f>
        <v>Abrir facsímil</v>
      </c>
      <c r="K3732" s="3" t="s">
        <v>23</v>
      </c>
    </row>
    <row r="3733" spans="1:11" ht="42" customHeight="1">
      <c r="A3733" s="2" t="s">
        <v>7628</v>
      </c>
      <c r="B3733" s="2" t="s">
        <v>7629</v>
      </c>
      <c r="C3733" s="2" t="s">
        <v>26</v>
      </c>
      <c r="D3733" s="2" t="s">
        <v>27</v>
      </c>
      <c r="E3733" s="5">
        <v>-28879</v>
      </c>
      <c r="F3733" s="3" t="s">
        <v>953</v>
      </c>
      <c r="G3733" s="3" t="s">
        <v>62</v>
      </c>
      <c r="H3733" s="2" t="s">
        <v>21</v>
      </c>
      <c r="I3733" s="2" t="s">
        <v>7630</v>
      </c>
      <c r="J3733" s="3" t="str">
        <f>HYPERLINK("https://www.boe.es/gazeta/dias/1820/12/05/pdfs/GGB-1820-162.pdf#page=3","Abrir facsímil")</f>
        <v>Abrir facsímil</v>
      </c>
      <c r="K3733" s="3" t="s">
        <v>23</v>
      </c>
    </row>
    <row r="3734" spans="1:11" ht="42" customHeight="1">
      <c r="A3734" s="2" t="s">
        <v>7631</v>
      </c>
      <c r="B3734" s="2" t="s">
        <v>7631</v>
      </c>
      <c r="C3734" s="2" t="s">
        <v>17</v>
      </c>
      <c r="D3734" s="2" t="s">
        <v>18</v>
      </c>
      <c r="E3734" s="5">
        <v>-28950</v>
      </c>
      <c r="F3734" s="3" t="s">
        <v>1052</v>
      </c>
      <c r="G3734" s="3" t="s">
        <v>1372</v>
      </c>
      <c r="H3734" s="2" t="s">
        <v>21</v>
      </c>
      <c r="I3734" s="2" t="s">
        <v>7632</v>
      </c>
      <c r="J3734" s="3" t="str">
        <f>HYPERLINK("https://www.boe.es/gazeta/dias/1820/09/25/pdfs/GGB-1820-89.pdf#page=2","Abrir facsímil")</f>
        <v>Abrir facsímil</v>
      </c>
      <c r="K3734" s="3" t="s">
        <v>23</v>
      </c>
    </row>
    <row r="3735" spans="1:11" ht="42" customHeight="1">
      <c r="A3735" s="2" t="s">
        <v>7633</v>
      </c>
      <c r="B3735" s="2" t="s">
        <v>7633</v>
      </c>
      <c r="C3735" s="2" t="s">
        <v>26</v>
      </c>
      <c r="D3735" s="2" t="s">
        <v>27</v>
      </c>
      <c r="E3735" s="5">
        <v>-28922</v>
      </c>
      <c r="F3735" s="3" t="s">
        <v>735</v>
      </c>
      <c r="G3735" s="3" t="s">
        <v>20</v>
      </c>
      <c r="H3735" s="2" t="s">
        <v>21</v>
      </c>
      <c r="I3735" s="2" t="s">
        <v>7634</v>
      </c>
      <c r="J3735" s="3" t="str">
        <f>HYPERLINK("https://www.boe.es/gazeta/dias/1820/10/23/pdfs/GGB-1820-117.pdf#page=4","Abrir facsímil")</f>
        <v>Abrir facsímil</v>
      </c>
      <c r="K3735" s="3" t="s">
        <v>23</v>
      </c>
    </row>
    <row r="3736" spans="1:11" ht="42" customHeight="1">
      <c r="A3736" s="2" t="s">
        <v>7635</v>
      </c>
      <c r="B3736" s="2" t="s">
        <v>7636</v>
      </c>
      <c r="C3736" s="2" t="s">
        <v>26</v>
      </c>
      <c r="D3736" s="2" t="s">
        <v>27</v>
      </c>
      <c r="E3736" s="5">
        <v>-28946</v>
      </c>
      <c r="F3736" s="3" t="s">
        <v>1055</v>
      </c>
      <c r="G3736" s="3" t="s">
        <v>4558</v>
      </c>
      <c r="H3736" s="2" t="s">
        <v>21</v>
      </c>
      <c r="I3736" s="2" t="s">
        <v>7637</v>
      </c>
      <c r="J3736" s="3" t="str">
        <f>HYPERLINK("https://www.boe.es/gazeta/dias/1820/09/29/pdfs/GGB-1820-93.pdf#page=3","Abrir facsímil")</f>
        <v>Abrir facsímil</v>
      </c>
      <c r="K3736" s="3" t="s">
        <v>23</v>
      </c>
    </row>
    <row r="3737" spans="1:11" ht="42" customHeight="1">
      <c r="A3737" s="2" t="s">
        <v>7638</v>
      </c>
      <c r="B3737" s="2" t="s">
        <v>7639</v>
      </c>
      <c r="C3737" s="2" t="s">
        <v>26</v>
      </c>
      <c r="D3737" s="2" t="s">
        <v>27</v>
      </c>
      <c r="E3737" s="5">
        <v>-29173</v>
      </c>
      <c r="F3737" s="3" t="s">
        <v>829</v>
      </c>
      <c r="G3737" s="3" t="s">
        <v>256</v>
      </c>
      <c r="H3737" s="2" t="s">
        <v>21</v>
      </c>
      <c r="I3737" s="2" t="s">
        <v>7640</v>
      </c>
      <c r="J3737" s="3" t="str">
        <f>HYPERLINK("https://www.boe.es/gazeta/dias/1820/02/15/pdfs/GMD-1820-20.pdf#page=5","Abrir facsímil")</f>
        <v>Abrir facsímil</v>
      </c>
      <c r="K3737" s="3" t="s">
        <v>23</v>
      </c>
    </row>
    <row r="3738" spans="1:11" ht="42" customHeight="1">
      <c r="A3738" s="2" t="s">
        <v>7638</v>
      </c>
      <c r="B3738" s="2" t="s">
        <v>7639</v>
      </c>
      <c r="C3738" s="2" t="s">
        <v>26</v>
      </c>
      <c r="D3738" s="2" t="s">
        <v>27</v>
      </c>
      <c r="E3738" s="5">
        <v>-29173</v>
      </c>
      <c r="F3738" s="3" t="s">
        <v>829</v>
      </c>
      <c r="G3738" s="3" t="s">
        <v>38</v>
      </c>
      <c r="H3738" s="2" t="s">
        <v>21</v>
      </c>
      <c r="I3738" s="2" t="s">
        <v>7641</v>
      </c>
      <c r="J3738" s="3" t="str">
        <f>HYPERLINK("https://www.boe.es/gazeta/dias/1820/02/15/pdfs/GMD-1820-20.pdf#page=6","Abrir facsímil")</f>
        <v>Abrir facsímil</v>
      </c>
      <c r="K3738" s="3" t="s">
        <v>23</v>
      </c>
    </row>
    <row r="3739" spans="1:11" ht="42" customHeight="1">
      <c r="A3739" s="2" t="s">
        <v>7638</v>
      </c>
      <c r="B3739" s="2" t="s">
        <v>7639</v>
      </c>
      <c r="C3739" s="2" t="s">
        <v>26</v>
      </c>
      <c r="D3739" s="2" t="s">
        <v>27</v>
      </c>
      <c r="E3739" s="5">
        <v>-29150</v>
      </c>
      <c r="F3739" s="3" t="s">
        <v>299</v>
      </c>
      <c r="G3739" s="3" t="s">
        <v>2254</v>
      </c>
      <c r="H3739" s="2" t="s">
        <v>21</v>
      </c>
      <c r="I3739" s="2" t="s">
        <v>7642</v>
      </c>
      <c r="J3739" s="3" t="str">
        <f>HYPERLINK("https://www.boe.es/gazeta/dias/1820/03/09/pdfs/GMD-1820-32.pdf#page=6","Abrir facsímil")</f>
        <v>Abrir facsímil</v>
      </c>
      <c r="K3739" s="3" t="s">
        <v>23</v>
      </c>
    </row>
    <row r="3740" spans="1:11" ht="42" customHeight="1">
      <c r="A3740" s="2" t="s">
        <v>7638</v>
      </c>
      <c r="B3740" s="2" t="s">
        <v>7639</v>
      </c>
      <c r="C3740" s="2" t="s">
        <v>26</v>
      </c>
      <c r="D3740" s="2" t="s">
        <v>27</v>
      </c>
      <c r="E3740" s="5">
        <v>-29150</v>
      </c>
      <c r="F3740" s="3" t="s">
        <v>299</v>
      </c>
      <c r="G3740" s="3" t="s">
        <v>201</v>
      </c>
      <c r="H3740" s="2" t="s">
        <v>21</v>
      </c>
      <c r="I3740" s="2" t="s">
        <v>7643</v>
      </c>
      <c r="J3740" s="3" t="str">
        <f>HYPERLINK("https://www.boe.es/gazeta/dias/1820/03/09/pdfs/GMD-1820-32.pdf#page=7","Abrir facsímil")</f>
        <v>Abrir facsímil</v>
      </c>
      <c r="K3740" s="3" t="s">
        <v>23</v>
      </c>
    </row>
    <row r="3741" spans="1:11" ht="42" customHeight="1">
      <c r="A3741" s="2" t="s">
        <v>7644</v>
      </c>
      <c r="B3741" s="2" t="s">
        <v>7645</v>
      </c>
      <c r="C3741" s="2" t="s">
        <v>35</v>
      </c>
      <c r="D3741" s="2" t="s">
        <v>36</v>
      </c>
      <c r="E3741" s="5">
        <v>-28934</v>
      </c>
      <c r="F3741" s="3" t="s">
        <v>163</v>
      </c>
      <c r="G3741" s="3" t="s">
        <v>62</v>
      </c>
      <c r="H3741" s="2" t="s">
        <v>21</v>
      </c>
      <c r="I3741" s="2" t="s">
        <v>7646</v>
      </c>
      <c r="J3741" s="3" t="str">
        <f>HYPERLINK("https://www.boe.es/gazeta/dias/1820/10/11/pdfs/GGB-1820-105.pdf#page=3","Abrir facsímil")</f>
        <v>Abrir facsímil</v>
      </c>
      <c r="K3741" s="3" t="s">
        <v>23</v>
      </c>
    </row>
    <row r="3742" spans="1:11" ht="42" customHeight="1">
      <c r="A3742" s="2" t="s">
        <v>7647</v>
      </c>
      <c r="B3742" s="2" t="s">
        <v>7648</v>
      </c>
      <c r="C3742" s="2" t="s">
        <v>26</v>
      </c>
      <c r="D3742" s="2" t="s">
        <v>27</v>
      </c>
      <c r="E3742" s="5">
        <v>-29029</v>
      </c>
      <c r="F3742" s="3" t="s">
        <v>282</v>
      </c>
      <c r="G3742" s="3" t="s">
        <v>20</v>
      </c>
      <c r="H3742" s="2" t="s">
        <v>21</v>
      </c>
      <c r="I3742" s="2" t="s">
        <v>7649</v>
      </c>
      <c r="J3742" s="3" t="str">
        <f>HYPERLINK("https://www.boe.es/gazeta/dias/1820/07/08/pdfs/GGB-1820-9.pdf#page=4","Abrir facsímil")</f>
        <v>Abrir facsímil</v>
      </c>
      <c r="K3742" s="3" t="s">
        <v>23</v>
      </c>
    </row>
    <row r="3743" spans="1:11" ht="42" customHeight="1">
      <c r="A3743" s="2" t="s">
        <v>7650</v>
      </c>
      <c r="B3743" s="2" t="s">
        <v>7651</v>
      </c>
      <c r="C3743" s="2" t="s">
        <v>17</v>
      </c>
      <c r="D3743" s="2" t="s">
        <v>18</v>
      </c>
      <c r="E3743" s="5">
        <v>-29045</v>
      </c>
      <c r="F3743" s="3" t="s">
        <v>155</v>
      </c>
      <c r="G3743" s="3" t="s">
        <v>295</v>
      </c>
      <c r="H3743" s="2" t="s">
        <v>21</v>
      </c>
      <c r="I3743" s="2" t="s">
        <v>7652</v>
      </c>
      <c r="J3743" s="3" t="str">
        <f>HYPERLINK("https://www.boe.es/gazeta/dias/1820/06/22/pdfs/GMD-1820-97.pdf#page=8","Abrir facsímil")</f>
        <v>Abrir facsímil</v>
      </c>
      <c r="K3743" s="3" t="s">
        <v>23</v>
      </c>
    </row>
    <row r="3744" spans="1:11" ht="42" customHeight="1">
      <c r="A3744" s="2" t="s">
        <v>7653</v>
      </c>
      <c r="B3744" s="2" t="s">
        <v>7654</v>
      </c>
      <c r="C3744" s="2" t="s">
        <v>35</v>
      </c>
      <c r="D3744" s="2" t="s">
        <v>36</v>
      </c>
      <c r="E3744" s="5">
        <v>-28939</v>
      </c>
      <c r="F3744" s="3" t="s">
        <v>992</v>
      </c>
      <c r="G3744" s="3" t="s">
        <v>43</v>
      </c>
      <c r="H3744" s="2" t="s">
        <v>21</v>
      </c>
      <c r="I3744" s="2" t="s">
        <v>7655</v>
      </c>
      <c r="J3744" s="3" t="str">
        <f>HYPERLINK("https://www.boe.es/gazeta/dias/1820/10/06/pdfs/GGB-1820-100.pdf#page=2","Abrir facsímil")</f>
        <v>Abrir facsímil</v>
      </c>
      <c r="K3744" s="3" t="s">
        <v>23</v>
      </c>
    </row>
    <row r="3745" spans="1:11" ht="42" customHeight="1">
      <c r="A3745" s="2" t="s">
        <v>7656</v>
      </c>
      <c r="B3745" s="2" t="s">
        <v>7656</v>
      </c>
      <c r="C3745" s="2" t="s">
        <v>17</v>
      </c>
      <c r="D3745" s="2" t="s">
        <v>18</v>
      </c>
      <c r="E3745" s="5">
        <v>-28970</v>
      </c>
      <c r="F3745" s="3" t="s">
        <v>693</v>
      </c>
      <c r="G3745" s="3" t="s">
        <v>128</v>
      </c>
      <c r="H3745" s="2" t="s">
        <v>21</v>
      </c>
      <c r="I3745" s="2" t="s">
        <v>7657</v>
      </c>
      <c r="J3745" s="3" t="str">
        <f>HYPERLINK("https://www.boe.es/gazeta/dias/1820/09/05/pdfs/GGB-1820-69.pdf#page=1","Abrir facsímil")</f>
        <v>Abrir facsímil</v>
      </c>
      <c r="K3745" s="3" t="s">
        <v>23</v>
      </c>
    </row>
    <row r="3746" spans="1:11" ht="42" customHeight="1">
      <c r="A3746" s="2" t="s">
        <v>7658</v>
      </c>
      <c r="B3746" s="2" t="s">
        <v>7659</v>
      </c>
      <c r="C3746" s="2" t="s">
        <v>35</v>
      </c>
      <c r="D3746" s="2" t="s">
        <v>36</v>
      </c>
      <c r="E3746" s="5">
        <v>-29145</v>
      </c>
      <c r="F3746" s="3" t="s">
        <v>3537</v>
      </c>
      <c r="G3746" s="3" t="s">
        <v>4091</v>
      </c>
      <c r="H3746" s="2" t="s">
        <v>21</v>
      </c>
      <c r="I3746" s="2" t="s">
        <v>7660</v>
      </c>
      <c r="J3746" s="3" t="str">
        <f>HYPERLINK("https://www.boe.es/gazeta/dias/1820/03/14/pdfs/GMD-1820-39.pdf#page=5","Abrir facsímil")</f>
        <v>Abrir facsímil</v>
      </c>
      <c r="K3746" s="3" t="s">
        <v>23</v>
      </c>
    </row>
    <row r="3747" spans="1:11" ht="42" customHeight="1">
      <c r="A3747" s="2" t="s">
        <v>7661</v>
      </c>
      <c r="B3747" s="2" t="s">
        <v>7662</v>
      </c>
      <c r="C3747" s="2" t="s">
        <v>35</v>
      </c>
      <c r="D3747" s="2" t="s">
        <v>36</v>
      </c>
      <c r="E3747" s="5">
        <v>-28902</v>
      </c>
      <c r="F3747" s="3" t="s">
        <v>440</v>
      </c>
      <c r="G3747" s="3" t="s">
        <v>20</v>
      </c>
      <c r="H3747" s="2" t="s">
        <v>21</v>
      </c>
      <c r="I3747" s="2" t="s">
        <v>7663</v>
      </c>
      <c r="J3747" s="3" t="str">
        <f>HYPERLINK("https://www.boe.es/gazeta/dias/1820/11/12/pdfs/GGB-1820-138.pdf#page=4","Abrir facsímil")</f>
        <v>Abrir facsímil</v>
      </c>
      <c r="K3747" s="3" t="s">
        <v>23</v>
      </c>
    </row>
    <row r="3748" spans="1:11" ht="42" customHeight="1">
      <c r="A3748" s="2" t="s">
        <v>7664</v>
      </c>
      <c r="B3748" s="2" t="s">
        <v>7665</v>
      </c>
      <c r="C3748" s="2" t="s">
        <v>26</v>
      </c>
      <c r="D3748" s="2" t="s">
        <v>27</v>
      </c>
      <c r="E3748" s="5">
        <v>-29029</v>
      </c>
      <c r="F3748" s="3" t="s">
        <v>282</v>
      </c>
      <c r="G3748" s="3" t="s">
        <v>20</v>
      </c>
      <c r="H3748" s="2" t="s">
        <v>21</v>
      </c>
      <c r="I3748" s="2" t="s">
        <v>7666</v>
      </c>
      <c r="J3748" s="3" t="str">
        <f>HYPERLINK("https://www.boe.es/gazeta/dias/1820/07/08/pdfs/GGB-1820-9.pdf#page=4","Abrir facsímil")</f>
        <v>Abrir facsímil</v>
      </c>
      <c r="K3748" s="3" t="s">
        <v>23</v>
      </c>
    </row>
    <row r="3749" spans="1:11" ht="42" customHeight="1">
      <c r="A3749" s="2" t="s">
        <v>7667</v>
      </c>
      <c r="B3749" s="2" t="s">
        <v>7667</v>
      </c>
      <c r="C3749" s="2" t="s">
        <v>293</v>
      </c>
      <c r="D3749" s="2" t="s">
        <v>18</v>
      </c>
      <c r="E3749" s="5">
        <v>-29029</v>
      </c>
      <c r="F3749" s="3" t="s">
        <v>282</v>
      </c>
      <c r="G3749" s="3" t="s">
        <v>128</v>
      </c>
      <c r="H3749" s="2" t="s">
        <v>21</v>
      </c>
      <c r="I3749" s="2" t="s">
        <v>7668</v>
      </c>
      <c r="J3749" s="3" t="str">
        <f>HYPERLINK("https://www.boe.es/gazeta/dias/1820/07/08/pdfs/GGB-1820-9.pdf#page=1","Abrir facsímil")</f>
        <v>Abrir facsímil</v>
      </c>
      <c r="K3749" s="3" t="s">
        <v>23</v>
      </c>
    </row>
    <row r="3750" spans="1:11" ht="42" customHeight="1">
      <c r="A3750" s="2" t="s">
        <v>7669</v>
      </c>
      <c r="B3750" s="2" t="s">
        <v>7669</v>
      </c>
      <c r="C3750" s="2" t="s">
        <v>17</v>
      </c>
      <c r="D3750" s="2" t="s">
        <v>18</v>
      </c>
      <c r="E3750" s="5">
        <v>-29089</v>
      </c>
      <c r="F3750" s="3" t="s">
        <v>2128</v>
      </c>
      <c r="G3750" s="3" t="s">
        <v>43</v>
      </c>
      <c r="H3750" s="2" t="s">
        <v>21</v>
      </c>
      <c r="I3750" s="2" t="s">
        <v>7670</v>
      </c>
      <c r="J3750" s="3" t="str">
        <f>HYPERLINK("https://www.boe.es/gazeta/dias/1820/05/09/pdfs/GMD-1820-77.pdf#page=2","Abrir facsímil")</f>
        <v>Abrir facsímil</v>
      </c>
      <c r="K3750" s="3" t="s">
        <v>23</v>
      </c>
    </row>
    <row r="3751" spans="1:11" ht="42" customHeight="1">
      <c r="A3751" s="2" t="s">
        <v>7671</v>
      </c>
      <c r="B3751" s="2" t="s">
        <v>7671</v>
      </c>
      <c r="C3751" s="2" t="s">
        <v>26</v>
      </c>
      <c r="D3751" s="2" t="s">
        <v>27</v>
      </c>
      <c r="E3751" s="5">
        <v>-28886</v>
      </c>
      <c r="F3751" s="3" t="s">
        <v>874</v>
      </c>
      <c r="G3751" s="3" t="s">
        <v>43</v>
      </c>
      <c r="H3751" s="2" t="s">
        <v>21</v>
      </c>
      <c r="I3751" s="2" t="s">
        <v>7672</v>
      </c>
      <c r="J3751" s="3" t="str">
        <f>HYPERLINK("https://www.boe.es/gazeta/dias/1820/11/28/pdfs/GGB-1820-155.pdf#page=2","Abrir facsímil")</f>
        <v>Abrir facsímil</v>
      </c>
      <c r="K3751" s="3" t="s">
        <v>23</v>
      </c>
    </row>
    <row r="3752" spans="1:11" ht="42" customHeight="1">
      <c r="A3752" s="2" t="s">
        <v>7671</v>
      </c>
      <c r="B3752" s="2" t="s">
        <v>7671</v>
      </c>
      <c r="C3752" s="2" t="s">
        <v>74</v>
      </c>
      <c r="D3752" s="2" t="s">
        <v>18</v>
      </c>
      <c r="E3752" s="5">
        <v>-28878</v>
      </c>
      <c r="F3752" s="3" t="s">
        <v>866</v>
      </c>
      <c r="G3752" s="3" t="s">
        <v>43</v>
      </c>
      <c r="H3752" s="2" t="s">
        <v>21</v>
      </c>
      <c r="I3752" s="2" t="s">
        <v>7673</v>
      </c>
      <c r="J3752" s="3" t="str">
        <f>HYPERLINK("https://www.boe.es/gazeta/dias/1820/12/06/pdfs/GGB-1820-163.pdf#page=2","Abrir facsímil")</f>
        <v>Abrir facsímil</v>
      </c>
      <c r="K3752" s="3" t="s">
        <v>23</v>
      </c>
    </row>
    <row r="3753" spans="1:11" ht="42" customHeight="1">
      <c r="A3753" s="2" t="s">
        <v>7674</v>
      </c>
      <c r="B3753" s="2" t="s">
        <v>7674</v>
      </c>
      <c r="C3753" s="2" t="s">
        <v>26</v>
      </c>
      <c r="D3753" s="2" t="s">
        <v>27</v>
      </c>
      <c r="E3753" s="5">
        <v>-28862</v>
      </c>
      <c r="F3753" s="3" t="s">
        <v>1905</v>
      </c>
      <c r="G3753" s="3" t="s">
        <v>43</v>
      </c>
      <c r="H3753" s="2" t="s">
        <v>21</v>
      </c>
      <c r="I3753" s="2" t="s">
        <v>7675</v>
      </c>
      <c r="J3753" s="3" t="str">
        <f>HYPERLINK("https://www.boe.es/gazeta/dias/1820/12/22/pdfs/GGB-1820-179.pdf#page=2","Abrir facsímil")</f>
        <v>Abrir facsímil</v>
      </c>
      <c r="K3753" s="3" t="s">
        <v>23</v>
      </c>
    </row>
    <row r="3754" spans="1:11" ht="42" customHeight="1">
      <c r="A3754" s="2" t="s">
        <v>7676</v>
      </c>
      <c r="B3754" s="2" t="s">
        <v>7676</v>
      </c>
      <c r="C3754" s="2" t="s">
        <v>35</v>
      </c>
      <c r="D3754" s="2" t="s">
        <v>36</v>
      </c>
      <c r="E3754" s="5">
        <v>-29082</v>
      </c>
      <c r="F3754" s="3" t="s">
        <v>478</v>
      </c>
      <c r="G3754" s="3" t="s">
        <v>43</v>
      </c>
      <c r="H3754" s="2" t="s">
        <v>21</v>
      </c>
      <c r="I3754" s="2" t="s">
        <v>7677</v>
      </c>
      <c r="J3754" s="3" t="str">
        <f>HYPERLINK("https://www.boe.es/gazeta/dias/1820/05/16/pdfs/GMD-1820-80.pdf#page=2","Abrir facsímil")</f>
        <v>Abrir facsímil</v>
      </c>
      <c r="K3754" s="3" t="s">
        <v>23</v>
      </c>
    </row>
    <row r="3755" spans="1:11" ht="42" customHeight="1">
      <c r="A3755" s="2" t="s">
        <v>7678</v>
      </c>
      <c r="B3755" s="2" t="s">
        <v>7678</v>
      </c>
      <c r="C3755" s="2" t="s">
        <v>74</v>
      </c>
      <c r="D3755" s="2" t="s">
        <v>18</v>
      </c>
      <c r="E3755" s="5">
        <v>-29152</v>
      </c>
      <c r="F3755" s="3" t="s">
        <v>1293</v>
      </c>
      <c r="G3755" s="3" t="s">
        <v>62</v>
      </c>
      <c r="H3755" s="2" t="s">
        <v>21</v>
      </c>
      <c r="I3755" s="2" t="s">
        <v>7679</v>
      </c>
      <c r="J3755" s="3" t="str">
        <f>HYPERLINK("https://www.boe.es/gazeta/dias/1820/03/07/pdfs/GMD-1820-29.pdf#page=3","Abrir facsímil")</f>
        <v>Abrir facsímil</v>
      </c>
      <c r="K3755" s="3" t="s">
        <v>23</v>
      </c>
    </row>
    <row r="3756" spans="1:11" ht="42" customHeight="1">
      <c r="A3756" s="2" t="s">
        <v>7678</v>
      </c>
      <c r="B3756" s="2" t="s">
        <v>7678</v>
      </c>
      <c r="C3756" s="2" t="s">
        <v>35</v>
      </c>
      <c r="D3756" s="2" t="s">
        <v>36</v>
      </c>
      <c r="E3756" s="5">
        <v>-29148</v>
      </c>
      <c r="F3756" s="3" t="s">
        <v>493</v>
      </c>
      <c r="G3756" s="3" t="s">
        <v>1805</v>
      </c>
      <c r="H3756" s="2" t="s">
        <v>21</v>
      </c>
      <c r="I3756" s="2" t="s">
        <v>7680</v>
      </c>
      <c r="J3756" s="3" t="str">
        <f>HYPERLINK("https://www.boe.es/gazeta/dias/1820/03/11/pdfs/GMD-1820-36.pdf#page=5","Abrir facsímil")</f>
        <v>Abrir facsímil</v>
      </c>
      <c r="K3756" s="3" t="s">
        <v>23</v>
      </c>
    </row>
    <row r="3757" spans="1:11" ht="42" customHeight="1">
      <c r="A3757" s="2" t="s">
        <v>7678</v>
      </c>
      <c r="B3757" s="2" t="s">
        <v>7678</v>
      </c>
      <c r="C3757" s="2" t="s">
        <v>293</v>
      </c>
      <c r="D3757" s="2" t="s">
        <v>18</v>
      </c>
      <c r="E3757" s="5">
        <v>-29043</v>
      </c>
      <c r="F3757" s="3" t="s">
        <v>5696</v>
      </c>
      <c r="G3757" s="3" t="s">
        <v>62</v>
      </c>
      <c r="H3757" s="2" t="s">
        <v>21</v>
      </c>
      <c r="I3757" s="2" t="s">
        <v>7681</v>
      </c>
      <c r="J3757" s="3" t="str">
        <f>HYPERLINK("https://www.boe.es/gazeta/dias/1820/06/24/pdfs/GMD-1820-98.pdf#page=3","Abrir facsímil")</f>
        <v>Abrir facsímil</v>
      </c>
      <c r="K3757" s="3" t="s">
        <v>23</v>
      </c>
    </row>
    <row r="3758" spans="1:11" ht="42" customHeight="1">
      <c r="A3758" s="2" t="s">
        <v>7678</v>
      </c>
      <c r="B3758" s="2" t="s">
        <v>7678</v>
      </c>
      <c r="C3758" s="2" t="s">
        <v>35</v>
      </c>
      <c r="D3758" s="2" t="s">
        <v>36</v>
      </c>
      <c r="E3758" s="5">
        <v>-29038</v>
      </c>
      <c r="F3758" s="3" t="s">
        <v>957</v>
      </c>
      <c r="G3758" s="3" t="s">
        <v>62</v>
      </c>
      <c r="H3758" s="2" t="s">
        <v>21</v>
      </c>
      <c r="I3758" s="2" t="s">
        <v>7682</v>
      </c>
      <c r="J3758" s="3" t="str">
        <f>HYPERLINK("https://www.boe.es/gazeta/dias/1820/06/29/pdfs/GMD-1820-100.pdf#page=3","Abrir facsímil")</f>
        <v>Abrir facsímil</v>
      </c>
      <c r="K3758" s="3" t="s">
        <v>23</v>
      </c>
    </row>
    <row r="3759" spans="1:11" ht="42" customHeight="1">
      <c r="A3759" s="2" t="s">
        <v>7678</v>
      </c>
      <c r="B3759" s="2" t="s">
        <v>7678</v>
      </c>
      <c r="C3759" s="2" t="s">
        <v>35</v>
      </c>
      <c r="D3759" s="2" t="s">
        <v>36</v>
      </c>
      <c r="E3759" s="5">
        <v>-29029</v>
      </c>
      <c r="F3759" s="3" t="s">
        <v>282</v>
      </c>
      <c r="G3759" s="3" t="s">
        <v>43</v>
      </c>
      <c r="H3759" s="2" t="s">
        <v>21</v>
      </c>
      <c r="I3759" s="2" t="s">
        <v>7683</v>
      </c>
      <c r="J3759" s="3" t="str">
        <f>HYPERLINK("https://www.boe.es/gazeta/dias/1820/07/08/pdfs/GGB-1820-9.pdf#page=2","Abrir facsímil")</f>
        <v>Abrir facsímil</v>
      </c>
      <c r="K3759" s="3" t="s">
        <v>23</v>
      </c>
    </row>
    <row r="3760" spans="1:11" ht="42" customHeight="1">
      <c r="A3760" s="2" t="s">
        <v>7678</v>
      </c>
      <c r="B3760" s="2" t="s">
        <v>7678</v>
      </c>
      <c r="C3760" s="2" t="s">
        <v>74</v>
      </c>
      <c r="D3760" s="2" t="s">
        <v>18</v>
      </c>
      <c r="E3760" s="5">
        <v>-29022</v>
      </c>
      <c r="F3760" s="3" t="s">
        <v>1310</v>
      </c>
      <c r="G3760" s="3" t="s">
        <v>43</v>
      </c>
      <c r="H3760" s="2" t="s">
        <v>21</v>
      </c>
      <c r="I3760" s="2" t="s">
        <v>7684</v>
      </c>
      <c r="J3760" s="3" t="str">
        <f>HYPERLINK("https://www.boe.es/gazeta/dias/1820/07/15/pdfs/GGB-1820-17.pdf#page=2","Abrir facsímil")</f>
        <v>Abrir facsímil</v>
      </c>
      <c r="K3760" s="3" t="s">
        <v>23</v>
      </c>
    </row>
    <row r="3761" spans="1:11" ht="42" customHeight="1">
      <c r="A3761" s="2" t="s">
        <v>7678</v>
      </c>
      <c r="B3761" s="2" t="s">
        <v>7678</v>
      </c>
      <c r="C3761" s="2" t="s">
        <v>17</v>
      </c>
      <c r="D3761" s="2" t="s">
        <v>18</v>
      </c>
      <c r="E3761" s="5">
        <v>-29021</v>
      </c>
      <c r="F3761" s="3" t="s">
        <v>377</v>
      </c>
      <c r="G3761" s="3" t="s">
        <v>128</v>
      </c>
      <c r="H3761" s="2" t="s">
        <v>21</v>
      </c>
      <c r="I3761" s="2" t="s">
        <v>7685</v>
      </c>
      <c r="J3761" s="3" t="str">
        <f>HYPERLINK("https://www.boe.es/gazeta/dias/1820/07/16/pdfs/GGB-1820-18.pdf#page=1","Abrir facsímil")</f>
        <v>Abrir facsímil</v>
      </c>
      <c r="K3761" s="3" t="s">
        <v>23</v>
      </c>
    </row>
    <row r="3762" spans="1:11" ht="42" customHeight="1">
      <c r="A3762" s="2" t="s">
        <v>7678</v>
      </c>
      <c r="B3762" s="2" t="s">
        <v>7678</v>
      </c>
      <c r="C3762" s="2" t="s">
        <v>17</v>
      </c>
      <c r="D3762" s="2" t="s">
        <v>18</v>
      </c>
      <c r="E3762" s="5">
        <v>-29014</v>
      </c>
      <c r="F3762" s="3" t="s">
        <v>70</v>
      </c>
      <c r="G3762" s="3" t="s">
        <v>43</v>
      </c>
      <c r="H3762" s="2" t="s">
        <v>21</v>
      </c>
      <c r="I3762" s="2" t="s">
        <v>7686</v>
      </c>
      <c r="J3762" s="3" t="str">
        <f>HYPERLINK("https://www.boe.es/gazeta/dias/1820/07/23/pdfs/GGB-1820-25.pdf#page=2","Abrir facsímil")</f>
        <v>Abrir facsímil</v>
      </c>
      <c r="K3762" s="3" t="s">
        <v>23</v>
      </c>
    </row>
    <row r="3763" spans="1:11" ht="42" customHeight="1">
      <c r="A3763" s="2" t="s">
        <v>7678</v>
      </c>
      <c r="B3763" s="2" t="s">
        <v>7678</v>
      </c>
      <c r="C3763" s="2" t="s">
        <v>17</v>
      </c>
      <c r="D3763" s="2" t="s">
        <v>18</v>
      </c>
      <c r="E3763" s="5">
        <v>-29013</v>
      </c>
      <c r="F3763" s="3" t="s">
        <v>52</v>
      </c>
      <c r="G3763" s="3" t="s">
        <v>43</v>
      </c>
      <c r="H3763" s="2" t="s">
        <v>21</v>
      </c>
      <c r="I3763" s="2" t="s">
        <v>7687</v>
      </c>
      <c r="J3763" s="3" t="str">
        <f>HYPERLINK("https://www.boe.es/gazeta/dias/1820/07/24/pdfs/GGB-1820-26.pdf#page=2","Abrir facsímil")</f>
        <v>Abrir facsímil</v>
      </c>
      <c r="K3763" s="3" t="s">
        <v>23</v>
      </c>
    </row>
    <row r="3764" spans="1:11" ht="42" customHeight="1">
      <c r="A3764" s="2" t="s">
        <v>7678</v>
      </c>
      <c r="B3764" s="2" t="s">
        <v>7678</v>
      </c>
      <c r="C3764" s="2" t="s">
        <v>17</v>
      </c>
      <c r="D3764" s="2" t="s">
        <v>18</v>
      </c>
      <c r="E3764" s="5">
        <v>-29012</v>
      </c>
      <c r="F3764" s="3" t="s">
        <v>72</v>
      </c>
      <c r="G3764" s="3" t="s">
        <v>128</v>
      </c>
      <c r="H3764" s="2" t="s">
        <v>21</v>
      </c>
      <c r="I3764" s="2" t="s">
        <v>7688</v>
      </c>
      <c r="J3764" s="3" t="str">
        <f>HYPERLINK("https://www.boe.es/gazeta/dias/1820/07/25/pdfs/GGB-1820-27.pdf#page=1","Abrir facsímil")</f>
        <v>Abrir facsímil</v>
      </c>
      <c r="K3764" s="3" t="s">
        <v>23</v>
      </c>
    </row>
    <row r="3765" spans="1:11" ht="42" customHeight="1">
      <c r="A3765" s="2" t="s">
        <v>7678</v>
      </c>
      <c r="B3765" s="2" t="s">
        <v>7678</v>
      </c>
      <c r="C3765" s="2" t="s">
        <v>293</v>
      </c>
      <c r="D3765" s="2" t="s">
        <v>18</v>
      </c>
      <c r="E3765" s="5">
        <v>-29010</v>
      </c>
      <c r="F3765" s="3" t="s">
        <v>664</v>
      </c>
      <c r="G3765" s="3" t="s">
        <v>128</v>
      </c>
      <c r="H3765" s="2" t="s">
        <v>21</v>
      </c>
      <c r="I3765" s="2" t="s">
        <v>7689</v>
      </c>
      <c r="J3765" s="3" t="str">
        <f>HYPERLINK("https://www.boe.es/gazeta/dias/1820/07/27/pdfs/GGB-1820-29.pdf#page=1","Abrir facsímil")</f>
        <v>Abrir facsímil</v>
      </c>
      <c r="K3765" s="3" t="s">
        <v>23</v>
      </c>
    </row>
    <row r="3766" spans="1:11" ht="42" customHeight="1">
      <c r="A3766" s="2" t="s">
        <v>7678</v>
      </c>
      <c r="B3766" s="2" t="s">
        <v>7678</v>
      </c>
      <c r="C3766" s="2" t="s">
        <v>26</v>
      </c>
      <c r="D3766" s="2" t="s">
        <v>27</v>
      </c>
      <c r="E3766" s="5">
        <v>-29007</v>
      </c>
      <c r="F3766" s="3" t="s">
        <v>251</v>
      </c>
      <c r="G3766" s="3" t="s">
        <v>128</v>
      </c>
      <c r="H3766" s="2" t="s">
        <v>21</v>
      </c>
      <c r="I3766" s="2" t="s">
        <v>7690</v>
      </c>
      <c r="J3766" s="3" t="str">
        <f>HYPERLINK("https://www.boe.es/gazeta/dias/1820/07/30/pdfs/GGB-1820-32.pdf#page=1","Abrir facsímil")</f>
        <v>Abrir facsímil</v>
      </c>
      <c r="K3766" s="3" t="s">
        <v>23</v>
      </c>
    </row>
    <row r="3767" spans="1:11" ht="42" customHeight="1">
      <c r="A3767" s="2" t="s">
        <v>7678</v>
      </c>
      <c r="B3767" s="2" t="s">
        <v>7678</v>
      </c>
      <c r="C3767" s="2" t="s">
        <v>35</v>
      </c>
      <c r="D3767" s="2" t="s">
        <v>36</v>
      </c>
      <c r="E3767" s="5">
        <v>-28999</v>
      </c>
      <c r="F3767" s="3" t="s">
        <v>342</v>
      </c>
      <c r="G3767" s="3" t="s">
        <v>128</v>
      </c>
      <c r="H3767" s="2" t="s">
        <v>21</v>
      </c>
      <c r="I3767" s="2" t="s">
        <v>7691</v>
      </c>
      <c r="J3767" s="3" t="str">
        <f>HYPERLINK("https://www.boe.es/gazeta/dias/1820/08/07/pdfs/GGB-1820-40.pdf#page=1","Abrir facsímil")</f>
        <v>Abrir facsímil</v>
      </c>
      <c r="K3767" s="3" t="s">
        <v>23</v>
      </c>
    </row>
    <row r="3768" spans="1:11" ht="42" customHeight="1">
      <c r="A3768" s="2" t="s">
        <v>7678</v>
      </c>
      <c r="B3768" s="2" t="s">
        <v>7678</v>
      </c>
      <c r="C3768" s="2" t="s">
        <v>293</v>
      </c>
      <c r="D3768" s="2" t="s">
        <v>18</v>
      </c>
      <c r="E3768" s="5">
        <v>-28976</v>
      </c>
      <c r="F3768" s="3" t="s">
        <v>689</v>
      </c>
      <c r="G3768" s="3" t="s">
        <v>128</v>
      </c>
      <c r="H3768" s="2" t="s">
        <v>21</v>
      </c>
      <c r="I3768" s="2" t="s">
        <v>7692</v>
      </c>
      <c r="J3768" s="3" t="str">
        <f>HYPERLINK("https://www.boe.es/gazeta/dias/1820/08/30/pdfs/GGB-1820-63.pdf#page=1","Abrir facsímil")</f>
        <v>Abrir facsímil</v>
      </c>
      <c r="K3768" s="3" t="s">
        <v>23</v>
      </c>
    </row>
    <row r="3769" spans="1:11" ht="42" customHeight="1">
      <c r="A3769" s="2" t="s">
        <v>7678</v>
      </c>
      <c r="B3769" s="2" t="s">
        <v>7678</v>
      </c>
      <c r="C3769" s="2" t="s">
        <v>17</v>
      </c>
      <c r="D3769" s="2" t="s">
        <v>18</v>
      </c>
      <c r="E3769" s="5">
        <v>-28972</v>
      </c>
      <c r="F3769" s="3" t="s">
        <v>522</v>
      </c>
      <c r="G3769" s="3" t="s">
        <v>128</v>
      </c>
      <c r="H3769" s="2" t="s">
        <v>21</v>
      </c>
      <c r="I3769" s="2" t="s">
        <v>7693</v>
      </c>
      <c r="J3769" s="3" t="str">
        <f>HYPERLINK("https://www.boe.es/gazeta/dias/1820/09/03/pdfs/GGB-1820-67.pdf#page=1","Abrir facsímil")</f>
        <v>Abrir facsímil</v>
      </c>
      <c r="K3769" s="3" t="s">
        <v>23</v>
      </c>
    </row>
    <row r="3770" spans="1:11" ht="42" customHeight="1">
      <c r="A3770" s="2" t="s">
        <v>7678</v>
      </c>
      <c r="B3770" s="2" t="s">
        <v>7678</v>
      </c>
      <c r="C3770" s="2" t="s">
        <v>17</v>
      </c>
      <c r="D3770" s="2" t="s">
        <v>18</v>
      </c>
      <c r="E3770" s="5">
        <v>-28964</v>
      </c>
      <c r="F3770" s="3" t="s">
        <v>240</v>
      </c>
      <c r="G3770" s="3" t="s">
        <v>128</v>
      </c>
      <c r="H3770" s="2" t="s">
        <v>21</v>
      </c>
      <c r="I3770" s="2" t="s">
        <v>7694</v>
      </c>
      <c r="J3770" s="3" t="str">
        <f>HYPERLINK("https://www.boe.es/gazeta/dias/1820/09/11/pdfs/GGB-1820-75.pdf#page=1","Abrir facsímil")</f>
        <v>Abrir facsímil</v>
      </c>
      <c r="K3770" s="3" t="s">
        <v>23</v>
      </c>
    </row>
    <row r="3771" spans="1:11" ht="42" customHeight="1">
      <c r="A3771" s="2" t="s">
        <v>7678</v>
      </c>
      <c r="B3771" s="2" t="s">
        <v>7678</v>
      </c>
      <c r="C3771" s="2" t="s">
        <v>26</v>
      </c>
      <c r="D3771" s="2" t="s">
        <v>27</v>
      </c>
      <c r="E3771" s="5">
        <v>-28963</v>
      </c>
      <c r="F3771" s="3" t="s">
        <v>94</v>
      </c>
      <c r="G3771" s="3" t="s">
        <v>128</v>
      </c>
      <c r="H3771" s="2" t="s">
        <v>21</v>
      </c>
      <c r="I3771" s="2" t="s">
        <v>7695</v>
      </c>
      <c r="J3771" s="3" t="str">
        <f>HYPERLINK("https://www.boe.es/gazeta/dias/1820/09/12/pdfs/GGB-1820-76.pdf#page=1","Abrir facsímil")</f>
        <v>Abrir facsímil</v>
      </c>
      <c r="K3771" s="3" t="s">
        <v>23</v>
      </c>
    </row>
    <row r="3772" spans="1:11" ht="42" customHeight="1">
      <c r="A3772" s="2" t="s">
        <v>7678</v>
      </c>
      <c r="B3772" s="2" t="s">
        <v>7678</v>
      </c>
      <c r="C3772" s="2" t="s">
        <v>26</v>
      </c>
      <c r="D3772" s="2" t="s">
        <v>27</v>
      </c>
      <c r="E3772" s="5">
        <v>-28944</v>
      </c>
      <c r="F3772" s="3" t="s">
        <v>990</v>
      </c>
      <c r="G3772" s="3" t="s">
        <v>128</v>
      </c>
      <c r="H3772" s="2" t="s">
        <v>21</v>
      </c>
      <c r="I3772" s="2" t="s">
        <v>7696</v>
      </c>
      <c r="J3772" s="3" t="str">
        <f>HYPERLINK("https://www.boe.es/gazeta/dias/1820/10/01/pdfs/GGB-1820-95.pdf#page=1","Abrir facsímil")</f>
        <v>Abrir facsímil</v>
      </c>
      <c r="K3772" s="3" t="s">
        <v>23</v>
      </c>
    </row>
    <row r="3773" spans="1:11" ht="42" customHeight="1">
      <c r="A3773" s="2" t="s">
        <v>7678</v>
      </c>
      <c r="B3773" s="2" t="s">
        <v>7678</v>
      </c>
      <c r="C3773" s="2" t="s">
        <v>26</v>
      </c>
      <c r="D3773" s="2" t="s">
        <v>27</v>
      </c>
      <c r="E3773" s="5">
        <v>-28918</v>
      </c>
      <c r="F3773" s="3" t="s">
        <v>160</v>
      </c>
      <c r="G3773" s="3" t="s">
        <v>128</v>
      </c>
      <c r="H3773" s="2" t="s">
        <v>21</v>
      </c>
      <c r="I3773" s="2" t="s">
        <v>7697</v>
      </c>
      <c r="J3773" s="3" t="str">
        <f>HYPERLINK("https://www.boe.es/gazeta/dias/1820/10/27/pdfs/GGB-1820-121.pdf#page=1","Abrir facsímil")</f>
        <v>Abrir facsímil</v>
      </c>
      <c r="K3773" s="3" t="s">
        <v>23</v>
      </c>
    </row>
    <row r="3774" spans="1:11" ht="42" customHeight="1">
      <c r="A3774" s="2" t="s">
        <v>7678</v>
      </c>
      <c r="B3774" s="2" t="s">
        <v>7678</v>
      </c>
      <c r="C3774" s="2" t="s">
        <v>35</v>
      </c>
      <c r="D3774" s="2" t="s">
        <v>36</v>
      </c>
      <c r="E3774" s="5">
        <v>-28918</v>
      </c>
      <c r="F3774" s="3" t="s">
        <v>160</v>
      </c>
      <c r="G3774" s="3" t="s">
        <v>43</v>
      </c>
      <c r="H3774" s="2" t="s">
        <v>21</v>
      </c>
      <c r="I3774" s="2" t="s">
        <v>7698</v>
      </c>
      <c r="J3774" s="3" t="str">
        <f>HYPERLINK("https://www.boe.es/gazeta/dias/1820/10/27/pdfs/GGB-1820-121.pdf#page=2","Abrir facsímil")</f>
        <v>Abrir facsímil</v>
      </c>
      <c r="K3774" s="3" t="s">
        <v>23</v>
      </c>
    </row>
    <row r="3775" spans="1:11" ht="42" customHeight="1">
      <c r="A3775" s="2" t="s">
        <v>7678</v>
      </c>
      <c r="B3775" s="2" t="s">
        <v>7678</v>
      </c>
      <c r="C3775" s="2" t="s">
        <v>35</v>
      </c>
      <c r="D3775" s="2" t="s">
        <v>36</v>
      </c>
      <c r="E3775" s="5">
        <v>-28909</v>
      </c>
      <c r="F3775" s="3" t="s">
        <v>278</v>
      </c>
      <c r="G3775" s="3" t="s">
        <v>43</v>
      </c>
      <c r="H3775" s="2" t="s">
        <v>21</v>
      </c>
      <c r="I3775" s="2" t="s">
        <v>7699</v>
      </c>
      <c r="J3775" s="3" t="str">
        <f>HYPERLINK("https://www.boe.es/gazeta/dias/1820/11/05/pdfs/GGB-1820-130.pdf#page=2","Abrir facsímil")</f>
        <v>Abrir facsímil</v>
      </c>
      <c r="K3775" s="3" t="s">
        <v>23</v>
      </c>
    </row>
    <row r="3776" spans="1:11" ht="42" customHeight="1">
      <c r="A3776" s="2" t="s">
        <v>7678</v>
      </c>
      <c r="B3776" s="2" t="s">
        <v>7678</v>
      </c>
      <c r="C3776" s="2" t="s">
        <v>17</v>
      </c>
      <c r="D3776" s="2" t="s">
        <v>18</v>
      </c>
      <c r="E3776" s="5">
        <v>-28908</v>
      </c>
      <c r="F3776" s="3" t="s">
        <v>1060</v>
      </c>
      <c r="G3776" s="3" t="s">
        <v>128</v>
      </c>
      <c r="H3776" s="2" t="s">
        <v>21</v>
      </c>
      <c r="I3776" s="2" t="s">
        <v>7700</v>
      </c>
      <c r="J3776" s="3" t="str">
        <f>HYPERLINK("https://www.boe.es/gazeta/dias/1820/11/06/pdfs/GGB-1820-131.pdf#page=1","Abrir facsímil")</f>
        <v>Abrir facsímil</v>
      </c>
      <c r="K3776" s="3" t="s">
        <v>23</v>
      </c>
    </row>
    <row r="3777" spans="1:11" ht="42" customHeight="1">
      <c r="A3777" s="2" t="s">
        <v>7678</v>
      </c>
      <c r="B3777" s="2" t="s">
        <v>7678</v>
      </c>
      <c r="C3777" s="2" t="s">
        <v>17</v>
      </c>
      <c r="D3777" s="2" t="s">
        <v>18</v>
      </c>
      <c r="E3777" s="5">
        <v>-28908</v>
      </c>
      <c r="F3777" s="3" t="s">
        <v>1060</v>
      </c>
      <c r="G3777" s="3" t="s">
        <v>43</v>
      </c>
      <c r="H3777" s="2" t="s">
        <v>21</v>
      </c>
      <c r="I3777" s="2" t="s">
        <v>7701</v>
      </c>
      <c r="J3777" s="3" t="str">
        <f>HYPERLINK("https://www.boe.es/gazeta/dias/1820/11/06/pdfs/GGB-1820-131.pdf#page=2","Abrir facsímil")</f>
        <v>Abrir facsímil</v>
      </c>
      <c r="K3777" s="3" t="s">
        <v>23</v>
      </c>
    </row>
    <row r="3778" spans="1:11" ht="42" customHeight="1">
      <c r="A3778" s="2" t="s">
        <v>7678</v>
      </c>
      <c r="B3778" s="2" t="s">
        <v>7678</v>
      </c>
      <c r="C3778" s="2" t="s">
        <v>74</v>
      </c>
      <c r="D3778" s="2" t="s">
        <v>18</v>
      </c>
      <c r="E3778" s="5">
        <v>-28905</v>
      </c>
      <c r="F3778" s="3" t="s">
        <v>749</v>
      </c>
      <c r="G3778" s="3" t="s">
        <v>128</v>
      </c>
      <c r="H3778" s="2" t="s">
        <v>21</v>
      </c>
      <c r="I3778" s="2" t="s">
        <v>7702</v>
      </c>
      <c r="J3778" s="3" t="str">
        <f>HYPERLINK("https://www.boe.es/gazeta/dias/1820/11/09/pdfs/GGB-1820-134.pdf#page=1","Abrir facsímil")</f>
        <v>Abrir facsímil</v>
      </c>
      <c r="K3778" s="3" t="s">
        <v>23</v>
      </c>
    </row>
    <row r="3779" spans="1:11" ht="42" customHeight="1">
      <c r="A3779" s="2" t="s">
        <v>7678</v>
      </c>
      <c r="B3779" s="2" t="s">
        <v>7678</v>
      </c>
      <c r="C3779" s="2" t="s">
        <v>47</v>
      </c>
      <c r="D3779" s="2" t="s">
        <v>18</v>
      </c>
      <c r="E3779" s="5">
        <v>-28901</v>
      </c>
      <c r="F3779" s="3" t="s">
        <v>1492</v>
      </c>
      <c r="G3779" s="3" t="s">
        <v>43</v>
      </c>
      <c r="H3779" s="2" t="s">
        <v>21</v>
      </c>
      <c r="I3779" s="2" t="s">
        <v>7703</v>
      </c>
      <c r="J3779" s="3" t="str">
        <f>HYPERLINK("https://www.boe.es/gazeta/dias/1820/11/13/pdfs/GGB-1820-139.pdf#page=2","Abrir facsímil")</f>
        <v>Abrir facsímil</v>
      </c>
      <c r="K3779" s="3" t="s">
        <v>23</v>
      </c>
    </row>
    <row r="3780" spans="1:11" ht="42" customHeight="1">
      <c r="A3780" s="2" t="s">
        <v>7678</v>
      </c>
      <c r="B3780" s="2" t="s">
        <v>7678</v>
      </c>
      <c r="C3780" s="2" t="s">
        <v>35</v>
      </c>
      <c r="D3780" s="2" t="s">
        <v>36</v>
      </c>
      <c r="E3780" s="5">
        <v>-28893</v>
      </c>
      <c r="F3780" s="3" t="s">
        <v>546</v>
      </c>
      <c r="G3780" s="3" t="s">
        <v>128</v>
      </c>
      <c r="H3780" s="2" t="s">
        <v>21</v>
      </c>
      <c r="I3780" s="2" t="s">
        <v>7704</v>
      </c>
      <c r="J3780" s="3" t="str">
        <f>HYPERLINK("https://www.boe.es/gazeta/dias/1820/11/21/pdfs/GGB-1820-148.pdf#page=1","Abrir facsímil")</f>
        <v>Abrir facsímil</v>
      </c>
      <c r="K3780" s="3" t="s">
        <v>23</v>
      </c>
    </row>
    <row r="3781" spans="1:11" ht="42" customHeight="1">
      <c r="A3781" s="2" t="s">
        <v>7678</v>
      </c>
      <c r="B3781" s="2" t="s">
        <v>7678</v>
      </c>
      <c r="C3781" s="2" t="s">
        <v>74</v>
      </c>
      <c r="D3781" s="2" t="s">
        <v>18</v>
      </c>
      <c r="E3781" s="5">
        <v>-28893</v>
      </c>
      <c r="F3781" s="3" t="s">
        <v>546</v>
      </c>
      <c r="G3781" s="3" t="s">
        <v>20</v>
      </c>
      <c r="H3781" s="2" t="s">
        <v>21</v>
      </c>
      <c r="I3781" s="2" t="s">
        <v>7705</v>
      </c>
      <c r="J3781" s="3" t="str">
        <f>HYPERLINK("https://www.boe.es/gazeta/dias/1820/11/21/pdfs/GGB-1820-148.pdf#page=4","Abrir facsímil")</f>
        <v>Abrir facsímil</v>
      </c>
      <c r="K3781" s="3" t="s">
        <v>23</v>
      </c>
    </row>
    <row r="3782" spans="1:11" ht="42" customHeight="1">
      <c r="A3782" s="2" t="s">
        <v>7678</v>
      </c>
      <c r="B3782" s="2" t="s">
        <v>7678</v>
      </c>
      <c r="C3782" s="2" t="s">
        <v>17</v>
      </c>
      <c r="D3782" s="2" t="s">
        <v>18</v>
      </c>
      <c r="E3782" s="5">
        <v>-28888</v>
      </c>
      <c r="F3782" s="3" t="s">
        <v>112</v>
      </c>
      <c r="G3782" s="3" t="s">
        <v>3931</v>
      </c>
      <c r="H3782" s="2" t="s">
        <v>21</v>
      </c>
      <c r="I3782" s="2" t="s">
        <v>7706</v>
      </c>
      <c r="J3782" s="3" t="str">
        <f>HYPERLINK("https://www.boe.es/gazeta/dias/1820/11/26/pdfs/GGB-1820-153.pdf#page=2","Abrir facsímil")</f>
        <v>Abrir facsímil</v>
      </c>
      <c r="K3782" s="3" t="s">
        <v>23</v>
      </c>
    </row>
    <row r="3783" spans="1:11" ht="42" customHeight="1">
      <c r="A3783" s="2" t="s">
        <v>7678</v>
      </c>
      <c r="B3783" s="2" t="s">
        <v>7678</v>
      </c>
      <c r="C3783" s="2" t="s">
        <v>35</v>
      </c>
      <c r="D3783" s="2" t="s">
        <v>36</v>
      </c>
      <c r="E3783" s="5">
        <v>-28887</v>
      </c>
      <c r="F3783" s="3" t="s">
        <v>2098</v>
      </c>
      <c r="G3783" s="3" t="s">
        <v>6604</v>
      </c>
      <c r="H3783" s="2" t="s">
        <v>21</v>
      </c>
      <c r="I3783" s="2" t="s">
        <v>7707</v>
      </c>
      <c r="J3783" s="3" t="str">
        <f>HYPERLINK("https://www.boe.es/gazeta/dias/1820/11/27/pdfs/GGB-1820-154.pdf#page=2","Abrir facsímil")</f>
        <v>Abrir facsímil</v>
      </c>
      <c r="K3783" s="3" t="s">
        <v>23</v>
      </c>
    </row>
    <row r="3784" spans="1:11" ht="42" customHeight="1">
      <c r="A3784" s="2" t="s">
        <v>7678</v>
      </c>
      <c r="B3784" s="2" t="s">
        <v>7678</v>
      </c>
      <c r="C3784" s="2" t="s">
        <v>17</v>
      </c>
      <c r="D3784" s="2" t="s">
        <v>18</v>
      </c>
      <c r="E3784" s="5">
        <v>-28885</v>
      </c>
      <c r="F3784" s="3" t="s">
        <v>2588</v>
      </c>
      <c r="G3784" s="3" t="s">
        <v>128</v>
      </c>
      <c r="H3784" s="2" t="s">
        <v>21</v>
      </c>
      <c r="I3784" s="2" t="s">
        <v>7708</v>
      </c>
      <c r="J3784" s="3" t="str">
        <f>HYPERLINK("https://www.boe.es/gazeta/dias/1820/11/29/pdfs/GGB-1820-156.pdf#page=1","Abrir facsímil")</f>
        <v>Abrir facsímil</v>
      </c>
      <c r="K3784" s="3" t="s">
        <v>23</v>
      </c>
    </row>
    <row r="3785" spans="1:11" ht="42" customHeight="1">
      <c r="A3785" s="2" t="s">
        <v>7678</v>
      </c>
      <c r="B3785" s="2" t="s">
        <v>7678</v>
      </c>
      <c r="C3785" s="2" t="s">
        <v>35</v>
      </c>
      <c r="D3785" s="2" t="s">
        <v>36</v>
      </c>
      <c r="E3785" s="5">
        <v>-28881</v>
      </c>
      <c r="F3785" s="3" t="s">
        <v>57</v>
      </c>
      <c r="G3785" s="3" t="s">
        <v>43</v>
      </c>
      <c r="H3785" s="2" t="s">
        <v>21</v>
      </c>
      <c r="I3785" s="2" t="s">
        <v>7709</v>
      </c>
      <c r="J3785" s="3" t="str">
        <f>HYPERLINK("https://www.boe.es/gazeta/dias/1820/12/03/pdfs/GGB-1820-160.pdf#page=2","Abrir facsímil")</f>
        <v>Abrir facsímil</v>
      </c>
      <c r="K3785" s="3" t="s">
        <v>23</v>
      </c>
    </row>
    <row r="3786" spans="1:11" ht="42" customHeight="1">
      <c r="A3786" s="2" t="s">
        <v>7678</v>
      </c>
      <c r="B3786" s="2" t="s">
        <v>7678</v>
      </c>
      <c r="C3786" s="2" t="s">
        <v>35</v>
      </c>
      <c r="D3786" s="2" t="s">
        <v>36</v>
      </c>
      <c r="E3786" s="5">
        <v>-28879</v>
      </c>
      <c r="F3786" s="3" t="s">
        <v>953</v>
      </c>
      <c r="G3786" s="3" t="s">
        <v>128</v>
      </c>
      <c r="H3786" s="2" t="s">
        <v>21</v>
      </c>
      <c r="I3786" s="2" t="s">
        <v>7710</v>
      </c>
      <c r="J3786" s="3" t="str">
        <f>HYPERLINK("https://www.boe.es/gazeta/dias/1820/12/05/pdfs/GGB-1820-162.pdf#page=1","Abrir facsímil")</f>
        <v>Abrir facsímil</v>
      </c>
      <c r="K3786" s="3" t="s">
        <v>23</v>
      </c>
    </row>
    <row r="3787" spans="1:11" ht="42" customHeight="1">
      <c r="A3787" s="2" t="s">
        <v>7678</v>
      </c>
      <c r="B3787" s="2" t="s">
        <v>7678</v>
      </c>
      <c r="C3787" s="2" t="s">
        <v>35</v>
      </c>
      <c r="D3787" s="2" t="s">
        <v>36</v>
      </c>
      <c r="E3787" s="5">
        <v>-28878</v>
      </c>
      <c r="F3787" s="3" t="s">
        <v>866</v>
      </c>
      <c r="G3787" s="3" t="s">
        <v>43</v>
      </c>
      <c r="H3787" s="2" t="s">
        <v>21</v>
      </c>
      <c r="I3787" s="2" t="s">
        <v>7711</v>
      </c>
      <c r="J3787" s="3" t="str">
        <f>HYPERLINK("https://www.boe.es/gazeta/dias/1820/12/06/pdfs/GGB-1820-163.pdf#page=2","Abrir facsímil")</f>
        <v>Abrir facsímil</v>
      </c>
      <c r="K3787" s="3" t="s">
        <v>23</v>
      </c>
    </row>
    <row r="3788" spans="1:11" ht="42" customHeight="1">
      <c r="A3788" s="2" t="s">
        <v>7678</v>
      </c>
      <c r="B3788" s="2" t="s">
        <v>7678</v>
      </c>
      <c r="C3788" s="2" t="s">
        <v>35</v>
      </c>
      <c r="D3788" s="2" t="s">
        <v>36</v>
      </c>
      <c r="E3788" s="5">
        <v>-28878</v>
      </c>
      <c r="F3788" s="3" t="s">
        <v>866</v>
      </c>
      <c r="G3788" s="3" t="s">
        <v>62</v>
      </c>
      <c r="H3788" s="2" t="s">
        <v>21</v>
      </c>
      <c r="I3788" s="2" t="s">
        <v>7712</v>
      </c>
      <c r="J3788" s="3" t="str">
        <f>HYPERLINK("https://www.boe.es/gazeta/dias/1820/12/06/pdfs/GGB-1820-163.pdf#page=3","Abrir facsímil")</f>
        <v>Abrir facsímil</v>
      </c>
      <c r="K3788" s="3" t="s">
        <v>23</v>
      </c>
    </row>
    <row r="3789" spans="1:11" ht="42" customHeight="1">
      <c r="A3789" s="2" t="s">
        <v>7678</v>
      </c>
      <c r="B3789" s="2" t="s">
        <v>7678</v>
      </c>
      <c r="C3789" s="2" t="s">
        <v>17</v>
      </c>
      <c r="D3789" s="2" t="s">
        <v>18</v>
      </c>
      <c r="E3789" s="5">
        <v>-28876</v>
      </c>
      <c r="F3789" s="3" t="s">
        <v>1919</v>
      </c>
      <c r="G3789" s="3" t="s">
        <v>1920</v>
      </c>
      <c r="H3789" s="2" t="s">
        <v>21</v>
      </c>
      <c r="I3789" s="2" t="s">
        <v>7713</v>
      </c>
      <c r="J3789" s="3" t="str">
        <f>HYPERLINK("https://www.boe.es/gazeta/dias/1820/12/08/pdfs/GGB-1820-165.pdf#page=3","Abrir facsímil")</f>
        <v>Abrir facsímil</v>
      </c>
      <c r="K3789" s="3" t="s">
        <v>23</v>
      </c>
    </row>
    <row r="3790" spans="1:11" ht="42" customHeight="1">
      <c r="A3790" s="2" t="s">
        <v>7678</v>
      </c>
      <c r="B3790" s="2" t="s">
        <v>7678</v>
      </c>
      <c r="C3790" s="2" t="s">
        <v>26</v>
      </c>
      <c r="D3790" s="2" t="s">
        <v>27</v>
      </c>
      <c r="E3790" s="5">
        <v>-28872</v>
      </c>
      <c r="F3790" s="3" t="s">
        <v>1939</v>
      </c>
      <c r="G3790" s="3" t="s">
        <v>20</v>
      </c>
      <c r="H3790" s="2" t="s">
        <v>21</v>
      </c>
      <c r="I3790" s="2" t="s">
        <v>7714</v>
      </c>
      <c r="J3790" s="3" t="str">
        <f>HYPERLINK("https://www.boe.es/gazeta/dias/1820/12/12/pdfs/GGB-1820-169.pdf#page=4","Abrir facsímil")</f>
        <v>Abrir facsímil</v>
      </c>
      <c r="K3790" s="3" t="s">
        <v>23</v>
      </c>
    </row>
    <row r="3791" spans="1:11" ht="42" customHeight="1">
      <c r="A3791" s="2" t="s">
        <v>7678</v>
      </c>
      <c r="B3791" s="2" t="s">
        <v>7678</v>
      </c>
      <c r="C3791" s="2" t="s">
        <v>26</v>
      </c>
      <c r="D3791" s="2" t="s">
        <v>27</v>
      </c>
      <c r="E3791" s="5">
        <v>-28869</v>
      </c>
      <c r="F3791" s="3" t="s">
        <v>449</v>
      </c>
      <c r="G3791" s="3" t="s">
        <v>43</v>
      </c>
      <c r="H3791" s="2" t="s">
        <v>21</v>
      </c>
      <c r="I3791" s="2" t="s">
        <v>7715</v>
      </c>
      <c r="J3791" s="3" t="str">
        <f>HYPERLINK("https://www.boe.es/gazeta/dias/1820/12/15/pdfs/GGB-1820-172.pdf#page=2","Abrir facsímil")</f>
        <v>Abrir facsímil</v>
      </c>
      <c r="K3791" s="3" t="s">
        <v>23</v>
      </c>
    </row>
    <row r="3792" spans="1:11" ht="42" customHeight="1">
      <c r="A3792" s="2" t="s">
        <v>7678</v>
      </c>
      <c r="B3792" s="2" t="s">
        <v>7678</v>
      </c>
      <c r="C3792" s="2" t="s">
        <v>35</v>
      </c>
      <c r="D3792" s="2" t="s">
        <v>36</v>
      </c>
      <c r="E3792" s="5">
        <v>-28867</v>
      </c>
      <c r="F3792" s="3" t="s">
        <v>590</v>
      </c>
      <c r="G3792" s="3" t="s">
        <v>43</v>
      </c>
      <c r="H3792" s="2" t="s">
        <v>21</v>
      </c>
      <c r="I3792" s="2" t="s">
        <v>7716</v>
      </c>
      <c r="J3792" s="3" t="str">
        <f>HYPERLINK("https://www.boe.es/gazeta/dias/1820/12/17/pdfs/GGB-1820-174.pdf#page=2","Abrir facsímil")</f>
        <v>Abrir facsímil</v>
      </c>
      <c r="K3792" s="3" t="s">
        <v>23</v>
      </c>
    </row>
    <row r="3793" spans="1:11" ht="42" customHeight="1">
      <c r="A3793" s="2" t="s">
        <v>7717</v>
      </c>
      <c r="B3793" s="2" t="s">
        <v>7717</v>
      </c>
      <c r="C3793" s="2" t="s">
        <v>74</v>
      </c>
      <c r="D3793" s="2" t="s">
        <v>18</v>
      </c>
      <c r="E3793" s="5">
        <v>-29080</v>
      </c>
      <c r="F3793" s="3" t="s">
        <v>1031</v>
      </c>
      <c r="G3793" s="3" t="s">
        <v>20</v>
      </c>
      <c r="H3793" s="2" t="s">
        <v>21</v>
      </c>
      <c r="I3793" s="2" t="s">
        <v>7718</v>
      </c>
      <c r="J3793" s="3" t="str">
        <f>HYPERLINK("https://www.boe.es/gazeta/dias/1820/05/18/pdfs/GMD-1820-82.pdf#page=4","Abrir facsímil")</f>
        <v>Abrir facsímil</v>
      </c>
      <c r="K3793" s="3" t="s">
        <v>23</v>
      </c>
    </row>
    <row r="3794" spans="1:11" ht="42" customHeight="1">
      <c r="A3794" s="2" t="s">
        <v>7719</v>
      </c>
      <c r="B3794" s="2" t="s">
        <v>7720</v>
      </c>
      <c r="C3794" s="2" t="s">
        <v>35</v>
      </c>
      <c r="D3794" s="2" t="s">
        <v>36</v>
      </c>
      <c r="E3794" s="5">
        <v>-29071</v>
      </c>
      <c r="F3794" s="3" t="s">
        <v>329</v>
      </c>
      <c r="G3794" s="3" t="s">
        <v>201</v>
      </c>
      <c r="H3794" s="2" t="s">
        <v>21</v>
      </c>
      <c r="I3794" s="2" t="s">
        <v>7721</v>
      </c>
      <c r="J3794" s="3" t="str">
        <f>HYPERLINK("https://www.boe.es/gazeta/dias/1820/05/27/pdfs/GMD-1820-86.pdf#page=7","Abrir facsímil")</f>
        <v>Abrir facsímil</v>
      </c>
      <c r="K3794" s="3" t="s">
        <v>23</v>
      </c>
    </row>
    <row r="3795" spans="1:11" ht="42" customHeight="1">
      <c r="A3795" s="2" t="s">
        <v>7722</v>
      </c>
      <c r="B3795" s="2" t="s">
        <v>7723</v>
      </c>
      <c r="C3795" s="2" t="s">
        <v>35</v>
      </c>
      <c r="D3795" s="2" t="s">
        <v>36</v>
      </c>
      <c r="E3795" s="5">
        <v>-29190</v>
      </c>
      <c r="F3795" s="3" t="s">
        <v>537</v>
      </c>
      <c r="G3795" s="3" t="s">
        <v>201</v>
      </c>
      <c r="H3795" s="2" t="s">
        <v>21</v>
      </c>
      <c r="I3795" s="2" t="s">
        <v>7724</v>
      </c>
      <c r="J3795" s="3" t="str">
        <f>HYPERLINK("https://www.boe.es/gazeta/dias/1820/01/29/pdfs/GMD-1820-13.pdf#page=7","Abrir facsímil")</f>
        <v>Abrir facsímil</v>
      </c>
      <c r="K3795" s="3" t="s">
        <v>23</v>
      </c>
    </row>
    <row r="3796" spans="1:11" ht="42" customHeight="1">
      <c r="A3796" s="2" t="s">
        <v>7722</v>
      </c>
      <c r="B3796" s="2" t="s">
        <v>7723</v>
      </c>
      <c r="C3796" s="2" t="s">
        <v>35</v>
      </c>
      <c r="D3796" s="2" t="s">
        <v>36</v>
      </c>
      <c r="E3796" s="5">
        <v>-29031</v>
      </c>
      <c r="F3796" s="3" t="s">
        <v>1036</v>
      </c>
      <c r="G3796" s="3" t="s">
        <v>20</v>
      </c>
      <c r="H3796" s="2" t="s">
        <v>21</v>
      </c>
      <c r="I3796" s="2" t="s">
        <v>7725</v>
      </c>
      <c r="J3796" s="3" t="str">
        <f>HYPERLINK("https://www.boe.es/gazeta/dias/1820/07/06/pdfs/GGB-1820-6.pdf#page=4","Abrir facsímil")</f>
        <v>Abrir facsímil</v>
      </c>
      <c r="K3796" s="3" t="s">
        <v>23</v>
      </c>
    </row>
    <row r="3797" spans="1:11" ht="42" customHeight="1">
      <c r="A3797" s="2" t="s">
        <v>7726</v>
      </c>
      <c r="B3797" s="2" t="s">
        <v>7727</v>
      </c>
      <c r="C3797" s="2" t="s">
        <v>26</v>
      </c>
      <c r="D3797" s="2" t="s">
        <v>27</v>
      </c>
      <c r="E3797" s="5">
        <v>-29206</v>
      </c>
      <c r="F3797" s="3" t="s">
        <v>897</v>
      </c>
      <c r="G3797" s="3" t="s">
        <v>38</v>
      </c>
      <c r="H3797" s="2" t="s">
        <v>21</v>
      </c>
      <c r="I3797" s="2" t="s">
        <v>7728</v>
      </c>
      <c r="J3797" s="3" t="str">
        <f>HYPERLINK("https://www.boe.es/gazeta/dias/1820/01/13/pdfs/GMD-1820-6.pdf#page=6","Abrir facsímil")</f>
        <v>Abrir facsímil</v>
      </c>
      <c r="K3797" s="3" t="s">
        <v>23</v>
      </c>
    </row>
    <row r="3798" spans="1:11" ht="42" customHeight="1">
      <c r="A3798" s="2" t="s">
        <v>7729</v>
      </c>
      <c r="B3798" s="2" t="s">
        <v>7730</v>
      </c>
      <c r="C3798" s="2" t="s">
        <v>111</v>
      </c>
      <c r="D3798" s="2" t="s">
        <v>18</v>
      </c>
      <c r="E3798" s="5">
        <v>-29026</v>
      </c>
      <c r="F3798" s="3" t="s">
        <v>1197</v>
      </c>
      <c r="G3798" s="3" t="s">
        <v>1198</v>
      </c>
      <c r="H3798" s="2" t="s">
        <v>21</v>
      </c>
      <c r="I3798" s="2" t="s">
        <v>7731</v>
      </c>
      <c r="J3798" s="3" t="str">
        <f>HYPERLINK("https://www.boe.es/gazeta/dias/1820/07/11/pdfs/GGB-1820-13.pdf#page=4","Abrir facsímil")</f>
        <v>Abrir facsímil</v>
      </c>
      <c r="K3798" s="3" t="s">
        <v>23</v>
      </c>
    </row>
    <row r="3799" spans="1:11" ht="42" customHeight="1">
      <c r="A3799" s="2" t="s">
        <v>7732</v>
      </c>
      <c r="B3799" s="2" t="s">
        <v>7732</v>
      </c>
      <c r="C3799" s="2" t="s">
        <v>17</v>
      </c>
      <c r="D3799" s="2" t="s">
        <v>18</v>
      </c>
      <c r="E3799" s="5">
        <v>-28917</v>
      </c>
      <c r="F3799" s="3" t="s">
        <v>19</v>
      </c>
      <c r="G3799" s="3" t="s">
        <v>128</v>
      </c>
      <c r="H3799" s="2" t="s">
        <v>21</v>
      </c>
      <c r="I3799" s="2" t="s">
        <v>7733</v>
      </c>
      <c r="J3799" s="3" t="str">
        <f>HYPERLINK("https://www.boe.es/gazeta/dias/1820/10/28/pdfs/GGB-1820-122.pdf#page=1","Abrir facsímil")</f>
        <v>Abrir facsímil</v>
      </c>
      <c r="K3799" s="3" t="s">
        <v>23</v>
      </c>
    </row>
    <row r="3800" spans="1:11" ht="42" customHeight="1">
      <c r="A3800" s="2" t="s">
        <v>7734</v>
      </c>
      <c r="B3800" s="2" t="s">
        <v>7735</v>
      </c>
      <c r="C3800" s="2" t="s">
        <v>26</v>
      </c>
      <c r="D3800" s="2" t="s">
        <v>27</v>
      </c>
      <c r="E3800" s="5">
        <v>-29094</v>
      </c>
      <c r="F3800" s="3" t="s">
        <v>560</v>
      </c>
      <c r="G3800" s="3" t="s">
        <v>62</v>
      </c>
      <c r="H3800" s="2" t="s">
        <v>21</v>
      </c>
      <c r="I3800" s="2" t="s">
        <v>7736</v>
      </c>
      <c r="J3800" s="3" t="str">
        <f>HYPERLINK("https://www.boe.es/gazeta/dias/1820/05/04/pdfs/GMD-1820-75.pdf#page=3","Abrir facsímil")</f>
        <v>Abrir facsímil</v>
      </c>
      <c r="K3800" s="3" t="s">
        <v>23</v>
      </c>
    </row>
    <row r="3801" spans="1:11" ht="42" customHeight="1">
      <c r="A3801" s="2" t="s">
        <v>7737</v>
      </c>
      <c r="B3801" s="2" t="s">
        <v>7738</v>
      </c>
      <c r="C3801" s="2" t="s">
        <v>26</v>
      </c>
      <c r="D3801" s="2" t="s">
        <v>27</v>
      </c>
      <c r="E3801" s="5">
        <v>-28881</v>
      </c>
      <c r="F3801" s="3" t="s">
        <v>57</v>
      </c>
      <c r="G3801" s="3" t="s">
        <v>43</v>
      </c>
      <c r="H3801" s="2" t="s">
        <v>21</v>
      </c>
      <c r="I3801" s="2" t="s">
        <v>7739</v>
      </c>
      <c r="J3801" s="3" t="str">
        <f>HYPERLINK("https://www.boe.es/gazeta/dias/1820/12/03/pdfs/GGB-1820-160.pdf#page=2","Abrir facsímil")</f>
        <v>Abrir facsímil</v>
      </c>
      <c r="K3801" s="3" t="s">
        <v>23</v>
      </c>
    </row>
    <row r="3802" spans="1:11" ht="42" customHeight="1">
      <c r="A3802" s="2" t="s">
        <v>7740</v>
      </c>
      <c r="B3802" s="2" t="s">
        <v>7741</v>
      </c>
      <c r="C3802" s="2" t="s">
        <v>293</v>
      </c>
      <c r="D3802" s="2" t="s">
        <v>18</v>
      </c>
      <c r="E3802" s="5">
        <v>-28919</v>
      </c>
      <c r="F3802" s="3" t="s">
        <v>516</v>
      </c>
      <c r="G3802" s="3" t="s">
        <v>43</v>
      </c>
      <c r="H3802" s="2" t="s">
        <v>21</v>
      </c>
      <c r="I3802" s="2" t="s">
        <v>7742</v>
      </c>
      <c r="J3802" s="3" t="str">
        <f>HYPERLINK("https://www.boe.es/gazeta/dias/1820/10/26/pdfs/GGB-1820-120.pdf#page=2","Abrir facsímil")</f>
        <v>Abrir facsímil</v>
      </c>
      <c r="K3802" s="3" t="s">
        <v>23</v>
      </c>
    </row>
    <row r="3803" spans="1:11" ht="42" customHeight="1">
      <c r="A3803" s="2" t="s">
        <v>7740</v>
      </c>
      <c r="B3803" s="2" t="s">
        <v>7741</v>
      </c>
      <c r="C3803" s="2" t="s">
        <v>35</v>
      </c>
      <c r="D3803" s="2" t="s">
        <v>36</v>
      </c>
      <c r="E3803" s="5">
        <v>-28911</v>
      </c>
      <c r="F3803" s="3" t="s">
        <v>82</v>
      </c>
      <c r="G3803" s="3" t="s">
        <v>43</v>
      </c>
      <c r="H3803" s="2" t="s">
        <v>21</v>
      </c>
      <c r="I3803" s="2" t="s">
        <v>7743</v>
      </c>
      <c r="J3803" s="3" t="str">
        <f>HYPERLINK("https://www.boe.es/gazeta/dias/1820/11/03/pdfs/GGB-1820-128.pdf#page=2","Abrir facsímil")</f>
        <v>Abrir facsímil</v>
      </c>
      <c r="K3803" s="3" t="s">
        <v>23</v>
      </c>
    </row>
    <row r="3804" spans="1:11" ht="42" customHeight="1">
      <c r="A3804" s="2" t="s">
        <v>7744</v>
      </c>
      <c r="B3804" s="2" t="s">
        <v>7745</v>
      </c>
      <c r="C3804" s="2" t="s">
        <v>35</v>
      </c>
      <c r="D3804" s="2" t="s">
        <v>36</v>
      </c>
      <c r="E3804" s="5">
        <v>-29213</v>
      </c>
      <c r="F3804" s="3" t="s">
        <v>195</v>
      </c>
      <c r="G3804" s="3" t="s">
        <v>821</v>
      </c>
      <c r="H3804" s="2" t="s">
        <v>21</v>
      </c>
      <c r="I3804" s="2" t="s">
        <v>7746</v>
      </c>
      <c r="J3804" s="3" t="str">
        <f>HYPERLINK("https://www.boe.es/gazeta/dias/1820/01/06/pdfs/GMD-1820-3.pdf#page=6","Abrir facsímil")</f>
        <v>Abrir facsímil</v>
      </c>
      <c r="K3804" s="3" t="s">
        <v>23</v>
      </c>
    </row>
    <row r="3805" spans="1:11" ht="42" customHeight="1">
      <c r="A3805" s="2" t="s">
        <v>7747</v>
      </c>
      <c r="B3805" s="2" t="s">
        <v>7748</v>
      </c>
      <c r="C3805" s="2" t="s">
        <v>17</v>
      </c>
      <c r="D3805" s="2" t="s">
        <v>18</v>
      </c>
      <c r="E3805" s="5">
        <v>-29022</v>
      </c>
      <c r="F3805" s="3" t="s">
        <v>1310</v>
      </c>
      <c r="G3805" s="3" t="s">
        <v>20</v>
      </c>
      <c r="H3805" s="2" t="s">
        <v>21</v>
      </c>
      <c r="I3805" s="2" t="s">
        <v>7749</v>
      </c>
      <c r="J3805" s="3" t="str">
        <f>HYPERLINK("https://www.boe.es/gazeta/dias/1820/07/15/pdfs/GGB-1820-17.pdf#page=4","Abrir facsímil")</f>
        <v>Abrir facsímil</v>
      </c>
      <c r="K3805" s="3" t="s">
        <v>23</v>
      </c>
    </row>
    <row r="3806" spans="1:11" ht="42" customHeight="1">
      <c r="A3806" s="2" t="s">
        <v>7750</v>
      </c>
      <c r="B3806" s="2" t="s">
        <v>7751</v>
      </c>
      <c r="C3806" s="2" t="s">
        <v>26</v>
      </c>
      <c r="D3806" s="2" t="s">
        <v>27</v>
      </c>
      <c r="E3806" s="5">
        <v>-29187</v>
      </c>
      <c r="F3806" s="3" t="s">
        <v>859</v>
      </c>
      <c r="G3806" s="3" t="s">
        <v>256</v>
      </c>
      <c r="H3806" s="2" t="s">
        <v>21</v>
      </c>
      <c r="I3806" s="2" t="s">
        <v>7752</v>
      </c>
      <c r="J3806" s="3" t="str">
        <f>HYPERLINK("https://www.boe.es/gazeta/dias/1820/02/01/pdfs/GMD-1820-14.pdf#page=5","Abrir facsímil")</f>
        <v>Abrir facsímil</v>
      </c>
      <c r="K3806" s="3" t="s">
        <v>23</v>
      </c>
    </row>
    <row r="3807" spans="1:11" ht="42" customHeight="1">
      <c r="A3807" s="2" t="s">
        <v>7753</v>
      </c>
      <c r="B3807" s="2" t="s">
        <v>7754</v>
      </c>
      <c r="C3807" s="2" t="s">
        <v>35</v>
      </c>
      <c r="D3807" s="2" t="s">
        <v>36</v>
      </c>
      <c r="E3807" s="5">
        <v>-28855</v>
      </c>
      <c r="F3807" s="3" t="s">
        <v>2055</v>
      </c>
      <c r="G3807" s="3" t="s">
        <v>20</v>
      </c>
      <c r="H3807" s="2" t="s">
        <v>30</v>
      </c>
      <c r="I3807" s="2" t="s">
        <v>7755</v>
      </c>
      <c r="J3807" s="3" t="str">
        <f>HYPERLINK("https://www.boe.es/gazeta/dias/1820/12/29/pdfs/GGB-1820-186.pdf#page=4","Abrir facsímil")</f>
        <v>Abrir facsímil</v>
      </c>
      <c r="K3807" s="3" t="s">
        <v>32</v>
      </c>
    </row>
    <row r="3808" spans="1:11" ht="42" customHeight="1">
      <c r="A3808" s="2" t="s">
        <v>7756</v>
      </c>
      <c r="B3808" s="2" t="s">
        <v>7757</v>
      </c>
      <c r="C3808" s="2" t="s">
        <v>26</v>
      </c>
      <c r="D3808" s="2" t="s">
        <v>27</v>
      </c>
      <c r="E3808" s="5">
        <v>-29187</v>
      </c>
      <c r="F3808" s="3" t="s">
        <v>859</v>
      </c>
      <c r="G3808" s="3" t="s">
        <v>38</v>
      </c>
      <c r="H3808" s="2" t="s">
        <v>21</v>
      </c>
      <c r="I3808" s="2" t="s">
        <v>7758</v>
      </c>
      <c r="J3808" s="3" t="str">
        <f>HYPERLINK("https://www.boe.es/gazeta/dias/1820/02/01/pdfs/GMD-1820-14.pdf#page=6","Abrir facsímil")</f>
        <v>Abrir facsímil</v>
      </c>
      <c r="K3808" s="3" t="s">
        <v>23</v>
      </c>
    </row>
    <row r="3809" spans="1:11" ht="42" customHeight="1">
      <c r="A3809" s="2" t="s">
        <v>7759</v>
      </c>
      <c r="B3809" s="2" t="s">
        <v>7760</v>
      </c>
      <c r="C3809" s="2" t="s">
        <v>26</v>
      </c>
      <c r="D3809" s="2" t="s">
        <v>27</v>
      </c>
      <c r="E3809" s="5">
        <v>-29187</v>
      </c>
      <c r="F3809" s="3" t="s">
        <v>859</v>
      </c>
      <c r="G3809" s="3" t="s">
        <v>256</v>
      </c>
      <c r="H3809" s="2" t="s">
        <v>21</v>
      </c>
      <c r="I3809" s="2" t="s">
        <v>7761</v>
      </c>
      <c r="J3809" s="3" t="str">
        <f>HYPERLINK("https://www.boe.es/gazeta/dias/1820/02/01/pdfs/GMD-1820-14.pdf#page=5","Abrir facsímil")</f>
        <v>Abrir facsímil</v>
      </c>
      <c r="K3809" s="3" t="s">
        <v>23</v>
      </c>
    </row>
    <row r="3810" spans="1:11" ht="42" customHeight="1">
      <c r="A3810" s="2" t="s">
        <v>7762</v>
      </c>
      <c r="B3810" s="2" t="s">
        <v>7763</v>
      </c>
      <c r="C3810" s="2" t="s">
        <v>17</v>
      </c>
      <c r="D3810" s="2" t="s">
        <v>18</v>
      </c>
      <c r="E3810" s="5">
        <v>-29078</v>
      </c>
      <c r="F3810" s="3" t="s">
        <v>260</v>
      </c>
      <c r="G3810" s="3" t="s">
        <v>553</v>
      </c>
      <c r="H3810" s="2" t="s">
        <v>21</v>
      </c>
      <c r="I3810" s="2" t="s">
        <v>7764</v>
      </c>
      <c r="J3810" s="3" t="str">
        <f>HYPERLINK("https://www.boe.es/gazeta/dias/1820/05/20/pdfs/GMD-1820-83.pdf#page=10","Abrir facsímil")</f>
        <v>Abrir facsímil</v>
      </c>
      <c r="K3810" s="3" t="s">
        <v>23</v>
      </c>
    </row>
    <row r="3811" spans="1:11" ht="42" customHeight="1">
      <c r="A3811" s="2" t="s">
        <v>7765</v>
      </c>
      <c r="B3811" s="2" t="s">
        <v>7766</v>
      </c>
      <c r="C3811" s="2" t="s">
        <v>35</v>
      </c>
      <c r="D3811" s="2" t="s">
        <v>36</v>
      </c>
      <c r="E3811" s="5">
        <v>-29115</v>
      </c>
      <c r="F3811" s="3" t="s">
        <v>289</v>
      </c>
      <c r="G3811" s="3" t="s">
        <v>142</v>
      </c>
      <c r="H3811" s="2" t="s">
        <v>21</v>
      </c>
      <c r="I3811" s="2" t="s">
        <v>7767</v>
      </c>
      <c r="J3811" s="3" t="str">
        <f>HYPERLINK("https://www.boe.es/gazeta/dias/1820/04/13/pdfs/GMD-1820-65.pdf#page=8","Abrir facsímil")</f>
        <v>Abrir facsímil</v>
      </c>
      <c r="K3811" s="3" t="s">
        <v>23</v>
      </c>
    </row>
    <row r="3812" spans="1:11" ht="42" customHeight="1">
      <c r="A3812" s="2" t="s">
        <v>7765</v>
      </c>
      <c r="B3812" s="2" t="s">
        <v>7766</v>
      </c>
      <c r="C3812" s="2" t="s">
        <v>26</v>
      </c>
      <c r="D3812" s="2" t="s">
        <v>27</v>
      </c>
      <c r="E3812" s="5">
        <v>-29108</v>
      </c>
      <c r="F3812" s="3" t="s">
        <v>304</v>
      </c>
      <c r="G3812" s="3" t="s">
        <v>295</v>
      </c>
      <c r="H3812" s="2" t="s">
        <v>21</v>
      </c>
      <c r="I3812" s="2" t="s">
        <v>7768</v>
      </c>
      <c r="J3812" s="3" t="str">
        <f>HYPERLINK("https://www.boe.es/gazeta/dias/1820/04/20/pdfs/GMD-1820-68.pdf#page=8","Abrir facsímil")</f>
        <v>Abrir facsímil</v>
      </c>
      <c r="K3812" s="3" t="s">
        <v>23</v>
      </c>
    </row>
    <row r="3813" spans="1:11" ht="42" customHeight="1">
      <c r="A3813" s="2" t="s">
        <v>7765</v>
      </c>
      <c r="B3813" s="2" t="s">
        <v>7766</v>
      </c>
      <c r="C3813" s="2" t="s">
        <v>17</v>
      </c>
      <c r="D3813" s="2" t="s">
        <v>18</v>
      </c>
      <c r="E3813" s="5">
        <v>-29007</v>
      </c>
      <c r="F3813" s="3" t="s">
        <v>251</v>
      </c>
      <c r="G3813" s="3" t="s">
        <v>20</v>
      </c>
      <c r="H3813" s="2" t="s">
        <v>21</v>
      </c>
      <c r="I3813" s="2" t="s">
        <v>7769</v>
      </c>
      <c r="J3813" s="3" t="str">
        <f>HYPERLINK("https://www.boe.es/gazeta/dias/1820/07/30/pdfs/GGB-1820-32.pdf#page=4","Abrir facsímil")</f>
        <v>Abrir facsímil</v>
      </c>
      <c r="K3813" s="3" t="s">
        <v>23</v>
      </c>
    </row>
    <row r="3814" spans="1:11" ht="42" customHeight="1">
      <c r="A3814" s="2" t="s">
        <v>7765</v>
      </c>
      <c r="B3814" s="2" t="s">
        <v>7766</v>
      </c>
      <c r="C3814" s="2" t="s">
        <v>26</v>
      </c>
      <c r="D3814" s="2" t="s">
        <v>27</v>
      </c>
      <c r="E3814" s="5">
        <v>-28963</v>
      </c>
      <c r="F3814" s="3" t="s">
        <v>94</v>
      </c>
      <c r="G3814" s="3" t="s">
        <v>95</v>
      </c>
      <c r="H3814" s="2" t="s">
        <v>21</v>
      </c>
      <c r="I3814" s="2" t="s">
        <v>7770</v>
      </c>
      <c r="J3814" s="3" t="str">
        <f>HYPERLINK("https://www.boe.es/gazeta/dias/1820/09/12/pdfs/GGB-1820-76.pdf#page=4","Abrir facsímil")</f>
        <v>Abrir facsímil</v>
      </c>
      <c r="K3814" s="3" t="s">
        <v>23</v>
      </c>
    </row>
    <row r="3815" spans="1:11" ht="42" customHeight="1">
      <c r="A3815" s="2" t="s">
        <v>7771</v>
      </c>
      <c r="B3815" s="2" t="s">
        <v>7772</v>
      </c>
      <c r="C3815" s="2" t="s">
        <v>17</v>
      </c>
      <c r="D3815" s="2" t="s">
        <v>18</v>
      </c>
      <c r="E3815" s="5">
        <v>-28919</v>
      </c>
      <c r="F3815" s="3" t="s">
        <v>516</v>
      </c>
      <c r="G3815" s="3" t="s">
        <v>62</v>
      </c>
      <c r="H3815" s="2" t="s">
        <v>21</v>
      </c>
      <c r="I3815" s="2" t="s">
        <v>7773</v>
      </c>
      <c r="J3815" s="3" t="str">
        <f>HYPERLINK("https://www.boe.es/gazeta/dias/1820/10/26/pdfs/GGB-1820-120.pdf#page=3","Abrir facsímil")</f>
        <v>Abrir facsímil</v>
      </c>
      <c r="K3815" s="3" t="s">
        <v>23</v>
      </c>
    </row>
    <row r="3816" spans="1:11" ht="42" customHeight="1">
      <c r="A3816" s="2" t="s">
        <v>7774</v>
      </c>
      <c r="B3816" s="2" t="s">
        <v>7775</v>
      </c>
      <c r="C3816" s="2" t="s">
        <v>293</v>
      </c>
      <c r="D3816" s="2" t="s">
        <v>18</v>
      </c>
      <c r="E3816" s="5">
        <v>-28857</v>
      </c>
      <c r="F3816" s="3" t="s">
        <v>889</v>
      </c>
      <c r="G3816" s="3" t="s">
        <v>43</v>
      </c>
      <c r="H3816" s="2" t="s">
        <v>21</v>
      </c>
      <c r="I3816" s="2" t="s">
        <v>7776</v>
      </c>
      <c r="J3816" s="3" t="str">
        <f>HYPERLINK("https://www.boe.es/gazeta/dias/1820/12/27/pdfs/GGB-1820-184.pdf#page=2","Abrir facsímil")</f>
        <v>Abrir facsímil</v>
      </c>
      <c r="K3816" s="3" t="s">
        <v>23</v>
      </c>
    </row>
    <row r="3817" spans="1:11" ht="42" customHeight="1">
      <c r="A3817" s="2" t="s">
        <v>7777</v>
      </c>
      <c r="B3817" s="2" t="s">
        <v>7777</v>
      </c>
      <c r="C3817" s="2" t="s">
        <v>26</v>
      </c>
      <c r="D3817" s="2" t="s">
        <v>27</v>
      </c>
      <c r="E3817" s="5">
        <v>-28982</v>
      </c>
      <c r="F3817" s="3" t="s">
        <v>173</v>
      </c>
      <c r="G3817" s="3" t="s">
        <v>62</v>
      </c>
      <c r="H3817" s="2" t="s">
        <v>21</v>
      </c>
      <c r="I3817" s="2" t="s">
        <v>7778</v>
      </c>
      <c r="J3817" s="3" t="str">
        <f>HYPERLINK("https://www.boe.es/gazeta/dias/1820/08/24/pdfs/GGB-1820-57.pdf#page=3","Abrir facsímil")</f>
        <v>Abrir facsímil</v>
      </c>
      <c r="K3817" s="3" t="s">
        <v>23</v>
      </c>
    </row>
    <row r="3818" spans="1:11" ht="42" customHeight="1">
      <c r="A3818" s="2" t="s">
        <v>7779</v>
      </c>
      <c r="B3818" s="2" t="s">
        <v>7779</v>
      </c>
      <c r="C3818" s="2" t="s">
        <v>26</v>
      </c>
      <c r="D3818" s="2" t="s">
        <v>27</v>
      </c>
      <c r="E3818" s="5">
        <v>-28930</v>
      </c>
      <c r="F3818" s="3" t="s">
        <v>372</v>
      </c>
      <c r="G3818" s="3" t="s">
        <v>43</v>
      </c>
      <c r="H3818" s="2" t="s">
        <v>21</v>
      </c>
      <c r="I3818" s="2" t="s">
        <v>7780</v>
      </c>
      <c r="J3818" s="3" t="str">
        <f>HYPERLINK("https://www.boe.es/gazeta/dias/1820/10/15/pdfs/GGB-1820-109.pdf#page=2","Abrir facsímil")</f>
        <v>Abrir facsímil</v>
      </c>
      <c r="K3818" s="3" t="s">
        <v>23</v>
      </c>
    </row>
    <row r="3819" spans="1:11" ht="42" customHeight="1">
      <c r="A3819" s="2" t="s">
        <v>7781</v>
      </c>
      <c r="B3819" s="2" t="s">
        <v>7782</v>
      </c>
      <c r="C3819" s="2" t="s">
        <v>35</v>
      </c>
      <c r="D3819" s="2" t="s">
        <v>36</v>
      </c>
      <c r="E3819" s="5">
        <v>-28946</v>
      </c>
      <c r="F3819" s="3" t="s">
        <v>1055</v>
      </c>
      <c r="G3819" s="3" t="s">
        <v>20</v>
      </c>
      <c r="H3819" s="2" t="s">
        <v>21</v>
      </c>
      <c r="I3819" s="2" t="s">
        <v>7783</v>
      </c>
      <c r="J3819" s="3" t="str">
        <f>HYPERLINK("https://www.boe.es/gazeta/dias/1820/09/29/pdfs/GGB-1820-93.pdf#page=4","Abrir facsímil")</f>
        <v>Abrir facsímil</v>
      </c>
      <c r="K3819" s="3" t="s">
        <v>23</v>
      </c>
    </row>
    <row r="3820" spans="1:11" ht="42" customHeight="1">
      <c r="A3820" s="2" t="s">
        <v>7784</v>
      </c>
      <c r="B3820" s="2" t="s">
        <v>7785</v>
      </c>
      <c r="C3820" s="2" t="s">
        <v>74</v>
      </c>
      <c r="D3820" s="2" t="s">
        <v>18</v>
      </c>
      <c r="E3820" s="5">
        <v>-28910</v>
      </c>
      <c r="F3820" s="3" t="s">
        <v>746</v>
      </c>
      <c r="G3820" s="3" t="s">
        <v>20</v>
      </c>
      <c r="H3820" s="2" t="s">
        <v>21</v>
      </c>
      <c r="I3820" s="2" t="s">
        <v>7786</v>
      </c>
      <c r="J3820" s="3" t="str">
        <f>HYPERLINK("https://www.boe.es/gazeta/dias/1820/11/04/pdfs/GGB-1820-129.pdf#page=4","Abrir facsímil")</f>
        <v>Abrir facsímil</v>
      </c>
      <c r="K3820" s="3" t="s">
        <v>23</v>
      </c>
    </row>
    <row r="3821" spans="1:11" ht="42" customHeight="1">
      <c r="A3821" s="2" t="s">
        <v>7787</v>
      </c>
      <c r="B3821" s="2" t="s">
        <v>7788</v>
      </c>
      <c r="C3821" s="2" t="s">
        <v>35</v>
      </c>
      <c r="D3821" s="2" t="s">
        <v>36</v>
      </c>
      <c r="E3821" s="5">
        <v>-28932</v>
      </c>
      <c r="F3821" s="3" t="s">
        <v>407</v>
      </c>
      <c r="G3821" s="3" t="s">
        <v>43</v>
      </c>
      <c r="H3821" s="2" t="s">
        <v>21</v>
      </c>
      <c r="I3821" s="2" t="s">
        <v>7789</v>
      </c>
      <c r="J3821" s="3" t="str">
        <f>HYPERLINK("https://www.boe.es/gazeta/dias/1820/10/13/pdfs/GGB-1820-107.pdf#page=2","Abrir facsímil")</f>
        <v>Abrir facsímil</v>
      </c>
      <c r="K3821" s="3" t="s">
        <v>23</v>
      </c>
    </row>
    <row r="3822" spans="1:11" ht="42" customHeight="1">
      <c r="A3822" s="2" t="s">
        <v>7790</v>
      </c>
      <c r="B3822" s="2" t="s">
        <v>7791</v>
      </c>
      <c r="C3822" s="2" t="s">
        <v>17</v>
      </c>
      <c r="D3822" s="2" t="s">
        <v>18</v>
      </c>
      <c r="E3822" s="5">
        <v>-29213</v>
      </c>
      <c r="F3822" s="3" t="s">
        <v>195</v>
      </c>
      <c r="G3822" s="3" t="s">
        <v>196</v>
      </c>
      <c r="H3822" s="2" t="s">
        <v>21</v>
      </c>
      <c r="I3822" s="2" t="s">
        <v>7792</v>
      </c>
      <c r="J3822" s="3" t="str">
        <f>HYPERLINK("https://www.boe.es/gazeta/dias/1820/01/06/pdfs/GMD-1820-3.pdf#page=11","Abrir facsímil")</f>
        <v>Abrir facsímil</v>
      </c>
      <c r="K3822" s="3" t="s">
        <v>23</v>
      </c>
    </row>
    <row r="3823" spans="1:11" ht="42" customHeight="1">
      <c r="A3823" s="2" t="s">
        <v>7793</v>
      </c>
      <c r="B3823" s="2" t="s">
        <v>7793</v>
      </c>
      <c r="C3823" s="2" t="s">
        <v>74</v>
      </c>
      <c r="D3823" s="2" t="s">
        <v>18</v>
      </c>
      <c r="E3823" s="5">
        <v>-28994</v>
      </c>
      <c r="F3823" s="3" t="s">
        <v>1612</v>
      </c>
      <c r="G3823" s="3" t="s">
        <v>62</v>
      </c>
      <c r="H3823" s="2" t="s">
        <v>21</v>
      </c>
      <c r="I3823" s="2" t="s">
        <v>7794</v>
      </c>
      <c r="J3823" s="3" t="str">
        <f>HYPERLINK("https://www.boe.es/gazeta/dias/1820/08/12/pdfs/GGB-1820-45.pdf#page=3","Abrir facsímil")</f>
        <v>Abrir facsímil</v>
      </c>
      <c r="K3823" s="3" t="s">
        <v>23</v>
      </c>
    </row>
    <row r="3824" spans="1:11" ht="42" customHeight="1">
      <c r="A3824" s="2" t="s">
        <v>7795</v>
      </c>
      <c r="B3824" s="2" t="s">
        <v>7795</v>
      </c>
      <c r="C3824" s="2" t="s">
        <v>17</v>
      </c>
      <c r="D3824" s="2" t="s">
        <v>18</v>
      </c>
      <c r="E3824" s="5">
        <v>-29003</v>
      </c>
      <c r="F3824" s="3" t="s">
        <v>340</v>
      </c>
      <c r="G3824" s="3" t="s">
        <v>20</v>
      </c>
      <c r="H3824" s="2" t="s">
        <v>21</v>
      </c>
      <c r="I3824" s="2" t="s">
        <v>7796</v>
      </c>
      <c r="J3824" s="3" t="str">
        <f>HYPERLINK("https://www.boe.es/gazeta/dias/1820/08/03/pdfs/GGB-1820-36.pdf#page=4","Abrir facsímil")</f>
        <v>Abrir facsímil</v>
      </c>
      <c r="K3824" s="3" t="s">
        <v>23</v>
      </c>
    </row>
    <row r="3825" spans="1:11" ht="42" customHeight="1">
      <c r="A3825" s="2" t="s">
        <v>7797</v>
      </c>
      <c r="B3825" s="2" t="s">
        <v>7797</v>
      </c>
      <c r="C3825" s="2" t="s">
        <v>35</v>
      </c>
      <c r="D3825" s="2" t="s">
        <v>36</v>
      </c>
      <c r="E3825" s="5">
        <v>-28905</v>
      </c>
      <c r="F3825" s="3" t="s">
        <v>749</v>
      </c>
      <c r="G3825" s="3" t="s">
        <v>62</v>
      </c>
      <c r="H3825" s="2" t="s">
        <v>21</v>
      </c>
      <c r="I3825" s="2" t="s">
        <v>7798</v>
      </c>
      <c r="J3825" s="3" t="str">
        <f>HYPERLINK("https://www.boe.es/gazeta/dias/1820/11/09/pdfs/GGB-1820-134.pdf#page=3","Abrir facsímil")</f>
        <v>Abrir facsímil</v>
      </c>
      <c r="K3825" s="3" t="s">
        <v>23</v>
      </c>
    </row>
    <row r="3826" spans="1:11" ht="42" customHeight="1">
      <c r="A3826" s="2" t="s">
        <v>7799</v>
      </c>
      <c r="B3826" s="2" t="s">
        <v>7799</v>
      </c>
      <c r="C3826" s="2" t="s">
        <v>26</v>
      </c>
      <c r="D3826" s="2" t="s">
        <v>27</v>
      </c>
      <c r="E3826" s="5">
        <v>-28969</v>
      </c>
      <c r="F3826" s="3" t="s">
        <v>225</v>
      </c>
      <c r="G3826" s="3" t="s">
        <v>20</v>
      </c>
      <c r="H3826" s="2" t="s">
        <v>21</v>
      </c>
      <c r="I3826" s="2" t="s">
        <v>7800</v>
      </c>
      <c r="J3826" s="3" t="str">
        <f>HYPERLINK("https://www.boe.es/gazeta/dias/1820/09/06/pdfs/GGB-1820-70.pdf#page=4","Abrir facsímil")</f>
        <v>Abrir facsímil</v>
      </c>
      <c r="K3826" s="3" t="s">
        <v>23</v>
      </c>
    </row>
    <row r="3827" spans="1:11" ht="42" customHeight="1">
      <c r="A3827" s="2" t="s">
        <v>7801</v>
      </c>
      <c r="B3827" s="2" t="s">
        <v>7801</v>
      </c>
      <c r="C3827" s="2" t="s">
        <v>293</v>
      </c>
      <c r="D3827" s="2" t="s">
        <v>18</v>
      </c>
      <c r="E3827" s="5">
        <v>-29019</v>
      </c>
      <c r="F3827" s="3" t="s">
        <v>655</v>
      </c>
      <c r="G3827" s="3" t="s">
        <v>945</v>
      </c>
      <c r="H3827" s="2" t="s">
        <v>21</v>
      </c>
      <c r="I3827" s="2" t="s">
        <v>7802</v>
      </c>
      <c r="J3827" s="3" t="str">
        <f>HYPERLINK("https://www.boe.es/gazeta/dias/1820/07/18/pdfs/GGB-1820-20.pdf#page=2","Abrir facsímil")</f>
        <v>Abrir facsímil</v>
      </c>
      <c r="K3827" s="3" t="s">
        <v>23</v>
      </c>
    </row>
    <row r="3828" spans="1:11" ht="42" customHeight="1">
      <c r="A3828" s="2" t="s">
        <v>7801</v>
      </c>
      <c r="B3828" s="2" t="s">
        <v>7801</v>
      </c>
      <c r="C3828" s="2" t="s">
        <v>35</v>
      </c>
      <c r="D3828" s="2" t="s">
        <v>36</v>
      </c>
      <c r="E3828" s="5">
        <v>-29018</v>
      </c>
      <c r="F3828" s="3" t="s">
        <v>601</v>
      </c>
      <c r="G3828" s="3" t="s">
        <v>62</v>
      </c>
      <c r="H3828" s="2" t="s">
        <v>21</v>
      </c>
      <c r="I3828" s="2" t="s">
        <v>7803</v>
      </c>
      <c r="J3828" s="3" t="str">
        <f>HYPERLINK("https://www.boe.es/gazeta/dias/1820/07/19/pdfs/GGB-1820-21.pdf#page=3","Abrir facsímil")</f>
        <v>Abrir facsímil</v>
      </c>
      <c r="K3828" s="3" t="s">
        <v>23</v>
      </c>
    </row>
    <row r="3829" spans="1:11" ht="42" customHeight="1">
      <c r="A3829" s="2" t="s">
        <v>7801</v>
      </c>
      <c r="B3829" s="2" t="s">
        <v>7801</v>
      </c>
      <c r="C3829" s="2" t="s">
        <v>293</v>
      </c>
      <c r="D3829" s="2" t="s">
        <v>18</v>
      </c>
      <c r="E3829" s="5">
        <v>-29017</v>
      </c>
      <c r="F3829" s="3" t="s">
        <v>274</v>
      </c>
      <c r="G3829" s="3" t="s">
        <v>62</v>
      </c>
      <c r="H3829" s="2" t="s">
        <v>21</v>
      </c>
      <c r="I3829" s="2" t="s">
        <v>7804</v>
      </c>
      <c r="J3829" s="3" t="str">
        <f>HYPERLINK("https://www.boe.es/gazeta/dias/1820/07/20/pdfs/GGB-1820-22.pdf#page=3","Abrir facsímil")</f>
        <v>Abrir facsímil</v>
      </c>
      <c r="K3829" s="3" t="s">
        <v>23</v>
      </c>
    </row>
    <row r="3830" spans="1:11" ht="42" customHeight="1">
      <c r="A3830" s="2" t="s">
        <v>7801</v>
      </c>
      <c r="B3830" s="2" t="s">
        <v>7801</v>
      </c>
      <c r="C3830" s="2" t="s">
        <v>35</v>
      </c>
      <c r="D3830" s="2" t="s">
        <v>36</v>
      </c>
      <c r="E3830" s="5">
        <v>-29013</v>
      </c>
      <c r="F3830" s="3" t="s">
        <v>52</v>
      </c>
      <c r="G3830" s="3" t="s">
        <v>53</v>
      </c>
      <c r="H3830" s="2" t="s">
        <v>21</v>
      </c>
      <c r="I3830" s="2" t="s">
        <v>7805</v>
      </c>
      <c r="J3830" s="3" t="str">
        <f>HYPERLINK("https://www.boe.es/gazeta/dias/1820/07/24/pdfs/GGB-1820-26.pdf#page=3","Abrir facsímil")</f>
        <v>Abrir facsímil</v>
      </c>
      <c r="K3830" s="3" t="s">
        <v>23</v>
      </c>
    </row>
    <row r="3831" spans="1:11" ht="42" customHeight="1">
      <c r="A3831" s="2" t="s">
        <v>7801</v>
      </c>
      <c r="B3831" s="2" t="s">
        <v>7801</v>
      </c>
      <c r="C3831" s="2" t="s">
        <v>74</v>
      </c>
      <c r="D3831" s="2" t="s">
        <v>18</v>
      </c>
      <c r="E3831" s="5">
        <v>-29013</v>
      </c>
      <c r="F3831" s="3" t="s">
        <v>52</v>
      </c>
      <c r="G3831" s="3" t="s">
        <v>20</v>
      </c>
      <c r="H3831" s="2" t="s">
        <v>21</v>
      </c>
      <c r="I3831" s="2" t="s">
        <v>7806</v>
      </c>
      <c r="J3831" s="3" t="str">
        <f>HYPERLINK("https://www.boe.es/gazeta/dias/1820/07/24/pdfs/GGB-1820-26.pdf#page=4","Abrir facsímil")</f>
        <v>Abrir facsímil</v>
      </c>
      <c r="K3831" s="3" t="s">
        <v>23</v>
      </c>
    </row>
    <row r="3832" spans="1:11" ht="42" customHeight="1">
      <c r="A3832" s="2" t="s">
        <v>7801</v>
      </c>
      <c r="B3832" s="2" t="s">
        <v>7801</v>
      </c>
      <c r="C3832" s="2" t="s">
        <v>17</v>
      </c>
      <c r="D3832" s="2" t="s">
        <v>18</v>
      </c>
      <c r="E3832" s="5">
        <v>-29009</v>
      </c>
      <c r="F3832" s="3" t="s">
        <v>605</v>
      </c>
      <c r="G3832" s="3" t="s">
        <v>62</v>
      </c>
      <c r="H3832" s="2" t="s">
        <v>21</v>
      </c>
      <c r="I3832" s="2" t="s">
        <v>7807</v>
      </c>
      <c r="J3832" s="3" t="str">
        <f>HYPERLINK("https://www.boe.es/gazeta/dias/1820/07/28/pdfs/GGB-1820-30.pdf#page=3","Abrir facsímil")</f>
        <v>Abrir facsímil</v>
      </c>
      <c r="K3832" s="3" t="s">
        <v>23</v>
      </c>
    </row>
    <row r="3833" spans="1:11" ht="42" customHeight="1">
      <c r="A3833" s="2" t="s">
        <v>7801</v>
      </c>
      <c r="B3833" s="2" t="s">
        <v>7801</v>
      </c>
      <c r="C3833" s="2" t="s">
        <v>17</v>
      </c>
      <c r="D3833" s="2" t="s">
        <v>18</v>
      </c>
      <c r="E3833" s="5">
        <v>-29003</v>
      </c>
      <c r="F3833" s="3" t="s">
        <v>340</v>
      </c>
      <c r="G3833" s="3" t="s">
        <v>20</v>
      </c>
      <c r="H3833" s="2" t="s">
        <v>21</v>
      </c>
      <c r="I3833" s="2" t="s">
        <v>7808</v>
      </c>
      <c r="J3833" s="3" t="str">
        <f>HYPERLINK("https://www.boe.es/gazeta/dias/1820/08/03/pdfs/GGB-1820-36.pdf#page=4","Abrir facsímil")</f>
        <v>Abrir facsímil</v>
      </c>
      <c r="K3833" s="3" t="s">
        <v>23</v>
      </c>
    </row>
    <row r="3834" spans="1:11" ht="42" customHeight="1">
      <c r="A3834" s="2" t="s">
        <v>7801</v>
      </c>
      <c r="B3834" s="2" t="s">
        <v>7801</v>
      </c>
      <c r="C3834" s="2" t="s">
        <v>26</v>
      </c>
      <c r="D3834" s="2" t="s">
        <v>27</v>
      </c>
      <c r="E3834" s="5">
        <v>-28988</v>
      </c>
      <c r="F3834" s="3" t="s">
        <v>618</v>
      </c>
      <c r="G3834" s="3" t="s">
        <v>62</v>
      </c>
      <c r="H3834" s="2" t="s">
        <v>21</v>
      </c>
      <c r="I3834" s="2" t="s">
        <v>7809</v>
      </c>
      <c r="J3834" s="3" t="str">
        <f>HYPERLINK("https://www.boe.es/gazeta/dias/1820/08/18/pdfs/GGB-1820-51.pdf#page=3","Abrir facsímil")</f>
        <v>Abrir facsímil</v>
      </c>
      <c r="K3834" s="3" t="s">
        <v>23</v>
      </c>
    </row>
    <row r="3835" spans="1:11" ht="42" customHeight="1">
      <c r="A3835" s="2" t="s">
        <v>7801</v>
      </c>
      <c r="B3835" s="2" t="s">
        <v>7801</v>
      </c>
      <c r="C3835" s="2" t="s">
        <v>74</v>
      </c>
      <c r="D3835" s="2" t="s">
        <v>18</v>
      </c>
      <c r="E3835" s="5">
        <v>-28987</v>
      </c>
      <c r="F3835" s="3" t="s">
        <v>680</v>
      </c>
      <c r="G3835" s="3" t="s">
        <v>128</v>
      </c>
      <c r="H3835" s="2" t="s">
        <v>21</v>
      </c>
      <c r="I3835" s="2" t="s">
        <v>7810</v>
      </c>
      <c r="J3835" s="3" t="str">
        <f>HYPERLINK("https://www.boe.es/gazeta/dias/1820/08/19/pdfs/GGB-1820-52.pdf#page=1","Abrir facsímil")</f>
        <v>Abrir facsímil</v>
      </c>
      <c r="K3835" s="3" t="s">
        <v>23</v>
      </c>
    </row>
    <row r="3836" spans="1:11" ht="42" customHeight="1">
      <c r="A3836" s="2" t="s">
        <v>7801</v>
      </c>
      <c r="B3836" s="2" t="s">
        <v>7801</v>
      </c>
      <c r="C3836" s="2" t="s">
        <v>47</v>
      </c>
      <c r="D3836" s="2" t="s">
        <v>18</v>
      </c>
      <c r="E3836" s="5">
        <v>-28987</v>
      </c>
      <c r="F3836" s="3" t="s">
        <v>680</v>
      </c>
      <c r="G3836" s="3" t="s">
        <v>62</v>
      </c>
      <c r="H3836" s="2" t="s">
        <v>21</v>
      </c>
      <c r="I3836" s="2" t="s">
        <v>7811</v>
      </c>
      <c r="J3836" s="3" t="str">
        <f>HYPERLINK("https://www.boe.es/gazeta/dias/1820/08/19/pdfs/GGB-1820-52.pdf#page=3","Abrir facsímil")</f>
        <v>Abrir facsímil</v>
      </c>
      <c r="K3836" s="3" t="s">
        <v>23</v>
      </c>
    </row>
    <row r="3837" spans="1:11" ht="42" customHeight="1">
      <c r="A3837" s="2" t="s">
        <v>7801</v>
      </c>
      <c r="B3837" s="2" t="s">
        <v>7801</v>
      </c>
      <c r="C3837" s="2" t="s">
        <v>293</v>
      </c>
      <c r="D3837" s="2" t="s">
        <v>18</v>
      </c>
      <c r="E3837" s="5">
        <v>-28970</v>
      </c>
      <c r="F3837" s="3" t="s">
        <v>693</v>
      </c>
      <c r="G3837" s="3" t="s">
        <v>128</v>
      </c>
      <c r="H3837" s="2" t="s">
        <v>21</v>
      </c>
      <c r="I3837" s="2" t="s">
        <v>7812</v>
      </c>
      <c r="J3837" s="3" t="str">
        <f>HYPERLINK("https://www.boe.es/gazeta/dias/1820/09/05/pdfs/GGB-1820-69.pdf#page=1","Abrir facsímil")</f>
        <v>Abrir facsímil</v>
      </c>
      <c r="K3837" s="3" t="s">
        <v>23</v>
      </c>
    </row>
    <row r="3838" spans="1:11" ht="42" customHeight="1">
      <c r="A3838" s="2" t="s">
        <v>7801</v>
      </c>
      <c r="B3838" s="2" t="s">
        <v>7801</v>
      </c>
      <c r="C3838" s="2" t="s">
        <v>293</v>
      </c>
      <c r="D3838" s="2" t="s">
        <v>18</v>
      </c>
      <c r="E3838" s="5">
        <v>-28958</v>
      </c>
      <c r="F3838" s="3" t="s">
        <v>706</v>
      </c>
      <c r="G3838" s="3" t="s">
        <v>62</v>
      </c>
      <c r="H3838" s="2" t="s">
        <v>21</v>
      </c>
      <c r="I3838" s="2" t="s">
        <v>7813</v>
      </c>
      <c r="J3838" s="3" t="str">
        <f>HYPERLINK("https://www.boe.es/gazeta/dias/1820/09/17/pdfs/GGB-1820-81.pdf#page=3","Abrir facsímil")</f>
        <v>Abrir facsímil</v>
      </c>
      <c r="K3838" s="3" t="s">
        <v>23</v>
      </c>
    </row>
    <row r="3839" spans="1:11" ht="42" customHeight="1">
      <c r="A3839" s="2" t="s">
        <v>7801</v>
      </c>
      <c r="B3839" s="2" t="s">
        <v>7801</v>
      </c>
      <c r="C3839" s="2" t="s">
        <v>111</v>
      </c>
      <c r="D3839" s="2" t="s">
        <v>18</v>
      </c>
      <c r="E3839" s="5">
        <v>-28949</v>
      </c>
      <c r="F3839" s="3" t="s">
        <v>178</v>
      </c>
      <c r="G3839" s="3" t="s">
        <v>43</v>
      </c>
      <c r="H3839" s="2" t="s">
        <v>21</v>
      </c>
      <c r="I3839" s="2" t="s">
        <v>7814</v>
      </c>
      <c r="J3839" s="3" t="str">
        <f>HYPERLINK("https://www.boe.es/gazeta/dias/1820/09/26/pdfs/GGB-1820-90.pdf#page=2","Abrir facsímil")</f>
        <v>Abrir facsímil</v>
      </c>
      <c r="K3839" s="3" t="s">
        <v>23</v>
      </c>
    </row>
    <row r="3840" spans="1:11" ht="42" customHeight="1">
      <c r="A3840" s="2" t="s">
        <v>7801</v>
      </c>
      <c r="B3840" s="2" t="s">
        <v>7801</v>
      </c>
      <c r="C3840" s="2" t="s">
        <v>17</v>
      </c>
      <c r="D3840" s="2" t="s">
        <v>18</v>
      </c>
      <c r="E3840" s="5">
        <v>-28943</v>
      </c>
      <c r="F3840" s="3" t="s">
        <v>1403</v>
      </c>
      <c r="G3840" s="3" t="s">
        <v>43</v>
      </c>
      <c r="H3840" s="2" t="s">
        <v>21</v>
      </c>
      <c r="I3840" s="2" t="s">
        <v>7815</v>
      </c>
      <c r="J3840" s="3" t="str">
        <f>HYPERLINK("https://www.boe.es/gazeta/dias/1820/10/02/pdfs/GGB-1820-96.pdf#page=2","Abrir facsímil")</f>
        <v>Abrir facsímil</v>
      </c>
      <c r="K3840" s="3" t="s">
        <v>23</v>
      </c>
    </row>
    <row r="3841" spans="1:11" ht="42" customHeight="1">
      <c r="A3841" s="2" t="s">
        <v>7801</v>
      </c>
      <c r="B3841" s="2" t="s">
        <v>7801</v>
      </c>
      <c r="C3841" s="2" t="s">
        <v>17</v>
      </c>
      <c r="D3841" s="2" t="s">
        <v>18</v>
      </c>
      <c r="E3841" s="5">
        <v>-28940</v>
      </c>
      <c r="F3841" s="3" t="s">
        <v>141</v>
      </c>
      <c r="G3841" s="3" t="s">
        <v>43</v>
      </c>
      <c r="H3841" s="2" t="s">
        <v>21</v>
      </c>
      <c r="I3841" s="2" t="s">
        <v>7816</v>
      </c>
      <c r="J3841" s="3" t="str">
        <f>HYPERLINK("https://www.boe.es/gazeta/dias/1820/10/05/pdfs/GGB-1820-99.pdf#page=2","Abrir facsímil")</f>
        <v>Abrir facsímil</v>
      </c>
      <c r="K3841" s="3" t="s">
        <v>23</v>
      </c>
    </row>
    <row r="3842" spans="1:11" ht="42" customHeight="1">
      <c r="A3842" s="2" t="s">
        <v>7801</v>
      </c>
      <c r="B3842" s="2" t="s">
        <v>7801</v>
      </c>
      <c r="C3842" s="2" t="s">
        <v>17</v>
      </c>
      <c r="D3842" s="2" t="s">
        <v>18</v>
      </c>
      <c r="E3842" s="5">
        <v>-28935</v>
      </c>
      <c r="F3842" s="3" t="s">
        <v>2464</v>
      </c>
      <c r="G3842" s="3" t="s">
        <v>43</v>
      </c>
      <c r="H3842" s="2" t="s">
        <v>21</v>
      </c>
      <c r="I3842" s="2" t="s">
        <v>7817</v>
      </c>
      <c r="J3842" s="3" t="str">
        <f>HYPERLINK("https://www.boe.es/gazeta/dias/1820/10/10/pdfs/GGB-1820-104.pdf#page=2","Abrir facsímil")</f>
        <v>Abrir facsímil</v>
      </c>
      <c r="K3842" s="3" t="s">
        <v>23</v>
      </c>
    </row>
    <row r="3843" spans="1:11" ht="42" customHeight="1">
      <c r="A3843" s="2" t="s">
        <v>7801</v>
      </c>
      <c r="B3843" s="2" t="s">
        <v>7801</v>
      </c>
      <c r="C3843" s="2" t="s">
        <v>47</v>
      </c>
      <c r="D3843" s="2" t="s">
        <v>18</v>
      </c>
      <c r="E3843" s="5">
        <v>-28932</v>
      </c>
      <c r="F3843" s="3" t="s">
        <v>407</v>
      </c>
      <c r="G3843" s="3" t="s">
        <v>20</v>
      </c>
      <c r="H3843" s="2" t="s">
        <v>21</v>
      </c>
      <c r="I3843" s="2" t="s">
        <v>7818</v>
      </c>
      <c r="J3843" s="3" t="str">
        <f>HYPERLINK("https://www.boe.es/gazeta/dias/1820/10/13/pdfs/GGB-1820-107.pdf#page=4","Abrir facsímil")</f>
        <v>Abrir facsímil</v>
      </c>
      <c r="K3843" s="3" t="s">
        <v>23</v>
      </c>
    </row>
    <row r="3844" spans="1:11" ht="42" customHeight="1">
      <c r="A3844" s="2" t="s">
        <v>7801</v>
      </c>
      <c r="B3844" s="2" t="s">
        <v>7801</v>
      </c>
      <c r="C3844" s="2" t="s">
        <v>293</v>
      </c>
      <c r="D3844" s="2" t="s">
        <v>18</v>
      </c>
      <c r="E3844" s="5">
        <v>-28930</v>
      </c>
      <c r="F3844" s="3" t="s">
        <v>372</v>
      </c>
      <c r="G3844" s="3" t="s">
        <v>43</v>
      </c>
      <c r="H3844" s="2" t="s">
        <v>21</v>
      </c>
      <c r="I3844" s="2" t="s">
        <v>7819</v>
      </c>
      <c r="J3844" s="3" t="str">
        <f>HYPERLINK("https://www.boe.es/gazeta/dias/1820/10/15/pdfs/GGB-1820-109.pdf#page=2","Abrir facsímil")</f>
        <v>Abrir facsímil</v>
      </c>
      <c r="K3844" s="3" t="s">
        <v>23</v>
      </c>
    </row>
    <row r="3845" spans="1:11" ht="42" customHeight="1">
      <c r="A3845" s="2" t="s">
        <v>7801</v>
      </c>
      <c r="B3845" s="2" t="s">
        <v>7801</v>
      </c>
      <c r="C3845" s="2" t="s">
        <v>26</v>
      </c>
      <c r="D3845" s="2" t="s">
        <v>27</v>
      </c>
      <c r="E3845" s="5">
        <v>-28930</v>
      </c>
      <c r="F3845" s="3" t="s">
        <v>372</v>
      </c>
      <c r="G3845" s="3" t="s">
        <v>62</v>
      </c>
      <c r="H3845" s="2" t="s">
        <v>21</v>
      </c>
      <c r="I3845" s="2" t="s">
        <v>7820</v>
      </c>
      <c r="J3845" s="3" t="str">
        <f>HYPERLINK("https://www.boe.es/gazeta/dias/1820/10/15/pdfs/GGB-1820-109.pdf#page=3","Abrir facsímil")</f>
        <v>Abrir facsímil</v>
      </c>
      <c r="K3845" s="3" t="s">
        <v>23</v>
      </c>
    </row>
    <row r="3846" spans="1:11" ht="42" customHeight="1">
      <c r="A3846" s="2" t="s">
        <v>7801</v>
      </c>
      <c r="B3846" s="2" t="s">
        <v>7801</v>
      </c>
      <c r="C3846" s="2" t="s">
        <v>35</v>
      </c>
      <c r="D3846" s="2" t="s">
        <v>36</v>
      </c>
      <c r="E3846" s="5">
        <v>-28925</v>
      </c>
      <c r="F3846" s="3" t="s">
        <v>228</v>
      </c>
      <c r="G3846" s="3" t="s">
        <v>20</v>
      </c>
      <c r="H3846" s="2" t="s">
        <v>21</v>
      </c>
      <c r="I3846" s="2" t="s">
        <v>7821</v>
      </c>
      <c r="J3846" s="3" t="str">
        <f>HYPERLINK("https://www.boe.es/gazeta/dias/1820/10/20/pdfs/GGB-1820-114.pdf#page=4","Abrir facsímil")</f>
        <v>Abrir facsímil</v>
      </c>
      <c r="K3846" s="3" t="s">
        <v>23</v>
      </c>
    </row>
    <row r="3847" spans="1:11" ht="42" customHeight="1">
      <c r="A3847" s="2" t="s">
        <v>7801</v>
      </c>
      <c r="B3847" s="2" t="s">
        <v>7801</v>
      </c>
      <c r="C3847" s="2" t="s">
        <v>74</v>
      </c>
      <c r="D3847" s="2" t="s">
        <v>18</v>
      </c>
      <c r="E3847" s="5">
        <v>-28916</v>
      </c>
      <c r="F3847" s="3" t="s">
        <v>2688</v>
      </c>
      <c r="G3847" s="3" t="s">
        <v>43</v>
      </c>
      <c r="H3847" s="2" t="s">
        <v>21</v>
      </c>
      <c r="I3847" s="2" t="s">
        <v>7822</v>
      </c>
      <c r="J3847" s="3" t="str">
        <f>HYPERLINK("https://www.boe.es/gazeta/dias/1820/10/29/pdfs/GGB-1820-123.pdf#page=2","Abrir facsímil")</f>
        <v>Abrir facsímil</v>
      </c>
      <c r="K3847" s="3" t="s">
        <v>23</v>
      </c>
    </row>
    <row r="3848" spans="1:11" ht="42" customHeight="1">
      <c r="A3848" s="2" t="s">
        <v>7801</v>
      </c>
      <c r="B3848" s="2" t="s">
        <v>7801</v>
      </c>
      <c r="C3848" s="2" t="s">
        <v>74</v>
      </c>
      <c r="D3848" s="2" t="s">
        <v>18</v>
      </c>
      <c r="E3848" s="5">
        <v>-28913</v>
      </c>
      <c r="F3848" s="3" t="s">
        <v>230</v>
      </c>
      <c r="G3848" s="3" t="s">
        <v>62</v>
      </c>
      <c r="H3848" s="2" t="s">
        <v>21</v>
      </c>
      <c r="I3848" s="2" t="s">
        <v>7823</v>
      </c>
      <c r="J3848" s="3" t="str">
        <f>HYPERLINK("https://www.boe.es/gazeta/dias/1820/11/01/pdfs/GGB-1820-126.pdf#page=3","Abrir facsímil")</f>
        <v>Abrir facsímil</v>
      </c>
      <c r="K3848" s="3" t="s">
        <v>23</v>
      </c>
    </row>
    <row r="3849" spans="1:11" ht="42" customHeight="1">
      <c r="A3849" s="2" t="s">
        <v>7801</v>
      </c>
      <c r="B3849" s="2" t="s">
        <v>7801</v>
      </c>
      <c r="C3849" s="2" t="s">
        <v>47</v>
      </c>
      <c r="D3849" s="2" t="s">
        <v>18</v>
      </c>
      <c r="E3849" s="5">
        <v>-28912</v>
      </c>
      <c r="F3849" s="3" t="s">
        <v>1329</v>
      </c>
      <c r="G3849" s="3" t="s">
        <v>62</v>
      </c>
      <c r="H3849" s="2" t="s">
        <v>21</v>
      </c>
      <c r="I3849" s="2" t="s">
        <v>7824</v>
      </c>
      <c r="J3849" s="3" t="str">
        <f>HYPERLINK("https://www.boe.es/gazeta/dias/1820/11/02/pdfs/GGB-1820-127.pdf#page=3","Abrir facsímil")</f>
        <v>Abrir facsímil</v>
      </c>
      <c r="K3849" s="3" t="s">
        <v>23</v>
      </c>
    </row>
    <row r="3850" spans="1:11" ht="42" customHeight="1">
      <c r="A3850" s="2" t="s">
        <v>7801</v>
      </c>
      <c r="B3850" s="2" t="s">
        <v>7801</v>
      </c>
      <c r="C3850" s="2" t="s">
        <v>17</v>
      </c>
      <c r="D3850" s="2" t="s">
        <v>18</v>
      </c>
      <c r="E3850" s="5">
        <v>-28912</v>
      </c>
      <c r="F3850" s="3" t="s">
        <v>1329</v>
      </c>
      <c r="G3850" s="3" t="s">
        <v>20</v>
      </c>
      <c r="H3850" s="2" t="s">
        <v>21</v>
      </c>
      <c r="I3850" s="2" t="s">
        <v>7825</v>
      </c>
      <c r="J3850" s="3" t="str">
        <f>HYPERLINK("https://www.boe.es/gazeta/dias/1820/11/02/pdfs/GGB-1820-127.pdf#page=4","Abrir facsímil")</f>
        <v>Abrir facsímil</v>
      </c>
      <c r="K3850" s="3" t="s">
        <v>23</v>
      </c>
    </row>
    <row r="3851" spans="1:11" ht="42" customHeight="1">
      <c r="A3851" s="2" t="s">
        <v>7801</v>
      </c>
      <c r="B3851" s="2" t="s">
        <v>7801</v>
      </c>
      <c r="C3851" s="2" t="s">
        <v>74</v>
      </c>
      <c r="D3851" s="2" t="s">
        <v>18</v>
      </c>
      <c r="E3851" s="5">
        <v>-28906</v>
      </c>
      <c r="F3851" s="3" t="s">
        <v>232</v>
      </c>
      <c r="G3851" s="3" t="s">
        <v>62</v>
      </c>
      <c r="H3851" s="2" t="s">
        <v>21</v>
      </c>
      <c r="I3851" s="2" t="s">
        <v>7826</v>
      </c>
      <c r="J3851" s="3" t="str">
        <f>HYPERLINK("https://www.boe.es/gazeta/dias/1820/11/08/pdfs/GGB-1820-133.pdf#page=3","Abrir facsímil")</f>
        <v>Abrir facsímil</v>
      </c>
      <c r="K3851" s="3" t="s">
        <v>23</v>
      </c>
    </row>
    <row r="3852" spans="1:11" ht="42" customHeight="1">
      <c r="A3852" s="2" t="s">
        <v>7827</v>
      </c>
      <c r="B3852" s="2" t="s">
        <v>7827</v>
      </c>
      <c r="C3852" s="2" t="s">
        <v>111</v>
      </c>
      <c r="D3852" s="2" t="s">
        <v>18</v>
      </c>
      <c r="E3852" s="5">
        <v>-28911</v>
      </c>
      <c r="F3852" s="3" t="s">
        <v>82</v>
      </c>
      <c r="G3852" s="3" t="s">
        <v>20</v>
      </c>
      <c r="H3852" s="2" t="s">
        <v>21</v>
      </c>
      <c r="I3852" s="2" t="s">
        <v>7828</v>
      </c>
      <c r="J3852" s="3" t="str">
        <f>HYPERLINK("https://www.boe.es/gazeta/dias/1820/11/03/pdfs/GGB-1820-128.pdf#page=4","Abrir facsímil")</f>
        <v>Abrir facsímil</v>
      </c>
      <c r="K3852" s="3" t="s">
        <v>23</v>
      </c>
    </row>
    <row r="3853" spans="1:11" ht="42" customHeight="1">
      <c r="A3853" s="2" t="s">
        <v>7829</v>
      </c>
      <c r="B3853" s="2" t="s">
        <v>7830</v>
      </c>
      <c r="C3853" s="2" t="s">
        <v>35</v>
      </c>
      <c r="D3853" s="2" t="s">
        <v>36</v>
      </c>
      <c r="E3853" s="5">
        <v>-28931</v>
      </c>
      <c r="F3853" s="3" t="s">
        <v>724</v>
      </c>
      <c r="G3853" s="3" t="s">
        <v>43</v>
      </c>
      <c r="H3853" s="2" t="s">
        <v>21</v>
      </c>
      <c r="I3853" s="2" t="s">
        <v>7831</v>
      </c>
      <c r="J3853" s="3" t="str">
        <f>HYPERLINK("https://www.boe.es/gazeta/dias/1820/10/14/pdfs/GGB-1820-108.pdf#page=2","Abrir facsímil")</f>
        <v>Abrir facsímil</v>
      </c>
      <c r="K3853" s="3" t="s">
        <v>23</v>
      </c>
    </row>
    <row r="3854" spans="1:11" ht="42" customHeight="1">
      <c r="A3854" s="2" t="s">
        <v>7832</v>
      </c>
      <c r="B3854" s="2" t="s">
        <v>7832</v>
      </c>
      <c r="C3854" s="2" t="s">
        <v>17</v>
      </c>
      <c r="D3854" s="2" t="s">
        <v>18</v>
      </c>
      <c r="E3854" s="5">
        <v>-28951</v>
      </c>
      <c r="F3854" s="3" t="s">
        <v>622</v>
      </c>
      <c r="G3854" s="3" t="s">
        <v>62</v>
      </c>
      <c r="H3854" s="2" t="s">
        <v>21</v>
      </c>
      <c r="I3854" s="2" t="s">
        <v>7833</v>
      </c>
      <c r="J3854" s="3" t="str">
        <f>HYPERLINK("https://www.boe.es/gazeta/dias/1820/09/24/pdfs/GGB-1820-88.pdf#page=3","Abrir facsímil")</f>
        <v>Abrir facsímil</v>
      </c>
      <c r="K3854" s="3" t="s">
        <v>23</v>
      </c>
    </row>
    <row r="3855" spans="1:11" ht="42" customHeight="1">
      <c r="A3855" s="2" t="s">
        <v>7834</v>
      </c>
      <c r="B3855" s="2" t="s">
        <v>7835</v>
      </c>
      <c r="C3855" s="2" t="s">
        <v>35</v>
      </c>
      <c r="D3855" s="2" t="s">
        <v>36</v>
      </c>
      <c r="E3855" s="5">
        <v>-29080</v>
      </c>
      <c r="F3855" s="3" t="s">
        <v>1031</v>
      </c>
      <c r="G3855" s="3" t="s">
        <v>1080</v>
      </c>
      <c r="H3855" s="2" t="s">
        <v>30</v>
      </c>
      <c r="I3855" s="2" t="s">
        <v>7836</v>
      </c>
      <c r="J3855" s="3" t="str">
        <f>HYPERLINK("https://www.boe.es/gazeta/dias/1820/05/18/pdfs/GMD-1820-82.pdf#page=8","Abrir facsímil")</f>
        <v>Abrir facsímil</v>
      </c>
      <c r="K3855" s="3" t="s">
        <v>32</v>
      </c>
    </row>
    <row r="3856" spans="1:11" ht="42" customHeight="1">
      <c r="A3856" s="2" t="s">
        <v>7837</v>
      </c>
      <c r="B3856" s="2" t="s">
        <v>7838</v>
      </c>
      <c r="C3856" s="2" t="s">
        <v>26</v>
      </c>
      <c r="D3856" s="2" t="s">
        <v>27</v>
      </c>
      <c r="E3856" s="5">
        <v>-29215</v>
      </c>
      <c r="F3856" s="3" t="s">
        <v>827</v>
      </c>
      <c r="G3856" s="3" t="s">
        <v>295</v>
      </c>
      <c r="H3856" s="2" t="s">
        <v>30</v>
      </c>
      <c r="I3856" s="2" t="s">
        <v>7839</v>
      </c>
      <c r="J3856" s="3" t="str">
        <f>HYPERLINK("https://www.boe.es/gazeta/dias/1820/01/04/pdfs/GMD-1820-2.pdf#page=8","Abrir facsímil")</f>
        <v>Abrir facsímil</v>
      </c>
      <c r="K3856" s="3" t="s">
        <v>32</v>
      </c>
    </row>
    <row r="3857" spans="1:11" ht="42" customHeight="1">
      <c r="A3857" s="2" t="s">
        <v>7837</v>
      </c>
      <c r="B3857" s="2" t="s">
        <v>7838</v>
      </c>
      <c r="C3857" s="2" t="s">
        <v>26</v>
      </c>
      <c r="D3857" s="2" t="s">
        <v>27</v>
      </c>
      <c r="E3857" s="5">
        <v>-29213</v>
      </c>
      <c r="F3857" s="3" t="s">
        <v>195</v>
      </c>
      <c r="G3857" s="3" t="s">
        <v>4787</v>
      </c>
      <c r="H3857" s="2" t="s">
        <v>30</v>
      </c>
      <c r="I3857" s="2" t="s">
        <v>7840</v>
      </c>
      <c r="J3857" s="3" t="str">
        <f>HYPERLINK("https://www.boe.es/gazeta/dias/1820/01/06/pdfs/GMD-1820-3.pdf#page=12","Abrir facsímil")</f>
        <v>Abrir facsímil</v>
      </c>
      <c r="K3857" s="3" t="s">
        <v>32</v>
      </c>
    </row>
    <row r="3858" spans="1:11" ht="42" customHeight="1">
      <c r="A3858" s="2" t="s">
        <v>7837</v>
      </c>
      <c r="B3858" s="2" t="s">
        <v>7838</v>
      </c>
      <c r="C3858" s="2" t="s">
        <v>35</v>
      </c>
      <c r="D3858" s="2" t="s">
        <v>36</v>
      </c>
      <c r="E3858" s="5">
        <v>-29204</v>
      </c>
      <c r="F3858" s="3" t="s">
        <v>753</v>
      </c>
      <c r="G3858" s="3" t="s">
        <v>295</v>
      </c>
      <c r="H3858" s="2" t="s">
        <v>30</v>
      </c>
      <c r="I3858" s="2" t="s">
        <v>7841</v>
      </c>
      <c r="J3858" s="3" t="str">
        <f>HYPERLINK("https://www.boe.es/gazeta/dias/1820/01/15/pdfs/GMD-1820-7.pdf#page=8","Abrir facsímil")</f>
        <v>Abrir facsímil</v>
      </c>
      <c r="K3858" s="3" t="s">
        <v>32</v>
      </c>
    </row>
    <row r="3859" spans="1:11" ht="42" customHeight="1">
      <c r="A3859" s="2" t="s">
        <v>7837</v>
      </c>
      <c r="B3859" s="2" t="s">
        <v>7838</v>
      </c>
      <c r="C3859" s="2" t="s">
        <v>35</v>
      </c>
      <c r="D3859" s="2" t="s">
        <v>36</v>
      </c>
      <c r="E3859" s="5">
        <v>-29155</v>
      </c>
      <c r="F3859" s="3" t="s">
        <v>2095</v>
      </c>
      <c r="G3859" s="3" t="s">
        <v>6100</v>
      </c>
      <c r="H3859" s="2" t="s">
        <v>30</v>
      </c>
      <c r="I3859" s="2" t="s">
        <v>7842</v>
      </c>
      <c r="J3859" s="3" t="str">
        <f>HYPERLINK("https://www.boe.es/gazeta/dias/1820/03/04/pdfs/GMD-1820-28.pdf#page=7","Abrir facsímil")</f>
        <v>Abrir facsímil</v>
      </c>
      <c r="K3859" s="3" t="s">
        <v>32</v>
      </c>
    </row>
    <row r="3860" spans="1:11" ht="42" customHeight="1">
      <c r="A3860" s="2" t="s">
        <v>7843</v>
      </c>
      <c r="B3860" s="2" t="s">
        <v>7844</v>
      </c>
      <c r="C3860" s="2" t="s">
        <v>17</v>
      </c>
      <c r="D3860" s="2" t="s">
        <v>18</v>
      </c>
      <c r="E3860" s="5">
        <v>-28881</v>
      </c>
      <c r="F3860" s="3" t="s">
        <v>57</v>
      </c>
      <c r="G3860" s="3" t="s">
        <v>20</v>
      </c>
      <c r="H3860" s="2" t="s">
        <v>30</v>
      </c>
      <c r="I3860" s="2" t="s">
        <v>7845</v>
      </c>
      <c r="J3860" s="3" t="str">
        <f>HYPERLINK("https://www.boe.es/gazeta/dias/1820/12/03/pdfs/GGB-1820-160.pdf#page=4","Abrir facsímil")</f>
        <v>Abrir facsímil</v>
      </c>
      <c r="K3860" s="3" t="s">
        <v>32</v>
      </c>
    </row>
    <row r="3861" spans="1:11" ht="42" customHeight="1">
      <c r="A3861" s="2" t="s">
        <v>7846</v>
      </c>
      <c r="B3861" s="2" t="s">
        <v>7847</v>
      </c>
      <c r="C3861" s="2" t="s">
        <v>35</v>
      </c>
      <c r="D3861" s="2" t="s">
        <v>36</v>
      </c>
      <c r="E3861" s="5">
        <v>-29187</v>
      </c>
      <c r="F3861" s="3" t="s">
        <v>859</v>
      </c>
      <c r="G3861" s="3" t="s">
        <v>295</v>
      </c>
      <c r="H3861" s="2" t="s">
        <v>30</v>
      </c>
      <c r="I3861" s="2" t="s">
        <v>7848</v>
      </c>
      <c r="J3861" s="3" t="str">
        <f>HYPERLINK("https://www.boe.es/gazeta/dias/1820/02/01/pdfs/GMD-1820-14.pdf#page=8","Abrir facsímil")</f>
        <v>Abrir facsímil</v>
      </c>
      <c r="K3861" s="3" t="s">
        <v>32</v>
      </c>
    </row>
    <row r="3862" spans="1:11" ht="42" customHeight="1">
      <c r="A3862" s="2" t="s">
        <v>7849</v>
      </c>
      <c r="B3862" s="2" t="s">
        <v>7850</v>
      </c>
      <c r="C3862" s="2" t="s">
        <v>35</v>
      </c>
      <c r="D3862" s="2" t="s">
        <v>36</v>
      </c>
      <c r="E3862" s="5">
        <v>-29136</v>
      </c>
      <c r="F3862" s="3" t="s">
        <v>2972</v>
      </c>
      <c r="G3862" s="3" t="s">
        <v>295</v>
      </c>
      <c r="H3862" s="2" t="s">
        <v>30</v>
      </c>
      <c r="I3862" s="2" t="s">
        <v>7851</v>
      </c>
      <c r="J3862" s="3" t="str">
        <f>HYPERLINK("https://www.boe.es/gazeta/dias/1820/03/23/pdfs/GMD-1820-51.pdf#page=8","Abrir facsímil")</f>
        <v>Abrir facsímil</v>
      </c>
      <c r="K3862" s="3" t="s">
        <v>32</v>
      </c>
    </row>
    <row r="3863" spans="1:11" ht="42" customHeight="1">
      <c r="A3863" s="2" t="s">
        <v>7852</v>
      </c>
      <c r="B3863" s="2" t="s">
        <v>7852</v>
      </c>
      <c r="C3863" s="2" t="s">
        <v>26</v>
      </c>
      <c r="D3863" s="2" t="s">
        <v>27</v>
      </c>
      <c r="E3863" s="5">
        <v>-29014</v>
      </c>
      <c r="F3863" s="3" t="s">
        <v>70</v>
      </c>
      <c r="G3863" s="3" t="s">
        <v>20</v>
      </c>
      <c r="H3863" s="2" t="s">
        <v>21</v>
      </c>
      <c r="I3863" s="2" t="s">
        <v>7853</v>
      </c>
      <c r="J3863" s="3" t="str">
        <f>HYPERLINK("https://www.boe.es/gazeta/dias/1820/07/23/pdfs/GGB-1820-25.pdf#page=4","Abrir facsímil")</f>
        <v>Abrir facsímil</v>
      </c>
      <c r="K3863" s="3" t="s">
        <v>23</v>
      </c>
    </row>
    <row r="3864" spans="1:11" ht="42" customHeight="1">
      <c r="A3864" s="2" t="s">
        <v>7852</v>
      </c>
      <c r="B3864" s="2" t="s">
        <v>7852</v>
      </c>
      <c r="C3864" s="2" t="s">
        <v>111</v>
      </c>
      <c r="D3864" s="2" t="s">
        <v>18</v>
      </c>
      <c r="E3864" s="5">
        <v>-29005</v>
      </c>
      <c r="F3864" s="3" t="s">
        <v>1656</v>
      </c>
      <c r="G3864" s="3" t="s">
        <v>1657</v>
      </c>
      <c r="H3864" s="2" t="s">
        <v>21</v>
      </c>
      <c r="I3864" s="2" t="s">
        <v>7854</v>
      </c>
      <c r="J3864" s="3" t="str">
        <f>HYPERLINK("https://www.boe.es/gazeta/dias/1820/08/01/pdfs/GGB-1820-34.pdf#page=4","Abrir facsímil")</f>
        <v>Abrir facsímil</v>
      </c>
      <c r="K3864" s="3" t="s">
        <v>23</v>
      </c>
    </row>
    <row r="3865" spans="1:11" ht="42" customHeight="1">
      <c r="A3865" s="2" t="s">
        <v>7852</v>
      </c>
      <c r="B3865" s="2" t="s">
        <v>7852</v>
      </c>
      <c r="C3865" s="2" t="s">
        <v>17</v>
      </c>
      <c r="D3865" s="2" t="s">
        <v>18</v>
      </c>
      <c r="E3865" s="5">
        <v>-28983</v>
      </c>
      <c r="F3865" s="3" t="s">
        <v>682</v>
      </c>
      <c r="G3865" s="3" t="s">
        <v>43</v>
      </c>
      <c r="H3865" s="2" t="s">
        <v>21</v>
      </c>
      <c r="I3865" s="2" t="s">
        <v>7855</v>
      </c>
      <c r="J3865" s="3" t="str">
        <f>HYPERLINK("https://www.boe.es/gazeta/dias/1820/08/23/pdfs/GGB-1820-56.pdf#page=2","Abrir facsímil")</f>
        <v>Abrir facsímil</v>
      </c>
      <c r="K3865" s="3" t="s">
        <v>23</v>
      </c>
    </row>
    <row r="3866" spans="1:11" ht="42" customHeight="1">
      <c r="A3866" s="2" t="s">
        <v>7852</v>
      </c>
      <c r="B3866" s="2" t="s">
        <v>7852</v>
      </c>
      <c r="C3866" s="2" t="s">
        <v>74</v>
      </c>
      <c r="D3866" s="2" t="s">
        <v>18</v>
      </c>
      <c r="E3866" s="5">
        <v>-28983</v>
      </c>
      <c r="F3866" s="3" t="s">
        <v>682</v>
      </c>
      <c r="G3866" s="3" t="s">
        <v>62</v>
      </c>
      <c r="H3866" s="2" t="s">
        <v>21</v>
      </c>
      <c r="I3866" s="2" t="s">
        <v>7856</v>
      </c>
      <c r="J3866" s="3" t="str">
        <f>HYPERLINK("https://www.boe.es/gazeta/dias/1820/08/23/pdfs/GGB-1820-56.pdf#page=3","Abrir facsímil")</f>
        <v>Abrir facsímil</v>
      </c>
      <c r="K3866" s="3" t="s">
        <v>23</v>
      </c>
    </row>
    <row r="3867" spans="1:11" ht="42" customHeight="1">
      <c r="A3867" s="2" t="s">
        <v>7852</v>
      </c>
      <c r="B3867" s="2" t="s">
        <v>7852</v>
      </c>
      <c r="C3867" s="2" t="s">
        <v>111</v>
      </c>
      <c r="D3867" s="2" t="s">
        <v>18</v>
      </c>
      <c r="E3867" s="5">
        <v>-28958</v>
      </c>
      <c r="F3867" s="3" t="s">
        <v>706</v>
      </c>
      <c r="G3867" s="3" t="s">
        <v>62</v>
      </c>
      <c r="H3867" s="2" t="s">
        <v>21</v>
      </c>
      <c r="I3867" s="2" t="s">
        <v>7857</v>
      </c>
      <c r="J3867" s="3" t="str">
        <f>HYPERLINK("https://www.boe.es/gazeta/dias/1820/09/17/pdfs/GGB-1820-81.pdf#page=3","Abrir facsímil")</f>
        <v>Abrir facsímil</v>
      </c>
      <c r="K3867" s="3" t="s">
        <v>23</v>
      </c>
    </row>
    <row r="3868" spans="1:11" ht="42" customHeight="1">
      <c r="A3868" s="2" t="s">
        <v>7852</v>
      </c>
      <c r="B3868" s="2" t="s">
        <v>7852</v>
      </c>
      <c r="C3868" s="2" t="s">
        <v>74</v>
      </c>
      <c r="D3868" s="2" t="s">
        <v>18</v>
      </c>
      <c r="E3868" s="5">
        <v>-28919</v>
      </c>
      <c r="F3868" s="3" t="s">
        <v>516</v>
      </c>
      <c r="G3868" s="3" t="s">
        <v>62</v>
      </c>
      <c r="H3868" s="2" t="s">
        <v>21</v>
      </c>
      <c r="I3868" s="2" t="s">
        <v>7858</v>
      </c>
      <c r="J3868" s="3" t="str">
        <f>HYPERLINK("https://www.boe.es/gazeta/dias/1820/10/26/pdfs/GGB-1820-120.pdf#page=3","Abrir facsímil")</f>
        <v>Abrir facsímil</v>
      </c>
      <c r="K3868" s="3" t="s">
        <v>23</v>
      </c>
    </row>
    <row r="3869" spans="1:11" ht="42" customHeight="1">
      <c r="A3869" s="2" t="s">
        <v>7859</v>
      </c>
      <c r="B3869" s="2" t="s">
        <v>7860</v>
      </c>
      <c r="C3869" s="2" t="s">
        <v>47</v>
      </c>
      <c r="D3869" s="2" t="s">
        <v>18</v>
      </c>
      <c r="E3869" s="5">
        <v>-28863</v>
      </c>
      <c r="F3869" s="3" t="s">
        <v>3630</v>
      </c>
      <c r="G3869" s="3" t="s">
        <v>20</v>
      </c>
      <c r="H3869" s="2" t="s">
        <v>21</v>
      </c>
      <c r="I3869" s="2" t="s">
        <v>7861</v>
      </c>
      <c r="J3869" s="3" t="str">
        <f>HYPERLINK("https://www.boe.es/gazeta/dias/1820/12/21/pdfs/GGB-1820-178.pdf#page=4","Abrir facsímil")</f>
        <v>Abrir facsímil</v>
      </c>
      <c r="K3869" s="3" t="s">
        <v>23</v>
      </c>
    </row>
    <row r="3870" spans="1:11" ht="42" customHeight="1">
      <c r="A3870" s="2" t="s">
        <v>7862</v>
      </c>
      <c r="B3870" s="2" t="s">
        <v>7863</v>
      </c>
      <c r="C3870" s="2" t="s">
        <v>17</v>
      </c>
      <c r="D3870" s="2" t="s">
        <v>18</v>
      </c>
      <c r="E3870" s="5">
        <v>-28885</v>
      </c>
      <c r="F3870" s="3" t="s">
        <v>2588</v>
      </c>
      <c r="G3870" s="3" t="s">
        <v>128</v>
      </c>
      <c r="H3870" s="2" t="s">
        <v>21</v>
      </c>
      <c r="I3870" s="2" t="s">
        <v>7864</v>
      </c>
      <c r="J3870" s="3" t="str">
        <f>HYPERLINK("https://www.boe.es/gazeta/dias/1820/11/29/pdfs/GGB-1820-156.pdf#page=1","Abrir facsímil")</f>
        <v>Abrir facsímil</v>
      </c>
      <c r="K3870" s="3" t="s">
        <v>23</v>
      </c>
    </row>
    <row r="3871" spans="1:11" ht="42" customHeight="1">
      <c r="A3871" s="2" t="s">
        <v>7865</v>
      </c>
      <c r="B3871" s="2" t="s">
        <v>7866</v>
      </c>
      <c r="C3871" s="2" t="s">
        <v>26</v>
      </c>
      <c r="D3871" s="2" t="s">
        <v>27</v>
      </c>
      <c r="E3871" s="5">
        <v>-29036</v>
      </c>
      <c r="F3871" s="3" t="s">
        <v>1167</v>
      </c>
      <c r="G3871" s="3" t="s">
        <v>20</v>
      </c>
      <c r="H3871" s="2" t="s">
        <v>21</v>
      </c>
      <c r="I3871" s="2" t="s">
        <v>7867</v>
      </c>
      <c r="J3871" s="3" t="str">
        <f>HYPERLINK("https://www.boe.es/gazeta/dias/1820/07/01/pdfs/GGB-1820-1.pdf#page=4","Abrir facsímil")</f>
        <v>Abrir facsímil</v>
      </c>
      <c r="K3871" s="3" t="s">
        <v>23</v>
      </c>
    </row>
    <row r="3872" spans="1:11" ht="42" customHeight="1">
      <c r="A3872" s="2" t="s">
        <v>7868</v>
      </c>
      <c r="B3872" s="2" t="s">
        <v>7868</v>
      </c>
      <c r="C3872" s="2" t="s">
        <v>26</v>
      </c>
      <c r="D3872" s="2" t="s">
        <v>27</v>
      </c>
      <c r="E3872" s="5">
        <v>-29192</v>
      </c>
      <c r="F3872" s="3" t="s">
        <v>497</v>
      </c>
      <c r="G3872" s="3" t="s">
        <v>128</v>
      </c>
      <c r="H3872" s="2" t="s">
        <v>21</v>
      </c>
      <c r="I3872" s="2" t="s">
        <v>7869</v>
      </c>
      <c r="J3872" s="3" t="str">
        <f>HYPERLINK("https://www.boe.es/gazeta/dias/1820/01/27/pdfs/GMD-1820-12.pdf#page=1","Abrir facsímil")</f>
        <v>Abrir facsímil</v>
      </c>
      <c r="K3872" s="3" t="s">
        <v>23</v>
      </c>
    </row>
    <row r="3873" spans="1:11" ht="42" customHeight="1">
      <c r="A3873" s="2" t="s">
        <v>7870</v>
      </c>
      <c r="B3873" s="2" t="s">
        <v>7870</v>
      </c>
      <c r="C3873" s="2" t="s">
        <v>35</v>
      </c>
      <c r="D3873" s="2" t="s">
        <v>36</v>
      </c>
      <c r="E3873" s="5">
        <v>-29015</v>
      </c>
      <c r="F3873" s="3" t="s">
        <v>359</v>
      </c>
      <c r="G3873" s="3" t="s">
        <v>62</v>
      </c>
      <c r="H3873" s="2" t="s">
        <v>21</v>
      </c>
      <c r="I3873" s="2" t="s">
        <v>7871</v>
      </c>
      <c r="J3873" s="3" t="str">
        <f>HYPERLINK("https://www.boe.es/gazeta/dias/1820/07/22/pdfs/GGB-1820-24.pdf#page=3","Abrir facsímil")</f>
        <v>Abrir facsímil</v>
      </c>
      <c r="K3873" s="3" t="s">
        <v>23</v>
      </c>
    </row>
    <row r="3874" spans="1:11" ht="42" customHeight="1">
      <c r="A3874" s="2" t="s">
        <v>7872</v>
      </c>
      <c r="B3874" s="2" t="s">
        <v>7873</v>
      </c>
      <c r="C3874" s="2" t="s">
        <v>74</v>
      </c>
      <c r="D3874" s="2" t="s">
        <v>18</v>
      </c>
      <c r="E3874" s="5">
        <v>-29145</v>
      </c>
      <c r="F3874" s="3" t="s">
        <v>3537</v>
      </c>
      <c r="G3874" s="3" t="s">
        <v>4091</v>
      </c>
      <c r="H3874" s="2" t="s">
        <v>21</v>
      </c>
      <c r="I3874" s="2" t="s">
        <v>7874</v>
      </c>
      <c r="J3874" s="3" t="str">
        <f>HYPERLINK("https://www.boe.es/gazeta/dias/1820/03/14/pdfs/GMD-1820-39.pdf#page=5","Abrir facsímil")</f>
        <v>Abrir facsímil</v>
      </c>
      <c r="K3874" s="3" t="s">
        <v>23</v>
      </c>
    </row>
    <row r="3875" spans="1:11" ht="42" customHeight="1">
      <c r="A3875" s="2" t="s">
        <v>7875</v>
      </c>
      <c r="B3875" s="2" t="s">
        <v>7875</v>
      </c>
      <c r="C3875" s="2" t="s">
        <v>26</v>
      </c>
      <c r="D3875" s="2" t="s">
        <v>27</v>
      </c>
      <c r="E3875" s="5">
        <v>-29026</v>
      </c>
      <c r="F3875" s="3" t="s">
        <v>1197</v>
      </c>
      <c r="G3875" s="3" t="s">
        <v>62</v>
      </c>
      <c r="H3875" s="2" t="s">
        <v>21</v>
      </c>
      <c r="I3875" s="2" t="s">
        <v>7876</v>
      </c>
      <c r="J3875" s="3" t="str">
        <f>HYPERLINK("https://www.boe.es/gazeta/dias/1820/07/11/pdfs/GGB-1820-13.pdf#page=3","Abrir facsímil")</f>
        <v>Abrir facsímil</v>
      </c>
      <c r="K3875" s="3" t="s">
        <v>23</v>
      </c>
    </row>
    <row r="3876" spans="1:11" ht="42" customHeight="1">
      <c r="A3876" s="2" t="s">
        <v>7875</v>
      </c>
      <c r="B3876" s="2" t="s">
        <v>7875</v>
      </c>
      <c r="C3876" s="2" t="s">
        <v>111</v>
      </c>
      <c r="D3876" s="2" t="s">
        <v>18</v>
      </c>
      <c r="E3876" s="5">
        <v>-29023</v>
      </c>
      <c r="F3876" s="3" t="s">
        <v>1662</v>
      </c>
      <c r="G3876" s="3" t="s">
        <v>3662</v>
      </c>
      <c r="H3876" s="2" t="s">
        <v>21</v>
      </c>
      <c r="I3876" s="2" t="s">
        <v>7877</v>
      </c>
      <c r="J3876" s="3" t="str">
        <f>HYPERLINK("https://www.boe.es/gazeta/dias/1820/07/14/pdfs/GGB-1820-16.pdf#page=2","Abrir facsímil")</f>
        <v>Abrir facsímil</v>
      </c>
      <c r="K3876" s="3" t="s">
        <v>23</v>
      </c>
    </row>
    <row r="3877" spans="1:11" ht="42" customHeight="1">
      <c r="A3877" s="2" t="s">
        <v>7875</v>
      </c>
      <c r="B3877" s="2" t="s">
        <v>7875</v>
      </c>
      <c r="C3877" s="2" t="s">
        <v>35</v>
      </c>
      <c r="D3877" s="2" t="s">
        <v>36</v>
      </c>
      <c r="E3877" s="5">
        <v>-29020</v>
      </c>
      <c r="F3877" s="3" t="s">
        <v>756</v>
      </c>
      <c r="G3877" s="3" t="s">
        <v>20</v>
      </c>
      <c r="H3877" s="2" t="s">
        <v>21</v>
      </c>
      <c r="I3877" s="2" t="s">
        <v>7878</v>
      </c>
      <c r="J3877" s="3" t="str">
        <f>HYPERLINK("https://www.boe.es/gazeta/dias/1820/07/17/pdfs/GGB-1820-19.pdf#page=4","Abrir facsímil")</f>
        <v>Abrir facsímil</v>
      </c>
      <c r="K3877" s="3" t="s">
        <v>23</v>
      </c>
    </row>
    <row r="3878" spans="1:11" ht="42" customHeight="1">
      <c r="A3878" s="2" t="s">
        <v>7875</v>
      </c>
      <c r="B3878" s="2" t="s">
        <v>7875</v>
      </c>
      <c r="C3878" s="2" t="s">
        <v>17</v>
      </c>
      <c r="D3878" s="2" t="s">
        <v>18</v>
      </c>
      <c r="E3878" s="5">
        <v>-29019</v>
      </c>
      <c r="F3878" s="3" t="s">
        <v>655</v>
      </c>
      <c r="G3878" s="3" t="s">
        <v>945</v>
      </c>
      <c r="H3878" s="2" t="s">
        <v>21</v>
      </c>
      <c r="I3878" s="2" t="s">
        <v>7879</v>
      </c>
      <c r="J3878" s="3" t="str">
        <f>HYPERLINK("https://www.boe.es/gazeta/dias/1820/07/18/pdfs/GGB-1820-20.pdf#page=2","Abrir facsímil")</f>
        <v>Abrir facsímil</v>
      </c>
      <c r="K3878" s="3" t="s">
        <v>23</v>
      </c>
    </row>
    <row r="3879" spans="1:11" ht="42" customHeight="1">
      <c r="A3879" s="2" t="s">
        <v>7875</v>
      </c>
      <c r="B3879" s="2" t="s">
        <v>7875</v>
      </c>
      <c r="C3879" s="2" t="s">
        <v>17</v>
      </c>
      <c r="D3879" s="2" t="s">
        <v>18</v>
      </c>
      <c r="E3879" s="5">
        <v>-29016</v>
      </c>
      <c r="F3879" s="3" t="s">
        <v>657</v>
      </c>
      <c r="G3879" s="3" t="s">
        <v>20</v>
      </c>
      <c r="H3879" s="2" t="s">
        <v>21</v>
      </c>
      <c r="I3879" s="2" t="s">
        <v>7880</v>
      </c>
      <c r="J3879" s="3" t="str">
        <f>HYPERLINK("https://www.boe.es/gazeta/dias/1820/07/21/pdfs/GGB-1820-23.pdf#page=4","Abrir facsímil")</f>
        <v>Abrir facsímil</v>
      </c>
      <c r="K3879" s="3" t="s">
        <v>23</v>
      </c>
    </row>
    <row r="3880" spans="1:11" ht="42" customHeight="1">
      <c r="A3880" s="2" t="s">
        <v>7875</v>
      </c>
      <c r="B3880" s="2" t="s">
        <v>7875</v>
      </c>
      <c r="C3880" s="2" t="s">
        <v>293</v>
      </c>
      <c r="D3880" s="2" t="s">
        <v>18</v>
      </c>
      <c r="E3880" s="5">
        <v>-29012</v>
      </c>
      <c r="F3880" s="3" t="s">
        <v>72</v>
      </c>
      <c r="G3880" s="3" t="s">
        <v>62</v>
      </c>
      <c r="H3880" s="2" t="s">
        <v>21</v>
      </c>
      <c r="I3880" s="2" t="s">
        <v>7881</v>
      </c>
      <c r="J3880" s="3" t="str">
        <f>HYPERLINK("https://www.boe.es/gazeta/dias/1820/07/25/pdfs/GGB-1820-27.pdf#page=3","Abrir facsímil")</f>
        <v>Abrir facsímil</v>
      </c>
      <c r="K3880" s="3" t="s">
        <v>23</v>
      </c>
    </row>
    <row r="3881" spans="1:11" ht="42" customHeight="1">
      <c r="A3881" s="2" t="s">
        <v>7875</v>
      </c>
      <c r="B3881" s="2" t="s">
        <v>7875</v>
      </c>
      <c r="C3881" s="2" t="s">
        <v>35</v>
      </c>
      <c r="D3881" s="2" t="s">
        <v>36</v>
      </c>
      <c r="E3881" s="5">
        <v>-29012</v>
      </c>
      <c r="F3881" s="3" t="s">
        <v>72</v>
      </c>
      <c r="G3881" s="3" t="s">
        <v>20</v>
      </c>
      <c r="H3881" s="2" t="s">
        <v>21</v>
      </c>
      <c r="I3881" s="2" t="s">
        <v>7882</v>
      </c>
      <c r="J3881" s="3" t="str">
        <f>HYPERLINK("https://www.boe.es/gazeta/dias/1820/07/25/pdfs/GGB-1820-27.pdf#page=4","Abrir facsímil")</f>
        <v>Abrir facsímil</v>
      </c>
      <c r="K3881" s="3" t="s">
        <v>23</v>
      </c>
    </row>
    <row r="3882" spans="1:11" ht="42" customHeight="1">
      <c r="A3882" s="2" t="s">
        <v>7875</v>
      </c>
      <c r="B3882" s="2" t="s">
        <v>7875</v>
      </c>
      <c r="C3882" s="2" t="s">
        <v>74</v>
      </c>
      <c r="D3882" s="2" t="s">
        <v>18</v>
      </c>
      <c r="E3882" s="5">
        <v>-29010</v>
      </c>
      <c r="F3882" s="3" t="s">
        <v>664</v>
      </c>
      <c r="G3882" s="3" t="s">
        <v>773</v>
      </c>
      <c r="H3882" s="2" t="s">
        <v>21</v>
      </c>
      <c r="I3882" s="2" t="s">
        <v>7883</v>
      </c>
      <c r="J3882" s="3" t="str">
        <f>HYPERLINK("https://www.boe.es/gazeta/dias/1820/07/27/pdfs/GGB-1820-29.pdf#page=4","Abrir facsímil")</f>
        <v>Abrir facsímil</v>
      </c>
      <c r="K3882" s="3" t="s">
        <v>23</v>
      </c>
    </row>
    <row r="3883" spans="1:11" ht="42" customHeight="1">
      <c r="A3883" s="2" t="s">
        <v>7875</v>
      </c>
      <c r="B3883" s="2" t="s">
        <v>7875</v>
      </c>
      <c r="C3883" s="2" t="s">
        <v>17</v>
      </c>
      <c r="D3883" s="2" t="s">
        <v>18</v>
      </c>
      <c r="E3883" s="5">
        <v>-29008</v>
      </c>
      <c r="F3883" s="3" t="s">
        <v>2250</v>
      </c>
      <c r="G3883" s="3" t="s">
        <v>62</v>
      </c>
      <c r="H3883" s="2" t="s">
        <v>21</v>
      </c>
      <c r="I3883" s="2" t="s">
        <v>7884</v>
      </c>
      <c r="J3883" s="3" t="str">
        <f>HYPERLINK("https://www.boe.es/gazeta/dias/1820/07/29/pdfs/GGB-1820-31.pdf#page=3","Abrir facsímil")</f>
        <v>Abrir facsímil</v>
      </c>
      <c r="K3883" s="3" t="s">
        <v>23</v>
      </c>
    </row>
    <row r="3884" spans="1:11" ht="42" customHeight="1">
      <c r="A3884" s="2" t="s">
        <v>7875</v>
      </c>
      <c r="B3884" s="2" t="s">
        <v>7875</v>
      </c>
      <c r="C3884" s="2" t="s">
        <v>74</v>
      </c>
      <c r="D3884" s="2" t="s">
        <v>18</v>
      </c>
      <c r="E3884" s="5">
        <v>-29006</v>
      </c>
      <c r="F3884" s="3" t="s">
        <v>609</v>
      </c>
      <c r="G3884" s="3" t="s">
        <v>43</v>
      </c>
      <c r="H3884" s="2" t="s">
        <v>21</v>
      </c>
      <c r="I3884" s="2" t="s">
        <v>7885</v>
      </c>
      <c r="J3884" s="3" t="str">
        <f>HYPERLINK("https://www.boe.es/gazeta/dias/1820/07/31/pdfs/GGB-1820-33.pdf#page=2","Abrir facsímil")</f>
        <v>Abrir facsímil</v>
      </c>
      <c r="K3884" s="3" t="s">
        <v>23</v>
      </c>
    </row>
    <row r="3885" spans="1:11" ht="42" customHeight="1">
      <c r="A3885" s="2" t="s">
        <v>7875</v>
      </c>
      <c r="B3885" s="2" t="s">
        <v>7875</v>
      </c>
      <c r="C3885" s="2" t="s">
        <v>35</v>
      </c>
      <c r="D3885" s="2" t="s">
        <v>36</v>
      </c>
      <c r="E3885" s="5">
        <v>-28998</v>
      </c>
      <c r="F3885" s="3" t="s">
        <v>629</v>
      </c>
      <c r="G3885" s="3" t="s">
        <v>43</v>
      </c>
      <c r="H3885" s="2" t="s">
        <v>21</v>
      </c>
      <c r="I3885" s="2" t="s">
        <v>7886</v>
      </c>
      <c r="J3885" s="3" t="str">
        <f>HYPERLINK("https://www.boe.es/gazeta/dias/1820/08/08/pdfs/GGB-1820-41.pdf#page=2","Abrir facsímil")</f>
        <v>Abrir facsímil</v>
      </c>
      <c r="K3885" s="3" t="s">
        <v>23</v>
      </c>
    </row>
    <row r="3886" spans="1:11" ht="42" customHeight="1">
      <c r="A3886" s="2" t="s">
        <v>7875</v>
      </c>
      <c r="B3886" s="2" t="s">
        <v>7875</v>
      </c>
      <c r="C3886" s="2" t="s">
        <v>35</v>
      </c>
      <c r="D3886" s="2" t="s">
        <v>36</v>
      </c>
      <c r="E3886" s="5">
        <v>-28990</v>
      </c>
      <c r="F3886" s="3" t="s">
        <v>61</v>
      </c>
      <c r="G3886" s="3" t="s">
        <v>62</v>
      </c>
      <c r="H3886" s="2" t="s">
        <v>21</v>
      </c>
      <c r="I3886" s="2" t="s">
        <v>7887</v>
      </c>
      <c r="J3886" s="3" t="str">
        <f>HYPERLINK("https://www.boe.es/gazeta/dias/1820/08/16/pdfs/GGB-1820-49.pdf#page=3","Abrir facsímil")</f>
        <v>Abrir facsímil</v>
      </c>
      <c r="K3886" s="3" t="s">
        <v>23</v>
      </c>
    </row>
    <row r="3887" spans="1:11" ht="42" customHeight="1">
      <c r="A3887" s="2" t="s">
        <v>7875</v>
      </c>
      <c r="B3887" s="2" t="s">
        <v>7875</v>
      </c>
      <c r="C3887" s="2" t="s">
        <v>26</v>
      </c>
      <c r="D3887" s="2" t="s">
        <v>27</v>
      </c>
      <c r="E3887" s="5">
        <v>-28976</v>
      </c>
      <c r="F3887" s="3" t="s">
        <v>689</v>
      </c>
      <c r="G3887" s="3" t="s">
        <v>62</v>
      </c>
      <c r="H3887" s="2" t="s">
        <v>21</v>
      </c>
      <c r="I3887" s="2" t="s">
        <v>7888</v>
      </c>
      <c r="J3887" s="3" t="str">
        <f>HYPERLINK("https://www.boe.es/gazeta/dias/1820/08/30/pdfs/GGB-1820-63.pdf#page=3","Abrir facsímil")</f>
        <v>Abrir facsímil</v>
      </c>
      <c r="K3887" s="3" t="s">
        <v>23</v>
      </c>
    </row>
    <row r="3888" spans="1:11" ht="42" customHeight="1">
      <c r="A3888" s="2" t="s">
        <v>7875</v>
      </c>
      <c r="B3888" s="2" t="s">
        <v>7875</v>
      </c>
      <c r="C3888" s="2" t="s">
        <v>74</v>
      </c>
      <c r="D3888" s="2" t="s">
        <v>18</v>
      </c>
      <c r="E3888" s="5">
        <v>-28972</v>
      </c>
      <c r="F3888" s="3" t="s">
        <v>522</v>
      </c>
      <c r="G3888" s="3" t="s">
        <v>20</v>
      </c>
      <c r="H3888" s="2" t="s">
        <v>21</v>
      </c>
      <c r="I3888" s="2" t="s">
        <v>7889</v>
      </c>
      <c r="J3888" s="3" t="str">
        <f>HYPERLINK("https://www.boe.es/gazeta/dias/1820/09/03/pdfs/GGB-1820-67.pdf#page=4","Abrir facsímil")</f>
        <v>Abrir facsímil</v>
      </c>
      <c r="K3888" s="3" t="s">
        <v>23</v>
      </c>
    </row>
    <row r="3889" spans="1:11" ht="42" customHeight="1">
      <c r="A3889" s="2" t="s">
        <v>7875</v>
      </c>
      <c r="B3889" s="2" t="s">
        <v>7875</v>
      </c>
      <c r="C3889" s="2" t="s">
        <v>17</v>
      </c>
      <c r="D3889" s="2" t="s">
        <v>18</v>
      </c>
      <c r="E3889" s="5">
        <v>-28971</v>
      </c>
      <c r="F3889" s="3" t="s">
        <v>691</v>
      </c>
      <c r="G3889" s="3" t="s">
        <v>5078</v>
      </c>
      <c r="H3889" s="2" t="s">
        <v>21</v>
      </c>
      <c r="I3889" s="2" t="s">
        <v>7890</v>
      </c>
      <c r="J3889" s="3" t="str">
        <f>HYPERLINK("https://www.boe.es/gazeta/dias/1820/09/04/pdfs/GGB-1820-68.pdf#page=4","Abrir facsímil")</f>
        <v>Abrir facsímil</v>
      </c>
      <c r="K3889" s="3" t="s">
        <v>23</v>
      </c>
    </row>
    <row r="3890" spans="1:11" ht="42" customHeight="1">
      <c r="A3890" s="2" t="s">
        <v>7875</v>
      </c>
      <c r="B3890" s="2" t="s">
        <v>7875</v>
      </c>
      <c r="C3890" s="2" t="s">
        <v>26</v>
      </c>
      <c r="D3890" s="2" t="s">
        <v>27</v>
      </c>
      <c r="E3890" s="5">
        <v>-28968</v>
      </c>
      <c r="F3890" s="3" t="s">
        <v>66</v>
      </c>
      <c r="G3890" s="3" t="s">
        <v>62</v>
      </c>
      <c r="H3890" s="2" t="s">
        <v>21</v>
      </c>
      <c r="I3890" s="2" t="s">
        <v>7891</v>
      </c>
      <c r="J3890" s="3" t="str">
        <f>HYPERLINK("https://www.boe.es/gazeta/dias/1820/09/07/pdfs/GGB-1820-71.pdf#page=3","Abrir facsímil")</f>
        <v>Abrir facsímil</v>
      </c>
      <c r="K3890" s="3" t="s">
        <v>23</v>
      </c>
    </row>
    <row r="3891" spans="1:11" ht="42" customHeight="1">
      <c r="A3891" s="2" t="s">
        <v>7875</v>
      </c>
      <c r="B3891" s="2" t="s">
        <v>7875</v>
      </c>
      <c r="C3891" s="2" t="s">
        <v>74</v>
      </c>
      <c r="D3891" s="2" t="s">
        <v>18</v>
      </c>
      <c r="E3891" s="5">
        <v>-28961</v>
      </c>
      <c r="F3891" s="3" t="s">
        <v>242</v>
      </c>
      <c r="G3891" s="3" t="s">
        <v>62</v>
      </c>
      <c r="H3891" s="2" t="s">
        <v>21</v>
      </c>
      <c r="I3891" s="2" t="s">
        <v>7892</v>
      </c>
      <c r="J3891" s="3" t="str">
        <f>HYPERLINK("https://www.boe.es/gazeta/dias/1820/09/14/pdfs/GGB-1820-78.pdf#page=3","Abrir facsímil")</f>
        <v>Abrir facsímil</v>
      </c>
      <c r="K3891" s="3" t="s">
        <v>23</v>
      </c>
    </row>
    <row r="3892" spans="1:11" ht="42" customHeight="1">
      <c r="A3892" s="2" t="s">
        <v>7875</v>
      </c>
      <c r="B3892" s="2" t="s">
        <v>7875</v>
      </c>
      <c r="C3892" s="2" t="s">
        <v>17</v>
      </c>
      <c r="D3892" s="2" t="s">
        <v>18</v>
      </c>
      <c r="E3892" s="5">
        <v>-28959</v>
      </c>
      <c r="F3892" s="3" t="s">
        <v>37</v>
      </c>
      <c r="G3892" s="3" t="s">
        <v>20</v>
      </c>
      <c r="H3892" s="2" t="s">
        <v>21</v>
      </c>
      <c r="I3892" s="2" t="s">
        <v>7893</v>
      </c>
      <c r="J3892" s="3" t="str">
        <f>HYPERLINK("https://www.boe.es/gazeta/dias/1820/09/16/pdfs/GGB-1820-80.pdf#page=4","Abrir facsímil")</f>
        <v>Abrir facsímil</v>
      </c>
      <c r="K3892" s="3" t="s">
        <v>23</v>
      </c>
    </row>
    <row r="3893" spans="1:11" ht="42" customHeight="1">
      <c r="A3893" s="2" t="s">
        <v>7875</v>
      </c>
      <c r="B3893" s="2" t="s">
        <v>7875</v>
      </c>
      <c r="C3893" s="2" t="s">
        <v>26</v>
      </c>
      <c r="D3893" s="2" t="s">
        <v>27</v>
      </c>
      <c r="E3893" s="5">
        <v>-28955</v>
      </c>
      <c r="F3893" s="3" t="s">
        <v>175</v>
      </c>
      <c r="G3893" s="3" t="s">
        <v>20</v>
      </c>
      <c r="H3893" s="2" t="s">
        <v>21</v>
      </c>
      <c r="I3893" s="2" t="s">
        <v>7894</v>
      </c>
      <c r="J3893" s="3" t="str">
        <f>HYPERLINK("https://www.boe.es/gazeta/dias/1820/09/20/pdfs/GGB-1820-84.pdf#page=4","Abrir facsímil")</f>
        <v>Abrir facsímil</v>
      </c>
      <c r="K3893" s="3" t="s">
        <v>23</v>
      </c>
    </row>
    <row r="3894" spans="1:11" ht="42" customHeight="1">
      <c r="A3894" s="2" t="s">
        <v>7875</v>
      </c>
      <c r="B3894" s="2" t="s">
        <v>7875</v>
      </c>
      <c r="C3894" s="2" t="s">
        <v>74</v>
      </c>
      <c r="D3894" s="2" t="s">
        <v>18</v>
      </c>
      <c r="E3894" s="5">
        <v>-28950</v>
      </c>
      <c r="F3894" s="3" t="s">
        <v>1052</v>
      </c>
      <c r="G3894" s="3" t="s">
        <v>20</v>
      </c>
      <c r="H3894" s="2" t="s">
        <v>21</v>
      </c>
      <c r="I3894" s="2" t="s">
        <v>7895</v>
      </c>
      <c r="J3894" s="3" t="str">
        <f>HYPERLINK("https://www.boe.es/gazeta/dias/1820/09/25/pdfs/GGB-1820-89.pdf#page=4","Abrir facsímil")</f>
        <v>Abrir facsímil</v>
      </c>
      <c r="K3894" s="3" t="s">
        <v>23</v>
      </c>
    </row>
    <row r="3895" spans="1:11" ht="42" customHeight="1">
      <c r="A3895" s="2" t="s">
        <v>7875</v>
      </c>
      <c r="B3895" s="2" t="s">
        <v>7875</v>
      </c>
      <c r="C3895" s="2" t="s">
        <v>26</v>
      </c>
      <c r="D3895" s="2" t="s">
        <v>27</v>
      </c>
      <c r="E3895" s="5">
        <v>-28940</v>
      </c>
      <c r="F3895" s="3" t="s">
        <v>141</v>
      </c>
      <c r="G3895" s="3" t="s">
        <v>43</v>
      </c>
      <c r="H3895" s="2" t="s">
        <v>21</v>
      </c>
      <c r="I3895" s="2" t="s">
        <v>7896</v>
      </c>
      <c r="J3895" s="3" t="str">
        <f>HYPERLINK("https://www.boe.es/gazeta/dias/1820/10/05/pdfs/GGB-1820-99.pdf#page=2","Abrir facsímil")</f>
        <v>Abrir facsímil</v>
      </c>
      <c r="K3895" s="3" t="s">
        <v>23</v>
      </c>
    </row>
    <row r="3896" spans="1:11" ht="42" customHeight="1">
      <c r="A3896" s="2" t="s">
        <v>7875</v>
      </c>
      <c r="B3896" s="2" t="s">
        <v>7875</v>
      </c>
      <c r="C3896" s="2" t="s">
        <v>17</v>
      </c>
      <c r="D3896" s="2" t="s">
        <v>18</v>
      </c>
      <c r="E3896" s="5">
        <v>-28937</v>
      </c>
      <c r="F3896" s="3" t="s">
        <v>4254</v>
      </c>
      <c r="G3896" s="3" t="s">
        <v>62</v>
      </c>
      <c r="H3896" s="2" t="s">
        <v>21</v>
      </c>
      <c r="I3896" s="2" t="s">
        <v>7897</v>
      </c>
      <c r="J3896" s="3" t="str">
        <f>HYPERLINK("https://www.boe.es/gazeta/dias/1820/10/08/pdfs/GGB-1820-102.pdf#page=3","Abrir facsímil")</f>
        <v>Abrir facsímil</v>
      </c>
      <c r="K3896" s="3" t="s">
        <v>23</v>
      </c>
    </row>
    <row r="3897" spans="1:11" ht="42" customHeight="1">
      <c r="A3897" s="2" t="s">
        <v>7875</v>
      </c>
      <c r="B3897" s="2" t="s">
        <v>7875</v>
      </c>
      <c r="C3897" s="2" t="s">
        <v>35</v>
      </c>
      <c r="D3897" s="2" t="s">
        <v>36</v>
      </c>
      <c r="E3897" s="5">
        <v>-28937</v>
      </c>
      <c r="F3897" s="3" t="s">
        <v>4254</v>
      </c>
      <c r="G3897" s="3" t="s">
        <v>20</v>
      </c>
      <c r="H3897" s="2" t="s">
        <v>21</v>
      </c>
      <c r="I3897" s="2" t="s">
        <v>7898</v>
      </c>
      <c r="J3897" s="3" t="str">
        <f>HYPERLINK("https://www.boe.es/gazeta/dias/1820/10/08/pdfs/GGB-1820-102.pdf#page=4","Abrir facsímil")</f>
        <v>Abrir facsímil</v>
      </c>
      <c r="K3897" s="3" t="s">
        <v>23</v>
      </c>
    </row>
    <row r="3898" spans="1:11" ht="42" customHeight="1">
      <c r="A3898" s="2" t="s">
        <v>7875</v>
      </c>
      <c r="B3898" s="2" t="s">
        <v>7875</v>
      </c>
      <c r="C3898" s="2" t="s">
        <v>35</v>
      </c>
      <c r="D3898" s="2" t="s">
        <v>36</v>
      </c>
      <c r="E3898" s="5">
        <v>-28932</v>
      </c>
      <c r="F3898" s="3" t="s">
        <v>407</v>
      </c>
      <c r="G3898" s="3" t="s">
        <v>62</v>
      </c>
      <c r="H3898" s="2" t="s">
        <v>21</v>
      </c>
      <c r="I3898" s="2" t="s">
        <v>7899</v>
      </c>
      <c r="J3898" s="3" t="str">
        <f>HYPERLINK("https://www.boe.es/gazeta/dias/1820/10/13/pdfs/GGB-1820-107.pdf#page=3","Abrir facsímil")</f>
        <v>Abrir facsímil</v>
      </c>
      <c r="K3898" s="3" t="s">
        <v>23</v>
      </c>
    </row>
    <row r="3899" spans="1:11" ht="42" customHeight="1">
      <c r="A3899" s="2" t="s">
        <v>7875</v>
      </c>
      <c r="B3899" s="2" t="s">
        <v>7875</v>
      </c>
      <c r="C3899" s="2" t="s">
        <v>293</v>
      </c>
      <c r="D3899" s="2" t="s">
        <v>18</v>
      </c>
      <c r="E3899" s="5">
        <v>-28930</v>
      </c>
      <c r="F3899" s="3" t="s">
        <v>372</v>
      </c>
      <c r="G3899" s="3" t="s">
        <v>43</v>
      </c>
      <c r="H3899" s="2" t="s">
        <v>21</v>
      </c>
      <c r="I3899" s="2" t="s">
        <v>7900</v>
      </c>
      <c r="J3899" s="3" t="str">
        <f>HYPERLINK("https://www.boe.es/gazeta/dias/1820/10/15/pdfs/GGB-1820-109.pdf#page=2","Abrir facsímil")</f>
        <v>Abrir facsímil</v>
      </c>
      <c r="K3899" s="3" t="s">
        <v>23</v>
      </c>
    </row>
    <row r="3900" spans="1:11" ht="42" customHeight="1">
      <c r="A3900" s="2" t="s">
        <v>7875</v>
      </c>
      <c r="B3900" s="2" t="s">
        <v>7875</v>
      </c>
      <c r="C3900" s="2" t="s">
        <v>35</v>
      </c>
      <c r="D3900" s="2" t="s">
        <v>36</v>
      </c>
      <c r="E3900" s="5">
        <v>-28927</v>
      </c>
      <c r="F3900" s="3" t="s">
        <v>345</v>
      </c>
      <c r="G3900" s="3" t="s">
        <v>43</v>
      </c>
      <c r="H3900" s="2" t="s">
        <v>21</v>
      </c>
      <c r="I3900" s="2" t="s">
        <v>7901</v>
      </c>
      <c r="J3900" s="3" t="str">
        <f>HYPERLINK("https://www.boe.es/gazeta/dias/1820/10/18/pdfs/GGB-1820-112.pdf#page=2","Abrir facsímil")</f>
        <v>Abrir facsímil</v>
      </c>
      <c r="K3900" s="3" t="s">
        <v>23</v>
      </c>
    </row>
    <row r="3901" spans="1:11" ht="42" customHeight="1">
      <c r="A3901" s="2" t="s">
        <v>7875</v>
      </c>
      <c r="B3901" s="2" t="s">
        <v>7875</v>
      </c>
      <c r="C3901" s="2" t="s">
        <v>17</v>
      </c>
      <c r="D3901" s="2" t="s">
        <v>18</v>
      </c>
      <c r="E3901" s="5">
        <v>-28923</v>
      </c>
      <c r="F3901" s="3" t="s">
        <v>648</v>
      </c>
      <c r="G3901" s="3" t="s">
        <v>43</v>
      </c>
      <c r="H3901" s="2" t="s">
        <v>21</v>
      </c>
      <c r="I3901" s="2" t="s">
        <v>7902</v>
      </c>
      <c r="J3901" s="3" t="str">
        <f>HYPERLINK("https://www.boe.es/gazeta/dias/1820/10/22/pdfs/GGB-1820-116.pdf#page=2","Abrir facsímil")</f>
        <v>Abrir facsímil</v>
      </c>
      <c r="K3901" s="3" t="s">
        <v>23</v>
      </c>
    </row>
    <row r="3902" spans="1:11" ht="42" customHeight="1">
      <c r="A3902" s="2" t="s">
        <v>7875</v>
      </c>
      <c r="B3902" s="2" t="s">
        <v>7875</v>
      </c>
      <c r="C3902" s="2" t="s">
        <v>35</v>
      </c>
      <c r="D3902" s="2" t="s">
        <v>36</v>
      </c>
      <c r="E3902" s="5">
        <v>-28919</v>
      </c>
      <c r="F3902" s="3" t="s">
        <v>516</v>
      </c>
      <c r="G3902" s="3" t="s">
        <v>20</v>
      </c>
      <c r="H3902" s="2" t="s">
        <v>21</v>
      </c>
      <c r="I3902" s="2" t="s">
        <v>7903</v>
      </c>
      <c r="J3902" s="3" t="str">
        <f>HYPERLINK("https://www.boe.es/gazeta/dias/1820/10/26/pdfs/GGB-1820-120.pdf#page=4","Abrir facsímil")</f>
        <v>Abrir facsímil</v>
      </c>
      <c r="K3902" s="3" t="s">
        <v>23</v>
      </c>
    </row>
    <row r="3903" spans="1:11" ht="42" customHeight="1">
      <c r="A3903" s="2" t="s">
        <v>7875</v>
      </c>
      <c r="B3903" s="2" t="s">
        <v>7875</v>
      </c>
      <c r="C3903" s="2" t="s">
        <v>26</v>
      </c>
      <c r="D3903" s="2" t="s">
        <v>27</v>
      </c>
      <c r="E3903" s="5">
        <v>-28917</v>
      </c>
      <c r="F3903" s="3" t="s">
        <v>19</v>
      </c>
      <c r="G3903" s="3" t="s">
        <v>62</v>
      </c>
      <c r="H3903" s="2" t="s">
        <v>21</v>
      </c>
      <c r="I3903" s="2" t="s">
        <v>7904</v>
      </c>
      <c r="J3903" s="3" t="str">
        <f>HYPERLINK("https://www.boe.es/gazeta/dias/1820/10/28/pdfs/GGB-1820-122.pdf#page=3","Abrir facsímil")</f>
        <v>Abrir facsímil</v>
      </c>
      <c r="K3903" s="3" t="s">
        <v>23</v>
      </c>
    </row>
    <row r="3904" spans="1:11" ht="42" customHeight="1">
      <c r="A3904" s="2" t="s">
        <v>7875</v>
      </c>
      <c r="B3904" s="2" t="s">
        <v>7875</v>
      </c>
      <c r="C3904" s="2" t="s">
        <v>35</v>
      </c>
      <c r="D3904" s="2" t="s">
        <v>36</v>
      </c>
      <c r="E3904" s="5">
        <v>-28904</v>
      </c>
      <c r="F3904" s="3" t="s">
        <v>541</v>
      </c>
      <c r="G3904" s="3" t="s">
        <v>20</v>
      </c>
      <c r="H3904" s="2" t="s">
        <v>21</v>
      </c>
      <c r="I3904" s="2" t="s">
        <v>7905</v>
      </c>
      <c r="J3904" s="3" t="str">
        <f>HYPERLINK("https://www.boe.es/gazeta/dias/1820/11/10/pdfs/GGB-1820-136.pdf#page=4","Abrir facsímil")</f>
        <v>Abrir facsímil</v>
      </c>
      <c r="K3904" s="3" t="s">
        <v>23</v>
      </c>
    </row>
    <row r="3905" spans="1:11" ht="42" customHeight="1">
      <c r="A3905" s="2" t="s">
        <v>7906</v>
      </c>
      <c r="B3905" s="2" t="s">
        <v>7907</v>
      </c>
      <c r="C3905" s="2" t="s">
        <v>107</v>
      </c>
      <c r="D3905" s="2" t="s">
        <v>18</v>
      </c>
      <c r="E3905" s="5">
        <v>-29014</v>
      </c>
      <c r="F3905" s="3" t="s">
        <v>70</v>
      </c>
      <c r="G3905" s="3" t="s">
        <v>20</v>
      </c>
      <c r="H3905" s="2" t="s">
        <v>30</v>
      </c>
      <c r="I3905" s="2" t="s">
        <v>7908</v>
      </c>
      <c r="J3905" s="3" t="str">
        <f>HYPERLINK("https://www.boe.es/gazeta/dias/1820/07/23/pdfs/GGB-1820-25.pdf#page=4","Abrir facsímil")</f>
        <v>Abrir facsímil</v>
      </c>
      <c r="K3905" s="3" t="s">
        <v>32</v>
      </c>
    </row>
    <row r="3906" spans="1:11" ht="42" customHeight="1">
      <c r="A3906" s="2" t="s">
        <v>7906</v>
      </c>
      <c r="B3906" s="2" t="s">
        <v>7907</v>
      </c>
      <c r="C3906" s="2" t="s">
        <v>35</v>
      </c>
      <c r="D3906" s="2" t="s">
        <v>36</v>
      </c>
      <c r="E3906" s="5">
        <v>-28950</v>
      </c>
      <c r="F3906" s="3" t="s">
        <v>1052</v>
      </c>
      <c r="G3906" s="3" t="s">
        <v>62</v>
      </c>
      <c r="H3906" s="2" t="s">
        <v>30</v>
      </c>
      <c r="I3906" s="2" t="s">
        <v>7909</v>
      </c>
      <c r="J3906" s="3" t="str">
        <f>HYPERLINK("https://www.boe.es/gazeta/dias/1820/09/25/pdfs/GGB-1820-89.pdf#page=3","Abrir facsímil")</f>
        <v>Abrir facsímil</v>
      </c>
      <c r="K3906" s="3" t="s">
        <v>32</v>
      </c>
    </row>
    <row r="3907" spans="1:11" ht="42" customHeight="1">
      <c r="A3907" s="2" t="s">
        <v>7910</v>
      </c>
      <c r="B3907" s="2" t="s">
        <v>7911</v>
      </c>
      <c r="C3907" s="2" t="s">
        <v>35</v>
      </c>
      <c r="D3907" s="2" t="s">
        <v>36</v>
      </c>
      <c r="E3907" s="5">
        <v>-28987</v>
      </c>
      <c r="F3907" s="3" t="s">
        <v>680</v>
      </c>
      <c r="G3907" s="3" t="s">
        <v>1300</v>
      </c>
      <c r="H3907" s="2" t="s">
        <v>21</v>
      </c>
      <c r="I3907" s="2" t="s">
        <v>7912</v>
      </c>
      <c r="J3907" s="3" t="str">
        <f>HYPERLINK("https://www.boe.es/gazeta/dias/1820/08/19/pdfs/GGB-1820-52.pdf#page=2","Abrir facsímil")</f>
        <v>Abrir facsímil</v>
      </c>
      <c r="K3907" s="3" t="s">
        <v>23</v>
      </c>
    </row>
    <row r="3908" spans="1:11" ht="42" customHeight="1">
      <c r="A3908" s="2" t="s">
        <v>7913</v>
      </c>
      <c r="B3908" s="2" t="s">
        <v>7914</v>
      </c>
      <c r="C3908" s="2" t="s">
        <v>111</v>
      </c>
      <c r="D3908" s="2" t="s">
        <v>18</v>
      </c>
      <c r="E3908" s="5">
        <v>-29204</v>
      </c>
      <c r="F3908" s="3" t="s">
        <v>753</v>
      </c>
      <c r="G3908" s="3" t="s">
        <v>38</v>
      </c>
      <c r="H3908" s="2" t="s">
        <v>21</v>
      </c>
      <c r="I3908" s="2" t="s">
        <v>7915</v>
      </c>
      <c r="J3908" s="3" t="str">
        <f>HYPERLINK("https://www.boe.es/gazeta/dias/1820/01/15/pdfs/GMD-1820-7.pdf#page=6","Abrir facsímil")</f>
        <v>Abrir facsímil</v>
      </c>
      <c r="K3908" s="3" t="s">
        <v>23</v>
      </c>
    </row>
    <row r="3909" spans="1:11" ht="42" customHeight="1">
      <c r="A3909" s="2" t="s">
        <v>7913</v>
      </c>
      <c r="B3909" s="2" t="s">
        <v>7914</v>
      </c>
      <c r="C3909" s="2" t="s">
        <v>26</v>
      </c>
      <c r="D3909" s="2" t="s">
        <v>27</v>
      </c>
      <c r="E3909" s="5">
        <v>-28940</v>
      </c>
      <c r="F3909" s="3" t="s">
        <v>141</v>
      </c>
      <c r="G3909" s="3" t="s">
        <v>128</v>
      </c>
      <c r="H3909" s="2" t="s">
        <v>21</v>
      </c>
      <c r="I3909" s="2" t="s">
        <v>7916</v>
      </c>
      <c r="J3909" s="3" t="str">
        <f>HYPERLINK("https://www.boe.es/gazeta/dias/1820/10/05/pdfs/GGB-1820-99.pdf#page=1","Abrir facsímil")</f>
        <v>Abrir facsímil</v>
      </c>
      <c r="K3909" s="3" t="s">
        <v>23</v>
      </c>
    </row>
    <row r="3910" spans="1:11" ht="42" customHeight="1">
      <c r="A3910" s="2" t="s">
        <v>7917</v>
      </c>
      <c r="B3910" s="2" t="s">
        <v>7918</v>
      </c>
      <c r="C3910" s="2" t="s">
        <v>17</v>
      </c>
      <c r="D3910" s="2" t="s">
        <v>18</v>
      </c>
      <c r="E3910" s="5">
        <v>-29078</v>
      </c>
      <c r="F3910" s="3" t="s">
        <v>260</v>
      </c>
      <c r="G3910" s="3" t="s">
        <v>261</v>
      </c>
      <c r="H3910" s="2" t="s">
        <v>21</v>
      </c>
      <c r="I3910" s="2" t="s">
        <v>7919</v>
      </c>
      <c r="J3910" s="3" t="str">
        <f>HYPERLINK("https://www.boe.es/gazeta/dias/1820/05/20/pdfs/GMD-1820-83.pdf#page=9","Abrir facsímil")</f>
        <v>Abrir facsímil</v>
      </c>
      <c r="K3910" s="3" t="s">
        <v>23</v>
      </c>
    </row>
    <row r="3911" spans="1:11" ht="42" customHeight="1">
      <c r="A3911" s="2" t="s">
        <v>7920</v>
      </c>
      <c r="B3911" s="2" t="s">
        <v>7921</v>
      </c>
      <c r="C3911" s="2" t="s">
        <v>26</v>
      </c>
      <c r="D3911" s="2" t="s">
        <v>27</v>
      </c>
      <c r="E3911" s="5">
        <v>-28912</v>
      </c>
      <c r="F3911" s="3" t="s">
        <v>1329</v>
      </c>
      <c r="G3911" s="3" t="s">
        <v>20</v>
      </c>
      <c r="H3911" s="2" t="s">
        <v>21</v>
      </c>
      <c r="I3911" s="2" t="s">
        <v>7922</v>
      </c>
      <c r="J3911" s="3" t="str">
        <f>HYPERLINK("https://www.boe.es/gazeta/dias/1820/11/02/pdfs/GGB-1820-127.pdf#page=4","Abrir facsímil")</f>
        <v>Abrir facsímil</v>
      </c>
      <c r="K3911" s="3" t="s">
        <v>23</v>
      </c>
    </row>
    <row r="3912" spans="1:11" ht="42" customHeight="1">
      <c r="A3912" s="2" t="s">
        <v>7923</v>
      </c>
      <c r="B3912" s="2" t="s">
        <v>7924</v>
      </c>
      <c r="C3912" s="2" t="s">
        <v>26</v>
      </c>
      <c r="D3912" s="2" t="s">
        <v>27</v>
      </c>
      <c r="E3912" s="5">
        <v>-29038</v>
      </c>
      <c r="F3912" s="3" t="s">
        <v>957</v>
      </c>
      <c r="G3912" s="3" t="s">
        <v>201</v>
      </c>
      <c r="H3912" s="2" t="s">
        <v>21</v>
      </c>
      <c r="I3912" s="2" t="s">
        <v>7925</v>
      </c>
      <c r="J3912" s="3" t="str">
        <f>HYPERLINK("https://www.boe.es/gazeta/dias/1820/06/29/pdfs/GMD-1820-100.pdf#page=7","Abrir facsímil")</f>
        <v>Abrir facsímil</v>
      </c>
      <c r="K3912" s="3" t="s">
        <v>23</v>
      </c>
    </row>
    <row r="3913" spans="1:11" ht="42" customHeight="1">
      <c r="A3913" s="2" t="s">
        <v>7926</v>
      </c>
      <c r="B3913" s="2" t="s">
        <v>7927</v>
      </c>
      <c r="C3913" s="2" t="s">
        <v>111</v>
      </c>
      <c r="D3913" s="2" t="s">
        <v>18</v>
      </c>
      <c r="E3913" s="5">
        <v>-28855</v>
      </c>
      <c r="F3913" s="3" t="s">
        <v>2055</v>
      </c>
      <c r="G3913" s="3" t="s">
        <v>20</v>
      </c>
      <c r="H3913" s="2" t="s">
        <v>30</v>
      </c>
      <c r="I3913" s="2" t="s">
        <v>7928</v>
      </c>
      <c r="J3913" s="3" t="str">
        <f>HYPERLINK("https://www.boe.es/gazeta/dias/1820/12/29/pdfs/GGB-1820-186.pdf#page=4","Abrir facsímil")</f>
        <v>Abrir facsímil</v>
      </c>
      <c r="K3913" s="3" t="s">
        <v>32</v>
      </c>
    </row>
    <row r="3914" spans="1:11" ht="42" customHeight="1">
      <c r="A3914" s="2" t="s">
        <v>7929</v>
      </c>
      <c r="B3914" s="2" t="s">
        <v>7930</v>
      </c>
      <c r="C3914" s="2" t="s">
        <v>26</v>
      </c>
      <c r="D3914" s="2" t="s">
        <v>27</v>
      </c>
      <c r="E3914" s="5">
        <v>-28938</v>
      </c>
      <c r="F3914" s="3" t="s">
        <v>716</v>
      </c>
      <c r="G3914" s="3" t="s">
        <v>62</v>
      </c>
      <c r="H3914" s="2" t="s">
        <v>21</v>
      </c>
      <c r="I3914" s="2" t="s">
        <v>7931</v>
      </c>
      <c r="J3914" s="3" t="str">
        <f>HYPERLINK("https://www.boe.es/gazeta/dias/1820/10/07/pdfs/GGB-1820-101.pdf#page=3","Abrir facsímil")</f>
        <v>Abrir facsímil</v>
      </c>
      <c r="K3914" s="3" t="s">
        <v>23</v>
      </c>
    </row>
    <row r="3915" spans="1:11" ht="42" customHeight="1">
      <c r="A3915" s="2" t="s">
        <v>7932</v>
      </c>
      <c r="B3915" s="2" t="s">
        <v>7933</v>
      </c>
      <c r="C3915" s="2" t="s">
        <v>35</v>
      </c>
      <c r="D3915" s="2" t="s">
        <v>36</v>
      </c>
      <c r="E3915" s="5">
        <v>-29066</v>
      </c>
      <c r="F3915" s="3" t="s">
        <v>1966</v>
      </c>
      <c r="G3915" s="3" t="s">
        <v>201</v>
      </c>
      <c r="H3915" s="2" t="s">
        <v>21</v>
      </c>
      <c r="I3915" s="2" t="s">
        <v>7934</v>
      </c>
      <c r="J3915" s="3" t="str">
        <f>HYPERLINK("https://www.boe.es/gazeta/dias/1820/06/01/pdfs/GMD-1820-88.pdf#page=7","Abrir facsímil")</f>
        <v>Abrir facsímil</v>
      </c>
      <c r="K3915" s="3" t="s">
        <v>23</v>
      </c>
    </row>
    <row r="3916" spans="1:11" ht="42" customHeight="1">
      <c r="A3916" s="2" t="s">
        <v>7935</v>
      </c>
      <c r="B3916" s="2" t="s">
        <v>7936</v>
      </c>
      <c r="C3916" s="2" t="s">
        <v>17</v>
      </c>
      <c r="D3916" s="2" t="s">
        <v>18</v>
      </c>
      <c r="E3916" s="5">
        <v>-28858</v>
      </c>
      <c r="F3916" s="3" t="s">
        <v>117</v>
      </c>
      <c r="G3916" s="3" t="s">
        <v>20</v>
      </c>
      <c r="H3916" s="2" t="s">
        <v>21</v>
      </c>
      <c r="I3916" s="2" t="s">
        <v>7937</v>
      </c>
      <c r="J3916" s="3" t="str">
        <f>HYPERLINK("https://www.boe.es/gazeta/dias/1820/12/26/pdfs/GGB-1820-183.pdf#page=4","Abrir facsímil")</f>
        <v>Abrir facsímil</v>
      </c>
      <c r="K3916" s="3" t="s">
        <v>23</v>
      </c>
    </row>
    <row r="3917" spans="1:11" ht="42" customHeight="1">
      <c r="A3917" s="2" t="s">
        <v>7938</v>
      </c>
      <c r="B3917" s="2" t="s">
        <v>7939</v>
      </c>
      <c r="C3917" s="2" t="s">
        <v>17</v>
      </c>
      <c r="D3917" s="2" t="s">
        <v>18</v>
      </c>
      <c r="E3917" s="5">
        <v>-28883</v>
      </c>
      <c r="F3917" s="3" t="s">
        <v>306</v>
      </c>
      <c r="G3917" s="3" t="s">
        <v>20</v>
      </c>
      <c r="H3917" s="2" t="s">
        <v>21</v>
      </c>
      <c r="I3917" s="2" t="s">
        <v>7940</v>
      </c>
      <c r="J3917" s="3" t="str">
        <f>HYPERLINK("https://www.boe.es/gazeta/dias/1820/12/01/pdfs/GGB-1820-158.pdf#page=4","Abrir facsímil")</f>
        <v>Abrir facsímil</v>
      </c>
      <c r="K3917" s="3" t="s">
        <v>23</v>
      </c>
    </row>
    <row r="3918" spans="1:11" ht="42" customHeight="1">
      <c r="A3918" s="2" t="s">
        <v>7941</v>
      </c>
      <c r="B3918" s="2" t="s">
        <v>7942</v>
      </c>
      <c r="C3918" s="2" t="s">
        <v>35</v>
      </c>
      <c r="D3918" s="2" t="s">
        <v>36</v>
      </c>
      <c r="E3918" s="5">
        <v>-28962</v>
      </c>
      <c r="F3918" s="3" t="s">
        <v>90</v>
      </c>
      <c r="G3918" s="3" t="s">
        <v>3830</v>
      </c>
      <c r="H3918" s="2" t="s">
        <v>21</v>
      </c>
      <c r="I3918" s="2" t="s">
        <v>7943</v>
      </c>
      <c r="J3918" s="3" t="str">
        <f>HYPERLINK("https://www.boe.es/gazeta/dias/1820/09/13/pdfs/GGB-1820-77.pdf#page=2","Abrir facsímil")</f>
        <v>Abrir facsímil</v>
      </c>
      <c r="K3918" s="3" t="s">
        <v>23</v>
      </c>
    </row>
    <row r="3919" spans="1:11" ht="42" customHeight="1">
      <c r="A3919" s="2" t="s">
        <v>7941</v>
      </c>
      <c r="B3919" s="2" t="s">
        <v>7942</v>
      </c>
      <c r="C3919" s="2" t="s">
        <v>35</v>
      </c>
      <c r="D3919" s="2" t="s">
        <v>36</v>
      </c>
      <c r="E3919" s="5">
        <v>-28951</v>
      </c>
      <c r="F3919" s="3" t="s">
        <v>622</v>
      </c>
      <c r="G3919" s="3" t="s">
        <v>1370</v>
      </c>
      <c r="H3919" s="2" t="s">
        <v>21</v>
      </c>
      <c r="I3919" s="2" t="s">
        <v>7944</v>
      </c>
      <c r="J3919" s="3" t="str">
        <f>HYPERLINK("https://www.boe.es/gazeta/dias/1820/09/24/pdfs/GGB-1820-88.pdf#page=2","Abrir facsímil")</f>
        <v>Abrir facsímil</v>
      </c>
      <c r="K3919" s="3" t="s">
        <v>23</v>
      </c>
    </row>
    <row r="3920" spans="1:11" ht="42" customHeight="1">
      <c r="A3920" s="2" t="s">
        <v>7941</v>
      </c>
      <c r="B3920" s="2" t="s">
        <v>7942</v>
      </c>
      <c r="C3920" s="2" t="s">
        <v>74</v>
      </c>
      <c r="D3920" s="2" t="s">
        <v>18</v>
      </c>
      <c r="E3920" s="5">
        <v>-28906</v>
      </c>
      <c r="F3920" s="3" t="s">
        <v>232</v>
      </c>
      <c r="G3920" s="3" t="s">
        <v>43</v>
      </c>
      <c r="H3920" s="2" t="s">
        <v>21</v>
      </c>
      <c r="I3920" s="2" t="s">
        <v>7945</v>
      </c>
      <c r="J3920" s="3" t="str">
        <f>HYPERLINK("https://www.boe.es/gazeta/dias/1820/11/08/pdfs/GGB-1820-133.pdf#page=2","Abrir facsímil")</f>
        <v>Abrir facsímil</v>
      </c>
      <c r="K3920" s="3" t="s">
        <v>23</v>
      </c>
    </row>
    <row r="3921" spans="1:11" ht="42" customHeight="1">
      <c r="A3921" s="2" t="s">
        <v>7946</v>
      </c>
      <c r="B3921" s="2" t="s">
        <v>7947</v>
      </c>
      <c r="C3921" s="2" t="s">
        <v>26</v>
      </c>
      <c r="D3921" s="2" t="s">
        <v>27</v>
      </c>
      <c r="E3921" s="5">
        <v>-28900</v>
      </c>
      <c r="F3921" s="3" t="s">
        <v>878</v>
      </c>
      <c r="G3921" s="3" t="s">
        <v>20</v>
      </c>
      <c r="H3921" s="2" t="s">
        <v>21</v>
      </c>
      <c r="I3921" s="2" t="s">
        <v>7948</v>
      </c>
      <c r="J3921" s="3" t="str">
        <f>HYPERLINK("https://www.boe.es/gazeta/dias/1820/11/14/pdfs/GGB-1820-140.pdf#page=4","Abrir facsímil")</f>
        <v>Abrir facsímil</v>
      </c>
      <c r="K3921" s="3" t="s">
        <v>23</v>
      </c>
    </row>
    <row r="3922" spans="1:11" ht="42" customHeight="1">
      <c r="A3922" s="2" t="s">
        <v>7949</v>
      </c>
      <c r="B3922" s="2" t="s">
        <v>7950</v>
      </c>
      <c r="C3922" s="2" t="s">
        <v>47</v>
      </c>
      <c r="D3922" s="2" t="s">
        <v>18</v>
      </c>
      <c r="E3922" s="5">
        <v>-29197</v>
      </c>
      <c r="F3922" s="3" t="s">
        <v>48</v>
      </c>
      <c r="G3922" s="3" t="s">
        <v>201</v>
      </c>
      <c r="H3922" s="2" t="s">
        <v>21</v>
      </c>
      <c r="I3922" s="2" t="s">
        <v>7951</v>
      </c>
      <c r="J3922" s="3" t="str">
        <f>HYPERLINK("https://www.boe.es/gazeta/dias/1820/01/22/pdfs/GMD-1820-10.pdf#page=7","Abrir facsímil")</f>
        <v>Abrir facsímil</v>
      </c>
      <c r="K3922" s="3" t="s">
        <v>23</v>
      </c>
    </row>
    <row r="3923" spans="1:11" ht="42" customHeight="1">
      <c r="A3923" s="2" t="s">
        <v>7952</v>
      </c>
      <c r="B3923" s="2" t="s">
        <v>7953</v>
      </c>
      <c r="C3923" s="2" t="s">
        <v>17</v>
      </c>
      <c r="D3923" s="2" t="s">
        <v>18</v>
      </c>
      <c r="E3923" s="5">
        <v>-28960</v>
      </c>
      <c r="F3923" s="3" t="s">
        <v>704</v>
      </c>
      <c r="G3923" s="3" t="s">
        <v>43</v>
      </c>
      <c r="H3923" s="2" t="s">
        <v>21</v>
      </c>
      <c r="I3923" s="2" t="s">
        <v>7954</v>
      </c>
      <c r="J3923" s="3" t="str">
        <f>HYPERLINK("https://www.boe.es/gazeta/dias/1820/09/15/pdfs/GGB-1820-79.pdf#page=2","Abrir facsímil")</f>
        <v>Abrir facsímil</v>
      </c>
      <c r="K3923" s="3" t="s">
        <v>23</v>
      </c>
    </row>
    <row r="3924" spans="1:11" ht="42" customHeight="1">
      <c r="A3924" s="2" t="s">
        <v>7955</v>
      </c>
      <c r="B3924" s="2" t="s">
        <v>7956</v>
      </c>
      <c r="C3924" s="2" t="s">
        <v>111</v>
      </c>
      <c r="D3924" s="2" t="s">
        <v>18</v>
      </c>
      <c r="E3924" s="5">
        <v>-29192</v>
      </c>
      <c r="F3924" s="3" t="s">
        <v>497</v>
      </c>
      <c r="G3924" s="3" t="s">
        <v>295</v>
      </c>
      <c r="H3924" s="2" t="s">
        <v>21</v>
      </c>
      <c r="I3924" s="2" t="s">
        <v>7957</v>
      </c>
      <c r="J3924" s="3" t="str">
        <f>HYPERLINK("https://www.boe.es/gazeta/dias/1820/01/27/pdfs/GMD-1820-12.pdf#page=8","Abrir facsímil")</f>
        <v>Abrir facsímil</v>
      </c>
      <c r="K3924" s="3" t="s">
        <v>23</v>
      </c>
    </row>
    <row r="3925" spans="1:11" ht="42" customHeight="1">
      <c r="A3925" s="2" t="s">
        <v>7958</v>
      </c>
      <c r="B3925" s="2" t="s">
        <v>7959</v>
      </c>
      <c r="C3925" s="2" t="s">
        <v>26</v>
      </c>
      <c r="D3925" s="2" t="s">
        <v>27</v>
      </c>
      <c r="E3925" s="5">
        <v>-28953</v>
      </c>
      <c r="F3925" s="3" t="s">
        <v>367</v>
      </c>
      <c r="G3925" s="3" t="s">
        <v>2925</v>
      </c>
      <c r="H3925" s="2" t="s">
        <v>21</v>
      </c>
      <c r="I3925" s="2" t="s">
        <v>7960</v>
      </c>
      <c r="J3925" s="3" t="str">
        <f>HYPERLINK("https://www.boe.es/gazeta/dias/1820/09/22/pdfs/GGB-1820-86.pdf#page=2","Abrir facsímil")</f>
        <v>Abrir facsímil</v>
      </c>
      <c r="K3925" s="3" t="s">
        <v>23</v>
      </c>
    </row>
    <row r="3926" spans="1:11" ht="42" customHeight="1">
      <c r="A3926" s="2" t="s">
        <v>7961</v>
      </c>
      <c r="B3926" s="2" t="s">
        <v>7962</v>
      </c>
      <c r="C3926" s="2" t="s">
        <v>17</v>
      </c>
      <c r="D3926" s="2" t="s">
        <v>18</v>
      </c>
      <c r="E3926" s="5">
        <v>-29199</v>
      </c>
      <c r="F3926" s="3" t="s">
        <v>1178</v>
      </c>
      <c r="G3926" s="3" t="s">
        <v>256</v>
      </c>
      <c r="H3926" s="2" t="s">
        <v>21</v>
      </c>
      <c r="I3926" s="2" t="s">
        <v>7963</v>
      </c>
      <c r="J3926" s="3" t="str">
        <f>HYPERLINK("https://www.boe.es/gazeta/dias/1820/01/20/pdfs/GMD-1820-9.pdf#page=5","Abrir facsímil")</f>
        <v>Abrir facsímil</v>
      </c>
      <c r="K3926" s="3" t="s">
        <v>23</v>
      </c>
    </row>
    <row r="3927" spans="1:11" ht="42" customHeight="1">
      <c r="A3927" s="2" t="s">
        <v>7964</v>
      </c>
      <c r="B3927" s="2" t="s">
        <v>7964</v>
      </c>
      <c r="C3927" s="2" t="s">
        <v>111</v>
      </c>
      <c r="D3927" s="2" t="s">
        <v>18</v>
      </c>
      <c r="E3927" s="5">
        <v>-28940</v>
      </c>
      <c r="F3927" s="3" t="s">
        <v>141</v>
      </c>
      <c r="G3927" s="3" t="s">
        <v>43</v>
      </c>
      <c r="H3927" s="2" t="s">
        <v>21</v>
      </c>
      <c r="I3927" s="2" t="s">
        <v>7965</v>
      </c>
      <c r="J3927" s="3" t="str">
        <f>HYPERLINK("https://www.boe.es/gazeta/dias/1820/10/05/pdfs/GGB-1820-99.pdf#page=2","Abrir facsímil")</f>
        <v>Abrir facsímil</v>
      </c>
      <c r="K3927" s="3" t="s">
        <v>23</v>
      </c>
    </row>
    <row r="3928" spans="1:11" ht="42" customHeight="1">
      <c r="A3928" s="2" t="s">
        <v>7966</v>
      </c>
      <c r="B3928" s="2" t="s">
        <v>7966</v>
      </c>
      <c r="C3928" s="2" t="s">
        <v>35</v>
      </c>
      <c r="D3928" s="2" t="s">
        <v>36</v>
      </c>
      <c r="E3928" s="5">
        <v>-29020</v>
      </c>
      <c r="F3928" s="3" t="s">
        <v>756</v>
      </c>
      <c r="G3928" s="3" t="s">
        <v>62</v>
      </c>
      <c r="H3928" s="2" t="s">
        <v>21</v>
      </c>
      <c r="I3928" s="2" t="s">
        <v>7967</v>
      </c>
      <c r="J3928" s="3" t="str">
        <f>HYPERLINK("https://www.boe.es/gazeta/dias/1820/07/17/pdfs/GGB-1820-19.pdf#page=3","Abrir facsímil")</f>
        <v>Abrir facsímil</v>
      </c>
      <c r="K3928" s="3" t="s">
        <v>23</v>
      </c>
    </row>
    <row r="3929" spans="1:11" ht="42" customHeight="1">
      <c r="A3929" s="2" t="s">
        <v>7968</v>
      </c>
      <c r="B3929" s="2" t="s">
        <v>7968</v>
      </c>
      <c r="C3929" s="2" t="s">
        <v>35</v>
      </c>
      <c r="D3929" s="2" t="s">
        <v>36</v>
      </c>
      <c r="E3929" s="5">
        <v>-28995</v>
      </c>
      <c r="F3929" s="3" t="s">
        <v>672</v>
      </c>
      <c r="G3929" s="3" t="s">
        <v>1557</v>
      </c>
      <c r="H3929" s="2" t="s">
        <v>21</v>
      </c>
      <c r="I3929" s="2" t="s">
        <v>7969</v>
      </c>
      <c r="J3929" s="3" t="str">
        <f>HYPERLINK("https://www.boe.es/gazeta/dias/1820/08/11/pdfs/GGB-1820-44.pdf#page=2","Abrir facsímil")</f>
        <v>Abrir facsímil</v>
      </c>
      <c r="K3929" s="3" t="s">
        <v>23</v>
      </c>
    </row>
    <row r="3930" spans="1:11" ht="42" customHeight="1">
      <c r="A3930" s="2" t="s">
        <v>7968</v>
      </c>
      <c r="B3930" s="2" t="s">
        <v>7968</v>
      </c>
      <c r="C3930" s="2" t="s">
        <v>35</v>
      </c>
      <c r="D3930" s="2" t="s">
        <v>36</v>
      </c>
      <c r="E3930" s="5">
        <v>-28961</v>
      </c>
      <c r="F3930" s="3" t="s">
        <v>242</v>
      </c>
      <c r="G3930" s="3" t="s">
        <v>2442</v>
      </c>
      <c r="H3930" s="2" t="s">
        <v>21</v>
      </c>
      <c r="I3930" s="2" t="s">
        <v>7970</v>
      </c>
      <c r="J3930" s="3" t="str">
        <f>HYPERLINK("https://www.boe.es/gazeta/dias/1820/09/14/pdfs/GGB-1820-78.pdf#page=4","Abrir facsímil")</f>
        <v>Abrir facsímil</v>
      </c>
      <c r="K3930" s="3" t="s">
        <v>23</v>
      </c>
    </row>
    <row r="3931" spans="1:11" ht="42" customHeight="1">
      <c r="A3931" s="2" t="s">
        <v>7968</v>
      </c>
      <c r="B3931" s="2" t="s">
        <v>7968</v>
      </c>
      <c r="C3931" s="2" t="s">
        <v>17</v>
      </c>
      <c r="D3931" s="2" t="s">
        <v>18</v>
      </c>
      <c r="E3931" s="5">
        <v>-28958</v>
      </c>
      <c r="F3931" s="3" t="s">
        <v>706</v>
      </c>
      <c r="G3931" s="3" t="s">
        <v>62</v>
      </c>
      <c r="H3931" s="2" t="s">
        <v>21</v>
      </c>
      <c r="I3931" s="2" t="s">
        <v>7971</v>
      </c>
      <c r="J3931" s="3" t="str">
        <f>HYPERLINK("https://www.boe.es/gazeta/dias/1820/09/17/pdfs/GGB-1820-81.pdf#page=3","Abrir facsímil")</f>
        <v>Abrir facsímil</v>
      </c>
      <c r="K3931" s="3" t="s">
        <v>23</v>
      </c>
    </row>
    <row r="3932" spans="1:11" ht="42" customHeight="1">
      <c r="A3932" s="2" t="s">
        <v>7968</v>
      </c>
      <c r="B3932" s="2" t="s">
        <v>7968</v>
      </c>
      <c r="C3932" s="2" t="s">
        <v>17</v>
      </c>
      <c r="D3932" s="2" t="s">
        <v>18</v>
      </c>
      <c r="E3932" s="5">
        <v>-28906</v>
      </c>
      <c r="F3932" s="3" t="s">
        <v>232</v>
      </c>
      <c r="G3932" s="3" t="s">
        <v>62</v>
      </c>
      <c r="H3932" s="2" t="s">
        <v>21</v>
      </c>
      <c r="I3932" s="2" t="s">
        <v>7972</v>
      </c>
      <c r="J3932" s="3" t="str">
        <f>HYPERLINK("https://www.boe.es/gazeta/dias/1820/11/08/pdfs/GGB-1820-133.pdf#page=3","Abrir facsímil")</f>
        <v>Abrir facsímil</v>
      </c>
      <c r="K3932" s="3" t="s">
        <v>23</v>
      </c>
    </row>
    <row r="3933" spans="1:11" ht="42" customHeight="1">
      <c r="A3933" s="2" t="s">
        <v>7973</v>
      </c>
      <c r="B3933" s="2" t="s">
        <v>7974</v>
      </c>
      <c r="C3933" s="2" t="s">
        <v>35</v>
      </c>
      <c r="D3933" s="2" t="s">
        <v>36</v>
      </c>
      <c r="E3933" s="5">
        <v>-29138</v>
      </c>
      <c r="F3933" s="3" t="s">
        <v>200</v>
      </c>
      <c r="G3933" s="3" t="s">
        <v>201</v>
      </c>
      <c r="H3933" s="2" t="s">
        <v>30</v>
      </c>
      <c r="I3933" s="2" t="s">
        <v>7975</v>
      </c>
      <c r="J3933" s="3" t="str">
        <f>HYPERLINK("https://www.boe.es/gazeta/dias/1820/03/21/pdfs/GMD-1820-46.pdf#page=7","Abrir facsímil")</f>
        <v>Abrir facsímil</v>
      </c>
      <c r="K3933" s="3" t="s">
        <v>32</v>
      </c>
    </row>
    <row r="3934" spans="1:11" ht="42" customHeight="1">
      <c r="A3934" s="2" t="s">
        <v>7976</v>
      </c>
      <c r="B3934" s="2" t="s">
        <v>7977</v>
      </c>
      <c r="C3934" s="2" t="s">
        <v>74</v>
      </c>
      <c r="D3934" s="2" t="s">
        <v>18</v>
      </c>
      <c r="E3934" s="5">
        <v>-28949</v>
      </c>
      <c r="F3934" s="3" t="s">
        <v>178</v>
      </c>
      <c r="G3934" s="3" t="s">
        <v>43</v>
      </c>
      <c r="H3934" s="2" t="s">
        <v>21</v>
      </c>
      <c r="I3934" s="2" t="s">
        <v>7978</v>
      </c>
      <c r="J3934" s="3" t="str">
        <f>HYPERLINK("https://www.boe.es/gazeta/dias/1820/09/26/pdfs/GGB-1820-90.pdf#page=2","Abrir facsímil")</f>
        <v>Abrir facsímil</v>
      </c>
      <c r="K3934" s="3" t="s">
        <v>23</v>
      </c>
    </row>
    <row r="3935" spans="1:11" ht="42" customHeight="1">
      <c r="A3935" s="2" t="s">
        <v>7979</v>
      </c>
      <c r="B3935" s="2" t="s">
        <v>7979</v>
      </c>
      <c r="C3935" s="2" t="s">
        <v>26</v>
      </c>
      <c r="D3935" s="2" t="s">
        <v>27</v>
      </c>
      <c r="E3935" s="5">
        <v>-28922</v>
      </c>
      <c r="F3935" s="3" t="s">
        <v>735</v>
      </c>
      <c r="G3935" s="3" t="s">
        <v>62</v>
      </c>
      <c r="H3935" s="2" t="s">
        <v>21</v>
      </c>
      <c r="I3935" s="2" t="s">
        <v>7980</v>
      </c>
      <c r="J3935" s="3" t="str">
        <f>HYPERLINK("https://www.boe.es/gazeta/dias/1820/10/23/pdfs/GGB-1820-117.pdf#page=3","Abrir facsímil")</f>
        <v>Abrir facsímil</v>
      </c>
      <c r="K3935" s="3" t="s">
        <v>23</v>
      </c>
    </row>
    <row r="3936" spans="1:11" ht="42" customHeight="1">
      <c r="A3936" s="2" t="s">
        <v>7981</v>
      </c>
      <c r="B3936" s="2" t="s">
        <v>7982</v>
      </c>
      <c r="C3936" s="2" t="s">
        <v>26</v>
      </c>
      <c r="D3936" s="2" t="s">
        <v>27</v>
      </c>
      <c r="E3936" s="5">
        <v>-28984</v>
      </c>
      <c r="F3936" s="3" t="s">
        <v>520</v>
      </c>
      <c r="G3936" s="3" t="s">
        <v>62</v>
      </c>
      <c r="H3936" s="2" t="s">
        <v>30</v>
      </c>
      <c r="I3936" s="2" t="s">
        <v>7983</v>
      </c>
      <c r="J3936" s="3" t="str">
        <f>HYPERLINK("https://www.boe.es/gazeta/dias/1820/08/22/pdfs/GGB-1820-55.pdf#page=3","Abrir facsímil")</f>
        <v>Abrir facsímil</v>
      </c>
      <c r="K3936" s="3" t="s">
        <v>32</v>
      </c>
    </row>
    <row r="3937" spans="1:11" ht="42" customHeight="1">
      <c r="A3937" s="2" t="s">
        <v>7984</v>
      </c>
      <c r="B3937" s="2" t="s">
        <v>7985</v>
      </c>
      <c r="C3937" s="2" t="s">
        <v>35</v>
      </c>
      <c r="D3937" s="2" t="s">
        <v>36</v>
      </c>
      <c r="E3937" s="5">
        <v>-29143</v>
      </c>
      <c r="F3937" s="3" t="s">
        <v>334</v>
      </c>
      <c r="G3937" s="3" t="s">
        <v>201</v>
      </c>
      <c r="H3937" s="2" t="s">
        <v>21</v>
      </c>
      <c r="I3937" s="2" t="s">
        <v>7986</v>
      </c>
      <c r="J3937" s="3" t="str">
        <f>HYPERLINK("https://www.boe.es/gazeta/dias/1820/03/16/pdfs/GMD-1820-42.pdf#page=7","Abrir facsímil")</f>
        <v>Abrir facsímil</v>
      </c>
      <c r="K3937" s="3" t="s">
        <v>23</v>
      </c>
    </row>
    <row r="3938" spans="1:11" ht="42" customHeight="1">
      <c r="A3938" s="2" t="s">
        <v>7987</v>
      </c>
      <c r="B3938" s="2" t="s">
        <v>7988</v>
      </c>
      <c r="C3938" s="2" t="s">
        <v>74</v>
      </c>
      <c r="D3938" s="2" t="s">
        <v>18</v>
      </c>
      <c r="E3938" s="5">
        <v>-28906</v>
      </c>
      <c r="F3938" s="3" t="s">
        <v>232</v>
      </c>
      <c r="G3938" s="3" t="s">
        <v>62</v>
      </c>
      <c r="H3938" s="2" t="s">
        <v>21</v>
      </c>
      <c r="I3938" s="2" t="s">
        <v>7989</v>
      </c>
      <c r="J3938" s="3" t="str">
        <f>HYPERLINK("https://www.boe.es/gazeta/dias/1820/11/08/pdfs/GGB-1820-133.pdf#page=3","Abrir facsímil")</f>
        <v>Abrir facsímil</v>
      </c>
      <c r="K3938" s="3" t="s">
        <v>23</v>
      </c>
    </row>
    <row r="3939" spans="1:11" ht="42" customHeight="1">
      <c r="A3939" s="2" t="s">
        <v>7990</v>
      </c>
      <c r="B3939" s="2" t="s">
        <v>7991</v>
      </c>
      <c r="C3939" s="2" t="s">
        <v>35</v>
      </c>
      <c r="D3939" s="2" t="s">
        <v>36</v>
      </c>
      <c r="E3939" s="5">
        <v>-28957</v>
      </c>
      <c r="F3939" s="3" t="s">
        <v>361</v>
      </c>
      <c r="G3939" s="3" t="s">
        <v>62</v>
      </c>
      <c r="H3939" s="2" t="s">
        <v>21</v>
      </c>
      <c r="I3939" s="2" t="s">
        <v>7992</v>
      </c>
      <c r="J3939" s="3" t="str">
        <f>HYPERLINK("https://www.boe.es/gazeta/dias/1820/09/18/pdfs/GGB-1820-82.pdf#page=3","Abrir facsímil")</f>
        <v>Abrir facsímil</v>
      </c>
      <c r="K3939" s="3" t="s">
        <v>23</v>
      </c>
    </row>
    <row r="3940" spans="1:11" ht="42" customHeight="1">
      <c r="A3940" s="2" t="s">
        <v>7993</v>
      </c>
      <c r="B3940" s="2" t="s">
        <v>7993</v>
      </c>
      <c r="C3940" s="2" t="s">
        <v>35</v>
      </c>
      <c r="D3940" s="2" t="s">
        <v>36</v>
      </c>
      <c r="E3940" s="5">
        <v>-29017</v>
      </c>
      <c r="F3940" s="3" t="s">
        <v>274</v>
      </c>
      <c r="G3940" s="3" t="s">
        <v>62</v>
      </c>
      <c r="H3940" s="2" t="s">
        <v>21</v>
      </c>
      <c r="I3940" s="2" t="s">
        <v>7994</v>
      </c>
      <c r="J3940" s="3" t="str">
        <f>HYPERLINK("https://www.boe.es/gazeta/dias/1820/07/20/pdfs/GGB-1820-22.pdf#page=3","Abrir facsímil")</f>
        <v>Abrir facsímil</v>
      </c>
      <c r="K3940" s="3" t="s">
        <v>23</v>
      </c>
    </row>
    <row r="3941" spans="1:11" ht="42" customHeight="1">
      <c r="A3941" s="2" t="s">
        <v>7993</v>
      </c>
      <c r="B3941" s="2" t="s">
        <v>7993</v>
      </c>
      <c r="C3941" s="2" t="s">
        <v>17</v>
      </c>
      <c r="D3941" s="2" t="s">
        <v>18</v>
      </c>
      <c r="E3941" s="5">
        <v>-28995</v>
      </c>
      <c r="F3941" s="3" t="s">
        <v>672</v>
      </c>
      <c r="G3941" s="3" t="s">
        <v>62</v>
      </c>
      <c r="H3941" s="2" t="s">
        <v>21</v>
      </c>
      <c r="I3941" s="2" t="s">
        <v>7995</v>
      </c>
      <c r="J3941" s="3" t="str">
        <f>HYPERLINK("https://www.boe.es/gazeta/dias/1820/08/11/pdfs/GGB-1820-44.pdf#page=3","Abrir facsímil")</f>
        <v>Abrir facsímil</v>
      </c>
      <c r="K3941" s="3" t="s">
        <v>23</v>
      </c>
    </row>
    <row r="3942" spans="1:11" ht="42" customHeight="1">
      <c r="A3942" s="2" t="s">
        <v>7993</v>
      </c>
      <c r="B3942" s="2" t="s">
        <v>7993</v>
      </c>
      <c r="C3942" s="2" t="s">
        <v>35</v>
      </c>
      <c r="D3942" s="2" t="s">
        <v>36</v>
      </c>
      <c r="E3942" s="5">
        <v>-28995</v>
      </c>
      <c r="F3942" s="3" t="s">
        <v>672</v>
      </c>
      <c r="G3942" s="3" t="s">
        <v>20</v>
      </c>
      <c r="H3942" s="2" t="s">
        <v>21</v>
      </c>
      <c r="I3942" s="2" t="s">
        <v>7996</v>
      </c>
      <c r="J3942" s="3" t="str">
        <f>HYPERLINK("https://www.boe.es/gazeta/dias/1820/08/11/pdfs/GGB-1820-44.pdf#page=4","Abrir facsímil")</f>
        <v>Abrir facsímil</v>
      </c>
      <c r="K3942" s="3" t="s">
        <v>23</v>
      </c>
    </row>
    <row r="3943" spans="1:11" ht="42" customHeight="1">
      <c r="A3943" s="2" t="s">
        <v>7993</v>
      </c>
      <c r="B3943" s="2" t="s">
        <v>7993</v>
      </c>
      <c r="C3943" s="2" t="s">
        <v>26</v>
      </c>
      <c r="D3943" s="2" t="s">
        <v>27</v>
      </c>
      <c r="E3943" s="5">
        <v>-28984</v>
      </c>
      <c r="F3943" s="3" t="s">
        <v>520</v>
      </c>
      <c r="G3943" s="3" t="s">
        <v>62</v>
      </c>
      <c r="H3943" s="2" t="s">
        <v>21</v>
      </c>
      <c r="I3943" s="2" t="s">
        <v>7997</v>
      </c>
      <c r="J3943" s="3" t="str">
        <f>HYPERLINK("https://www.boe.es/gazeta/dias/1820/08/22/pdfs/GGB-1820-55.pdf#page=3","Abrir facsímil")</f>
        <v>Abrir facsímil</v>
      </c>
      <c r="K3943" s="3" t="s">
        <v>23</v>
      </c>
    </row>
    <row r="3944" spans="1:11" ht="42" customHeight="1">
      <c r="A3944" s="2" t="s">
        <v>7993</v>
      </c>
      <c r="B3944" s="2" t="s">
        <v>7993</v>
      </c>
      <c r="C3944" s="2" t="s">
        <v>35</v>
      </c>
      <c r="D3944" s="2" t="s">
        <v>36</v>
      </c>
      <c r="E3944" s="5">
        <v>-28982</v>
      </c>
      <c r="F3944" s="3" t="s">
        <v>173</v>
      </c>
      <c r="G3944" s="3" t="s">
        <v>62</v>
      </c>
      <c r="H3944" s="2" t="s">
        <v>21</v>
      </c>
      <c r="I3944" s="2" t="s">
        <v>7998</v>
      </c>
      <c r="J3944" s="3" t="str">
        <f>HYPERLINK("https://www.boe.es/gazeta/dias/1820/08/24/pdfs/GGB-1820-57.pdf#page=3","Abrir facsímil")</f>
        <v>Abrir facsímil</v>
      </c>
      <c r="K3944" s="3" t="s">
        <v>23</v>
      </c>
    </row>
    <row r="3945" spans="1:11" ht="42" customHeight="1">
      <c r="A3945" s="2" t="s">
        <v>7993</v>
      </c>
      <c r="B3945" s="2" t="s">
        <v>7993</v>
      </c>
      <c r="C3945" s="2" t="s">
        <v>17</v>
      </c>
      <c r="D3945" s="2" t="s">
        <v>18</v>
      </c>
      <c r="E3945" s="5">
        <v>-28959</v>
      </c>
      <c r="F3945" s="3" t="s">
        <v>37</v>
      </c>
      <c r="G3945" s="3" t="s">
        <v>20</v>
      </c>
      <c r="H3945" s="2" t="s">
        <v>21</v>
      </c>
      <c r="I3945" s="2" t="s">
        <v>7999</v>
      </c>
      <c r="J3945" s="3" t="str">
        <f>HYPERLINK("https://www.boe.es/gazeta/dias/1820/09/16/pdfs/GGB-1820-80.pdf#page=4","Abrir facsímil")</f>
        <v>Abrir facsímil</v>
      </c>
      <c r="K3945" s="3" t="s">
        <v>23</v>
      </c>
    </row>
    <row r="3946" spans="1:11" ht="42" customHeight="1">
      <c r="A3946" s="2" t="s">
        <v>8000</v>
      </c>
      <c r="B3946" s="2" t="s">
        <v>8000</v>
      </c>
      <c r="C3946" s="2" t="s">
        <v>293</v>
      </c>
      <c r="D3946" s="2" t="s">
        <v>18</v>
      </c>
      <c r="E3946" s="5">
        <v>-28908</v>
      </c>
      <c r="F3946" s="3" t="s">
        <v>1060</v>
      </c>
      <c r="G3946" s="3" t="s">
        <v>62</v>
      </c>
      <c r="H3946" s="2" t="s">
        <v>21</v>
      </c>
      <c r="I3946" s="2" t="s">
        <v>8001</v>
      </c>
      <c r="J3946" s="3" t="str">
        <f>HYPERLINK("https://www.boe.es/gazeta/dias/1820/11/06/pdfs/GGB-1820-131.pdf#page=3","Abrir facsímil")</f>
        <v>Abrir facsímil</v>
      </c>
      <c r="K3946" s="3" t="s">
        <v>23</v>
      </c>
    </row>
    <row r="3947" spans="1:11" ht="42" customHeight="1">
      <c r="A3947" s="2" t="s">
        <v>8002</v>
      </c>
      <c r="B3947" s="2" t="s">
        <v>8003</v>
      </c>
      <c r="C3947" s="2" t="s">
        <v>26</v>
      </c>
      <c r="D3947" s="2" t="s">
        <v>27</v>
      </c>
      <c r="E3947" s="5">
        <v>-28984</v>
      </c>
      <c r="F3947" s="3" t="s">
        <v>520</v>
      </c>
      <c r="G3947" s="3" t="s">
        <v>62</v>
      </c>
      <c r="H3947" s="2" t="s">
        <v>21</v>
      </c>
      <c r="I3947" s="2" t="s">
        <v>8004</v>
      </c>
      <c r="J3947" s="3" t="str">
        <f>HYPERLINK("https://www.boe.es/gazeta/dias/1820/08/22/pdfs/GGB-1820-55.pdf#page=3","Abrir facsímil")</f>
        <v>Abrir facsímil</v>
      </c>
      <c r="K3947" s="3" t="s">
        <v>23</v>
      </c>
    </row>
    <row r="3948" spans="1:11" ht="42" customHeight="1">
      <c r="A3948" s="2" t="s">
        <v>8005</v>
      </c>
      <c r="B3948" s="2" t="s">
        <v>8006</v>
      </c>
      <c r="C3948" s="2" t="s">
        <v>35</v>
      </c>
      <c r="D3948" s="2" t="s">
        <v>36</v>
      </c>
      <c r="E3948" s="5">
        <v>-29092</v>
      </c>
      <c r="F3948" s="3" t="s">
        <v>1261</v>
      </c>
      <c r="G3948" s="3" t="s">
        <v>295</v>
      </c>
      <c r="H3948" s="2" t="s">
        <v>21</v>
      </c>
      <c r="I3948" s="2" t="s">
        <v>8007</v>
      </c>
      <c r="J3948" s="3" t="str">
        <f>HYPERLINK("https://www.boe.es/gazeta/dias/1820/05/06/pdfs/GMD-1820-76.pdf#page=8","Abrir facsímil")</f>
        <v>Abrir facsímil</v>
      </c>
      <c r="K3948" s="3" t="s">
        <v>23</v>
      </c>
    </row>
    <row r="3949" spans="1:11" ht="42" customHeight="1">
      <c r="A3949" s="2" t="s">
        <v>8008</v>
      </c>
      <c r="B3949" s="2" t="s">
        <v>8008</v>
      </c>
      <c r="C3949" s="2" t="s">
        <v>35</v>
      </c>
      <c r="D3949" s="2" t="s">
        <v>36</v>
      </c>
      <c r="E3949" s="5">
        <v>-28981</v>
      </c>
      <c r="F3949" s="3" t="s">
        <v>42</v>
      </c>
      <c r="G3949" s="3" t="s">
        <v>20</v>
      </c>
      <c r="H3949" s="2" t="s">
        <v>21</v>
      </c>
      <c r="I3949" s="2" t="s">
        <v>8009</v>
      </c>
      <c r="J3949" s="3" t="str">
        <f>HYPERLINK("https://www.boe.es/gazeta/dias/1820/08/25/pdfs/GGB-1820-58.pdf#page=4","Abrir facsímil")</f>
        <v>Abrir facsímil</v>
      </c>
      <c r="K3949" s="3" t="s">
        <v>23</v>
      </c>
    </row>
    <row r="3950" spans="1:11" ht="42" customHeight="1">
      <c r="A3950" s="2" t="s">
        <v>8010</v>
      </c>
      <c r="B3950" s="2" t="s">
        <v>8010</v>
      </c>
      <c r="C3950" s="2" t="s">
        <v>74</v>
      </c>
      <c r="D3950" s="2" t="s">
        <v>18</v>
      </c>
      <c r="E3950" s="5">
        <v>-28917</v>
      </c>
      <c r="F3950" s="3" t="s">
        <v>19</v>
      </c>
      <c r="G3950" s="3" t="s">
        <v>128</v>
      </c>
      <c r="H3950" s="2" t="s">
        <v>21</v>
      </c>
      <c r="I3950" s="2" t="s">
        <v>8011</v>
      </c>
      <c r="J3950" s="3" t="str">
        <f>HYPERLINK("https://www.boe.es/gazeta/dias/1820/10/28/pdfs/GGB-1820-122.pdf#page=1","Abrir facsímil")</f>
        <v>Abrir facsímil</v>
      </c>
      <c r="K3950" s="3" t="s">
        <v>23</v>
      </c>
    </row>
    <row r="3951" spans="1:11" ht="42" customHeight="1">
      <c r="A3951" s="2" t="s">
        <v>8012</v>
      </c>
      <c r="B3951" s="2" t="s">
        <v>8013</v>
      </c>
      <c r="C3951" s="2" t="s">
        <v>17</v>
      </c>
      <c r="D3951" s="2" t="s">
        <v>18</v>
      </c>
      <c r="E3951" s="5">
        <v>-29166</v>
      </c>
      <c r="F3951" s="3" t="s">
        <v>799</v>
      </c>
      <c r="G3951" s="3" t="s">
        <v>20</v>
      </c>
      <c r="H3951" s="2" t="s">
        <v>21</v>
      </c>
      <c r="I3951" s="2" t="s">
        <v>8014</v>
      </c>
      <c r="J3951" s="3" t="str">
        <f>HYPERLINK("https://www.boe.es/gazeta/dias/1820/02/22/pdfs/GMD-1820-23.pdf#page=4","Abrir facsímil")</f>
        <v>Abrir facsímil</v>
      </c>
      <c r="K3951" s="3" t="s">
        <v>23</v>
      </c>
    </row>
    <row r="3952" spans="1:11" ht="42" customHeight="1">
      <c r="A3952" s="2" t="s">
        <v>8015</v>
      </c>
      <c r="B3952" s="2" t="s">
        <v>8015</v>
      </c>
      <c r="C3952" s="2" t="s">
        <v>26</v>
      </c>
      <c r="D3952" s="2" t="s">
        <v>27</v>
      </c>
      <c r="E3952" s="5">
        <v>-28930</v>
      </c>
      <c r="F3952" s="3" t="s">
        <v>372</v>
      </c>
      <c r="G3952" s="3" t="s">
        <v>128</v>
      </c>
      <c r="H3952" s="2" t="s">
        <v>21</v>
      </c>
      <c r="I3952" s="2" t="s">
        <v>8016</v>
      </c>
      <c r="J3952" s="3" t="str">
        <f>HYPERLINK("https://www.boe.es/gazeta/dias/1820/10/15/pdfs/GGB-1820-109.pdf#page=1","Abrir facsímil")</f>
        <v>Abrir facsímil</v>
      </c>
      <c r="K3952" s="3" t="s">
        <v>23</v>
      </c>
    </row>
    <row r="3953" spans="1:11" ht="42" customHeight="1">
      <c r="A3953" s="2" t="s">
        <v>8017</v>
      </c>
      <c r="B3953" s="2" t="s">
        <v>8017</v>
      </c>
      <c r="C3953" s="2" t="s">
        <v>26</v>
      </c>
      <c r="D3953" s="2" t="s">
        <v>27</v>
      </c>
      <c r="E3953" s="5">
        <v>-28891</v>
      </c>
      <c r="F3953" s="3" t="s">
        <v>965</v>
      </c>
      <c r="G3953" s="3" t="s">
        <v>128</v>
      </c>
      <c r="H3953" s="2" t="s">
        <v>21</v>
      </c>
      <c r="I3953" s="2" t="s">
        <v>8018</v>
      </c>
      <c r="J3953" s="3" t="str">
        <f>HYPERLINK("https://www.boe.es/gazeta/dias/1820/11/23/pdfs/GGB-1820-150.pdf#page=1","Abrir facsímil")</f>
        <v>Abrir facsímil</v>
      </c>
      <c r="K3953" s="3" t="s">
        <v>23</v>
      </c>
    </row>
    <row r="3954" spans="1:11" ht="42" customHeight="1">
      <c r="A3954" s="2" t="s">
        <v>8019</v>
      </c>
      <c r="B3954" s="2" t="s">
        <v>8020</v>
      </c>
      <c r="C3954" s="2" t="s">
        <v>26</v>
      </c>
      <c r="D3954" s="2" t="s">
        <v>27</v>
      </c>
      <c r="E3954" s="5">
        <v>-28866</v>
      </c>
      <c r="F3954" s="3" t="s">
        <v>507</v>
      </c>
      <c r="G3954" s="3" t="s">
        <v>43</v>
      </c>
      <c r="H3954" s="2" t="s">
        <v>21</v>
      </c>
      <c r="I3954" s="2" t="s">
        <v>8021</v>
      </c>
      <c r="J3954" s="3" t="str">
        <f>HYPERLINK("https://www.boe.es/gazeta/dias/1820/12/18/pdfs/GGB-1820-175.pdf#page=2","Abrir facsímil")</f>
        <v>Abrir facsímil</v>
      </c>
      <c r="K3954" s="3" t="s">
        <v>23</v>
      </c>
    </row>
    <row r="3955" spans="1:11" ht="42" customHeight="1">
      <c r="A3955" s="2" t="s">
        <v>8022</v>
      </c>
      <c r="B3955" s="2" t="s">
        <v>8023</v>
      </c>
      <c r="C3955" s="2" t="s">
        <v>35</v>
      </c>
      <c r="D3955" s="2" t="s">
        <v>36</v>
      </c>
      <c r="E3955" s="5">
        <v>-29199</v>
      </c>
      <c r="F3955" s="3" t="s">
        <v>1178</v>
      </c>
      <c r="G3955" s="3" t="s">
        <v>201</v>
      </c>
      <c r="H3955" s="2" t="s">
        <v>21</v>
      </c>
      <c r="I3955" s="2" t="s">
        <v>8024</v>
      </c>
      <c r="J3955" s="3" t="str">
        <f>HYPERLINK("https://www.boe.es/gazeta/dias/1820/01/20/pdfs/GMD-1820-9.pdf#page=7","Abrir facsímil")</f>
        <v>Abrir facsímil</v>
      </c>
      <c r="K3955" s="3" t="s">
        <v>23</v>
      </c>
    </row>
    <row r="3956" spans="1:11" ht="42" customHeight="1">
      <c r="A3956" s="2" t="s">
        <v>8025</v>
      </c>
      <c r="B3956" s="2" t="s">
        <v>8026</v>
      </c>
      <c r="C3956" s="2" t="s">
        <v>26</v>
      </c>
      <c r="D3956" s="2" t="s">
        <v>27</v>
      </c>
      <c r="E3956" s="5">
        <v>-28939</v>
      </c>
      <c r="F3956" s="3" t="s">
        <v>992</v>
      </c>
      <c r="G3956" s="3" t="s">
        <v>62</v>
      </c>
      <c r="H3956" s="2" t="s">
        <v>21</v>
      </c>
      <c r="I3956" s="2" t="s">
        <v>8027</v>
      </c>
      <c r="J3956" s="3" t="str">
        <f>HYPERLINK("https://www.boe.es/gazeta/dias/1820/10/06/pdfs/GGB-1820-100.pdf#page=3","Abrir facsímil")</f>
        <v>Abrir facsímil</v>
      </c>
      <c r="K3956" s="3" t="s">
        <v>23</v>
      </c>
    </row>
    <row r="3957" spans="1:11" ht="42" customHeight="1">
      <c r="A3957" s="2" t="s">
        <v>8028</v>
      </c>
      <c r="B3957" s="2" t="s">
        <v>8028</v>
      </c>
      <c r="C3957" s="2" t="s">
        <v>74</v>
      </c>
      <c r="D3957" s="2" t="s">
        <v>18</v>
      </c>
      <c r="E3957" s="5">
        <v>-29013</v>
      </c>
      <c r="F3957" s="3" t="s">
        <v>52</v>
      </c>
      <c r="G3957" s="3" t="s">
        <v>53</v>
      </c>
      <c r="H3957" s="2" t="s">
        <v>21</v>
      </c>
      <c r="I3957" s="2" t="s">
        <v>8029</v>
      </c>
      <c r="J3957" s="3" t="str">
        <f>HYPERLINK("https://www.boe.es/gazeta/dias/1820/07/24/pdfs/GGB-1820-26.pdf#page=3","Abrir facsímil")</f>
        <v>Abrir facsímil</v>
      </c>
      <c r="K3957" s="3" t="s">
        <v>23</v>
      </c>
    </row>
    <row r="3958" spans="1:11" ht="42" customHeight="1">
      <c r="A3958" s="2" t="s">
        <v>8028</v>
      </c>
      <c r="B3958" s="2" t="s">
        <v>8028</v>
      </c>
      <c r="C3958" s="2" t="s">
        <v>26</v>
      </c>
      <c r="D3958" s="2" t="s">
        <v>27</v>
      </c>
      <c r="E3958" s="5">
        <v>-28986</v>
      </c>
      <c r="F3958" s="3" t="s">
        <v>488</v>
      </c>
      <c r="G3958" s="3" t="s">
        <v>128</v>
      </c>
      <c r="H3958" s="2" t="s">
        <v>21</v>
      </c>
      <c r="I3958" s="2" t="s">
        <v>8030</v>
      </c>
      <c r="J3958" s="3" t="str">
        <f>HYPERLINK("https://www.boe.es/gazeta/dias/1820/08/20/pdfs/GGB-1820-53.pdf#page=1","Abrir facsímil")</f>
        <v>Abrir facsímil</v>
      </c>
      <c r="K3958" s="3" t="s">
        <v>23</v>
      </c>
    </row>
    <row r="3959" spans="1:11" ht="42" customHeight="1">
      <c r="A3959" s="2" t="s">
        <v>8028</v>
      </c>
      <c r="B3959" s="2" t="s">
        <v>8028</v>
      </c>
      <c r="C3959" s="2" t="s">
        <v>26</v>
      </c>
      <c r="D3959" s="2" t="s">
        <v>27</v>
      </c>
      <c r="E3959" s="5">
        <v>-28928</v>
      </c>
      <c r="F3959" s="3" t="s">
        <v>86</v>
      </c>
      <c r="G3959" s="3" t="s">
        <v>43</v>
      </c>
      <c r="H3959" s="2" t="s">
        <v>21</v>
      </c>
      <c r="I3959" s="2" t="s">
        <v>8031</v>
      </c>
      <c r="J3959" s="3" t="str">
        <f>HYPERLINK("https://www.boe.es/gazeta/dias/1820/10/17/pdfs/GGB-1820-111.pdf#page=2","Abrir facsímil")</f>
        <v>Abrir facsímil</v>
      </c>
      <c r="K3959" s="3" t="s">
        <v>23</v>
      </c>
    </row>
    <row r="3960" spans="1:11" ht="42" customHeight="1">
      <c r="A3960" s="2" t="s">
        <v>8028</v>
      </c>
      <c r="B3960" s="2" t="s">
        <v>8028</v>
      </c>
      <c r="C3960" s="2" t="s">
        <v>17</v>
      </c>
      <c r="D3960" s="2" t="s">
        <v>18</v>
      </c>
      <c r="E3960" s="5">
        <v>-28915</v>
      </c>
      <c r="F3960" s="3" t="s">
        <v>525</v>
      </c>
      <c r="G3960" s="3" t="s">
        <v>43</v>
      </c>
      <c r="H3960" s="2" t="s">
        <v>21</v>
      </c>
      <c r="I3960" s="2" t="s">
        <v>8032</v>
      </c>
      <c r="J3960" s="3" t="str">
        <f>HYPERLINK("https://www.boe.es/gazeta/dias/1820/10/30/pdfs/GGB-1820-124.pdf#page=2","Abrir facsímil")</f>
        <v>Abrir facsímil</v>
      </c>
      <c r="K3960" s="3" t="s">
        <v>23</v>
      </c>
    </row>
    <row r="3961" spans="1:11" ht="42" customHeight="1">
      <c r="A3961" s="2" t="s">
        <v>8028</v>
      </c>
      <c r="B3961" s="2" t="s">
        <v>8028</v>
      </c>
      <c r="C3961" s="2" t="s">
        <v>17</v>
      </c>
      <c r="D3961" s="2" t="s">
        <v>18</v>
      </c>
      <c r="E3961" s="5">
        <v>-28909</v>
      </c>
      <c r="F3961" s="3" t="s">
        <v>278</v>
      </c>
      <c r="G3961" s="3" t="s">
        <v>43</v>
      </c>
      <c r="H3961" s="2" t="s">
        <v>21</v>
      </c>
      <c r="I3961" s="2" t="s">
        <v>8033</v>
      </c>
      <c r="J3961" s="3" t="str">
        <f>HYPERLINK("https://www.boe.es/gazeta/dias/1820/11/05/pdfs/GGB-1820-130.pdf#page=2","Abrir facsímil")</f>
        <v>Abrir facsímil</v>
      </c>
      <c r="K3961" s="3" t="s">
        <v>23</v>
      </c>
    </row>
    <row r="3962" spans="1:11" ht="42" customHeight="1">
      <c r="A3962" s="2" t="s">
        <v>8034</v>
      </c>
      <c r="B3962" s="2" t="s">
        <v>8035</v>
      </c>
      <c r="C3962" s="2" t="s">
        <v>35</v>
      </c>
      <c r="D3962" s="2" t="s">
        <v>36</v>
      </c>
      <c r="E3962" s="5">
        <v>-29023</v>
      </c>
      <c r="F3962" s="3" t="s">
        <v>1662</v>
      </c>
      <c r="G3962" s="3" t="s">
        <v>1663</v>
      </c>
      <c r="H3962" s="2" t="s">
        <v>21</v>
      </c>
      <c r="I3962" s="2" t="s">
        <v>8036</v>
      </c>
      <c r="J3962" s="3" t="str">
        <f>HYPERLINK("https://www.boe.es/gazeta/dias/1820/07/14/pdfs/GGB-1820-16.pdf#page=3","Abrir facsímil")</f>
        <v>Abrir facsímil</v>
      </c>
      <c r="K3962" s="3" t="s">
        <v>23</v>
      </c>
    </row>
    <row r="3963" spans="1:11" ht="42" customHeight="1">
      <c r="A3963" s="2" t="s">
        <v>8034</v>
      </c>
      <c r="B3963" s="2" t="s">
        <v>8035</v>
      </c>
      <c r="C3963" s="2" t="s">
        <v>74</v>
      </c>
      <c r="D3963" s="2" t="s">
        <v>18</v>
      </c>
      <c r="E3963" s="5">
        <v>-28959</v>
      </c>
      <c r="F3963" s="3" t="s">
        <v>37</v>
      </c>
      <c r="G3963" s="3" t="s">
        <v>43</v>
      </c>
      <c r="H3963" s="2" t="s">
        <v>21</v>
      </c>
      <c r="I3963" s="2" t="s">
        <v>8037</v>
      </c>
      <c r="J3963" s="3" t="str">
        <f>HYPERLINK("https://www.boe.es/gazeta/dias/1820/09/16/pdfs/GGB-1820-80.pdf#page=2","Abrir facsímil")</f>
        <v>Abrir facsímil</v>
      </c>
      <c r="K3963" s="3" t="s">
        <v>23</v>
      </c>
    </row>
    <row r="3964" spans="1:11" ht="42" customHeight="1">
      <c r="A3964" s="2" t="s">
        <v>8038</v>
      </c>
      <c r="B3964" s="2" t="s">
        <v>8039</v>
      </c>
      <c r="C3964" s="2" t="s">
        <v>74</v>
      </c>
      <c r="D3964" s="2" t="s">
        <v>18</v>
      </c>
      <c r="E3964" s="5">
        <v>-28909</v>
      </c>
      <c r="F3964" s="3" t="s">
        <v>278</v>
      </c>
      <c r="G3964" s="3" t="s">
        <v>43</v>
      </c>
      <c r="H3964" s="2" t="s">
        <v>21</v>
      </c>
      <c r="I3964" s="2" t="s">
        <v>8040</v>
      </c>
      <c r="J3964" s="3" t="str">
        <f>HYPERLINK("https://www.boe.es/gazeta/dias/1820/11/05/pdfs/GGB-1820-130.pdf#page=2","Abrir facsímil")</f>
        <v>Abrir facsímil</v>
      </c>
      <c r="K3964" s="3" t="s">
        <v>23</v>
      </c>
    </row>
    <row r="3965" spans="1:11" ht="42" customHeight="1">
      <c r="A3965" s="2" t="s">
        <v>8041</v>
      </c>
      <c r="B3965" s="2" t="s">
        <v>8042</v>
      </c>
      <c r="C3965" s="2" t="s">
        <v>17</v>
      </c>
      <c r="D3965" s="2" t="s">
        <v>18</v>
      </c>
      <c r="E3965" s="5">
        <v>-28950</v>
      </c>
      <c r="F3965" s="3" t="s">
        <v>1052</v>
      </c>
      <c r="G3965" s="3" t="s">
        <v>20</v>
      </c>
      <c r="H3965" s="2" t="s">
        <v>21</v>
      </c>
      <c r="I3965" s="2" t="s">
        <v>8043</v>
      </c>
      <c r="J3965" s="3" t="str">
        <f>HYPERLINK("https://www.boe.es/gazeta/dias/1820/09/25/pdfs/GGB-1820-89.pdf#page=4","Abrir facsímil")</f>
        <v>Abrir facsímil</v>
      </c>
      <c r="K3965" s="3" t="s">
        <v>23</v>
      </c>
    </row>
    <row r="3966" spans="1:11" ht="42" customHeight="1">
      <c r="A3966" s="2" t="s">
        <v>8044</v>
      </c>
      <c r="B3966" s="2" t="s">
        <v>8044</v>
      </c>
      <c r="C3966" s="2" t="s">
        <v>35</v>
      </c>
      <c r="D3966" s="2" t="s">
        <v>36</v>
      </c>
      <c r="E3966" s="5">
        <v>-29089</v>
      </c>
      <c r="F3966" s="3" t="s">
        <v>2128</v>
      </c>
      <c r="G3966" s="3" t="s">
        <v>256</v>
      </c>
      <c r="H3966" s="2" t="s">
        <v>21</v>
      </c>
      <c r="I3966" s="2" t="s">
        <v>8045</v>
      </c>
      <c r="J3966" s="3" t="str">
        <f>HYPERLINK("https://www.boe.es/gazeta/dias/1820/05/09/pdfs/GMD-1820-77.pdf#page=5","Abrir facsímil")</f>
        <v>Abrir facsímil</v>
      </c>
      <c r="K3966" s="3" t="s">
        <v>23</v>
      </c>
    </row>
    <row r="3967" spans="1:11" ht="42" customHeight="1">
      <c r="A3967" s="2" t="s">
        <v>8046</v>
      </c>
      <c r="B3967" s="2" t="s">
        <v>8047</v>
      </c>
      <c r="C3967" s="2" t="s">
        <v>17</v>
      </c>
      <c r="D3967" s="2" t="s">
        <v>18</v>
      </c>
      <c r="E3967" s="5">
        <v>-29019</v>
      </c>
      <c r="F3967" s="3" t="s">
        <v>655</v>
      </c>
      <c r="G3967" s="3" t="s">
        <v>945</v>
      </c>
      <c r="H3967" s="2" t="s">
        <v>21</v>
      </c>
      <c r="I3967" s="2" t="s">
        <v>8048</v>
      </c>
      <c r="J3967" s="3" t="str">
        <f>HYPERLINK("https://www.boe.es/gazeta/dias/1820/07/18/pdfs/GGB-1820-20.pdf#page=2","Abrir facsímil")</f>
        <v>Abrir facsímil</v>
      </c>
      <c r="K3967" s="3" t="s">
        <v>23</v>
      </c>
    </row>
    <row r="3968" spans="1:11" ht="42" customHeight="1">
      <c r="A3968" s="2" t="s">
        <v>8049</v>
      </c>
      <c r="B3968" s="2" t="s">
        <v>8050</v>
      </c>
      <c r="C3968" s="2" t="s">
        <v>74</v>
      </c>
      <c r="D3968" s="2" t="s">
        <v>18</v>
      </c>
      <c r="E3968" s="5">
        <v>-29026</v>
      </c>
      <c r="F3968" s="3" t="s">
        <v>1197</v>
      </c>
      <c r="G3968" s="3" t="s">
        <v>62</v>
      </c>
      <c r="H3968" s="2" t="s">
        <v>21</v>
      </c>
      <c r="I3968" s="2" t="s">
        <v>8051</v>
      </c>
      <c r="J3968" s="3" t="str">
        <f>HYPERLINK("https://www.boe.es/gazeta/dias/1820/07/11/pdfs/GGB-1820-13.pdf#page=3","Abrir facsímil")</f>
        <v>Abrir facsímil</v>
      </c>
      <c r="K3968" s="3" t="s">
        <v>23</v>
      </c>
    </row>
    <row r="3969" spans="1:11" ht="42" customHeight="1">
      <c r="A3969" s="2" t="s">
        <v>8049</v>
      </c>
      <c r="B3969" s="2" t="s">
        <v>8050</v>
      </c>
      <c r="C3969" s="2" t="s">
        <v>35</v>
      </c>
      <c r="D3969" s="2" t="s">
        <v>36</v>
      </c>
      <c r="E3969" s="5">
        <v>-29023</v>
      </c>
      <c r="F3969" s="3" t="s">
        <v>1662</v>
      </c>
      <c r="G3969" s="3" t="s">
        <v>3662</v>
      </c>
      <c r="H3969" s="2" t="s">
        <v>21</v>
      </c>
      <c r="I3969" s="2" t="s">
        <v>8052</v>
      </c>
      <c r="J3969" s="3" t="str">
        <f>HYPERLINK("https://www.boe.es/gazeta/dias/1820/07/14/pdfs/GGB-1820-16.pdf#page=2","Abrir facsímil")</f>
        <v>Abrir facsímil</v>
      </c>
      <c r="K3969" s="3" t="s">
        <v>23</v>
      </c>
    </row>
    <row r="3970" spans="1:11" ht="42" customHeight="1">
      <c r="A3970" s="2" t="s">
        <v>8049</v>
      </c>
      <c r="B3970" s="2" t="s">
        <v>8050</v>
      </c>
      <c r="C3970" s="2" t="s">
        <v>26</v>
      </c>
      <c r="D3970" s="2" t="s">
        <v>27</v>
      </c>
      <c r="E3970" s="5">
        <v>-29009</v>
      </c>
      <c r="F3970" s="3" t="s">
        <v>605</v>
      </c>
      <c r="G3970" s="3" t="s">
        <v>20</v>
      </c>
      <c r="H3970" s="2" t="s">
        <v>21</v>
      </c>
      <c r="I3970" s="2" t="s">
        <v>8053</v>
      </c>
      <c r="J3970" s="3" t="str">
        <f>HYPERLINK("https://www.boe.es/gazeta/dias/1820/07/28/pdfs/GGB-1820-30.pdf#page=4","Abrir facsímil")</f>
        <v>Abrir facsímil</v>
      </c>
      <c r="K3970" s="3" t="s">
        <v>23</v>
      </c>
    </row>
    <row r="3971" spans="1:11" ht="42" customHeight="1">
      <c r="A3971" s="2" t="s">
        <v>8054</v>
      </c>
      <c r="B3971" s="2" t="s">
        <v>8054</v>
      </c>
      <c r="C3971" s="2" t="s">
        <v>26</v>
      </c>
      <c r="D3971" s="2" t="s">
        <v>27</v>
      </c>
      <c r="E3971" s="5">
        <v>-29129</v>
      </c>
      <c r="F3971" s="3" t="s">
        <v>269</v>
      </c>
      <c r="G3971" s="3" t="s">
        <v>270</v>
      </c>
      <c r="H3971" s="2" t="s">
        <v>21</v>
      </c>
      <c r="I3971" s="2" t="s">
        <v>8055</v>
      </c>
      <c r="J3971" s="3" t="str">
        <f>HYPERLINK("https://www.boe.es/gazeta/dias/1820/03/30/pdfs/GMD-1820-58.pdf#page=9","Abrir facsímil")</f>
        <v>Abrir facsímil</v>
      </c>
      <c r="K3971" s="3" t="s">
        <v>23</v>
      </c>
    </row>
    <row r="3972" spans="1:11" ht="42" customHeight="1">
      <c r="A3972" s="2" t="s">
        <v>8056</v>
      </c>
      <c r="B3972" s="2" t="s">
        <v>8057</v>
      </c>
      <c r="C3972" s="2" t="s">
        <v>111</v>
      </c>
      <c r="D3972" s="2" t="s">
        <v>18</v>
      </c>
      <c r="E3972" s="5">
        <v>-28957</v>
      </c>
      <c r="F3972" s="3" t="s">
        <v>361</v>
      </c>
      <c r="G3972" s="3" t="s">
        <v>62</v>
      </c>
      <c r="H3972" s="2" t="s">
        <v>21</v>
      </c>
      <c r="I3972" s="2" t="s">
        <v>8058</v>
      </c>
      <c r="J3972" s="3" t="str">
        <f>HYPERLINK("https://www.boe.es/gazeta/dias/1820/09/18/pdfs/GGB-1820-82.pdf#page=3","Abrir facsímil")</f>
        <v>Abrir facsímil</v>
      </c>
      <c r="K3972" s="3" t="s">
        <v>23</v>
      </c>
    </row>
    <row r="3973" spans="1:11" ht="42" customHeight="1">
      <c r="A3973" s="2" t="s">
        <v>8059</v>
      </c>
      <c r="B3973" s="2" t="s">
        <v>8059</v>
      </c>
      <c r="C3973" s="2" t="s">
        <v>26</v>
      </c>
      <c r="D3973" s="2" t="s">
        <v>27</v>
      </c>
      <c r="E3973" s="5">
        <v>-28928</v>
      </c>
      <c r="F3973" s="3" t="s">
        <v>86</v>
      </c>
      <c r="G3973" s="3" t="s">
        <v>20</v>
      </c>
      <c r="H3973" s="2" t="s">
        <v>21</v>
      </c>
      <c r="I3973" s="2" t="s">
        <v>8060</v>
      </c>
      <c r="J3973" s="3" t="str">
        <f>HYPERLINK("https://www.boe.es/gazeta/dias/1820/10/17/pdfs/GGB-1820-111.pdf#page=4","Abrir facsímil")</f>
        <v>Abrir facsímil</v>
      </c>
      <c r="K3973" s="3" t="s">
        <v>23</v>
      </c>
    </row>
    <row r="3974" spans="1:11" ht="42" customHeight="1">
      <c r="A3974" s="2" t="s">
        <v>8061</v>
      </c>
      <c r="B3974" s="2" t="s">
        <v>8062</v>
      </c>
      <c r="C3974" s="2" t="s">
        <v>74</v>
      </c>
      <c r="D3974" s="2" t="s">
        <v>18</v>
      </c>
      <c r="E3974" s="5">
        <v>-28938</v>
      </c>
      <c r="F3974" s="3" t="s">
        <v>716</v>
      </c>
      <c r="G3974" s="3" t="s">
        <v>62</v>
      </c>
      <c r="H3974" s="2" t="s">
        <v>21</v>
      </c>
      <c r="I3974" s="2" t="s">
        <v>8063</v>
      </c>
      <c r="J3974" s="3" t="str">
        <f>HYPERLINK("https://www.boe.es/gazeta/dias/1820/10/07/pdfs/GGB-1820-101.pdf#page=3","Abrir facsímil")</f>
        <v>Abrir facsímil</v>
      </c>
      <c r="K3974" s="3" t="s">
        <v>23</v>
      </c>
    </row>
    <row r="3975" spans="1:11" ht="42" customHeight="1">
      <c r="A3975" s="2" t="s">
        <v>8064</v>
      </c>
      <c r="B3975" s="2" t="s">
        <v>8065</v>
      </c>
      <c r="C3975" s="2" t="s">
        <v>26</v>
      </c>
      <c r="D3975" s="2" t="s">
        <v>27</v>
      </c>
      <c r="E3975" s="5">
        <v>-28928</v>
      </c>
      <c r="F3975" s="3" t="s">
        <v>86</v>
      </c>
      <c r="G3975" s="3" t="s">
        <v>20</v>
      </c>
      <c r="H3975" s="2" t="s">
        <v>21</v>
      </c>
      <c r="I3975" s="2" t="s">
        <v>8066</v>
      </c>
      <c r="J3975" s="3" t="str">
        <f>HYPERLINK("https://www.boe.es/gazeta/dias/1820/10/17/pdfs/GGB-1820-111.pdf#page=4","Abrir facsímil")</f>
        <v>Abrir facsímil</v>
      </c>
      <c r="K3975" s="3" t="s">
        <v>23</v>
      </c>
    </row>
    <row r="3976" spans="1:11" ht="42" customHeight="1">
      <c r="A3976" s="2" t="s">
        <v>8067</v>
      </c>
      <c r="B3976" s="2" t="s">
        <v>8067</v>
      </c>
      <c r="C3976" s="2" t="s">
        <v>111</v>
      </c>
      <c r="D3976" s="2" t="s">
        <v>18</v>
      </c>
      <c r="E3976" s="5">
        <v>-28916</v>
      </c>
      <c r="F3976" s="3" t="s">
        <v>2688</v>
      </c>
      <c r="G3976" s="3" t="s">
        <v>128</v>
      </c>
      <c r="H3976" s="2" t="s">
        <v>21</v>
      </c>
      <c r="I3976" s="2" t="s">
        <v>8068</v>
      </c>
      <c r="J3976" s="3" t="str">
        <f>HYPERLINK("https://www.boe.es/gazeta/dias/1820/10/29/pdfs/GGB-1820-123.pdf#page=1","Abrir facsímil")</f>
        <v>Abrir facsímil</v>
      </c>
      <c r="K3976" s="3" t="s">
        <v>23</v>
      </c>
    </row>
    <row r="3977" spans="1:11" ht="42" customHeight="1">
      <c r="A3977" s="2" t="s">
        <v>8069</v>
      </c>
      <c r="B3977" s="2" t="s">
        <v>8069</v>
      </c>
      <c r="C3977" s="2" t="s">
        <v>26</v>
      </c>
      <c r="D3977" s="2" t="s">
        <v>27</v>
      </c>
      <c r="E3977" s="5">
        <v>-28905</v>
      </c>
      <c r="F3977" s="3" t="s">
        <v>749</v>
      </c>
      <c r="G3977" s="3" t="s">
        <v>43</v>
      </c>
      <c r="H3977" s="2" t="s">
        <v>21</v>
      </c>
      <c r="I3977" s="2" t="s">
        <v>8070</v>
      </c>
      <c r="J3977" s="3" t="str">
        <f>HYPERLINK("https://www.boe.es/gazeta/dias/1820/11/09/pdfs/GGB-1820-134.pdf#page=2","Abrir facsímil")</f>
        <v>Abrir facsímil</v>
      </c>
      <c r="K3977" s="3" t="s">
        <v>23</v>
      </c>
    </row>
    <row r="3978" spans="1:11" ht="42" customHeight="1">
      <c r="A3978" s="2" t="s">
        <v>8071</v>
      </c>
      <c r="B3978" s="2" t="s">
        <v>8072</v>
      </c>
      <c r="C3978" s="2" t="s">
        <v>17</v>
      </c>
      <c r="D3978" s="2" t="s">
        <v>18</v>
      </c>
      <c r="E3978" s="5">
        <v>-29078</v>
      </c>
      <c r="F3978" s="3" t="s">
        <v>260</v>
      </c>
      <c r="G3978" s="3" t="s">
        <v>553</v>
      </c>
      <c r="H3978" s="2" t="s">
        <v>21</v>
      </c>
      <c r="I3978" s="2" t="s">
        <v>8073</v>
      </c>
      <c r="J3978" s="3" t="str">
        <f>HYPERLINK("https://www.boe.es/gazeta/dias/1820/05/20/pdfs/GMD-1820-83.pdf#page=10","Abrir facsímil")</f>
        <v>Abrir facsímil</v>
      </c>
      <c r="K3978" s="3" t="s">
        <v>23</v>
      </c>
    </row>
    <row r="3979" spans="1:11" ht="42" customHeight="1">
      <c r="A3979" s="2" t="s">
        <v>8074</v>
      </c>
      <c r="B3979" s="2" t="s">
        <v>8075</v>
      </c>
      <c r="C3979" s="2" t="s">
        <v>35</v>
      </c>
      <c r="D3979" s="2" t="s">
        <v>310</v>
      </c>
      <c r="E3979" s="5">
        <v>-29140</v>
      </c>
      <c r="F3979" s="3" t="s">
        <v>533</v>
      </c>
      <c r="G3979" s="3" t="s">
        <v>128</v>
      </c>
      <c r="H3979" s="2" t="s">
        <v>21</v>
      </c>
      <c r="I3979" s="2" t="s">
        <v>8076</v>
      </c>
      <c r="J3979" s="3" t="str">
        <f>HYPERLINK("https://www.boe.es/gazeta/dias/1820/03/19/pdfs/GMD-1820-45E.pdf#page=1","Abrir facsímil")</f>
        <v>Abrir facsímil</v>
      </c>
      <c r="K3979" s="3" t="s">
        <v>23</v>
      </c>
    </row>
    <row r="3980" spans="1:11" ht="42" customHeight="1">
      <c r="A3980" s="2" t="s">
        <v>8077</v>
      </c>
      <c r="B3980" s="2" t="s">
        <v>8078</v>
      </c>
      <c r="C3980" s="2" t="s">
        <v>35</v>
      </c>
      <c r="D3980" s="2" t="s">
        <v>36</v>
      </c>
      <c r="E3980" s="5">
        <v>-28938</v>
      </c>
      <c r="F3980" s="3" t="s">
        <v>716</v>
      </c>
      <c r="G3980" s="3" t="s">
        <v>62</v>
      </c>
      <c r="H3980" s="2" t="s">
        <v>21</v>
      </c>
      <c r="I3980" s="2" t="s">
        <v>8079</v>
      </c>
      <c r="J3980" s="3" t="str">
        <f>HYPERLINK("https://www.boe.es/gazeta/dias/1820/10/07/pdfs/GGB-1820-101.pdf#page=3","Abrir facsímil")</f>
        <v>Abrir facsímil</v>
      </c>
      <c r="K3980" s="3" t="s">
        <v>23</v>
      </c>
    </row>
    <row r="3981" spans="1:11" ht="42" customHeight="1">
      <c r="A3981" s="2" t="s">
        <v>8080</v>
      </c>
      <c r="B3981" s="2" t="s">
        <v>8081</v>
      </c>
      <c r="C3981" s="2" t="s">
        <v>47</v>
      </c>
      <c r="D3981" s="2" t="s">
        <v>18</v>
      </c>
      <c r="E3981" s="5">
        <v>-29197</v>
      </c>
      <c r="F3981" s="3" t="s">
        <v>48</v>
      </c>
      <c r="G3981" s="3" t="s">
        <v>38</v>
      </c>
      <c r="H3981" s="2" t="s">
        <v>30</v>
      </c>
      <c r="I3981" s="2" t="s">
        <v>8082</v>
      </c>
      <c r="J3981" s="3" t="str">
        <f>HYPERLINK("https://www.boe.es/gazeta/dias/1820/01/22/pdfs/GMD-1820-10.pdf#page=6","Abrir facsímil")</f>
        <v>Abrir facsímil</v>
      </c>
      <c r="K3981" s="3" t="s">
        <v>32</v>
      </c>
    </row>
    <row r="3982" spans="1:11" ht="42" customHeight="1">
      <c r="A3982" s="2" t="s">
        <v>8083</v>
      </c>
      <c r="B3982" s="2" t="s">
        <v>8084</v>
      </c>
      <c r="C3982" s="2" t="s">
        <v>17</v>
      </c>
      <c r="D3982" s="2" t="s">
        <v>18</v>
      </c>
      <c r="E3982" s="5">
        <v>-28931</v>
      </c>
      <c r="F3982" s="3" t="s">
        <v>724</v>
      </c>
      <c r="G3982" s="3" t="s">
        <v>20</v>
      </c>
      <c r="H3982" s="2" t="s">
        <v>30</v>
      </c>
      <c r="I3982" s="2" t="s">
        <v>8085</v>
      </c>
      <c r="J3982" s="3" t="str">
        <f>HYPERLINK("https://www.boe.es/gazeta/dias/1820/10/14/pdfs/GGB-1820-108.pdf#page=4","Abrir facsímil")</f>
        <v>Abrir facsímil</v>
      </c>
      <c r="K3982" s="3" t="s">
        <v>32</v>
      </c>
    </row>
    <row r="3983" spans="1:11" ht="42" customHeight="1">
      <c r="A3983" s="2" t="s">
        <v>8086</v>
      </c>
      <c r="B3983" s="2" t="s">
        <v>8087</v>
      </c>
      <c r="C3983" s="2" t="s">
        <v>17</v>
      </c>
      <c r="D3983" s="2" t="s">
        <v>18</v>
      </c>
      <c r="E3983" s="5">
        <v>-29215</v>
      </c>
      <c r="F3983" s="3" t="s">
        <v>827</v>
      </c>
      <c r="G3983" s="3" t="s">
        <v>461</v>
      </c>
      <c r="H3983" s="2" t="s">
        <v>30</v>
      </c>
      <c r="I3983" s="2" t="s">
        <v>8088</v>
      </c>
      <c r="J3983" s="3" t="str">
        <f>HYPERLINK("https://www.boe.es/gazeta/dias/1820/01/04/pdfs/GMD-1820-2.pdf#page=6","Abrir facsímil")</f>
        <v>Abrir facsímil</v>
      </c>
      <c r="K3983" s="3" t="s">
        <v>32</v>
      </c>
    </row>
    <row r="3984" spans="1:11" ht="42" customHeight="1">
      <c r="A3984" s="2" t="s">
        <v>8086</v>
      </c>
      <c r="B3984" s="2" t="s">
        <v>8087</v>
      </c>
      <c r="C3984" s="2" t="s">
        <v>47</v>
      </c>
      <c r="D3984" s="2" t="s">
        <v>18</v>
      </c>
      <c r="E3984" s="5">
        <v>-29197</v>
      </c>
      <c r="F3984" s="3" t="s">
        <v>48</v>
      </c>
      <c r="G3984" s="3" t="s">
        <v>201</v>
      </c>
      <c r="H3984" s="2" t="s">
        <v>30</v>
      </c>
      <c r="I3984" s="2" t="s">
        <v>8089</v>
      </c>
      <c r="J3984" s="3" t="str">
        <f>HYPERLINK("https://www.boe.es/gazeta/dias/1820/01/22/pdfs/GMD-1820-10.pdf#page=7","Abrir facsímil")</f>
        <v>Abrir facsímil</v>
      </c>
      <c r="K3984" s="3" t="s">
        <v>32</v>
      </c>
    </row>
    <row r="3985" spans="1:11" ht="42" customHeight="1">
      <c r="A3985" s="2" t="s">
        <v>8090</v>
      </c>
      <c r="B3985" s="2" t="s">
        <v>8091</v>
      </c>
      <c r="C3985" s="2" t="s">
        <v>26</v>
      </c>
      <c r="D3985" s="2" t="s">
        <v>27</v>
      </c>
      <c r="E3985" s="5">
        <v>-28949</v>
      </c>
      <c r="F3985" s="3" t="s">
        <v>178</v>
      </c>
      <c r="G3985" s="3" t="s">
        <v>43</v>
      </c>
      <c r="H3985" s="2" t="s">
        <v>30</v>
      </c>
      <c r="I3985" s="2" t="s">
        <v>8092</v>
      </c>
      <c r="J3985" s="3" t="str">
        <f>HYPERLINK("https://www.boe.es/gazeta/dias/1820/09/26/pdfs/GGB-1820-90.pdf#page=2","Abrir facsímil")</f>
        <v>Abrir facsímil</v>
      </c>
      <c r="K3985" s="3" t="s">
        <v>32</v>
      </c>
    </row>
    <row r="3986" spans="1:11" ht="42" customHeight="1">
      <c r="A3986" s="2" t="s">
        <v>8093</v>
      </c>
      <c r="B3986" s="2" t="s">
        <v>8094</v>
      </c>
      <c r="C3986" s="2" t="s">
        <v>111</v>
      </c>
      <c r="D3986" s="2" t="s">
        <v>18</v>
      </c>
      <c r="E3986" s="5">
        <v>-29010</v>
      </c>
      <c r="F3986" s="3" t="s">
        <v>664</v>
      </c>
      <c r="G3986" s="3" t="s">
        <v>773</v>
      </c>
      <c r="H3986" s="2" t="s">
        <v>30</v>
      </c>
      <c r="I3986" s="2" t="s">
        <v>8095</v>
      </c>
      <c r="J3986" s="3" t="str">
        <f>HYPERLINK("https://www.boe.es/gazeta/dias/1820/07/27/pdfs/GGB-1820-29.pdf#page=4","Abrir facsímil")</f>
        <v>Abrir facsímil</v>
      </c>
      <c r="K3986" s="3" t="s">
        <v>32</v>
      </c>
    </row>
    <row r="3987" spans="1:11" ht="42" customHeight="1">
      <c r="A3987" s="2" t="s">
        <v>8093</v>
      </c>
      <c r="B3987" s="2" t="s">
        <v>8094</v>
      </c>
      <c r="C3987" s="2" t="s">
        <v>111</v>
      </c>
      <c r="D3987" s="2" t="s">
        <v>18</v>
      </c>
      <c r="E3987" s="5">
        <v>-28945</v>
      </c>
      <c r="F3987" s="3" t="s">
        <v>99</v>
      </c>
      <c r="G3987" s="3" t="s">
        <v>20</v>
      </c>
      <c r="H3987" s="2" t="s">
        <v>30</v>
      </c>
      <c r="I3987" s="2" t="s">
        <v>8096</v>
      </c>
      <c r="J3987" s="3" t="str">
        <f>HYPERLINK("https://www.boe.es/gazeta/dias/1820/09/30/pdfs/GGB-1820-94.pdf#page=4","Abrir facsímil")</f>
        <v>Abrir facsímil</v>
      </c>
      <c r="K3987" s="3" t="s">
        <v>32</v>
      </c>
    </row>
    <row r="3988" spans="1:11" ht="42" customHeight="1">
      <c r="A3988" s="2" t="s">
        <v>8093</v>
      </c>
      <c r="B3988" s="2" t="s">
        <v>8094</v>
      </c>
      <c r="C3988" s="2" t="s">
        <v>26</v>
      </c>
      <c r="D3988" s="2" t="s">
        <v>27</v>
      </c>
      <c r="E3988" s="5">
        <v>-28903</v>
      </c>
      <c r="F3988" s="3" t="s">
        <v>2163</v>
      </c>
      <c r="G3988" s="3" t="s">
        <v>62</v>
      </c>
      <c r="H3988" s="2" t="s">
        <v>30</v>
      </c>
      <c r="I3988" s="2" t="s">
        <v>8097</v>
      </c>
      <c r="J3988" s="3" t="str">
        <f>HYPERLINK("https://www.boe.es/gazeta/dias/1820/11/11/pdfs/GGB-1820-137.pdf#page=3","Abrir facsímil")</f>
        <v>Abrir facsímil</v>
      </c>
      <c r="K3988" s="3" t="s">
        <v>32</v>
      </c>
    </row>
    <row r="3989" spans="1:11" ht="42" customHeight="1">
      <c r="A3989" s="2" t="s">
        <v>8098</v>
      </c>
      <c r="B3989" s="2" t="s">
        <v>8099</v>
      </c>
      <c r="C3989" s="2" t="s">
        <v>26</v>
      </c>
      <c r="D3989" s="2" t="s">
        <v>27</v>
      </c>
      <c r="E3989" s="5">
        <v>-29025</v>
      </c>
      <c r="F3989" s="3" t="s">
        <v>902</v>
      </c>
      <c r="G3989" s="3" t="s">
        <v>62</v>
      </c>
      <c r="H3989" s="2" t="s">
        <v>30</v>
      </c>
      <c r="I3989" s="2" t="s">
        <v>8100</v>
      </c>
      <c r="J3989" s="3" t="str">
        <f>HYPERLINK("https://www.boe.es/gazeta/dias/1820/07/12/pdfs/GGB-1820-14.pdf#page=3","Abrir facsímil")</f>
        <v>Abrir facsímil</v>
      </c>
      <c r="K3989" s="3" t="s">
        <v>32</v>
      </c>
    </row>
    <row r="3990" spans="1:11" ht="42" customHeight="1">
      <c r="A3990" s="2" t="s">
        <v>8101</v>
      </c>
      <c r="B3990" s="2" t="s">
        <v>8102</v>
      </c>
      <c r="C3990" s="2" t="s">
        <v>35</v>
      </c>
      <c r="D3990" s="2" t="s">
        <v>36</v>
      </c>
      <c r="E3990" s="5">
        <v>-28927</v>
      </c>
      <c r="F3990" s="3" t="s">
        <v>345</v>
      </c>
      <c r="G3990" s="3" t="s">
        <v>20</v>
      </c>
      <c r="H3990" s="2" t="s">
        <v>30</v>
      </c>
      <c r="I3990" s="2" t="s">
        <v>8103</v>
      </c>
      <c r="J3990" s="3" t="str">
        <f>HYPERLINK("https://www.boe.es/gazeta/dias/1820/10/18/pdfs/GGB-1820-112.pdf#page=4","Abrir facsímil")</f>
        <v>Abrir facsímil</v>
      </c>
      <c r="K3990" s="3" t="s">
        <v>32</v>
      </c>
    </row>
    <row r="3991" spans="1:11" ht="42" customHeight="1">
      <c r="A3991" s="2" t="s">
        <v>8104</v>
      </c>
      <c r="B3991" s="2" t="s">
        <v>8104</v>
      </c>
      <c r="C3991" s="2" t="s">
        <v>26</v>
      </c>
      <c r="D3991" s="2" t="s">
        <v>27</v>
      </c>
      <c r="E3991" s="5">
        <v>-29215</v>
      </c>
      <c r="F3991" s="3" t="s">
        <v>827</v>
      </c>
      <c r="G3991" s="3" t="s">
        <v>256</v>
      </c>
      <c r="H3991" s="2" t="s">
        <v>21</v>
      </c>
      <c r="I3991" s="2" t="s">
        <v>8105</v>
      </c>
      <c r="J3991" s="3" t="str">
        <f>HYPERLINK("https://www.boe.es/gazeta/dias/1820/01/04/pdfs/GMD-1820-2.pdf#page=5","Abrir facsímil")</f>
        <v>Abrir facsímil</v>
      </c>
      <c r="K3991" s="3" t="s">
        <v>23</v>
      </c>
    </row>
    <row r="3992" spans="1:11" ht="42" customHeight="1">
      <c r="A3992" s="2" t="s">
        <v>8104</v>
      </c>
      <c r="B3992" s="2" t="s">
        <v>8104</v>
      </c>
      <c r="C3992" s="2" t="s">
        <v>111</v>
      </c>
      <c r="D3992" s="2" t="s">
        <v>18</v>
      </c>
      <c r="E3992" s="5">
        <v>-29199</v>
      </c>
      <c r="F3992" s="3" t="s">
        <v>1178</v>
      </c>
      <c r="G3992" s="3" t="s">
        <v>4793</v>
      </c>
      <c r="H3992" s="2" t="s">
        <v>21</v>
      </c>
      <c r="I3992" s="2" t="s">
        <v>8106</v>
      </c>
      <c r="J3992" s="3" t="str">
        <f>HYPERLINK("https://www.boe.es/gazeta/dias/1820/01/20/pdfs/GMD-1820-9.pdf#page=8","Abrir facsímil")</f>
        <v>Abrir facsímil</v>
      </c>
      <c r="K3992" s="3" t="s">
        <v>23</v>
      </c>
    </row>
    <row r="3993" spans="1:11" ht="42" customHeight="1">
      <c r="A3993" s="2" t="s">
        <v>8104</v>
      </c>
      <c r="B3993" s="2" t="s">
        <v>8104</v>
      </c>
      <c r="C3993" s="2" t="s">
        <v>111</v>
      </c>
      <c r="D3993" s="2" t="s">
        <v>18</v>
      </c>
      <c r="E3993" s="5">
        <v>-29185</v>
      </c>
      <c r="F3993" s="3" t="s">
        <v>772</v>
      </c>
      <c r="G3993" s="3" t="s">
        <v>256</v>
      </c>
      <c r="H3993" s="2" t="s">
        <v>21</v>
      </c>
      <c r="I3993" s="2" t="s">
        <v>8107</v>
      </c>
      <c r="J3993" s="3" t="str">
        <f>HYPERLINK("https://www.boe.es/gazeta/dias/1820/02/03/pdfs/GMD-1820-15.pdf#page=5","Abrir facsímil")</f>
        <v>Abrir facsímil</v>
      </c>
      <c r="K3993" s="3" t="s">
        <v>23</v>
      </c>
    </row>
    <row r="3994" spans="1:11" ht="42" customHeight="1">
      <c r="A3994" s="2" t="s">
        <v>8104</v>
      </c>
      <c r="B3994" s="2" t="s">
        <v>8104</v>
      </c>
      <c r="C3994" s="2" t="s">
        <v>35</v>
      </c>
      <c r="D3994" s="2" t="s">
        <v>36</v>
      </c>
      <c r="E3994" s="5">
        <v>-29185</v>
      </c>
      <c r="F3994" s="3" t="s">
        <v>772</v>
      </c>
      <c r="G3994" s="3" t="s">
        <v>201</v>
      </c>
      <c r="H3994" s="2" t="s">
        <v>21</v>
      </c>
      <c r="I3994" s="2" t="s">
        <v>8108</v>
      </c>
      <c r="J3994" s="3" t="str">
        <f>HYPERLINK("https://www.boe.es/gazeta/dias/1820/02/03/pdfs/GMD-1820-15.pdf#page=7","Abrir facsímil")</f>
        <v>Abrir facsímil</v>
      </c>
      <c r="K3994" s="3" t="s">
        <v>23</v>
      </c>
    </row>
    <row r="3995" spans="1:11" ht="42" customHeight="1">
      <c r="A3995" s="2" t="s">
        <v>8104</v>
      </c>
      <c r="B3995" s="2" t="s">
        <v>8104</v>
      </c>
      <c r="C3995" s="2" t="s">
        <v>35</v>
      </c>
      <c r="D3995" s="2" t="s">
        <v>36</v>
      </c>
      <c r="E3995" s="5">
        <v>-29176</v>
      </c>
      <c r="F3995" s="3" t="s">
        <v>797</v>
      </c>
      <c r="G3995" s="3" t="s">
        <v>201</v>
      </c>
      <c r="H3995" s="2" t="s">
        <v>21</v>
      </c>
      <c r="I3995" s="2" t="s">
        <v>8109</v>
      </c>
      <c r="J3995" s="3" t="str">
        <f>HYPERLINK("https://www.boe.es/gazeta/dias/1820/02/12/pdfs/GMD-1820-19.pdf#page=7","Abrir facsímil")</f>
        <v>Abrir facsímil</v>
      </c>
      <c r="K3995" s="3" t="s">
        <v>23</v>
      </c>
    </row>
    <row r="3996" spans="1:11" ht="42" customHeight="1">
      <c r="A3996" s="2" t="s">
        <v>8104</v>
      </c>
      <c r="B3996" s="2" t="s">
        <v>8104</v>
      </c>
      <c r="C3996" s="2" t="s">
        <v>26</v>
      </c>
      <c r="D3996" s="2" t="s">
        <v>27</v>
      </c>
      <c r="E3996" s="5">
        <v>-29171</v>
      </c>
      <c r="F3996" s="3" t="s">
        <v>764</v>
      </c>
      <c r="G3996" s="3" t="s">
        <v>256</v>
      </c>
      <c r="H3996" s="2" t="s">
        <v>21</v>
      </c>
      <c r="I3996" s="2" t="s">
        <v>8110</v>
      </c>
      <c r="J3996" s="3" t="str">
        <f>HYPERLINK("https://www.boe.es/gazeta/dias/1820/02/17/pdfs/GMD-1820-21.pdf#page=5","Abrir facsímil")</f>
        <v>Abrir facsímil</v>
      </c>
      <c r="K3996" s="3" t="s">
        <v>23</v>
      </c>
    </row>
    <row r="3997" spans="1:11" ht="42" customHeight="1">
      <c r="A3997" s="2" t="s">
        <v>8104</v>
      </c>
      <c r="B3997" s="2" t="s">
        <v>8104</v>
      </c>
      <c r="C3997" s="2" t="s">
        <v>26</v>
      </c>
      <c r="D3997" s="2" t="s">
        <v>310</v>
      </c>
      <c r="E3997" s="5">
        <v>-29150</v>
      </c>
      <c r="F3997" s="3" t="s">
        <v>4978</v>
      </c>
      <c r="G3997" s="3" t="s">
        <v>128</v>
      </c>
      <c r="H3997" s="2" t="s">
        <v>21</v>
      </c>
      <c r="I3997" s="2" t="s">
        <v>8111</v>
      </c>
      <c r="J3997" s="3" t="str">
        <f>HYPERLINK("https://www.boe.es/gazeta/dias/1820/03/09/pdfs/GMD-1820-34E.pdf#page=1","Abrir facsímil")</f>
        <v>Abrir facsímil</v>
      </c>
      <c r="K3997" s="3" t="s">
        <v>23</v>
      </c>
    </row>
    <row r="3998" spans="1:11" ht="42" customHeight="1">
      <c r="A3998" s="2" t="s">
        <v>8104</v>
      </c>
      <c r="B3998" s="2" t="s">
        <v>8104</v>
      </c>
      <c r="C3998" s="2" t="s">
        <v>26</v>
      </c>
      <c r="D3998" s="2" t="s">
        <v>27</v>
      </c>
      <c r="E3998" s="5">
        <v>-29094</v>
      </c>
      <c r="F3998" s="3" t="s">
        <v>560</v>
      </c>
      <c r="G3998" s="3" t="s">
        <v>20</v>
      </c>
      <c r="H3998" s="2" t="s">
        <v>21</v>
      </c>
      <c r="I3998" s="2" t="s">
        <v>8112</v>
      </c>
      <c r="J3998" s="3" t="str">
        <f>HYPERLINK("https://www.boe.es/gazeta/dias/1820/05/04/pdfs/GMD-1820-75.pdf#page=4","Abrir facsímil")</f>
        <v>Abrir facsímil</v>
      </c>
      <c r="K3998" s="3" t="s">
        <v>23</v>
      </c>
    </row>
    <row r="3999" spans="1:11" ht="42" customHeight="1">
      <c r="A3999" s="2" t="s">
        <v>8104</v>
      </c>
      <c r="B3999" s="2" t="s">
        <v>8104</v>
      </c>
      <c r="C3999" s="2" t="s">
        <v>293</v>
      </c>
      <c r="D3999" s="2" t="s">
        <v>18</v>
      </c>
      <c r="E3999" s="5">
        <v>-29059</v>
      </c>
      <c r="F3999" s="3" t="s">
        <v>1898</v>
      </c>
      <c r="G3999" s="3" t="s">
        <v>38</v>
      </c>
      <c r="H3999" s="2" t="s">
        <v>21</v>
      </c>
      <c r="I3999" s="2" t="s">
        <v>8113</v>
      </c>
      <c r="J3999" s="3" t="str">
        <f>HYPERLINK("https://www.boe.es/gazeta/dias/1820/06/08/pdfs/GMD-1820-91.pdf#page=6","Abrir facsímil")</f>
        <v>Abrir facsímil</v>
      </c>
      <c r="K3999" s="3" t="s">
        <v>23</v>
      </c>
    </row>
    <row r="4000" spans="1:11" ht="42" customHeight="1">
      <c r="A4000" s="2" t="s">
        <v>8104</v>
      </c>
      <c r="B4000" s="2" t="s">
        <v>8104</v>
      </c>
      <c r="C4000" s="2" t="s">
        <v>35</v>
      </c>
      <c r="D4000" s="2" t="s">
        <v>36</v>
      </c>
      <c r="E4000" s="5">
        <v>-29019</v>
      </c>
      <c r="F4000" s="3" t="s">
        <v>655</v>
      </c>
      <c r="G4000" s="3" t="s">
        <v>945</v>
      </c>
      <c r="H4000" s="2" t="s">
        <v>21</v>
      </c>
      <c r="I4000" s="2" t="s">
        <v>8114</v>
      </c>
      <c r="J4000" s="3" t="str">
        <f>HYPERLINK("https://www.boe.es/gazeta/dias/1820/07/18/pdfs/GGB-1820-20.pdf#page=2","Abrir facsímil")</f>
        <v>Abrir facsímil</v>
      </c>
      <c r="K4000" s="3" t="s">
        <v>23</v>
      </c>
    </row>
    <row r="4001" spans="1:11" ht="42" customHeight="1">
      <c r="A4001" s="2" t="s">
        <v>8104</v>
      </c>
      <c r="B4001" s="2" t="s">
        <v>8104</v>
      </c>
      <c r="C4001" s="2" t="s">
        <v>74</v>
      </c>
      <c r="D4001" s="2" t="s">
        <v>18</v>
      </c>
      <c r="E4001" s="5">
        <v>-29015</v>
      </c>
      <c r="F4001" s="3" t="s">
        <v>359</v>
      </c>
      <c r="G4001" s="3" t="s">
        <v>20</v>
      </c>
      <c r="H4001" s="2" t="s">
        <v>21</v>
      </c>
      <c r="I4001" s="2" t="s">
        <v>8115</v>
      </c>
      <c r="J4001" s="3" t="str">
        <f>HYPERLINK("https://www.boe.es/gazeta/dias/1820/07/22/pdfs/GGB-1820-24.pdf#page=4","Abrir facsímil")</f>
        <v>Abrir facsímil</v>
      </c>
      <c r="K4001" s="3" t="s">
        <v>23</v>
      </c>
    </row>
    <row r="4002" spans="1:11" ht="42" customHeight="1">
      <c r="A4002" s="2" t="s">
        <v>8104</v>
      </c>
      <c r="B4002" s="2" t="s">
        <v>8104</v>
      </c>
      <c r="C4002" s="2" t="s">
        <v>35</v>
      </c>
      <c r="D4002" s="2" t="s">
        <v>36</v>
      </c>
      <c r="E4002" s="5">
        <v>-29011</v>
      </c>
      <c r="F4002" s="3" t="s">
        <v>338</v>
      </c>
      <c r="G4002" s="3" t="s">
        <v>62</v>
      </c>
      <c r="H4002" s="2" t="s">
        <v>21</v>
      </c>
      <c r="I4002" s="2" t="s">
        <v>8116</v>
      </c>
      <c r="J4002" s="3" t="str">
        <f>HYPERLINK("https://www.boe.es/gazeta/dias/1820/07/26/pdfs/GGB-1820-28.pdf#page=3","Abrir facsímil")</f>
        <v>Abrir facsímil</v>
      </c>
      <c r="K4002" s="3" t="s">
        <v>23</v>
      </c>
    </row>
    <row r="4003" spans="1:11" ht="42" customHeight="1">
      <c r="A4003" s="2" t="s">
        <v>8104</v>
      </c>
      <c r="B4003" s="2" t="s">
        <v>8104</v>
      </c>
      <c r="C4003" s="2" t="s">
        <v>35</v>
      </c>
      <c r="D4003" s="2" t="s">
        <v>36</v>
      </c>
      <c r="E4003" s="5">
        <v>-29000</v>
      </c>
      <c r="F4003" s="3" t="s">
        <v>670</v>
      </c>
      <c r="G4003" s="3" t="s">
        <v>62</v>
      </c>
      <c r="H4003" s="2" t="s">
        <v>21</v>
      </c>
      <c r="I4003" s="2" t="s">
        <v>8117</v>
      </c>
      <c r="J4003" s="3" t="str">
        <f>HYPERLINK("https://www.boe.es/gazeta/dias/1820/08/06/pdfs/GGB-1820-39.pdf#page=3","Abrir facsímil")</f>
        <v>Abrir facsímil</v>
      </c>
      <c r="K4003" s="3" t="s">
        <v>23</v>
      </c>
    </row>
    <row r="4004" spans="1:11" ht="42" customHeight="1">
      <c r="A4004" s="2" t="s">
        <v>8104</v>
      </c>
      <c r="B4004" s="2" t="s">
        <v>8104</v>
      </c>
      <c r="C4004" s="2" t="s">
        <v>17</v>
      </c>
      <c r="D4004" s="2" t="s">
        <v>18</v>
      </c>
      <c r="E4004" s="5">
        <v>-28984</v>
      </c>
      <c r="F4004" s="3" t="s">
        <v>520</v>
      </c>
      <c r="G4004" s="3" t="s">
        <v>20</v>
      </c>
      <c r="H4004" s="2" t="s">
        <v>21</v>
      </c>
      <c r="I4004" s="2" t="s">
        <v>8118</v>
      </c>
      <c r="J4004" s="3" t="str">
        <f>HYPERLINK("https://www.boe.es/gazeta/dias/1820/08/22/pdfs/GGB-1820-55.pdf#page=4","Abrir facsímil")</f>
        <v>Abrir facsímil</v>
      </c>
      <c r="K4004" s="3" t="s">
        <v>23</v>
      </c>
    </row>
    <row r="4005" spans="1:11" ht="42" customHeight="1">
      <c r="A4005" s="2" t="s">
        <v>8104</v>
      </c>
      <c r="B4005" s="2" t="s">
        <v>8104</v>
      </c>
      <c r="C4005" s="2" t="s">
        <v>17</v>
      </c>
      <c r="D4005" s="2" t="s">
        <v>18</v>
      </c>
      <c r="E4005" s="5">
        <v>-28975</v>
      </c>
      <c r="F4005" s="3" t="s">
        <v>182</v>
      </c>
      <c r="G4005" s="3" t="s">
        <v>62</v>
      </c>
      <c r="H4005" s="2" t="s">
        <v>21</v>
      </c>
      <c r="I4005" s="2" t="s">
        <v>8119</v>
      </c>
      <c r="J4005" s="3" t="str">
        <f>HYPERLINK("https://www.boe.es/gazeta/dias/1820/08/31/pdfs/GGB-1820-64.pdf#page=3","Abrir facsímil")</f>
        <v>Abrir facsímil</v>
      </c>
      <c r="K4005" s="3" t="s">
        <v>23</v>
      </c>
    </row>
    <row r="4006" spans="1:11" ht="42" customHeight="1">
      <c r="A4006" s="2" t="s">
        <v>8104</v>
      </c>
      <c r="B4006" s="2" t="s">
        <v>8104</v>
      </c>
      <c r="C4006" s="2" t="s">
        <v>35</v>
      </c>
      <c r="D4006" s="2" t="s">
        <v>36</v>
      </c>
      <c r="E4006" s="5">
        <v>-28958</v>
      </c>
      <c r="F4006" s="3" t="s">
        <v>706</v>
      </c>
      <c r="G4006" s="3" t="s">
        <v>20</v>
      </c>
      <c r="H4006" s="2" t="s">
        <v>21</v>
      </c>
      <c r="I4006" s="2" t="s">
        <v>8120</v>
      </c>
      <c r="J4006" s="3" t="str">
        <f>HYPERLINK("https://www.boe.es/gazeta/dias/1820/09/17/pdfs/GGB-1820-81.pdf#page=4","Abrir facsímil")</f>
        <v>Abrir facsímil</v>
      </c>
      <c r="K4006" s="3" t="s">
        <v>23</v>
      </c>
    </row>
    <row r="4007" spans="1:11" ht="42" customHeight="1">
      <c r="A4007" s="2" t="s">
        <v>8104</v>
      </c>
      <c r="B4007" s="2" t="s">
        <v>8104</v>
      </c>
      <c r="C4007" s="2" t="s">
        <v>26</v>
      </c>
      <c r="D4007" s="2" t="s">
        <v>27</v>
      </c>
      <c r="E4007" s="5">
        <v>-28955</v>
      </c>
      <c r="F4007" s="3" t="s">
        <v>175</v>
      </c>
      <c r="G4007" s="3" t="s">
        <v>62</v>
      </c>
      <c r="H4007" s="2" t="s">
        <v>21</v>
      </c>
      <c r="I4007" s="2" t="s">
        <v>8121</v>
      </c>
      <c r="J4007" s="3" t="str">
        <f>HYPERLINK("https://www.boe.es/gazeta/dias/1820/09/20/pdfs/GGB-1820-84.pdf#page=3","Abrir facsímil")</f>
        <v>Abrir facsímil</v>
      </c>
      <c r="K4007" s="3" t="s">
        <v>23</v>
      </c>
    </row>
    <row r="4008" spans="1:11" ht="42" customHeight="1">
      <c r="A4008" s="2" t="s">
        <v>8104</v>
      </c>
      <c r="B4008" s="2" t="s">
        <v>8104</v>
      </c>
      <c r="C4008" s="2" t="s">
        <v>26</v>
      </c>
      <c r="D4008" s="2" t="s">
        <v>27</v>
      </c>
      <c r="E4008" s="5">
        <v>-28945</v>
      </c>
      <c r="F4008" s="3" t="s">
        <v>99</v>
      </c>
      <c r="G4008" s="3" t="s">
        <v>43</v>
      </c>
      <c r="H4008" s="2" t="s">
        <v>21</v>
      </c>
      <c r="I4008" s="2" t="s">
        <v>8122</v>
      </c>
      <c r="J4008" s="3" t="str">
        <f>HYPERLINK("https://www.boe.es/gazeta/dias/1820/09/30/pdfs/GGB-1820-94.pdf#page=2","Abrir facsímil")</f>
        <v>Abrir facsímil</v>
      </c>
      <c r="K4008" s="3" t="s">
        <v>23</v>
      </c>
    </row>
    <row r="4009" spans="1:11" ht="42" customHeight="1">
      <c r="A4009" s="2" t="s">
        <v>8104</v>
      </c>
      <c r="B4009" s="2" t="s">
        <v>8104</v>
      </c>
      <c r="C4009" s="2" t="s">
        <v>26</v>
      </c>
      <c r="D4009" s="2" t="s">
        <v>27</v>
      </c>
      <c r="E4009" s="5">
        <v>-28939</v>
      </c>
      <c r="F4009" s="3" t="s">
        <v>992</v>
      </c>
      <c r="G4009" s="3" t="s">
        <v>20</v>
      </c>
      <c r="H4009" s="2" t="s">
        <v>21</v>
      </c>
      <c r="I4009" s="2" t="s">
        <v>8123</v>
      </c>
      <c r="J4009" s="3" t="str">
        <f>HYPERLINK("https://www.boe.es/gazeta/dias/1820/10/06/pdfs/GGB-1820-100.pdf#page=4","Abrir facsímil")</f>
        <v>Abrir facsímil</v>
      </c>
      <c r="K4009" s="3" t="s">
        <v>23</v>
      </c>
    </row>
    <row r="4010" spans="1:11" ht="42" customHeight="1">
      <c r="A4010" s="2" t="s">
        <v>8104</v>
      </c>
      <c r="B4010" s="2" t="s">
        <v>8104</v>
      </c>
      <c r="C4010" s="2" t="s">
        <v>17</v>
      </c>
      <c r="D4010" s="2" t="s">
        <v>18</v>
      </c>
      <c r="E4010" s="5">
        <v>-28931</v>
      </c>
      <c r="F4010" s="3" t="s">
        <v>724</v>
      </c>
      <c r="G4010" s="3" t="s">
        <v>20</v>
      </c>
      <c r="H4010" s="2" t="s">
        <v>21</v>
      </c>
      <c r="I4010" s="2" t="s">
        <v>8124</v>
      </c>
      <c r="J4010" s="3" t="str">
        <f>HYPERLINK("https://www.boe.es/gazeta/dias/1820/10/14/pdfs/GGB-1820-108.pdf#page=4","Abrir facsímil")</f>
        <v>Abrir facsímil</v>
      </c>
      <c r="K4010" s="3" t="s">
        <v>23</v>
      </c>
    </row>
    <row r="4011" spans="1:11" ht="42" customHeight="1">
      <c r="A4011" s="2" t="s">
        <v>8104</v>
      </c>
      <c r="B4011" s="2" t="s">
        <v>8104</v>
      </c>
      <c r="C4011" s="2" t="s">
        <v>74</v>
      </c>
      <c r="D4011" s="2" t="s">
        <v>18</v>
      </c>
      <c r="E4011" s="5">
        <v>-28928</v>
      </c>
      <c r="F4011" s="3" t="s">
        <v>86</v>
      </c>
      <c r="G4011" s="3" t="s">
        <v>20</v>
      </c>
      <c r="H4011" s="2" t="s">
        <v>21</v>
      </c>
      <c r="I4011" s="2" t="s">
        <v>8125</v>
      </c>
      <c r="J4011" s="3" t="str">
        <f>HYPERLINK("https://www.boe.es/gazeta/dias/1820/10/17/pdfs/GGB-1820-111.pdf#page=4","Abrir facsímil")</f>
        <v>Abrir facsímil</v>
      </c>
      <c r="K4011" s="3" t="s">
        <v>23</v>
      </c>
    </row>
    <row r="4012" spans="1:11" ht="42" customHeight="1">
      <c r="A4012" s="2" t="s">
        <v>8104</v>
      </c>
      <c r="B4012" s="2" t="s">
        <v>8104</v>
      </c>
      <c r="C4012" s="2" t="s">
        <v>35</v>
      </c>
      <c r="D4012" s="2" t="s">
        <v>36</v>
      </c>
      <c r="E4012" s="5">
        <v>-28922</v>
      </c>
      <c r="F4012" s="3" t="s">
        <v>735</v>
      </c>
      <c r="G4012" s="3" t="s">
        <v>62</v>
      </c>
      <c r="H4012" s="2" t="s">
        <v>21</v>
      </c>
      <c r="I4012" s="2" t="s">
        <v>8126</v>
      </c>
      <c r="J4012" s="3" t="str">
        <f>HYPERLINK("https://www.boe.es/gazeta/dias/1820/10/23/pdfs/GGB-1820-117.pdf#page=3","Abrir facsímil")</f>
        <v>Abrir facsímil</v>
      </c>
      <c r="K4012" s="3" t="s">
        <v>23</v>
      </c>
    </row>
    <row r="4013" spans="1:11" ht="42" customHeight="1">
      <c r="A4013" s="2" t="s">
        <v>8104</v>
      </c>
      <c r="B4013" s="2" t="s">
        <v>8104</v>
      </c>
      <c r="C4013" s="2" t="s">
        <v>35</v>
      </c>
      <c r="D4013" s="2" t="s">
        <v>36</v>
      </c>
      <c r="E4013" s="5">
        <v>-28908</v>
      </c>
      <c r="F4013" s="3" t="s">
        <v>1060</v>
      </c>
      <c r="G4013" s="3" t="s">
        <v>20</v>
      </c>
      <c r="H4013" s="2" t="s">
        <v>21</v>
      </c>
      <c r="I4013" s="2" t="s">
        <v>8127</v>
      </c>
      <c r="J4013" s="3" t="str">
        <f>HYPERLINK("https://www.boe.es/gazeta/dias/1820/11/06/pdfs/GGB-1820-131.pdf#page=4","Abrir facsímil")</f>
        <v>Abrir facsímil</v>
      </c>
      <c r="K4013" s="3" t="s">
        <v>23</v>
      </c>
    </row>
    <row r="4014" spans="1:11" ht="42" customHeight="1">
      <c r="A4014" s="2" t="s">
        <v>8104</v>
      </c>
      <c r="B4014" s="2" t="s">
        <v>8104</v>
      </c>
      <c r="C4014" s="2" t="s">
        <v>35</v>
      </c>
      <c r="D4014" s="2" t="s">
        <v>36</v>
      </c>
      <c r="E4014" s="5">
        <v>-28899</v>
      </c>
      <c r="F4014" s="3" t="s">
        <v>285</v>
      </c>
      <c r="G4014" s="3" t="s">
        <v>20</v>
      </c>
      <c r="H4014" s="2" t="s">
        <v>21</v>
      </c>
      <c r="I4014" s="2" t="s">
        <v>8128</v>
      </c>
      <c r="J4014" s="3" t="str">
        <f>HYPERLINK("https://www.boe.es/gazeta/dias/1820/11/15/pdfs/GGB-1820-141.pdf#page=4","Abrir facsímil")</f>
        <v>Abrir facsímil</v>
      </c>
      <c r="K4014" s="3" t="s">
        <v>23</v>
      </c>
    </row>
    <row r="4015" spans="1:11" ht="42" customHeight="1">
      <c r="A4015" s="2" t="s">
        <v>8104</v>
      </c>
      <c r="B4015" s="2" t="s">
        <v>8104</v>
      </c>
      <c r="C4015" s="2" t="s">
        <v>47</v>
      </c>
      <c r="D4015" s="2" t="s">
        <v>18</v>
      </c>
      <c r="E4015" s="5">
        <v>-28887</v>
      </c>
      <c r="F4015" s="3" t="s">
        <v>2098</v>
      </c>
      <c r="G4015" s="3" t="s">
        <v>5628</v>
      </c>
      <c r="H4015" s="2" t="s">
        <v>21</v>
      </c>
      <c r="I4015" s="2" t="s">
        <v>8129</v>
      </c>
      <c r="J4015" s="3" t="str">
        <f>HYPERLINK("https://www.boe.es/gazeta/dias/1820/11/27/pdfs/GGB-1820-154.pdf#page=4","Abrir facsímil")</f>
        <v>Abrir facsímil</v>
      </c>
      <c r="K4015" s="3" t="s">
        <v>23</v>
      </c>
    </row>
    <row r="4016" spans="1:11" ht="42" customHeight="1">
      <c r="A4016" s="2" t="s">
        <v>8104</v>
      </c>
      <c r="B4016" s="2" t="s">
        <v>8104</v>
      </c>
      <c r="C4016" s="2" t="s">
        <v>35</v>
      </c>
      <c r="D4016" s="2" t="s">
        <v>36</v>
      </c>
      <c r="E4016" s="5">
        <v>-28854</v>
      </c>
      <c r="F4016" s="3" t="s">
        <v>147</v>
      </c>
      <c r="G4016" s="3" t="s">
        <v>62</v>
      </c>
      <c r="H4016" s="2" t="s">
        <v>21</v>
      </c>
      <c r="I4016" s="2" t="s">
        <v>8130</v>
      </c>
      <c r="J4016" s="3" t="str">
        <f>HYPERLINK("https://www.boe.es/gazeta/dias/1820/12/30/pdfs/GGB-1820-187.pdf#page=3","Abrir facsímil")</f>
        <v>Abrir facsímil</v>
      </c>
      <c r="K4016" s="3" t="s">
        <v>23</v>
      </c>
    </row>
    <row r="4017" spans="1:11" ht="42" customHeight="1">
      <c r="A4017" s="2" t="s">
        <v>8131</v>
      </c>
      <c r="B4017" s="2" t="s">
        <v>8132</v>
      </c>
      <c r="C4017" s="2" t="s">
        <v>293</v>
      </c>
      <c r="D4017" s="2" t="s">
        <v>18</v>
      </c>
      <c r="E4017" s="5">
        <v>-28918</v>
      </c>
      <c r="F4017" s="3" t="s">
        <v>160</v>
      </c>
      <c r="G4017" s="3" t="s">
        <v>43</v>
      </c>
      <c r="H4017" s="2" t="s">
        <v>21</v>
      </c>
      <c r="I4017" s="2" t="s">
        <v>8133</v>
      </c>
      <c r="J4017" s="3" t="str">
        <f>HYPERLINK("https://www.boe.es/gazeta/dias/1820/10/27/pdfs/GGB-1820-121.pdf#page=2","Abrir facsímil")</f>
        <v>Abrir facsímil</v>
      </c>
      <c r="K4017" s="3" t="s">
        <v>23</v>
      </c>
    </row>
    <row r="4018" spans="1:11" ht="42" customHeight="1">
      <c r="A4018" s="2" t="s">
        <v>8134</v>
      </c>
      <c r="B4018" s="2" t="s">
        <v>8135</v>
      </c>
      <c r="C4018" s="2" t="s">
        <v>26</v>
      </c>
      <c r="D4018" s="2" t="s">
        <v>310</v>
      </c>
      <c r="E4018" s="5">
        <v>-29142</v>
      </c>
      <c r="F4018" s="3" t="s">
        <v>2712</v>
      </c>
      <c r="G4018" s="3" t="s">
        <v>43</v>
      </c>
      <c r="H4018" s="2" t="s">
        <v>21</v>
      </c>
      <c r="I4018" s="2" t="s">
        <v>8136</v>
      </c>
      <c r="J4018" s="3" t="str">
        <f>HYPERLINK("https://www.boe.es/gazeta/dias/1820/03/17/pdfs/GMD-1820-43E.pdf#page=2","Abrir facsímil")</f>
        <v>Abrir facsímil</v>
      </c>
      <c r="K4018" s="3" t="s">
        <v>23</v>
      </c>
    </row>
    <row r="4019" spans="1:11" ht="42" customHeight="1">
      <c r="A4019" s="2" t="s">
        <v>8137</v>
      </c>
      <c r="B4019" s="2" t="s">
        <v>8138</v>
      </c>
      <c r="C4019" s="2" t="s">
        <v>293</v>
      </c>
      <c r="D4019" s="2" t="s">
        <v>18</v>
      </c>
      <c r="E4019" s="5">
        <v>-29038</v>
      </c>
      <c r="F4019" s="3" t="s">
        <v>957</v>
      </c>
      <c r="G4019" s="3" t="s">
        <v>295</v>
      </c>
      <c r="H4019" s="2" t="s">
        <v>21</v>
      </c>
      <c r="I4019" s="2" t="s">
        <v>8139</v>
      </c>
      <c r="J4019" s="3" t="str">
        <f>HYPERLINK("https://www.boe.es/gazeta/dias/1820/06/29/pdfs/GMD-1820-100.pdf#page=8","Abrir facsímil")</f>
        <v>Abrir facsímil</v>
      </c>
      <c r="K4019" s="3" t="s">
        <v>23</v>
      </c>
    </row>
    <row r="4020" spans="1:11" ht="42" customHeight="1">
      <c r="A4020" s="2" t="s">
        <v>8140</v>
      </c>
      <c r="B4020" s="2" t="s">
        <v>8141</v>
      </c>
      <c r="C4020" s="2" t="s">
        <v>35</v>
      </c>
      <c r="D4020" s="2" t="s">
        <v>36</v>
      </c>
      <c r="E4020" s="5">
        <v>-28921</v>
      </c>
      <c r="F4020" s="3" t="s">
        <v>738</v>
      </c>
      <c r="G4020" s="3" t="s">
        <v>20</v>
      </c>
      <c r="H4020" s="2" t="s">
        <v>21</v>
      </c>
      <c r="I4020" s="2" t="s">
        <v>8142</v>
      </c>
      <c r="J4020" s="3" t="str">
        <f>HYPERLINK("https://www.boe.es/gazeta/dias/1820/10/24/pdfs/GGB-1820-118.pdf#page=4","Abrir facsímil")</f>
        <v>Abrir facsímil</v>
      </c>
      <c r="K4020" s="3" t="s">
        <v>23</v>
      </c>
    </row>
    <row r="4021" spans="1:11" ht="42" customHeight="1">
      <c r="A4021" s="2" t="s">
        <v>8143</v>
      </c>
      <c r="B4021" s="2" t="s">
        <v>8144</v>
      </c>
      <c r="C4021" s="2" t="s">
        <v>293</v>
      </c>
      <c r="D4021" s="2" t="s">
        <v>18</v>
      </c>
      <c r="E4021" s="5">
        <v>-29150</v>
      </c>
      <c r="F4021" s="3" t="s">
        <v>299</v>
      </c>
      <c r="G4021" s="3" t="s">
        <v>201</v>
      </c>
      <c r="H4021" s="2" t="s">
        <v>21</v>
      </c>
      <c r="I4021" s="2" t="s">
        <v>8145</v>
      </c>
      <c r="J4021" s="3" t="str">
        <f>HYPERLINK("https://www.boe.es/gazeta/dias/1820/03/09/pdfs/GMD-1820-32.pdf#page=7","Abrir facsímil")</f>
        <v>Abrir facsímil</v>
      </c>
      <c r="K4021" s="3" t="s">
        <v>23</v>
      </c>
    </row>
    <row r="4022" spans="1:11" ht="42" customHeight="1">
      <c r="A4022" s="2" t="s">
        <v>8143</v>
      </c>
      <c r="B4022" s="2" t="s">
        <v>8144</v>
      </c>
      <c r="C4022" s="2" t="s">
        <v>17</v>
      </c>
      <c r="D4022" s="2" t="s">
        <v>18</v>
      </c>
      <c r="E4022" s="5">
        <v>-29078</v>
      </c>
      <c r="F4022" s="3" t="s">
        <v>260</v>
      </c>
      <c r="G4022" s="3" t="s">
        <v>261</v>
      </c>
      <c r="H4022" s="2" t="s">
        <v>21</v>
      </c>
      <c r="I4022" s="2" t="s">
        <v>8146</v>
      </c>
      <c r="J4022" s="3" t="str">
        <f>HYPERLINK("https://www.boe.es/gazeta/dias/1820/05/20/pdfs/GMD-1820-83.pdf#page=9","Abrir facsímil")</f>
        <v>Abrir facsímil</v>
      </c>
      <c r="K4022" s="3" t="s">
        <v>23</v>
      </c>
    </row>
    <row r="4023" spans="1:11" ht="42" customHeight="1">
      <c r="A4023" s="2" t="s">
        <v>8143</v>
      </c>
      <c r="B4023" s="2" t="s">
        <v>8144</v>
      </c>
      <c r="C4023" s="2" t="s">
        <v>26</v>
      </c>
      <c r="D4023" s="2" t="s">
        <v>27</v>
      </c>
      <c r="E4023" s="5">
        <v>-28995</v>
      </c>
      <c r="F4023" s="3" t="s">
        <v>672</v>
      </c>
      <c r="G4023" s="3" t="s">
        <v>20</v>
      </c>
      <c r="H4023" s="2" t="s">
        <v>21</v>
      </c>
      <c r="I4023" s="2" t="s">
        <v>8147</v>
      </c>
      <c r="J4023" s="3" t="str">
        <f>HYPERLINK("https://www.boe.es/gazeta/dias/1820/08/11/pdfs/GGB-1820-44.pdf#page=4","Abrir facsímil")</f>
        <v>Abrir facsímil</v>
      </c>
      <c r="K4023" s="3" t="s">
        <v>23</v>
      </c>
    </row>
    <row r="4024" spans="1:11" ht="42" customHeight="1">
      <c r="A4024" s="2" t="s">
        <v>8143</v>
      </c>
      <c r="B4024" s="2" t="s">
        <v>8144</v>
      </c>
      <c r="C4024" s="2" t="s">
        <v>26</v>
      </c>
      <c r="D4024" s="2" t="s">
        <v>27</v>
      </c>
      <c r="E4024" s="5">
        <v>-28894</v>
      </c>
      <c r="F4024" s="3" t="s">
        <v>469</v>
      </c>
      <c r="G4024" s="3" t="s">
        <v>20</v>
      </c>
      <c r="H4024" s="2" t="s">
        <v>21</v>
      </c>
      <c r="I4024" s="2" t="s">
        <v>8148</v>
      </c>
      <c r="J4024" s="3" t="str">
        <f>HYPERLINK("https://www.boe.es/gazeta/dias/1820/11/20/pdfs/GGB-1820-147.pdf#page=4","Abrir facsímil")</f>
        <v>Abrir facsímil</v>
      </c>
      <c r="K4024" s="3" t="s">
        <v>23</v>
      </c>
    </row>
    <row r="4025" spans="1:11" ht="42" customHeight="1">
      <c r="A4025" s="2" t="s">
        <v>8149</v>
      </c>
      <c r="B4025" s="2" t="s">
        <v>8150</v>
      </c>
      <c r="C4025" s="2" t="s">
        <v>26</v>
      </c>
      <c r="D4025" s="2" t="s">
        <v>310</v>
      </c>
      <c r="E4025" s="5">
        <v>-29142</v>
      </c>
      <c r="F4025" s="3" t="s">
        <v>2712</v>
      </c>
      <c r="G4025" s="3" t="s">
        <v>4951</v>
      </c>
      <c r="H4025" s="2" t="s">
        <v>21</v>
      </c>
      <c r="I4025" s="2" t="s">
        <v>8151</v>
      </c>
      <c r="J4025" s="3" t="str">
        <f>HYPERLINK("https://www.boe.es/gazeta/dias/1820/03/17/pdfs/GMD-1820-43E.pdf#page=4","Abrir facsímil")</f>
        <v>Abrir facsímil</v>
      </c>
      <c r="K4025" s="3" t="s">
        <v>23</v>
      </c>
    </row>
    <row r="4026" spans="1:11" ht="42" customHeight="1">
      <c r="A4026" s="2" t="s">
        <v>8149</v>
      </c>
      <c r="B4026" s="2" t="s">
        <v>8150</v>
      </c>
      <c r="C4026" s="2" t="s">
        <v>26</v>
      </c>
      <c r="D4026" s="2" t="s">
        <v>27</v>
      </c>
      <c r="E4026" s="5">
        <v>-28928</v>
      </c>
      <c r="F4026" s="3" t="s">
        <v>86</v>
      </c>
      <c r="G4026" s="3" t="s">
        <v>43</v>
      </c>
      <c r="H4026" s="2" t="s">
        <v>21</v>
      </c>
      <c r="I4026" s="2" t="s">
        <v>8152</v>
      </c>
      <c r="J4026" s="3" t="str">
        <f>HYPERLINK("https://www.boe.es/gazeta/dias/1820/10/17/pdfs/GGB-1820-111.pdf#page=2","Abrir facsímil")</f>
        <v>Abrir facsímil</v>
      </c>
      <c r="K4026" s="3" t="s">
        <v>23</v>
      </c>
    </row>
    <row r="4027" spans="1:11" ht="42" customHeight="1">
      <c r="A4027" s="2" t="s">
        <v>8149</v>
      </c>
      <c r="B4027" s="2" t="s">
        <v>8150</v>
      </c>
      <c r="C4027" s="2" t="s">
        <v>17</v>
      </c>
      <c r="D4027" s="2" t="s">
        <v>18</v>
      </c>
      <c r="E4027" s="5">
        <v>-28912</v>
      </c>
      <c r="F4027" s="3" t="s">
        <v>1329</v>
      </c>
      <c r="G4027" s="3" t="s">
        <v>1080</v>
      </c>
      <c r="H4027" s="2" t="s">
        <v>21</v>
      </c>
      <c r="I4027" s="2" t="s">
        <v>8153</v>
      </c>
      <c r="J4027" s="3" t="str">
        <f>HYPERLINK("https://www.boe.es/gazeta/dias/1820/11/02/pdfs/GGB-1820-127.pdf#page=2","Abrir facsímil")</f>
        <v>Abrir facsímil</v>
      </c>
      <c r="K4027" s="3" t="s">
        <v>23</v>
      </c>
    </row>
    <row r="4028" spans="1:11" ht="42" customHeight="1">
      <c r="A4028" s="2" t="s">
        <v>8149</v>
      </c>
      <c r="B4028" s="2" t="s">
        <v>8150</v>
      </c>
      <c r="C4028" s="2" t="s">
        <v>35</v>
      </c>
      <c r="D4028" s="2" t="s">
        <v>36</v>
      </c>
      <c r="E4028" s="5">
        <v>-28901</v>
      </c>
      <c r="F4028" s="3" t="s">
        <v>1492</v>
      </c>
      <c r="G4028" s="3" t="s">
        <v>20</v>
      </c>
      <c r="H4028" s="2" t="s">
        <v>21</v>
      </c>
      <c r="I4028" s="2" t="s">
        <v>8154</v>
      </c>
      <c r="J4028" s="3" t="str">
        <f>HYPERLINK("https://www.boe.es/gazeta/dias/1820/11/13/pdfs/GGB-1820-139.pdf#page=4","Abrir facsímil")</f>
        <v>Abrir facsímil</v>
      </c>
      <c r="K4028" s="3" t="s">
        <v>23</v>
      </c>
    </row>
    <row r="4029" spans="1:11" ht="42" customHeight="1">
      <c r="A4029" s="2" t="s">
        <v>8155</v>
      </c>
      <c r="B4029" s="2" t="s">
        <v>8155</v>
      </c>
      <c r="C4029" s="2" t="s">
        <v>35</v>
      </c>
      <c r="D4029" s="2" t="s">
        <v>36</v>
      </c>
      <c r="E4029" s="5">
        <v>-28977</v>
      </c>
      <c r="F4029" s="3" t="s">
        <v>687</v>
      </c>
      <c r="G4029" s="3" t="s">
        <v>62</v>
      </c>
      <c r="H4029" s="2" t="s">
        <v>21</v>
      </c>
      <c r="I4029" s="2" t="s">
        <v>8156</v>
      </c>
      <c r="J4029" s="3" t="str">
        <f>HYPERLINK("https://www.boe.es/gazeta/dias/1820/08/29/pdfs/GGB-1820-62.pdf#page=3","Abrir facsímil")</f>
        <v>Abrir facsímil</v>
      </c>
      <c r="K4029" s="3" t="s">
        <v>23</v>
      </c>
    </row>
    <row r="4030" spans="1:11" ht="42" customHeight="1">
      <c r="A4030" s="2" t="s">
        <v>8157</v>
      </c>
      <c r="B4030" s="2" t="s">
        <v>8158</v>
      </c>
      <c r="C4030" s="2" t="s">
        <v>26</v>
      </c>
      <c r="D4030" s="2" t="s">
        <v>27</v>
      </c>
      <c r="E4030" s="5">
        <v>-29018</v>
      </c>
      <c r="F4030" s="3" t="s">
        <v>601</v>
      </c>
      <c r="G4030" s="3" t="s">
        <v>62</v>
      </c>
      <c r="H4030" s="2" t="s">
        <v>21</v>
      </c>
      <c r="I4030" s="2" t="s">
        <v>8159</v>
      </c>
      <c r="J4030" s="3" t="str">
        <f>HYPERLINK("https://www.boe.es/gazeta/dias/1820/07/19/pdfs/GGB-1820-21.pdf#page=3","Abrir facsímil")</f>
        <v>Abrir facsímil</v>
      </c>
      <c r="K4030" s="3" t="s">
        <v>23</v>
      </c>
    </row>
    <row r="4031" spans="1:11" ht="42" customHeight="1">
      <c r="A4031" s="2" t="s">
        <v>8160</v>
      </c>
      <c r="B4031" s="2" t="s">
        <v>8161</v>
      </c>
      <c r="C4031" s="2" t="s">
        <v>26</v>
      </c>
      <c r="D4031" s="2" t="s">
        <v>27</v>
      </c>
      <c r="E4031" s="5">
        <v>-29002</v>
      </c>
      <c r="F4031" s="3" t="s">
        <v>124</v>
      </c>
      <c r="G4031" s="3" t="s">
        <v>43</v>
      </c>
      <c r="H4031" s="2" t="s">
        <v>21</v>
      </c>
      <c r="I4031" s="2" t="s">
        <v>8162</v>
      </c>
      <c r="J4031" s="3" t="str">
        <f>HYPERLINK("https://www.boe.es/gazeta/dias/1820/08/04/pdfs/GGB-1820-37.pdf#page=2","Abrir facsímil")</f>
        <v>Abrir facsímil</v>
      </c>
      <c r="K4031" s="3" t="s">
        <v>23</v>
      </c>
    </row>
    <row r="4032" spans="1:11" ht="42" customHeight="1">
      <c r="A4032" s="2" t="s">
        <v>8163</v>
      </c>
      <c r="B4032" s="2" t="s">
        <v>8164</v>
      </c>
      <c r="C4032" s="2" t="s">
        <v>26</v>
      </c>
      <c r="D4032" s="2" t="s">
        <v>27</v>
      </c>
      <c r="E4032" s="5">
        <v>-28933</v>
      </c>
      <c r="F4032" s="3" t="s">
        <v>720</v>
      </c>
      <c r="G4032" s="3" t="s">
        <v>20</v>
      </c>
      <c r="H4032" s="2" t="s">
        <v>30</v>
      </c>
      <c r="I4032" s="2" t="s">
        <v>8165</v>
      </c>
      <c r="J4032" s="3" t="str">
        <f>HYPERLINK("https://www.boe.es/gazeta/dias/1820/10/12/pdfs/GGB-1820-106.pdf#page=4","Abrir facsímil")</f>
        <v>Abrir facsímil</v>
      </c>
      <c r="K4032" s="3" t="s">
        <v>32</v>
      </c>
    </row>
    <row r="4033" spans="1:11" ht="42" customHeight="1">
      <c r="A4033" s="2" t="s">
        <v>8166</v>
      </c>
      <c r="B4033" s="2" t="s">
        <v>8167</v>
      </c>
      <c r="C4033" s="2" t="s">
        <v>74</v>
      </c>
      <c r="D4033" s="2" t="s">
        <v>18</v>
      </c>
      <c r="E4033" s="5">
        <v>-28995</v>
      </c>
      <c r="F4033" s="3" t="s">
        <v>672</v>
      </c>
      <c r="G4033" s="3" t="s">
        <v>1557</v>
      </c>
      <c r="H4033" s="2" t="s">
        <v>21</v>
      </c>
      <c r="I4033" s="2" t="s">
        <v>8168</v>
      </c>
      <c r="J4033" s="3" t="str">
        <f>HYPERLINK("https://www.boe.es/gazeta/dias/1820/08/11/pdfs/GGB-1820-44.pdf#page=2","Abrir facsímil")</f>
        <v>Abrir facsímil</v>
      </c>
      <c r="K4033" s="3" t="s">
        <v>23</v>
      </c>
    </row>
    <row r="4034" spans="1:11" ht="42" customHeight="1">
      <c r="A4034" s="2" t="s">
        <v>8169</v>
      </c>
      <c r="B4034" s="2" t="s">
        <v>8170</v>
      </c>
      <c r="C4034" s="2" t="s">
        <v>35</v>
      </c>
      <c r="D4034" s="2" t="s">
        <v>36</v>
      </c>
      <c r="E4034" s="5">
        <v>-28953</v>
      </c>
      <c r="F4034" s="3" t="s">
        <v>367</v>
      </c>
      <c r="G4034" s="3" t="s">
        <v>2925</v>
      </c>
      <c r="H4034" s="2" t="s">
        <v>21</v>
      </c>
      <c r="I4034" s="2" t="s">
        <v>8171</v>
      </c>
      <c r="J4034" s="3" t="str">
        <f>HYPERLINK("https://www.boe.es/gazeta/dias/1820/09/22/pdfs/GGB-1820-86.pdf#page=2","Abrir facsímil")</f>
        <v>Abrir facsímil</v>
      </c>
      <c r="K4034" s="3" t="s">
        <v>23</v>
      </c>
    </row>
    <row r="4035" spans="1:11" ht="42" customHeight="1">
      <c r="A4035" s="2" t="s">
        <v>8172</v>
      </c>
      <c r="B4035" s="2" t="s">
        <v>8173</v>
      </c>
      <c r="C4035" s="2" t="s">
        <v>35</v>
      </c>
      <c r="D4035" s="2" t="s">
        <v>36</v>
      </c>
      <c r="E4035" s="5">
        <v>-29213</v>
      </c>
      <c r="F4035" s="3" t="s">
        <v>195</v>
      </c>
      <c r="G4035" s="3" t="s">
        <v>256</v>
      </c>
      <c r="H4035" s="2" t="s">
        <v>21</v>
      </c>
      <c r="I4035" s="2" t="s">
        <v>8174</v>
      </c>
      <c r="J4035" s="3" t="str">
        <f>HYPERLINK("https://www.boe.es/gazeta/dias/1820/01/06/pdfs/GMD-1820-3.pdf#page=5","Abrir facsímil")</f>
        <v>Abrir facsímil</v>
      </c>
      <c r="K4035" s="3" t="s">
        <v>23</v>
      </c>
    </row>
    <row r="4036" spans="1:11" ht="42" customHeight="1">
      <c r="A4036" s="2" t="s">
        <v>8175</v>
      </c>
      <c r="B4036" s="2" t="s">
        <v>8176</v>
      </c>
      <c r="C4036" s="2" t="s">
        <v>26</v>
      </c>
      <c r="D4036" s="2" t="s">
        <v>27</v>
      </c>
      <c r="E4036" s="5">
        <v>-28892</v>
      </c>
      <c r="F4036" s="3" t="s">
        <v>3036</v>
      </c>
      <c r="G4036" s="3" t="s">
        <v>43</v>
      </c>
      <c r="H4036" s="2" t="s">
        <v>21</v>
      </c>
      <c r="I4036" s="2" t="s">
        <v>8177</v>
      </c>
      <c r="J4036" s="3" t="str">
        <f>HYPERLINK("https://www.boe.es/gazeta/dias/1820/11/22/pdfs/GGB-1820-149.pdf#page=2","Abrir facsímil")</f>
        <v>Abrir facsímil</v>
      </c>
      <c r="K4036" s="3" t="s">
        <v>23</v>
      </c>
    </row>
    <row r="4037" spans="1:11" ht="42" customHeight="1">
      <c r="A4037" s="2" t="s">
        <v>8178</v>
      </c>
      <c r="B4037" s="2" t="s">
        <v>8179</v>
      </c>
      <c r="C4037" s="2" t="s">
        <v>26</v>
      </c>
      <c r="D4037" s="2" t="s">
        <v>27</v>
      </c>
      <c r="E4037" s="5">
        <v>-28892</v>
      </c>
      <c r="F4037" s="3" t="s">
        <v>3036</v>
      </c>
      <c r="G4037" s="3" t="s">
        <v>62</v>
      </c>
      <c r="H4037" s="2" t="s">
        <v>21</v>
      </c>
      <c r="I4037" s="2" t="s">
        <v>8180</v>
      </c>
      <c r="J4037" s="3" t="str">
        <f>HYPERLINK("https://www.boe.es/gazeta/dias/1820/11/22/pdfs/GGB-1820-149.pdf#page=3","Abrir facsímil")</f>
        <v>Abrir facsímil</v>
      </c>
      <c r="K4037" s="3" t="s">
        <v>23</v>
      </c>
    </row>
    <row r="4038" spans="1:11" ht="42" customHeight="1">
      <c r="A4038" s="2" t="s">
        <v>8181</v>
      </c>
      <c r="B4038" s="2" t="s">
        <v>8181</v>
      </c>
      <c r="C4038" s="2" t="s">
        <v>35</v>
      </c>
      <c r="D4038" s="2" t="s">
        <v>36</v>
      </c>
      <c r="E4038" s="5">
        <v>-28982</v>
      </c>
      <c r="F4038" s="3" t="s">
        <v>173</v>
      </c>
      <c r="G4038" s="3" t="s">
        <v>529</v>
      </c>
      <c r="H4038" s="2" t="s">
        <v>21</v>
      </c>
      <c r="I4038" s="2" t="s">
        <v>8182</v>
      </c>
      <c r="J4038" s="3" t="str">
        <f>HYPERLINK("https://www.boe.es/gazeta/dias/1820/08/24/pdfs/GGB-1820-57.pdf#page=4","Abrir facsímil")</f>
        <v>Abrir facsímil</v>
      </c>
      <c r="K4038" s="3" t="s">
        <v>23</v>
      </c>
    </row>
    <row r="4039" spans="1:11" ht="42" customHeight="1">
      <c r="A4039" s="2" t="s">
        <v>8183</v>
      </c>
      <c r="B4039" s="2" t="s">
        <v>8183</v>
      </c>
      <c r="C4039" s="2" t="s">
        <v>26</v>
      </c>
      <c r="D4039" s="2" t="s">
        <v>27</v>
      </c>
      <c r="E4039" s="5">
        <v>-29025</v>
      </c>
      <c r="F4039" s="3" t="s">
        <v>902</v>
      </c>
      <c r="G4039" s="3" t="s">
        <v>62</v>
      </c>
      <c r="H4039" s="2" t="s">
        <v>21</v>
      </c>
      <c r="I4039" s="2" t="s">
        <v>8184</v>
      </c>
      <c r="J4039" s="3" t="str">
        <f>HYPERLINK("https://www.boe.es/gazeta/dias/1820/07/12/pdfs/GGB-1820-14.pdf#page=3","Abrir facsímil")</f>
        <v>Abrir facsímil</v>
      </c>
      <c r="K4039" s="3" t="s">
        <v>23</v>
      </c>
    </row>
    <row r="4040" spans="1:11" ht="42" customHeight="1">
      <c r="A4040" s="2" t="s">
        <v>8183</v>
      </c>
      <c r="B4040" s="2" t="s">
        <v>8183</v>
      </c>
      <c r="C4040" s="2" t="s">
        <v>17</v>
      </c>
      <c r="D4040" s="2" t="s">
        <v>18</v>
      </c>
      <c r="E4040" s="5">
        <v>-28990</v>
      </c>
      <c r="F4040" s="3" t="s">
        <v>61</v>
      </c>
      <c r="G4040" s="3" t="s">
        <v>1438</v>
      </c>
      <c r="H4040" s="2" t="s">
        <v>21</v>
      </c>
      <c r="I4040" s="2" t="s">
        <v>8185</v>
      </c>
      <c r="J4040" s="3" t="str">
        <f>HYPERLINK("https://www.boe.es/gazeta/dias/1820/08/16/pdfs/GGB-1820-49.pdf#page=4","Abrir facsímil")</f>
        <v>Abrir facsímil</v>
      </c>
      <c r="K4040" s="3" t="s">
        <v>23</v>
      </c>
    </row>
    <row r="4041" spans="1:11" ht="42" customHeight="1">
      <c r="A4041" s="2" t="s">
        <v>8183</v>
      </c>
      <c r="B4041" s="2" t="s">
        <v>8183</v>
      </c>
      <c r="C4041" s="2" t="s">
        <v>26</v>
      </c>
      <c r="D4041" s="2" t="s">
        <v>27</v>
      </c>
      <c r="E4041" s="5">
        <v>-28966</v>
      </c>
      <c r="F4041" s="3" t="s">
        <v>701</v>
      </c>
      <c r="G4041" s="3" t="s">
        <v>20</v>
      </c>
      <c r="H4041" s="2" t="s">
        <v>21</v>
      </c>
      <c r="I4041" s="2" t="s">
        <v>8186</v>
      </c>
      <c r="J4041" s="3" t="str">
        <f>HYPERLINK("https://www.boe.es/gazeta/dias/1820/09/09/pdfs/GGB-1820-73.pdf#page=4","Abrir facsímil")</f>
        <v>Abrir facsímil</v>
      </c>
      <c r="K4041" s="3" t="s">
        <v>23</v>
      </c>
    </row>
    <row r="4042" spans="1:11" ht="42" customHeight="1">
      <c r="A4042" s="2" t="s">
        <v>8183</v>
      </c>
      <c r="B4042" s="2" t="s">
        <v>8183</v>
      </c>
      <c r="C4042" s="2" t="s">
        <v>26</v>
      </c>
      <c r="D4042" s="2" t="s">
        <v>27</v>
      </c>
      <c r="E4042" s="5">
        <v>-28961</v>
      </c>
      <c r="F4042" s="3" t="s">
        <v>242</v>
      </c>
      <c r="G4042" s="3" t="s">
        <v>43</v>
      </c>
      <c r="H4042" s="2" t="s">
        <v>21</v>
      </c>
      <c r="I4042" s="2" t="s">
        <v>8187</v>
      </c>
      <c r="J4042" s="3" t="str">
        <f>HYPERLINK("https://www.boe.es/gazeta/dias/1820/09/14/pdfs/GGB-1820-78.pdf#page=2","Abrir facsímil")</f>
        <v>Abrir facsímil</v>
      </c>
      <c r="K4042" s="3" t="s">
        <v>23</v>
      </c>
    </row>
    <row r="4043" spans="1:11" ht="42" customHeight="1">
      <c r="A4043" s="2" t="s">
        <v>8183</v>
      </c>
      <c r="B4043" s="2" t="s">
        <v>8183</v>
      </c>
      <c r="C4043" s="2" t="s">
        <v>74</v>
      </c>
      <c r="D4043" s="2" t="s">
        <v>18</v>
      </c>
      <c r="E4043" s="5">
        <v>-28951</v>
      </c>
      <c r="F4043" s="3" t="s">
        <v>622</v>
      </c>
      <c r="G4043" s="3" t="s">
        <v>62</v>
      </c>
      <c r="H4043" s="2" t="s">
        <v>21</v>
      </c>
      <c r="I4043" s="2" t="s">
        <v>8188</v>
      </c>
      <c r="J4043" s="3" t="str">
        <f>HYPERLINK("https://www.boe.es/gazeta/dias/1820/09/24/pdfs/GGB-1820-88.pdf#page=3","Abrir facsímil")</f>
        <v>Abrir facsímil</v>
      </c>
      <c r="K4043" s="3" t="s">
        <v>23</v>
      </c>
    </row>
    <row r="4044" spans="1:11" ht="42" customHeight="1">
      <c r="A4044" s="2" t="s">
        <v>8183</v>
      </c>
      <c r="B4044" s="2" t="s">
        <v>8183</v>
      </c>
      <c r="C4044" s="2" t="s">
        <v>74</v>
      </c>
      <c r="D4044" s="2" t="s">
        <v>18</v>
      </c>
      <c r="E4044" s="5">
        <v>-28919</v>
      </c>
      <c r="F4044" s="3" t="s">
        <v>516</v>
      </c>
      <c r="G4044" s="3" t="s">
        <v>62</v>
      </c>
      <c r="H4044" s="2" t="s">
        <v>21</v>
      </c>
      <c r="I4044" s="2" t="s">
        <v>8189</v>
      </c>
      <c r="J4044" s="3" t="str">
        <f>HYPERLINK("https://www.boe.es/gazeta/dias/1820/10/26/pdfs/GGB-1820-120.pdf#page=3","Abrir facsímil")</f>
        <v>Abrir facsímil</v>
      </c>
      <c r="K4044" s="3" t="s">
        <v>23</v>
      </c>
    </row>
    <row r="4045" spans="1:11" ht="42" customHeight="1">
      <c r="A4045" s="2" t="s">
        <v>8190</v>
      </c>
      <c r="B4045" s="2" t="s">
        <v>8191</v>
      </c>
      <c r="C4045" s="2" t="s">
        <v>35</v>
      </c>
      <c r="D4045" s="2" t="s">
        <v>36</v>
      </c>
      <c r="E4045" s="5">
        <v>-29018</v>
      </c>
      <c r="F4045" s="3" t="s">
        <v>601</v>
      </c>
      <c r="G4045" s="3" t="s">
        <v>62</v>
      </c>
      <c r="H4045" s="2" t="s">
        <v>21</v>
      </c>
      <c r="I4045" s="2" t="s">
        <v>8192</v>
      </c>
      <c r="J4045" s="3" t="str">
        <f>HYPERLINK("https://www.boe.es/gazeta/dias/1820/07/19/pdfs/GGB-1820-21.pdf#page=3","Abrir facsímil")</f>
        <v>Abrir facsímil</v>
      </c>
      <c r="K4045" s="3" t="s">
        <v>23</v>
      </c>
    </row>
    <row r="4046" spans="1:11" ht="42" customHeight="1">
      <c r="A4046" s="2" t="s">
        <v>8193</v>
      </c>
      <c r="B4046" s="2" t="s">
        <v>8193</v>
      </c>
      <c r="C4046" s="2" t="s">
        <v>35</v>
      </c>
      <c r="D4046" s="2" t="s">
        <v>36</v>
      </c>
      <c r="E4046" s="5">
        <v>-28928</v>
      </c>
      <c r="F4046" s="3" t="s">
        <v>86</v>
      </c>
      <c r="G4046" s="3" t="s">
        <v>62</v>
      </c>
      <c r="H4046" s="2" t="s">
        <v>21</v>
      </c>
      <c r="I4046" s="2" t="s">
        <v>8194</v>
      </c>
      <c r="J4046" s="3" t="str">
        <f>HYPERLINK("https://www.boe.es/gazeta/dias/1820/10/17/pdfs/GGB-1820-111.pdf#page=3","Abrir facsímil")</f>
        <v>Abrir facsímil</v>
      </c>
      <c r="K4046" s="3" t="s">
        <v>23</v>
      </c>
    </row>
    <row r="4047" spans="1:11" ht="42" customHeight="1">
      <c r="A4047" s="2" t="s">
        <v>8193</v>
      </c>
      <c r="B4047" s="2" t="s">
        <v>8193</v>
      </c>
      <c r="C4047" s="2" t="s">
        <v>17</v>
      </c>
      <c r="D4047" s="2" t="s">
        <v>18</v>
      </c>
      <c r="E4047" s="5">
        <v>-28922</v>
      </c>
      <c r="F4047" s="3" t="s">
        <v>735</v>
      </c>
      <c r="G4047" s="3" t="s">
        <v>43</v>
      </c>
      <c r="H4047" s="2" t="s">
        <v>21</v>
      </c>
      <c r="I4047" s="2" t="s">
        <v>8195</v>
      </c>
      <c r="J4047" s="3" t="str">
        <f>HYPERLINK("https://www.boe.es/gazeta/dias/1820/10/23/pdfs/GGB-1820-117.pdf#page=2","Abrir facsímil")</f>
        <v>Abrir facsímil</v>
      </c>
      <c r="K4047" s="3" t="s">
        <v>23</v>
      </c>
    </row>
    <row r="4048" spans="1:11" ht="42" customHeight="1">
      <c r="A4048" s="2" t="s">
        <v>8196</v>
      </c>
      <c r="B4048" s="2" t="s">
        <v>8196</v>
      </c>
      <c r="C4048" s="2" t="s">
        <v>35</v>
      </c>
      <c r="D4048" s="2" t="s">
        <v>36</v>
      </c>
      <c r="E4048" s="5">
        <v>-29015</v>
      </c>
      <c r="F4048" s="3" t="s">
        <v>359</v>
      </c>
      <c r="G4048" s="3" t="s">
        <v>62</v>
      </c>
      <c r="H4048" s="2" t="s">
        <v>21</v>
      </c>
      <c r="I4048" s="2" t="s">
        <v>8197</v>
      </c>
      <c r="J4048" s="3" t="str">
        <f>HYPERLINK("https://www.boe.es/gazeta/dias/1820/07/22/pdfs/GGB-1820-24.pdf#page=3","Abrir facsímil")</f>
        <v>Abrir facsímil</v>
      </c>
      <c r="K4048" s="3" t="s">
        <v>23</v>
      </c>
    </row>
    <row r="4049" spans="1:11" ht="42" customHeight="1">
      <c r="A4049" s="2" t="s">
        <v>8198</v>
      </c>
      <c r="B4049" s="2" t="s">
        <v>8199</v>
      </c>
      <c r="C4049" s="2" t="s">
        <v>26</v>
      </c>
      <c r="D4049" s="2" t="s">
        <v>27</v>
      </c>
      <c r="E4049" s="5">
        <v>-28948</v>
      </c>
      <c r="F4049" s="3" t="s">
        <v>1069</v>
      </c>
      <c r="G4049" s="3" t="s">
        <v>43</v>
      </c>
      <c r="H4049" s="2" t="s">
        <v>21</v>
      </c>
      <c r="I4049" s="2" t="s">
        <v>8200</v>
      </c>
      <c r="J4049" s="3" t="str">
        <f>HYPERLINK("https://www.boe.es/gazeta/dias/1820/09/27/pdfs/GGB-1820-91.pdf#page=2","Abrir facsímil")</f>
        <v>Abrir facsímil</v>
      </c>
      <c r="K4049" s="3" t="s">
        <v>23</v>
      </c>
    </row>
    <row r="4050" spans="1:11" ht="42" customHeight="1">
      <c r="A4050" s="2" t="s">
        <v>8201</v>
      </c>
      <c r="B4050" s="2" t="s">
        <v>8201</v>
      </c>
      <c r="C4050" s="2" t="s">
        <v>26</v>
      </c>
      <c r="D4050" s="2" t="s">
        <v>27</v>
      </c>
      <c r="E4050" s="5">
        <v>-29178</v>
      </c>
      <c r="F4050" s="3" t="s">
        <v>782</v>
      </c>
      <c r="G4050" s="3" t="s">
        <v>76</v>
      </c>
      <c r="H4050" s="2" t="s">
        <v>21</v>
      </c>
      <c r="I4050" s="2" t="s">
        <v>8202</v>
      </c>
      <c r="J4050" s="3" t="str">
        <f>HYPERLINK("https://www.boe.es/gazeta/dias/1820/02/10/pdfs/GMD-1820-18.pdf#page=6","Abrir facsímil")</f>
        <v>Abrir facsímil</v>
      </c>
      <c r="K4050" s="3" t="s">
        <v>23</v>
      </c>
    </row>
    <row r="4051" spans="1:11" ht="42" customHeight="1">
      <c r="A4051" s="2" t="s">
        <v>8203</v>
      </c>
      <c r="B4051" s="2" t="s">
        <v>8204</v>
      </c>
      <c r="C4051" s="2" t="s">
        <v>26</v>
      </c>
      <c r="D4051" s="2" t="s">
        <v>27</v>
      </c>
      <c r="E4051" s="5">
        <v>-29178</v>
      </c>
      <c r="F4051" s="3" t="s">
        <v>782</v>
      </c>
      <c r="G4051" s="3" t="s">
        <v>76</v>
      </c>
      <c r="H4051" s="2" t="s">
        <v>21</v>
      </c>
      <c r="I4051" s="2" t="s">
        <v>8205</v>
      </c>
      <c r="J4051" s="3" t="str">
        <f>HYPERLINK("https://www.boe.es/gazeta/dias/1820/02/10/pdfs/GMD-1820-18.pdf#page=6","Abrir facsímil")</f>
        <v>Abrir facsímil</v>
      </c>
      <c r="K4051" s="3" t="s">
        <v>23</v>
      </c>
    </row>
    <row r="4052" spans="1:11" ht="42" customHeight="1">
      <c r="A4052" s="2" t="s">
        <v>8203</v>
      </c>
      <c r="B4052" s="2" t="s">
        <v>8204</v>
      </c>
      <c r="C4052" s="2" t="s">
        <v>26</v>
      </c>
      <c r="D4052" s="2" t="s">
        <v>27</v>
      </c>
      <c r="E4052" s="5">
        <v>-29178</v>
      </c>
      <c r="F4052" s="3" t="s">
        <v>782</v>
      </c>
      <c r="G4052" s="3" t="s">
        <v>256</v>
      </c>
      <c r="H4052" s="2" t="s">
        <v>21</v>
      </c>
      <c r="I4052" s="2" t="s">
        <v>8206</v>
      </c>
      <c r="J4052" s="3" t="str">
        <f>HYPERLINK("https://www.boe.es/gazeta/dias/1820/02/10/pdfs/GMD-1820-18.pdf#page=5","Abrir facsímil")</f>
        <v>Abrir facsímil</v>
      </c>
      <c r="K4052" s="3" t="s">
        <v>23</v>
      </c>
    </row>
    <row r="4053" spans="1:11" ht="42" customHeight="1">
      <c r="A4053" s="2" t="s">
        <v>8207</v>
      </c>
      <c r="B4053" s="2" t="s">
        <v>8208</v>
      </c>
      <c r="C4053" s="2" t="s">
        <v>35</v>
      </c>
      <c r="D4053" s="2" t="s">
        <v>36</v>
      </c>
      <c r="E4053" s="5">
        <v>-29171</v>
      </c>
      <c r="F4053" s="3" t="s">
        <v>764</v>
      </c>
      <c r="G4053" s="3" t="s">
        <v>20</v>
      </c>
      <c r="H4053" s="2" t="s">
        <v>21</v>
      </c>
      <c r="I4053" s="2" t="s">
        <v>8209</v>
      </c>
      <c r="J4053" s="3" t="str">
        <f>HYPERLINK("https://www.boe.es/gazeta/dias/1820/02/17/pdfs/GMD-1820-21.pdf#page=4","Abrir facsímil")</f>
        <v>Abrir facsímil</v>
      </c>
      <c r="K4053" s="3" t="s">
        <v>23</v>
      </c>
    </row>
    <row r="4054" spans="1:11" ht="42" customHeight="1">
      <c r="A4054" s="2" t="s">
        <v>8210</v>
      </c>
      <c r="B4054" s="2" t="s">
        <v>8211</v>
      </c>
      <c r="C4054" s="2" t="s">
        <v>26</v>
      </c>
      <c r="D4054" s="2" t="s">
        <v>27</v>
      </c>
      <c r="E4054" s="5">
        <v>-29117</v>
      </c>
      <c r="F4054" s="3" t="s">
        <v>1451</v>
      </c>
      <c r="G4054" s="3" t="s">
        <v>201</v>
      </c>
      <c r="H4054" s="2" t="s">
        <v>21</v>
      </c>
      <c r="I4054" s="2" t="s">
        <v>8212</v>
      </c>
      <c r="J4054" s="3" t="str">
        <f>HYPERLINK("https://www.boe.es/gazeta/dias/1820/04/11/pdfs/GMD-1820-64.pdf#page=7","Abrir facsímil")</f>
        <v>Abrir facsímil</v>
      </c>
      <c r="K4054" s="3" t="s">
        <v>23</v>
      </c>
    </row>
    <row r="4055" spans="1:11" ht="42" customHeight="1">
      <c r="A4055" s="2" t="s">
        <v>8213</v>
      </c>
      <c r="B4055" s="2" t="s">
        <v>8214</v>
      </c>
      <c r="C4055" s="2" t="s">
        <v>26</v>
      </c>
      <c r="D4055" s="2" t="s">
        <v>27</v>
      </c>
      <c r="E4055" s="5">
        <v>-28890</v>
      </c>
      <c r="F4055" s="3" t="s">
        <v>248</v>
      </c>
      <c r="G4055" s="3" t="s">
        <v>20</v>
      </c>
      <c r="H4055" s="2" t="s">
        <v>21</v>
      </c>
      <c r="I4055" s="2" t="s">
        <v>8215</v>
      </c>
      <c r="J4055" s="3" t="str">
        <f>HYPERLINK("https://www.boe.es/gazeta/dias/1820/11/24/pdfs/GGB-1820-151.pdf#page=4","Abrir facsímil")</f>
        <v>Abrir facsímil</v>
      </c>
      <c r="K4055" s="3" t="s">
        <v>23</v>
      </c>
    </row>
    <row r="4056" spans="1:11" ht="42" customHeight="1">
      <c r="A4056" s="2" t="s">
        <v>8216</v>
      </c>
      <c r="B4056" s="2" t="s">
        <v>8217</v>
      </c>
      <c r="C4056" s="2" t="s">
        <v>26</v>
      </c>
      <c r="D4056" s="2" t="s">
        <v>27</v>
      </c>
      <c r="E4056" s="5">
        <v>-29068</v>
      </c>
      <c r="F4056" s="3" t="s">
        <v>943</v>
      </c>
      <c r="G4056" s="3" t="s">
        <v>38</v>
      </c>
      <c r="H4056" s="2" t="s">
        <v>21</v>
      </c>
      <c r="I4056" s="2" t="s">
        <v>8218</v>
      </c>
      <c r="J4056" s="3" t="str">
        <f>HYPERLINK("https://www.boe.es/gazeta/dias/1820/05/30/pdfs/GMD-1820-87.pdf#page=6","Abrir facsímil")</f>
        <v>Abrir facsímil</v>
      </c>
      <c r="K4056" s="3" t="s">
        <v>23</v>
      </c>
    </row>
    <row r="4057" spans="1:11" ht="42" customHeight="1">
      <c r="A4057" s="2" t="s">
        <v>8219</v>
      </c>
      <c r="B4057" s="2" t="s">
        <v>8219</v>
      </c>
      <c r="C4057" s="2" t="s">
        <v>26</v>
      </c>
      <c r="D4057" s="2" t="s">
        <v>27</v>
      </c>
      <c r="E4057" s="5">
        <v>-28900</v>
      </c>
      <c r="F4057" s="3" t="s">
        <v>878</v>
      </c>
      <c r="G4057" s="3" t="s">
        <v>62</v>
      </c>
      <c r="H4057" s="2" t="s">
        <v>21</v>
      </c>
      <c r="I4057" s="2" t="s">
        <v>8220</v>
      </c>
      <c r="J4057" s="3" t="str">
        <f>HYPERLINK("https://www.boe.es/gazeta/dias/1820/11/14/pdfs/GGB-1820-140.pdf#page=3","Abrir facsímil")</f>
        <v>Abrir facsímil</v>
      </c>
      <c r="K4057" s="3" t="s">
        <v>23</v>
      </c>
    </row>
    <row r="4058" spans="1:11" ht="42" customHeight="1">
      <c r="A4058" s="2" t="s">
        <v>8221</v>
      </c>
      <c r="B4058" s="2" t="s">
        <v>8221</v>
      </c>
      <c r="C4058" s="2" t="s">
        <v>26</v>
      </c>
      <c r="D4058" s="2" t="s">
        <v>27</v>
      </c>
      <c r="E4058" s="5">
        <v>-28854</v>
      </c>
      <c r="F4058" s="3" t="s">
        <v>147</v>
      </c>
      <c r="G4058" s="3" t="s">
        <v>20</v>
      </c>
      <c r="H4058" s="2" t="s">
        <v>21</v>
      </c>
      <c r="I4058" s="2" t="s">
        <v>8222</v>
      </c>
      <c r="J4058" s="3" t="str">
        <f>HYPERLINK("https://www.boe.es/gazeta/dias/1820/12/30/pdfs/GGB-1820-187.pdf#page=4","Abrir facsímil")</f>
        <v>Abrir facsímil</v>
      </c>
      <c r="K4058" s="3" t="s">
        <v>23</v>
      </c>
    </row>
    <row r="4059" spans="1:11" ht="42" customHeight="1">
      <c r="A4059" s="2" t="s">
        <v>8223</v>
      </c>
      <c r="B4059" s="2" t="s">
        <v>8224</v>
      </c>
      <c r="C4059" s="2" t="s">
        <v>26</v>
      </c>
      <c r="D4059" s="2" t="s">
        <v>27</v>
      </c>
      <c r="E4059" s="5">
        <v>-29001</v>
      </c>
      <c r="F4059" s="3" t="s">
        <v>633</v>
      </c>
      <c r="G4059" s="3" t="s">
        <v>128</v>
      </c>
      <c r="H4059" s="2" t="s">
        <v>30</v>
      </c>
      <c r="I4059" s="2" t="s">
        <v>8225</v>
      </c>
      <c r="J4059" s="3" t="str">
        <f>HYPERLINK("https://www.boe.es/gazeta/dias/1820/08/05/pdfs/GGB-1820-38.pdf#page=1","Abrir facsímil")</f>
        <v>Abrir facsímil</v>
      </c>
      <c r="K4059" s="3" t="s">
        <v>32</v>
      </c>
    </row>
    <row r="4060" spans="1:11" ht="42" customHeight="1">
      <c r="A4060" s="2" t="s">
        <v>8226</v>
      </c>
      <c r="B4060" s="2" t="s">
        <v>8226</v>
      </c>
      <c r="C4060" s="2" t="s">
        <v>35</v>
      </c>
      <c r="D4060" s="2" t="s">
        <v>36</v>
      </c>
      <c r="E4060" s="5">
        <v>-29213</v>
      </c>
      <c r="F4060" s="3" t="s">
        <v>195</v>
      </c>
      <c r="G4060" s="3" t="s">
        <v>256</v>
      </c>
      <c r="H4060" s="2" t="s">
        <v>21</v>
      </c>
      <c r="I4060" s="2" t="s">
        <v>8227</v>
      </c>
      <c r="J4060" s="3" t="str">
        <f>HYPERLINK("https://www.boe.es/gazeta/dias/1820/01/06/pdfs/GMD-1820-3.pdf#page=5","Abrir facsímil")</f>
        <v>Abrir facsímil</v>
      </c>
      <c r="K4060" s="3" t="s">
        <v>23</v>
      </c>
    </row>
    <row r="4061" spans="1:11" ht="42" customHeight="1">
      <c r="A4061" s="2" t="s">
        <v>8228</v>
      </c>
      <c r="B4061" s="2" t="s">
        <v>8229</v>
      </c>
      <c r="C4061" s="2" t="s">
        <v>293</v>
      </c>
      <c r="D4061" s="2" t="s">
        <v>18</v>
      </c>
      <c r="E4061" s="5">
        <v>-29082</v>
      </c>
      <c r="F4061" s="3" t="s">
        <v>478</v>
      </c>
      <c r="G4061" s="3" t="s">
        <v>479</v>
      </c>
      <c r="H4061" s="2" t="s">
        <v>21</v>
      </c>
      <c r="I4061" s="2" t="s">
        <v>8230</v>
      </c>
      <c r="J4061" s="3" t="str">
        <f>HYPERLINK("https://www.boe.es/gazeta/dias/1820/05/16/pdfs/GMD-1820-80.pdf#page=12","Abrir facsímil")</f>
        <v>Abrir facsímil</v>
      </c>
      <c r="K4061" s="3" t="s">
        <v>23</v>
      </c>
    </row>
    <row r="4062" spans="1:11" ht="42" customHeight="1">
      <c r="A4062" s="2" t="s">
        <v>8231</v>
      </c>
      <c r="B4062" s="2" t="s">
        <v>8232</v>
      </c>
      <c r="C4062" s="2" t="s">
        <v>107</v>
      </c>
      <c r="D4062" s="2" t="s">
        <v>18</v>
      </c>
      <c r="E4062" s="5">
        <v>-28894</v>
      </c>
      <c r="F4062" s="3" t="s">
        <v>469</v>
      </c>
      <c r="G4062" s="3" t="s">
        <v>20</v>
      </c>
      <c r="H4062" s="2" t="s">
        <v>21</v>
      </c>
      <c r="I4062" s="2" t="s">
        <v>8233</v>
      </c>
      <c r="J4062" s="3" t="str">
        <f>HYPERLINK("https://www.boe.es/gazeta/dias/1820/11/20/pdfs/GGB-1820-147.pdf#page=4","Abrir facsímil")</f>
        <v>Abrir facsímil</v>
      </c>
      <c r="K4062" s="3" t="s">
        <v>23</v>
      </c>
    </row>
    <row r="4063" spans="1:11" ht="42" customHeight="1">
      <c r="A4063" s="2" t="s">
        <v>8234</v>
      </c>
      <c r="B4063" s="2" t="s">
        <v>8235</v>
      </c>
      <c r="C4063" s="2" t="s">
        <v>35</v>
      </c>
      <c r="D4063" s="2" t="s">
        <v>36</v>
      </c>
      <c r="E4063" s="5">
        <v>-29015</v>
      </c>
      <c r="F4063" s="3" t="s">
        <v>359</v>
      </c>
      <c r="G4063" s="3" t="s">
        <v>43</v>
      </c>
      <c r="H4063" s="2" t="s">
        <v>21</v>
      </c>
      <c r="I4063" s="2" t="s">
        <v>8236</v>
      </c>
      <c r="J4063" s="3" t="str">
        <f>HYPERLINK("https://www.boe.es/gazeta/dias/1820/07/22/pdfs/GGB-1820-24.pdf#page=2","Abrir facsímil")</f>
        <v>Abrir facsímil</v>
      </c>
      <c r="K4063" s="3" t="s">
        <v>23</v>
      </c>
    </row>
    <row r="4064" spans="1:11" ht="42" customHeight="1">
      <c r="A4064" s="2" t="s">
        <v>8237</v>
      </c>
      <c r="B4064" s="2" t="s">
        <v>8238</v>
      </c>
      <c r="C4064" s="2" t="s">
        <v>26</v>
      </c>
      <c r="D4064" s="2" t="s">
        <v>27</v>
      </c>
      <c r="E4064" s="5">
        <v>-29120</v>
      </c>
      <c r="F4064" s="3" t="s">
        <v>852</v>
      </c>
      <c r="G4064" s="3" t="s">
        <v>295</v>
      </c>
      <c r="H4064" s="2" t="s">
        <v>21</v>
      </c>
      <c r="I4064" s="2" t="s">
        <v>8239</v>
      </c>
      <c r="J4064" s="3" t="str">
        <f>HYPERLINK("https://www.boe.es/gazeta/dias/1820/04/08/pdfs/GMD-1820-63.pdf#page=8","Abrir facsímil")</f>
        <v>Abrir facsímil</v>
      </c>
      <c r="K4064" s="3" t="s">
        <v>23</v>
      </c>
    </row>
    <row r="4065" spans="1:11" ht="42" customHeight="1">
      <c r="A4065" s="2" t="s">
        <v>8240</v>
      </c>
      <c r="B4065" s="2" t="s">
        <v>8240</v>
      </c>
      <c r="C4065" s="2" t="s">
        <v>35</v>
      </c>
      <c r="D4065" s="2" t="s">
        <v>36</v>
      </c>
      <c r="E4065" s="5">
        <v>-28998</v>
      </c>
      <c r="F4065" s="3" t="s">
        <v>629</v>
      </c>
      <c r="G4065" s="3" t="s">
        <v>43</v>
      </c>
      <c r="H4065" s="2" t="s">
        <v>21</v>
      </c>
      <c r="I4065" s="2" t="s">
        <v>8241</v>
      </c>
      <c r="J4065" s="3" t="str">
        <f>HYPERLINK("https://www.boe.es/gazeta/dias/1820/08/08/pdfs/GGB-1820-41.pdf#page=2","Abrir facsímil")</f>
        <v>Abrir facsímil</v>
      </c>
      <c r="K4065" s="3" t="s">
        <v>23</v>
      </c>
    </row>
    <row r="4066" spans="1:11" ht="42" customHeight="1">
      <c r="A4066" s="2" t="s">
        <v>8242</v>
      </c>
      <c r="B4066" s="2" t="s">
        <v>8243</v>
      </c>
      <c r="C4066" s="2" t="s">
        <v>26</v>
      </c>
      <c r="D4066" s="2" t="s">
        <v>27</v>
      </c>
      <c r="E4066" s="5">
        <v>-28975</v>
      </c>
      <c r="F4066" s="3" t="s">
        <v>182</v>
      </c>
      <c r="G4066" s="3" t="s">
        <v>183</v>
      </c>
      <c r="H4066" s="2" t="s">
        <v>21</v>
      </c>
      <c r="I4066" s="2" t="s">
        <v>8244</v>
      </c>
      <c r="J4066" s="3" t="str">
        <f>HYPERLINK("https://www.boe.es/gazeta/dias/1820/08/31/pdfs/GGB-1820-64.pdf#page=4","Abrir facsímil")</f>
        <v>Abrir facsímil</v>
      </c>
      <c r="K4066" s="3" t="s">
        <v>23</v>
      </c>
    </row>
    <row r="4067" spans="1:11" ht="42" customHeight="1">
      <c r="A4067" s="2" t="s">
        <v>8245</v>
      </c>
      <c r="B4067" s="2" t="s">
        <v>8246</v>
      </c>
      <c r="C4067" s="2" t="s">
        <v>26</v>
      </c>
      <c r="D4067" s="2" t="s">
        <v>27</v>
      </c>
      <c r="E4067" s="5">
        <v>-28865</v>
      </c>
      <c r="F4067" s="3" t="s">
        <v>136</v>
      </c>
      <c r="G4067" s="3" t="s">
        <v>137</v>
      </c>
      <c r="H4067" s="2" t="s">
        <v>21</v>
      </c>
      <c r="I4067" s="2" t="s">
        <v>8247</v>
      </c>
      <c r="J4067" s="3" t="str">
        <f>HYPERLINK("https://www.boe.es/gazeta/dias/1820/12/19/pdfs/GGB-1820-176.pdf#page=3","Abrir facsímil")</f>
        <v>Abrir facsímil</v>
      </c>
      <c r="K4067" s="3" t="s">
        <v>23</v>
      </c>
    </row>
    <row r="4068" spans="1:11" ht="42" customHeight="1">
      <c r="A4068" s="2" t="s">
        <v>8248</v>
      </c>
      <c r="B4068" s="2" t="s">
        <v>8248</v>
      </c>
      <c r="C4068" s="2" t="s">
        <v>26</v>
      </c>
      <c r="D4068" s="2" t="s">
        <v>27</v>
      </c>
      <c r="E4068" s="5">
        <v>-28946</v>
      </c>
      <c r="F4068" s="3" t="s">
        <v>1055</v>
      </c>
      <c r="G4068" s="3" t="s">
        <v>20</v>
      </c>
      <c r="H4068" s="2" t="s">
        <v>21</v>
      </c>
      <c r="I4068" s="2" t="s">
        <v>8249</v>
      </c>
      <c r="J4068" s="3" t="str">
        <f>HYPERLINK("https://www.boe.es/gazeta/dias/1820/09/29/pdfs/GGB-1820-93.pdf#page=4","Abrir facsímil")</f>
        <v>Abrir facsímil</v>
      </c>
      <c r="K4068" s="3" t="s">
        <v>23</v>
      </c>
    </row>
    <row r="4069" spans="1:11" ht="42" customHeight="1">
      <c r="A4069" s="2" t="s">
        <v>8250</v>
      </c>
      <c r="B4069" s="2" t="s">
        <v>8251</v>
      </c>
      <c r="C4069" s="2" t="s">
        <v>35</v>
      </c>
      <c r="D4069" s="2" t="s">
        <v>36</v>
      </c>
      <c r="E4069" s="5">
        <v>-29094</v>
      </c>
      <c r="F4069" s="3" t="s">
        <v>560</v>
      </c>
      <c r="G4069" s="3" t="s">
        <v>295</v>
      </c>
      <c r="H4069" s="2" t="s">
        <v>21</v>
      </c>
      <c r="I4069" s="2" t="s">
        <v>8252</v>
      </c>
      <c r="J4069" s="3" t="str">
        <f>HYPERLINK("https://www.boe.es/gazeta/dias/1820/05/04/pdfs/GMD-1820-75.pdf#page=8","Abrir facsímil")</f>
        <v>Abrir facsímil</v>
      </c>
      <c r="K4069" s="3" t="s">
        <v>23</v>
      </c>
    </row>
    <row r="4070" spans="1:11" ht="42" customHeight="1">
      <c r="A4070" s="2" t="s">
        <v>8253</v>
      </c>
      <c r="B4070" s="2" t="s">
        <v>8254</v>
      </c>
      <c r="C4070" s="2" t="s">
        <v>26</v>
      </c>
      <c r="D4070" s="2" t="s">
        <v>27</v>
      </c>
      <c r="E4070" s="5">
        <v>-28946</v>
      </c>
      <c r="F4070" s="3" t="s">
        <v>1055</v>
      </c>
      <c r="G4070" s="3" t="s">
        <v>4558</v>
      </c>
      <c r="H4070" s="2" t="s">
        <v>21</v>
      </c>
      <c r="I4070" s="2" t="s">
        <v>8255</v>
      </c>
      <c r="J4070" s="3" t="str">
        <f>HYPERLINK("https://www.boe.es/gazeta/dias/1820/09/29/pdfs/GGB-1820-93.pdf#page=3","Abrir facsímil")</f>
        <v>Abrir facsímil</v>
      </c>
      <c r="K4070" s="3" t="s">
        <v>23</v>
      </c>
    </row>
    <row r="4071" spans="1:11" ht="42" customHeight="1">
      <c r="A4071" s="2" t="s">
        <v>8256</v>
      </c>
      <c r="B4071" s="2" t="s">
        <v>8257</v>
      </c>
      <c r="C4071" s="2" t="s">
        <v>107</v>
      </c>
      <c r="D4071" s="2" t="s">
        <v>18</v>
      </c>
      <c r="E4071" s="5">
        <v>-29169</v>
      </c>
      <c r="F4071" s="3" t="s">
        <v>962</v>
      </c>
      <c r="G4071" s="3" t="s">
        <v>201</v>
      </c>
      <c r="H4071" s="2" t="s">
        <v>21</v>
      </c>
      <c r="I4071" s="2" t="s">
        <v>8258</v>
      </c>
      <c r="J4071" s="3" t="str">
        <f>HYPERLINK("https://www.boe.es/gazeta/dias/1820/02/19/pdfs/GMD-1820-22.pdf#page=7","Abrir facsímil")</f>
        <v>Abrir facsímil</v>
      </c>
      <c r="K4071" s="3" t="s">
        <v>23</v>
      </c>
    </row>
    <row r="4072" spans="1:11" ht="42" customHeight="1">
      <c r="A4072" s="2" t="s">
        <v>8256</v>
      </c>
      <c r="B4072" s="2" t="s">
        <v>8257</v>
      </c>
      <c r="C4072" s="2" t="s">
        <v>35</v>
      </c>
      <c r="D4072" s="2" t="s">
        <v>36</v>
      </c>
      <c r="E4072" s="5">
        <v>-29159</v>
      </c>
      <c r="F4072" s="3" t="s">
        <v>1022</v>
      </c>
      <c r="G4072" s="3" t="s">
        <v>3766</v>
      </c>
      <c r="H4072" s="2" t="s">
        <v>21</v>
      </c>
      <c r="I4072" s="2" t="s">
        <v>8259</v>
      </c>
      <c r="J4072" s="3" t="str">
        <f>HYPERLINK("https://www.boe.es/gazeta/dias/1820/02/29/pdfs/GMD-1820-26.pdf#page=8","Abrir facsímil")</f>
        <v>Abrir facsímil</v>
      </c>
      <c r="K4072" s="3" t="s">
        <v>23</v>
      </c>
    </row>
    <row r="4073" spans="1:11" ht="42" customHeight="1">
      <c r="A4073" s="2" t="s">
        <v>8256</v>
      </c>
      <c r="B4073" s="2" t="s">
        <v>8257</v>
      </c>
      <c r="C4073" s="2" t="s">
        <v>35</v>
      </c>
      <c r="D4073" s="2" t="s">
        <v>36</v>
      </c>
      <c r="E4073" s="5">
        <v>-29122</v>
      </c>
      <c r="F4073" s="3" t="s">
        <v>844</v>
      </c>
      <c r="G4073" s="3" t="s">
        <v>845</v>
      </c>
      <c r="H4073" s="2" t="s">
        <v>21</v>
      </c>
      <c r="I4073" s="2" t="s">
        <v>8260</v>
      </c>
      <c r="J4073" s="3" t="str">
        <f>HYPERLINK("https://www.boe.es/gazeta/dias/1820/04/06/pdfs/GMD-1820-62.pdf#page=8","Abrir facsímil")</f>
        <v>Abrir facsímil</v>
      </c>
      <c r="K4073" s="3" t="s">
        <v>23</v>
      </c>
    </row>
    <row r="4074" spans="1:11" ht="42" customHeight="1">
      <c r="A4074" s="2" t="s">
        <v>8256</v>
      </c>
      <c r="B4074" s="2" t="s">
        <v>8257</v>
      </c>
      <c r="C4074" s="2" t="s">
        <v>35</v>
      </c>
      <c r="D4074" s="2" t="s">
        <v>36</v>
      </c>
      <c r="E4074" s="5">
        <v>-29025</v>
      </c>
      <c r="F4074" s="3" t="s">
        <v>902</v>
      </c>
      <c r="G4074" s="3" t="s">
        <v>20</v>
      </c>
      <c r="H4074" s="2" t="s">
        <v>21</v>
      </c>
      <c r="I4074" s="2" t="s">
        <v>8261</v>
      </c>
      <c r="J4074" s="3" t="str">
        <f>HYPERLINK("https://www.boe.es/gazeta/dias/1820/07/12/pdfs/GGB-1820-14.pdf#page=4","Abrir facsímil")</f>
        <v>Abrir facsímil</v>
      </c>
      <c r="K4074" s="3" t="s">
        <v>23</v>
      </c>
    </row>
    <row r="4075" spans="1:11" ht="42" customHeight="1">
      <c r="A4075" s="2" t="s">
        <v>8256</v>
      </c>
      <c r="B4075" s="2" t="s">
        <v>8257</v>
      </c>
      <c r="C4075" s="2" t="s">
        <v>26</v>
      </c>
      <c r="D4075" s="2" t="s">
        <v>27</v>
      </c>
      <c r="E4075" s="5">
        <v>-28930</v>
      </c>
      <c r="F4075" s="3" t="s">
        <v>372</v>
      </c>
      <c r="G4075" s="3" t="s">
        <v>20</v>
      </c>
      <c r="H4075" s="2" t="s">
        <v>21</v>
      </c>
      <c r="I4075" s="2" t="s">
        <v>8262</v>
      </c>
      <c r="J4075" s="3" t="str">
        <f>HYPERLINK("https://www.boe.es/gazeta/dias/1820/10/15/pdfs/GGB-1820-109.pdf#page=4","Abrir facsímil")</f>
        <v>Abrir facsímil</v>
      </c>
      <c r="K4075" s="3" t="s">
        <v>23</v>
      </c>
    </row>
    <row r="4076" spans="1:11" ht="42" customHeight="1">
      <c r="A4076" s="2" t="s">
        <v>8256</v>
      </c>
      <c r="B4076" s="2" t="s">
        <v>8257</v>
      </c>
      <c r="C4076" s="2" t="s">
        <v>35</v>
      </c>
      <c r="D4076" s="2" t="s">
        <v>36</v>
      </c>
      <c r="E4076" s="5">
        <v>-28895</v>
      </c>
      <c r="F4076" s="3" t="s">
        <v>347</v>
      </c>
      <c r="G4076" s="3" t="s">
        <v>20</v>
      </c>
      <c r="H4076" s="2" t="s">
        <v>21</v>
      </c>
      <c r="I4076" s="2" t="s">
        <v>8263</v>
      </c>
      <c r="J4076" s="3" t="str">
        <f>HYPERLINK("https://www.boe.es/gazeta/dias/1820/11/19/pdfs/GGB-1820-146.pdf#page=4","Abrir facsímil")</f>
        <v>Abrir facsímil</v>
      </c>
      <c r="K4076" s="3" t="s">
        <v>23</v>
      </c>
    </row>
    <row r="4077" spans="1:11" ht="42" customHeight="1">
      <c r="A4077" s="2" t="s">
        <v>8264</v>
      </c>
      <c r="B4077" s="2" t="s">
        <v>8264</v>
      </c>
      <c r="C4077" s="2" t="s">
        <v>293</v>
      </c>
      <c r="D4077" s="2" t="s">
        <v>18</v>
      </c>
      <c r="E4077" s="5">
        <v>-28866</v>
      </c>
      <c r="F4077" s="3" t="s">
        <v>507</v>
      </c>
      <c r="G4077" s="3" t="s">
        <v>43</v>
      </c>
      <c r="H4077" s="2" t="s">
        <v>21</v>
      </c>
      <c r="I4077" s="2" t="s">
        <v>8265</v>
      </c>
      <c r="J4077" s="3" t="str">
        <f>HYPERLINK("https://www.boe.es/gazeta/dias/1820/12/18/pdfs/GGB-1820-175.pdf#page=2","Abrir facsímil")</f>
        <v>Abrir facsímil</v>
      </c>
      <c r="K4077" s="3" t="s">
        <v>23</v>
      </c>
    </row>
    <row r="4078" spans="1:11" ht="42" customHeight="1">
      <c r="A4078" s="2" t="s">
        <v>8266</v>
      </c>
      <c r="B4078" s="2" t="s">
        <v>8267</v>
      </c>
      <c r="C4078" s="2" t="s">
        <v>17</v>
      </c>
      <c r="D4078" s="2" t="s">
        <v>18</v>
      </c>
      <c r="E4078" s="5">
        <v>-29113</v>
      </c>
      <c r="F4078" s="3" t="s">
        <v>501</v>
      </c>
      <c r="G4078" s="3" t="s">
        <v>295</v>
      </c>
      <c r="H4078" s="2" t="s">
        <v>21</v>
      </c>
      <c r="I4078" s="2" t="s">
        <v>8268</v>
      </c>
      <c r="J4078" s="3" t="str">
        <f>HYPERLINK("https://www.boe.es/gazeta/dias/1820/04/15/pdfs/GMD-1820-66.pdf#page=8","Abrir facsímil")</f>
        <v>Abrir facsímil</v>
      </c>
      <c r="K4078" s="3" t="s">
        <v>23</v>
      </c>
    </row>
    <row r="4079" spans="1:11" ht="42" customHeight="1">
      <c r="A4079" s="2" t="s">
        <v>8269</v>
      </c>
      <c r="B4079" s="2" t="s">
        <v>8270</v>
      </c>
      <c r="C4079" s="2" t="s">
        <v>293</v>
      </c>
      <c r="D4079" s="2" t="s">
        <v>18</v>
      </c>
      <c r="E4079" s="5">
        <v>-29190</v>
      </c>
      <c r="F4079" s="3" t="s">
        <v>537</v>
      </c>
      <c r="G4079" s="3" t="s">
        <v>295</v>
      </c>
      <c r="H4079" s="2" t="s">
        <v>21</v>
      </c>
      <c r="I4079" s="2" t="s">
        <v>8271</v>
      </c>
      <c r="J4079" s="3" t="str">
        <f>HYPERLINK("https://www.boe.es/gazeta/dias/1820/01/29/pdfs/GMD-1820-13.pdf#page=8","Abrir facsímil")</f>
        <v>Abrir facsímil</v>
      </c>
      <c r="K4079" s="3" t="s">
        <v>23</v>
      </c>
    </row>
    <row r="4080" spans="1:11" ht="42" customHeight="1">
      <c r="A4080" s="2" t="s">
        <v>8272</v>
      </c>
      <c r="B4080" s="2" t="s">
        <v>8273</v>
      </c>
      <c r="C4080" s="2" t="s">
        <v>17</v>
      </c>
      <c r="D4080" s="2" t="s">
        <v>18</v>
      </c>
      <c r="E4080" s="5">
        <v>-29208</v>
      </c>
      <c r="F4080" s="3" t="s">
        <v>770</v>
      </c>
      <c r="G4080" s="3" t="s">
        <v>295</v>
      </c>
      <c r="H4080" s="2" t="s">
        <v>21</v>
      </c>
      <c r="I4080" s="2" t="s">
        <v>8274</v>
      </c>
      <c r="J4080" s="3" t="str">
        <f>HYPERLINK("https://www.boe.es/gazeta/dias/1820/01/11/pdfs/GMD-1820-5.pdf#page=8","Abrir facsímil")</f>
        <v>Abrir facsímil</v>
      </c>
      <c r="K4080" s="3" t="s">
        <v>23</v>
      </c>
    </row>
    <row r="4081" spans="1:11" ht="42" customHeight="1">
      <c r="A4081" s="2" t="s">
        <v>8275</v>
      </c>
      <c r="B4081" s="2" t="s">
        <v>8275</v>
      </c>
      <c r="C4081" s="2" t="s">
        <v>35</v>
      </c>
      <c r="D4081" s="2" t="s">
        <v>36</v>
      </c>
      <c r="E4081" s="5">
        <v>-29211</v>
      </c>
      <c r="F4081" s="3" t="s">
        <v>578</v>
      </c>
      <c r="G4081" s="3" t="s">
        <v>295</v>
      </c>
      <c r="H4081" s="2" t="s">
        <v>21</v>
      </c>
      <c r="I4081" s="2" t="s">
        <v>8276</v>
      </c>
      <c r="J4081" s="3" t="str">
        <f>HYPERLINK("https://www.boe.es/gazeta/dias/1820/01/08/pdfs/GMD-1820-4.pdf#page=8","Abrir facsímil")</f>
        <v>Abrir facsímil</v>
      </c>
      <c r="K4081" s="3" t="s">
        <v>23</v>
      </c>
    </row>
    <row r="4082" spans="1:11" ht="42" customHeight="1">
      <c r="A4082" s="2" t="s">
        <v>8275</v>
      </c>
      <c r="B4082" s="2" t="s">
        <v>8275</v>
      </c>
      <c r="C4082" s="2" t="s">
        <v>293</v>
      </c>
      <c r="D4082" s="2" t="s">
        <v>18</v>
      </c>
      <c r="E4082" s="5">
        <v>-29117</v>
      </c>
      <c r="F4082" s="3" t="s">
        <v>1451</v>
      </c>
      <c r="G4082" s="3" t="s">
        <v>1710</v>
      </c>
      <c r="H4082" s="2" t="s">
        <v>21</v>
      </c>
      <c r="I4082" s="2" t="s">
        <v>8277</v>
      </c>
      <c r="J4082" s="3" t="str">
        <f>HYPERLINK("https://www.boe.es/gazeta/dias/1820/04/11/pdfs/GMD-1820-64.pdf#page=4","Abrir facsímil")</f>
        <v>Abrir facsímil</v>
      </c>
      <c r="K4082" s="3" t="s">
        <v>23</v>
      </c>
    </row>
    <row r="4083" spans="1:11" ht="42" customHeight="1">
      <c r="A4083" s="2" t="s">
        <v>8275</v>
      </c>
      <c r="B4083" s="2" t="s">
        <v>8275</v>
      </c>
      <c r="C4083" s="2" t="s">
        <v>17</v>
      </c>
      <c r="D4083" s="2" t="s">
        <v>18</v>
      </c>
      <c r="E4083" s="5">
        <v>-29087</v>
      </c>
      <c r="F4083" s="3" t="s">
        <v>1018</v>
      </c>
      <c r="G4083" s="3" t="s">
        <v>38</v>
      </c>
      <c r="H4083" s="2" t="s">
        <v>21</v>
      </c>
      <c r="I4083" s="2" t="s">
        <v>8278</v>
      </c>
      <c r="J4083" s="3" t="str">
        <f>HYPERLINK("https://www.boe.es/gazeta/dias/1820/05/11/pdfs/GMD-1820-78.pdf#page=6","Abrir facsímil")</f>
        <v>Abrir facsímil</v>
      </c>
      <c r="K4083" s="3" t="s">
        <v>23</v>
      </c>
    </row>
    <row r="4084" spans="1:11" ht="42" customHeight="1">
      <c r="A4084" s="2" t="s">
        <v>8275</v>
      </c>
      <c r="B4084" s="2" t="s">
        <v>8275</v>
      </c>
      <c r="C4084" s="2" t="s">
        <v>35</v>
      </c>
      <c r="D4084" s="2" t="s">
        <v>36</v>
      </c>
      <c r="E4084" s="5">
        <v>-29078</v>
      </c>
      <c r="F4084" s="3" t="s">
        <v>260</v>
      </c>
      <c r="G4084" s="3" t="s">
        <v>479</v>
      </c>
      <c r="H4084" s="2" t="s">
        <v>21</v>
      </c>
      <c r="I4084" s="2" t="s">
        <v>8279</v>
      </c>
      <c r="J4084" s="3" t="str">
        <f>HYPERLINK("https://www.boe.es/gazeta/dias/1820/05/20/pdfs/GMD-1820-83.pdf#page=12","Abrir facsímil")</f>
        <v>Abrir facsímil</v>
      </c>
      <c r="K4084" s="3" t="s">
        <v>23</v>
      </c>
    </row>
    <row r="4085" spans="1:11" ht="42" customHeight="1">
      <c r="A4085" s="2" t="s">
        <v>8275</v>
      </c>
      <c r="B4085" s="2" t="s">
        <v>8275</v>
      </c>
      <c r="C4085" s="2" t="s">
        <v>74</v>
      </c>
      <c r="D4085" s="2" t="s">
        <v>18</v>
      </c>
      <c r="E4085" s="5">
        <v>-29018</v>
      </c>
      <c r="F4085" s="3" t="s">
        <v>601</v>
      </c>
      <c r="G4085" s="3" t="s">
        <v>62</v>
      </c>
      <c r="H4085" s="2" t="s">
        <v>21</v>
      </c>
      <c r="I4085" s="2" t="s">
        <v>8280</v>
      </c>
      <c r="J4085" s="3" t="str">
        <f>HYPERLINK("https://www.boe.es/gazeta/dias/1820/07/19/pdfs/GGB-1820-21.pdf#page=3","Abrir facsímil")</f>
        <v>Abrir facsímil</v>
      </c>
      <c r="K4085" s="3" t="s">
        <v>23</v>
      </c>
    </row>
    <row r="4086" spans="1:11" ht="42" customHeight="1">
      <c r="A4086" s="2" t="s">
        <v>8275</v>
      </c>
      <c r="B4086" s="2" t="s">
        <v>8275</v>
      </c>
      <c r="C4086" s="2" t="s">
        <v>35</v>
      </c>
      <c r="D4086" s="2" t="s">
        <v>36</v>
      </c>
      <c r="E4086" s="5">
        <v>-29017</v>
      </c>
      <c r="F4086" s="3" t="s">
        <v>274</v>
      </c>
      <c r="G4086" s="3" t="s">
        <v>43</v>
      </c>
      <c r="H4086" s="2" t="s">
        <v>21</v>
      </c>
      <c r="I4086" s="2" t="s">
        <v>8281</v>
      </c>
      <c r="J4086" s="3" t="str">
        <f>HYPERLINK("https://www.boe.es/gazeta/dias/1820/07/20/pdfs/GGB-1820-22.pdf#page=2","Abrir facsímil")</f>
        <v>Abrir facsímil</v>
      </c>
      <c r="K4086" s="3" t="s">
        <v>23</v>
      </c>
    </row>
    <row r="4087" spans="1:11" ht="42" customHeight="1">
      <c r="A4087" s="2" t="s">
        <v>8275</v>
      </c>
      <c r="B4087" s="2" t="s">
        <v>8275</v>
      </c>
      <c r="C4087" s="2" t="s">
        <v>35</v>
      </c>
      <c r="D4087" s="2" t="s">
        <v>36</v>
      </c>
      <c r="E4087" s="5">
        <v>-29015</v>
      </c>
      <c r="F4087" s="3" t="s">
        <v>359</v>
      </c>
      <c r="G4087" s="3" t="s">
        <v>20</v>
      </c>
      <c r="H4087" s="2" t="s">
        <v>21</v>
      </c>
      <c r="I4087" s="2" t="s">
        <v>8282</v>
      </c>
      <c r="J4087" s="3" t="str">
        <f>HYPERLINK("https://www.boe.es/gazeta/dias/1820/07/22/pdfs/GGB-1820-24.pdf#page=4","Abrir facsímil")</f>
        <v>Abrir facsímil</v>
      </c>
      <c r="K4087" s="3" t="s">
        <v>23</v>
      </c>
    </row>
    <row r="4088" spans="1:11" ht="42" customHeight="1">
      <c r="A4088" s="2" t="s">
        <v>8275</v>
      </c>
      <c r="B4088" s="2" t="s">
        <v>8275</v>
      </c>
      <c r="C4088" s="2" t="s">
        <v>17</v>
      </c>
      <c r="D4088" s="2" t="s">
        <v>18</v>
      </c>
      <c r="E4088" s="5">
        <v>-29011</v>
      </c>
      <c r="F4088" s="3" t="s">
        <v>338</v>
      </c>
      <c r="G4088" s="3" t="s">
        <v>43</v>
      </c>
      <c r="H4088" s="2" t="s">
        <v>21</v>
      </c>
      <c r="I4088" s="2" t="s">
        <v>8283</v>
      </c>
      <c r="J4088" s="3" t="str">
        <f>HYPERLINK("https://www.boe.es/gazeta/dias/1820/07/26/pdfs/GGB-1820-28.pdf#page=2","Abrir facsímil")</f>
        <v>Abrir facsímil</v>
      </c>
      <c r="K4088" s="3" t="s">
        <v>23</v>
      </c>
    </row>
    <row r="4089" spans="1:11" ht="42" customHeight="1">
      <c r="A4089" s="2" t="s">
        <v>8275</v>
      </c>
      <c r="B4089" s="2" t="s">
        <v>8275</v>
      </c>
      <c r="C4089" s="2" t="s">
        <v>35</v>
      </c>
      <c r="D4089" s="2" t="s">
        <v>36</v>
      </c>
      <c r="E4089" s="5">
        <v>-29005</v>
      </c>
      <c r="F4089" s="3" t="s">
        <v>1656</v>
      </c>
      <c r="G4089" s="3" t="s">
        <v>43</v>
      </c>
      <c r="H4089" s="2" t="s">
        <v>21</v>
      </c>
      <c r="I4089" s="2" t="s">
        <v>8284</v>
      </c>
      <c r="J4089" s="3" t="str">
        <f>HYPERLINK("https://www.boe.es/gazeta/dias/1820/08/01/pdfs/GGB-1820-34.pdf#page=2","Abrir facsímil")</f>
        <v>Abrir facsímil</v>
      </c>
      <c r="K4089" s="3" t="s">
        <v>23</v>
      </c>
    </row>
    <row r="4090" spans="1:11" ht="42" customHeight="1">
      <c r="A4090" s="2" t="s">
        <v>8275</v>
      </c>
      <c r="B4090" s="2" t="s">
        <v>8275</v>
      </c>
      <c r="C4090" s="2" t="s">
        <v>26</v>
      </c>
      <c r="D4090" s="2" t="s">
        <v>27</v>
      </c>
      <c r="E4090" s="5">
        <v>-28990</v>
      </c>
      <c r="F4090" s="3" t="s">
        <v>61</v>
      </c>
      <c r="G4090" s="3" t="s">
        <v>128</v>
      </c>
      <c r="H4090" s="2" t="s">
        <v>21</v>
      </c>
      <c r="I4090" s="2" t="s">
        <v>8285</v>
      </c>
      <c r="J4090" s="3" t="str">
        <f>HYPERLINK("https://www.boe.es/gazeta/dias/1820/08/16/pdfs/GGB-1820-49.pdf#page=1","Abrir facsímil")</f>
        <v>Abrir facsímil</v>
      </c>
      <c r="K4090" s="3" t="s">
        <v>23</v>
      </c>
    </row>
    <row r="4091" spans="1:11" ht="42" customHeight="1">
      <c r="A4091" s="2" t="s">
        <v>8275</v>
      </c>
      <c r="B4091" s="2" t="s">
        <v>8275</v>
      </c>
      <c r="C4091" s="2" t="s">
        <v>35</v>
      </c>
      <c r="D4091" s="2" t="s">
        <v>36</v>
      </c>
      <c r="E4091" s="5">
        <v>-28981</v>
      </c>
      <c r="F4091" s="3" t="s">
        <v>42</v>
      </c>
      <c r="G4091" s="3" t="s">
        <v>43</v>
      </c>
      <c r="H4091" s="2" t="s">
        <v>21</v>
      </c>
      <c r="I4091" s="2" t="s">
        <v>8286</v>
      </c>
      <c r="J4091" s="3" t="str">
        <f>HYPERLINK("https://www.boe.es/gazeta/dias/1820/08/25/pdfs/GGB-1820-58.pdf#page=2","Abrir facsímil")</f>
        <v>Abrir facsímil</v>
      </c>
      <c r="K4091" s="3" t="s">
        <v>23</v>
      </c>
    </row>
    <row r="4092" spans="1:11" ht="42" customHeight="1">
      <c r="A4092" s="2" t="s">
        <v>8275</v>
      </c>
      <c r="B4092" s="2" t="s">
        <v>8275</v>
      </c>
      <c r="C4092" s="2" t="s">
        <v>35</v>
      </c>
      <c r="D4092" s="2" t="s">
        <v>36</v>
      </c>
      <c r="E4092" s="5">
        <v>-28981</v>
      </c>
      <c r="F4092" s="3" t="s">
        <v>42</v>
      </c>
      <c r="G4092" s="3" t="s">
        <v>62</v>
      </c>
      <c r="H4092" s="2" t="s">
        <v>21</v>
      </c>
      <c r="I4092" s="2" t="s">
        <v>8287</v>
      </c>
      <c r="J4092" s="3" t="str">
        <f>HYPERLINK("https://www.boe.es/gazeta/dias/1820/08/25/pdfs/GGB-1820-58.pdf#page=3","Abrir facsímil")</f>
        <v>Abrir facsímil</v>
      </c>
      <c r="K4092" s="3" t="s">
        <v>23</v>
      </c>
    </row>
    <row r="4093" spans="1:11" ht="42" customHeight="1">
      <c r="A4093" s="2" t="s">
        <v>8275</v>
      </c>
      <c r="B4093" s="2" t="s">
        <v>8275</v>
      </c>
      <c r="C4093" s="2" t="s">
        <v>26</v>
      </c>
      <c r="D4093" s="2" t="s">
        <v>27</v>
      </c>
      <c r="E4093" s="5">
        <v>-28941</v>
      </c>
      <c r="F4093" s="3" t="s">
        <v>1727</v>
      </c>
      <c r="G4093" s="3" t="s">
        <v>8288</v>
      </c>
      <c r="H4093" s="2" t="s">
        <v>21</v>
      </c>
      <c r="I4093" s="2" t="s">
        <v>8289</v>
      </c>
      <c r="J4093" s="3" t="str">
        <f>HYPERLINK("https://www.boe.es/gazeta/dias/1820/10/04/pdfs/GGB-1820-98.pdf#page=4","Abrir facsímil")</f>
        <v>Abrir facsímil</v>
      </c>
      <c r="K4093" s="3" t="s">
        <v>23</v>
      </c>
    </row>
    <row r="4094" spans="1:11" ht="42" customHeight="1">
      <c r="A4094" s="2" t="s">
        <v>8275</v>
      </c>
      <c r="B4094" s="2" t="s">
        <v>8275</v>
      </c>
      <c r="C4094" s="2" t="s">
        <v>17</v>
      </c>
      <c r="D4094" s="2" t="s">
        <v>18</v>
      </c>
      <c r="E4094" s="5">
        <v>-28924</v>
      </c>
      <c r="F4094" s="3" t="s">
        <v>78</v>
      </c>
      <c r="G4094" s="3" t="s">
        <v>43</v>
      </c>
      <c r="H4094" s="2" t="s">
        <v>21</v>
      </c>
      <c r="I4094" s="2" t="s">
        <v>8290</v>
      </c>
      <c r="J4094" s="3" t="str">
        <f>HYPERLINK("https://www.boe.es/gazeta/dias/1820/10/21/pdfs/GGB-1820-115.pdf#page=2","Abrir facsímil")</f>
        <v>Abrir facsímil</v>
      </c>
      <c r="K4094" s="3" t="s">
        <v>23</v>
      </c>
    </row>
    <row r="4095" spans="1:11" ht="42" customHeight="1">
      <c r="A4095" s="2" t="s">
        <v>8275</v>
      </c>
      <c r="B4095" s="2" t="s">
        <v>8275</v>
      </c>
      <c r="C4095" s="2" t="s">
        <v>35</v>
      </c>
      <c r="D4095" s="2" t="s">
        <v>36</v>
      </c>
      <c r="E4095" s="5">
        <v>-28920</v>
      </c>
      <c r="F4095" s="3" t="s">
        <v>399</v>
      </c>
      <c r="G4095" s="3" t="s">
        <v>43</v>
      </c>
      <c r="H4095" s="2" t="s">
        <v>21</v>
      </c>
      <c r="I4095" s="2" t="s">
        <v>8291</v>
      </c>
      <c r="J4095" s="3" t="str">
        <f>HYPERLINK("https://www.boe.es/gazeta/dias/1820/10/25/pdfs/GGB-1820-119.pdf#page=2","Abrir facsímil")</f>
        <v>Abrir facsímil</v>
      </c>
      <c r="K4095" s="3" t="s">
        <v>23</v>
      </c>
    </row>
    <row r="4096" spans="1:11" ht="42" customHeight="1">
      <c r="A4096" s="2" t="s">
        <v>8275</v>
      </c>
      <c r="B4096" s="2" t="s">
        <v>8275</v>
      </c>
      <c r="C4096" s="2" t="s">
        <v>26</v>
      </c>
      <c r="D4096" s="2" t="s">
        <v>27</v>
      </c>
      <c r="E4096" s="5">
        <v>-28899</v>
      </c>
      <c r="F4096" s="3" t="s">
        <v>285</v>
      </c>
      <c r="G4096" s="3" t="s">
        <v>20</v>
      </c>
      <c r="H4096" s="2" t="s">
        <v>21</v>
      </c>
      <c r="I4096" s="2" t="s">
        <v>8292</v>
      </c>
      <c r="J4096" s="3" t="str">
        <f>HYPERLINK("https://www.boe.es/gazeta/dias/1820/11/15/pdfs/GGB-1820-141.pdf#page=4","Abrir facsímil")</f>
        <v>Abrir facsímil</v>
      </c>
      <c r="K4096" s="3" t="s">
        <v>23</v>
      </c>
    </row>
    <row r="4097" spans="1:11" ht="42" customHeight="1">
      <c r="A4097" s="2" t="s">
        <v>8275</v>
      </c>
      <c r="B4097" s="2" t="s">
        <v>8275</v>
      </c>
      <c r="C4097" s="2" t="s">
        <v>35</v>
      </c>
      <c r="D4097" s="2" t="s">
        <v>36</v>
      </c>
      <c r="E4097" s="5">
        <v>-28896</v>
      </c>
      <c r="F4097" s="3" t="s">
        <v>1268</v>
      </c>
      <c r="G4097" s="3" t="s">
        <v>1269</v>
      </c>
      <c r="H4097" s="2" t="s">
        <v>21</v>
      </c>
      <c r="I4097" s="2" t="s">
        <v>8293</v>
      </c>
      <c r="J4097" s="3" t="str">
        <f>HYPERLINK("https://www.boe.es/gazeta/dias/1820/11/18/pdfs/GGB-1820-144.pdf#page=4","Abrir facsímil")</f>
        <v>Abrir facsímil</v>
      </c>
      <c r="K4097" s="3" t="s">
        <v>23</v>
      </c>
    </row>
    <row r="4098" spans="1:11" ht="42" customHeight="1">
      <c r="A4098" s="2" t="s">
        <v>8275</v>
      </c>
      <c r="B4098" s="2" t="s">
        <v>8275</v>
      </c>
      <c r="C4098" s="2" t="s">
        <v>74</v>
      </c>
      <c r="D4098" s="2" t="s">
        <v>18</v>
      </c>
      <c r="E4098" s="5">
        <v>-28888</v>
      </c>
      <c r="F4098" s="3" t="s">
        <v>112</v>
      </c>
      <c r="G4098" s="3" t="s">
        <v>113</v>
      </c>
      <c r="H4098" s="2" t="s">
        <v>21</v>
      </c>
      <c r="I4098" s="2" t="s">
        <v>8294</v>
      </c>
      <c r="J4098" s="3" t="str">
        <f>HYPERLINK("https://www.boe.es/gazeta/dias/1820/11/26/pdfs/GGB-1820-153.pdf#page=3","Abrir facsímil")</f>
        <v>Abrir facsímil</v>
      </c>
      <c r="K4098" s="3" t="s">
        <v>23</v>
      </c>
    </row>
    <row r="4099" spans="1:11" ht="42" customHeight="1">
      <c r="A4099" s="2" t="s">
        <v>8275</v>
      </c>
      <c r="B4099" s="2" t="s">
        <v>8275</v>
      </c>
      <c r="C4099" s="2" t="s">
        <v>17</v>
      </c>
      <c r="D4099" s="2" t="s">
        <v>18</v>
      </c>
      <c r="E4099" s="5">
        <v>-28865</v>
      </c>
      <c r="F4099" s="3" t="s">
        <v>136</v>
      </c>
      <c r="G4099" s="3" t="s">
        <v>137</v>
      </c>
      <c r="H4099" s="2" t="s">
        <v>21</v>
      </c>
      <c r="I4099" s="2" t="s">
        <v>8295</v>
      </c>
      <c r="J4099" s="3" t="str">
        <f>HYPERLINK("https://www.boe.es/gazeta/dias/1820/12/19/pdfs/GGB-1820-176.pdf#page=3","Abrir facsímil")</f>
        <v>Abrir facsímil</v>
      </c>
      <c r="K4099" s="3" t="s">
        <v>23</v>
      </c>
    </row>
    <row r="4100" spans="1:11" ht="42" customHeight="1">
      <c r="A4100" s="2" t="s">
        <v>8296</v>
      </c>
      <c r="B4100" s="2" t="s">
        <v>8297</v>
      </c>
      <c r="C4100" s="2" t="s">
        <v>35</v>
      </c>
      <c r="D4100" s="2" t="s">
        <v>36</v>
      </c>
      <c r="E4100" s="5">
        <v>-29017</v>
      </c>
      <c r="F4100" s="3" t="s">
        <v>274</v>
      </c>
      <c r="G4100" s="3" t="s">
        <v>43</v>
      </c>
      <c r="H4100" s="2" t="s">
        <v>21</v>
      </c>
      <c r="I4100" s="2" t="s">
        <v>8298</v>
      </c>
      <c r="J4100" s="3" t="str">
        <f>HYPERLINK("https://www.boe.es/gazeta/dias/1820/07/20/pdfs/GGB-1820-22.pdf#page=2","Abrir facsímil")</f>
        <v>Abrir facsímil</v>
      </c>
      <c r="K4100" s="3" t="s">
        <v>23</v>
      </c>
    </row>
    <row r="4101" spans="1:11" ht="42" customHeight="1">
      <c r="A4101" s="2" t="s">
        <v>8299</v>
      </c>
      <c r="B4101" s="2" t="s">
        <v>8300</v>
      </c>
      <c r="C4101" s="2" t="s">
        <v>35</v>
      </c>
      <c r="D4101" s="2" t="s">
        <v>36</v>
      </c>
      <c r="E4101" s="5">
        <v>-29045</v>
      </c>
      <c r="F4101" s="3" t="s">
        <v>155</v>
      </c>
      <c r="G4101" s="3" t="s">
        <v>38</v>
      </c>
      <c r="H4101" s="2" t="s">
        <v>21</v>
      </c>
      <c r="I4101" s="2" t="s">
        <v>8301</v>
      </c>
      <c r="J4101" s="3" t="str">
        <f>HYPERLINK("https://www.boe.es/gazeta/dias/1820/06/22/pdfs/GMD-1820-97.pdf#page=6","Abrir facsímil")</f>
        <v>Abrir facsímil</v>
      </c>
      <c r="K4101" s="3" t="s">
        <v>23</v>
      </c>
    </row>
    <row r="4102" spans="1:11" ht="42" customHeight="1">
      <c r="A4102" s="2" t="s">
        <v>8302</v>
      </c>
      <c r="B4102" s="2" t="s">
        <v>8303</v>
      </c>
      <c r="C4102" s="2" t="s">
        <v>35</v>
      </c>
      <c r="D4102" s="2" t="s">
        <v>36</v>
      </c>
      <c r="E4102" s="5">
        <v>-29018</v>
      </c>
      <c r="F4102" s="3" t="s">
        <v>601</v>
      </c>
      <c r="G4102" s="3" t="s">
        <v>62</v>
      </c>
      <c r="H4102" s="2" t="s">
        <v>21</v>
      </c>
      <c r="I4102" s="2" t="s">
        <v>8304</v>
      </c>
      <c r="J4102" s="3" t="str">
        <f>HYPERLINK("https://www.boe.es/gazeta/dias/1820/07/19/pdfs/GGB-1820-21.pdf#page=3","Abrir facsímil")</f>
        <v>Abrir facsímil</v>
      </c>
      <c r="K4102" s="3" t="s">
        <v>23</v>
      </c>
    </row>
    <row r="4103" spans="1:11" ht="42" customHeight="1">
      <c r="A4103" s="2" t="s">
        <v>8302</v>
      </c>
      <c r="B4103" s="2" t="s">
        <v>8303</v>
      </c>
      <c r="C4103" s="2" t="s">
        <v>35</v>
      </c>
      <c r="D4103" s="2" t="s">
        <v>36</v>
      </c>
      <c r="E4103" s="5">
        <v>-29014</v>
      </c>
      <c r="F4103" s="3" t="s">
        <v>70</v>
      </c>
      <c r="G4103" s="3" t="s">
        <v>43</v>
      </c>
      <c r="H4103" s="2" t="s">
        <v>21</v>
      </c>
      <c r="I4103" s="2" t="s">
        <v>8305</v>
      </c>
      <c r="J4103" s="3" t="str">
        <f>HYPERLINK("https://www.boe.es/gazeta/dias/1820/07/23/pdfs/GGB-1820-25.pdf#page=2","Abrir facsímil")</f>
        <v>Abrir facsímil</v>
      </c>
      <c r="K4103" s="3" t="s">
        <v>23</v>
      </c>
    </row>
    <row r="4104" spans="1:11" ht="42" customHeight="1">
      <c r="A4104" s="2" t="s">
        <v>8302</v>
      </c>
      <c r="B4104" s="2" t="s">
        <v>8303</v>
      </c>
      <c r="C4104" s="2" t="s">
        <v>26</v>
      </c>
      <c r="D4104" s="2" t="s">
        <v>27</v>
      </c>
      <c r="E4104" s="5">
        <v>-29009</v>
      </c>
      <c r="F4104" s="3" t="s">
        <v>605</v>
      </c>
      <c r="G4104" s="3" t="s">
        <v>43</v>
      </c>
      <c r="H4104" s="2" t="s">
        <v>21</v>
      </c>
      <c r="I4104" s="2" t="s">
        <v>8306</v>
      </c>
      <c r="J4104" s="3" t="str">
        <f>HYPERLINK("https://www.boe.es/gazeta/dias/1820/07/28/pdfs/GGB-1820-30.pdf#page=2","Abrir facsímil")</f>
        <v>Abrir facsímil</v>
      </c>
      <c r="K4104" s="3" t="s">
        <v>23</v>
      </c>
    </row>
    <row r="4105" spans="1:11" ht="42" customHeight="1">
      <c r="A4105" s="2" t="s">
        <v>8302</v>
      </c>
      <c r="B4105" s="2" t="s">
        <v>8303</v>
      </c>
      <c r="C4105" s="2" t="s">
        <v>17</v>
      </c>
      <c r="D4105" s="2" t="s">
        <v>18</v>
      </c>
      <c r="E4105" s="5">
        <v>-29006</v>
      </c>
      <c r="F4105" s="3" t="s">
        <v>609</v>
      </c>
      <c r="G4105" s="3" t="s">
        <v>62</v>
      </c>
      <c r="H4105" s="2" t="s">
        <v>21</v>
      </c>
      <c r="I4105" s="2" t="s">
        <v>8307</v>
      </c>
      <c r="J4105" s="3" t="str">
        <f>HYPERLINK("https://www.boe.es/gazeta/dias/1820/07/31/pdfs/GGB-1820-33.pdf#page=3","Abrir facsímil")</f>
        <v>Abrir facsímil</v>
      </c>
      <c r="K4105" s="3" t="s">
        <v>23</v>
      </c>
    </row>
    <row r="4106" spans="1:11" ht="42" customHeight="1">
      <c r="A4106" s="2" t="s">
        <v>8302</v>
      </c>
      <c r="B4106" s="2" t="s">
        <v>8303</v>
      </c>
      <c r="C4106" s="2" t="s">
        <v>35</v>
      </c>
      <c r="D4106" s="2" t="s">
        <v>36</v>
      </c>
      <c r="E4106" s="5">
        <v>-28992</v>
      </c>
      <c r="F4106" s="3" t="s">
        <v>587</v>
      </c>
      <c r="G4106" s="3" t="s">
        <v>43</v>
      </c>
      <c r="H4106" s="2" t="s">
        <v>21</v>
      </c>
      <c r="I4106" s="2" t="s">
        <v>8308</v>
      </c>
      <c r="J4106" s="3" t="str">
        <f>HYPERLINK("https://www.boe.es/gazeta/dias/1820/08/14/pdfs/GGB-1820-47.pdf#page=2","Abrir facsímil")</f>
        <v>Abrir facsímil</v>
      </c>
      <c r="K4106" s="3" t="s">
        <v>23</v>
      </c>
    </row>
    <row r="4107" spans="1:11" ht="42" customHeight="1">
      <c r="A4107" s="2" t="s">
        <v>8302</v>
      </c>
      <c r="B4107" s="2" t="s">
        <v>8303</v>
      </c>
      <c r="C4107" s="2" t="s">
        <v>35</v>
      </c>
      <c r="D4107" s="2" t="s">
        <v>36</v>
      </c>
      <c r="E4107" s="5">
        <v>-28991</v>
      </c>
      <c r="F4107" s="3" t="s">
        <v>213</v>
      </c>
      <c r="G4107" s="3" t="s">
        <v>62</v>
      </c>
      <c r="H4107" s="2" t="s">
        <v>21</v>
      </c>
      <c r="I4107" s="2" t="s">
        <v>8309</v>
      </c>
      <c r="J4107" s="3" t="str">
        <f>HYPERLINK("https://www.boe.es/gazeta/dias/1820/08/15/pdfs/GGB-1820-48.pdf#page=3","Abrir facsímil")</f>
        <v>Abrir facsímil</v>
      </c>
      <c r="K4107" s="3" t="s">
        <v>23</v>
      </c>
    </row>
    <row r="4108" spans="1:11" ht="42" customHeight="1">
      <c r="A4108" s="2" t="s">
        <v>8302</v>
      </c>
      <c r="B4108" s="2" t="s">
        <v>8303</v>
      </c>
      <c r="C4108" s="2" t="s">
        <v>17</v>
      </c>
      <c r="D4108" s="2" t="s">
        <v>18</v>
      </c>
      <c r="E4108" s="5">
        <v>-28987</v>
      </c>
      <c r="F4108" s="3" t="s">
        <v>680</v>
      </c>
      <c r="G4108" s="3" t="s">
        <v>1300</v>
      </c>
      <c r="H4108" s="2" t="s">
        <v>21</v>
      </c>
      <c r="I4108" s="2" t="s">
        <v>8310</v>
      </c>
      <c r="J4108" s="3" t="str">
        <f>HYPERLINK("https://www.boe.es/gazeta/dias/1820/08/19/pdfs/GGB-1820-52.pdf#page=2","Abrir facsímil")</f>
        <v>Abrir facsímil</v>
      </c>
      <c r="K4108" s="3" t="s">
        <v>23</v>
      </c>
    </row>
    <row r="4109" spans="1:11" ht="42" customHeight="1">
      <c r="A4109" s="2" t="s">
        <v>8302</v>
      </c>
      <c r="B4109" s="2" t="s">
        <v>8303</v>
      </c>
      <c r="C4109" s="2" t="s">
        <v>17</v>
      </c>
      <c r="D4109" s="2" t="s">
        <v>18</v>
      </c>
      <c r="E4109" s="5">
        <v>-28983</v>
      </c>
      <c r="F4109" s="3" t="s">
        <v>682</v>
      </c>
      <c r="G4109" s="3" t="s">
        <v>62</v>
      </c>
      <c r="H4109" s="2" t="s">
        <v>21</v>
      </c>
      <c r="I4109" s="2" t="s">
        <v>8311</v>
      </c>
      <c r="J4109" s="3" t="str">
        <f>HYPERLINK("https://www.boe.es/gazeta/dias/1820/08/23/pdfs/GGB-1820-56.pdf#page=3","Abrir facsímil")</f>
        <v>Abrir facsímil</v>
      </c>
      <c r="K4109" s="3" t="s">
        <v>23</v>
      </c>
    </row>
    <row r="4110" spans="1:11" ht="42" customHeight="1">
      <c r="A4110" s="2" t="s">
        <v>8302</v>
      </c>
      <c r="B4110" s="2" t="s">
        <v>8303</v>
      </c>
      <c r="C4110" s="2" t="s">
        <v>26</v>
      </c>
      <c r="D4110" s="2" t="s">
        <v>27</v>
      </c>
      <c r="E4110" s="5">
        <v>-28941</v>
      </c>
      <c r="F4110" s="3" t="s">
        <v>1727</v>
      </c>
      <c r="G4110" s="3" t="s">
        <v>62</v>
      </c>
      <c r="H4110" s="2" t="s">
        <v>21</v>
      </c>
      <c r="I4110" s="2" t="s">
        <v>8312</v>
      </c>
      <c r="J4110" s="3" t="str">
        <f>HYPERLINK("https://www.boe.es/gazeta/dias/1820/10/04/pdfs/GGB-1820-98.pdf#page=3","Abrir facsímil")</f>
        <v>Abrir facsímil</v>
      </c>
      <c r="K4110" s="3" t="s">
        <v>23</v>
      </c>
    </row>
    <row r="4111" spans="1:11" ht="42" customHeight="1">
      <c r="A4111" s="2" t="s">
        <v>8302</v>
      </c>
      <c r="B4111" s="2" t="s">
        <v>8303</v>
      </c>
      <c r="C4111" s="2" t="s">
        <v>35</v>
      </c>
      <c r="D4111" s="2" t="s">
        <v>36</v>
      </c>
      <c r="E4111" s="5">
        <v>-28935</v>
      </c>
      <c r="F4111" s="3" t="s">
        <v>2464</v>
      </c>
      <c r="G4111" s="3" t="s">
        <v>62</v>
      </c>
      <c r="H4111" s="2" t="s">
        <v>21</v>
      </c>
      <c r="I4111" s="2" t="s">
        <v>8313</v>
      </c>
      <c r="J4111" s="3" t="str">
        <f>HYPERLINK("https://www.boe.es/gazeta/dias/1820/10/10/pdfs/GGB-1820-104.pdf#page=3","Abrir facsímil")</f>
        <v>Abrir facsímil</v>
      </c>
      <c r="K4111" s="3" t="s">
        <v>23</v>
      </c>
    </row>
    <row r="4112" spans="1:11" ht="42" customHeight="1">
      <c r="A4112" s="2" t="s">
        <v>8302</v>
      </c>
      <c r="B4112" s="2" t="s">
        <v>8303</v>
      </c>
      <c r="C4112" s="2" t="s">
        <v>74</v>
      </c>
      <c r="D4112" s="2" t="s">
        <v>18</v>
      </c>
      <c r="E4112" s="5">
        <v>-28917</v>
      </c>
      <c r="F4112" s="3" t="s">
        <v>19</v>
      </c>
      <c r="G4112" s="3" t="s">
        <v>20</v>
      </c>
      <c r="H4112" s="2" t="s">
        <v>21</v>
      </c>
      <c r="I4112" s="2" t="s">
        <v>8314</v>
      </c>
      <c r="J4112" s="3" t="str">
        <f>HYPERLINK("https://www.boe.es/gazeta/dias/1820/10/28/pdfs/GGB-1820-122.pdf#page=4","Abrir facsímil")</f>
        <v>Abrir facsímil</v>
      </c>
      <c r="K4112" s="3" t="s">
        <v>23</v>
      </c>
    </row>
    <row r="4113" spans="1:11" ht="42" customHeight="1">
      <c r="A4113" s="2" t="s">
        <v>8302</v>
      </c>
      <c r="B4113" s="2" t="s">
        <v>8303</v>
      </c>
      <c r="C4113" s="2" t="s">
        <v>17</v>
      </c>
      <c r="D4113" s="2" t="s">
        <v>18</v>
      </c>
      <c r="E4113" s="5">
        <v>-28913</v>
      </c>
      <c r="F4113" s="3" t="s">
        <v>230</v>
      </c>
      <c r="G4113" s="3" t="s">
        <v>62</v>
      </c>
      <c r="H4113" s="2" t="s">
        <v>21</v>
      </c>
      <c r="I4113" s="2" t="s">
        <v>8315</v>
      </c>
      <c r="J4113" s="3" t="str">
        <f>HYPERLINK("https://www.boe.es/gazeta/dias/1820/11/01/pdfs/GGB-1820-126.pdf#page=3","Abrir facsímil")</f>
        <v>Abrir facsímil</v>
      </c>
      <c r="K4113" s="3" t="s">
        <v>23</v>
      </c>
    </row>
    <row r="4114" spans="1:11" ht="42" customHeight="1">
      <c r="A4114" s="2" t="s">
        <v>8302</v>
      </c>
      <c r="B4114" s="2" t="s">
        <v>8303</v>
      </c>
      <c r="C4114" s="2" t="s">
        <v>74</v>
      </c>
      <c r="D4114" s="2" t="s">
        <v>18</v>
      </c>
      <c r="E4114" s="5">
        <v>-28910</v>
      </c>
      <c r="F4114" s="3" t="s">
        <v>746</v>
      </c>
      <c r="G4114" s="3" t="s">
        <v>62</v>
      </c>
      <c r="H4114" s="2" t="s">
        <v>21</v>
      </c>
      <c r="I4114" s="2" t="s">
        <v>8316</v>
      </c>
      <c r="J4114" s="3" t="str">
        <f>HYPERLINK("https://www.boe.es/gazeta/dias/1820/11/04/pdfs/GGB-1820-129.pdf#page=3","Abrir facsímil")</f>
        <v>Abrir facsímil</v>
      </c>
      <c r="K4114" s="3" t="s">
        <v>23</v>
      </c>
    </row>
    <row r="4115" spans="1:11" ht="42" customHeight="1">
      <c r="A4115" s="2" t="s">
        <v>8317</v>
      </c>
      <c r="B4115" s="2" t="s">
        <v>8318</v>
      </c>
      <c r="C4115" s="2" t="s">
        <v>35</v>
      </c>
      <c r="D4115" s="2" t="s">
        <v>36</v>
      </c>
      <c r="E4115" s="5">
        <v>-29206</v>
      </c>
      <c r="F4115" s="3" t="s">
        <v>897</v>
      </c>
      <c r="G4115" s="3" t="s">
        <v>295</v>
      </c>
      <c r="H4115" s="2" t="s">
        <v>21</v>
      </c>
      <c r="I4115" s="2" t="s">
        <v>8319</v>
      </c>
      <c r="J4115" s="3" t="str">
        <f>HYPERLINK("https://www.boe.es/gazeta/dias/1820/01/13/pdfs/GMD-1820-6.pdf#page=8","Abrir facsímil")</f>
        <v>Abrir facsímil</v>
      </c>
      <c r="K4115" s="3" t="s">
        <v>23</v>
      </c>
    </row>
    <row r="4116" spans="1:11" ht="42" customHeight="1">
      <c r="A4116" s="2" t="s">
        <v>8320</v>
      </c>
      <c r="B4116" s="2" t="s">
        <v>8321</v>
      </c>
      <c r="C4116" s="2" t="s">
        <v>26</v>
      </c>
      <c r="D4116" s="2" t="s">
        <v>27</v>
      </c>
      <c r="E4116" s="5">
        <v>-28903</v>
      </c>
      <c r="F4116" s="3" t="s">
        <v>2163</v>
      </c>
      <c r="G4116" s="3" t="s">
        <v>62</v>
      </c>
      <c r="H4116" s="2" t="s">
        <v>21</v>
      </c>
      <c r="I4116" s="2" t="s">
        <v>8322</v>
      </c>
      <c r="J4116" s="3" t="str">
        <f>HYPERLINK("https://www.boe.es/gazeta/dias/1820/11/11/pdfs/GGB-1820-137.pdf#page=3","Abrir facsímil")</f>
        <v>Abrir facsímil</v>
      </c>
      <c r="K4116" s="3" t="s">
        <v>23</v>
      </c>
    </row>
    <row r="4117" spans="1:11" ht="42" customHeight="1">
      <c r="A4117" s="2" t="s">
        <v>8323</v>
      </c>
      <c r="B4117" s="2" t="s">
        <v>8323</v>
      </c>
      <c r="C4117" s="2" t="s">
        <v>26</v>
      </c>
      <c r="D4117" s="2" t="s">
        <v>27</v>
      </c>
      <c r="E4117" s="5">
        <v>-29094</v>
      </c>
      <c r="F4117" s="3" t="s">
        <v>560</v>
      </c>
      <c r="G4117" s="3" t="s">
        <v>201</v>
      </c>
      <c r="H4117" s="2" t="s">
        <v>21</v>
      </c>
      <c r="I4117" s="2" t="s">
        <v>8324</v>
      </c>
      <c r="J4117" s="3" t="str">
        <f>HYPERLINK("https://www.boe.es/gazeta/dias/1820/05/04/pdfs/GMD-1820-75.pdf#page=7","Abrir facsímil")</f>
        <v>Abrir facsímil</v>
      </c>
      <c r="K4117" s="3" t="s">
        <v>23</v>
      </c>
    </row>
    <row r="4118" spans="1:11" ht="42" customHeight="1">
      <c r="A4118" s="2" t="s">
        <v>8325</v>
      </c>
      <c r="B4118" s="2" t="s">
        <v>8326</v>
      </c>
      <c r="C4118" s="2" t="s">
        <v>26</v>
      </c>
      <c r="D4118" s="2" t="s">
        <v>27</v>
      </c>
      <c r="E4118" s="5">
        <v>-29138</v>
      </c>
      <c r="F4118" s="3" t="s">
        <v>200</v>
      </c>
      <c r="G4118" s="3" t="s">
        <v>201</v>
      </c>
      <c r="H4118" s="2" t="s">
        <v>21</v>
      </c>
      <c r="I4118" s="2" t="s">
        <v>8327</v>
      </c>
      <c r="J4118" s="3" t="str">
        <f>HYPERLINK("https://www.boe.es/gazeta/dias/1820/03/21/pdfs/GMD-1820-46.pdf#page=7","Abrir facsímil")</f>
        <v>Abrir facsímil</v>
      </c>
      <c r="K4118" s="3" t="s">
        <v>23</v>
      </c>
    </row>
    <row r="4119" spans="1:11" ht="42" customHeight="1">
      <c r="A4119" s="2" t="s">
        <v>8328</v>
      </c>
      <c r="B4119" s="2" t="s">
        <v>8329</v>
      </c>
      <c r="C4119" s="2" t="s">
        <v>35</v>
      </c>
      <c r="D4119" s="2" t="s">
        <v>36</v>
      </c>
      <c r="E4119" s="5">
        <v>-28942</v>
      </c>
      <c r="F4119" s="3" t="s">
        <v>244</v>
      </c>
      <c r="G4119" s="3" t="s">
        <v>20</v>
      </c>
      <c r="H4119" s="2" t="s">
        <v>21</v>
      </c>
      <c r="I4119" s="2" t="s">
        <v>8330</v>
      </c>
      <c r="J4119" s="3" t="str">
        <f>HYPERLINK("https://www.boe.es/gazeta/dias/1820/10/03/pdfs/GGB-1820-97.pdf#page=4","Abrir facsímil")</f>
        <v>Abrir facsímil</v>
      </c>
      <c r="K4119" s="3" t="s">
        <v>23</v>
      </c>
    </row>
    <row r="4120" spans="1:11" ht="42" customHeight="1">
      <c r="A4120" s="2" t="s">
        <v>8331</v>
      </c>
      <c r="B4120" s="2" t="s">
        <v>8331</v>
      </c>
      <c r="C4120" s="2" t="s">
        <v>35</v>
      </c>
      <c r="D4120" s="2" t="s">
        <v>36</v>
      </c>
      <c r="E4120" s="5">
        <v>-29199</v>
      </c>
      <c r="F4120" s="3" t="s">
        <v>1178</v>
      </c>
      <c r="G4120" s="3" t="s">
        <v>4793</v>
      </c>
      <c r="H4120" s="2" t="s">
        <v>21</v>
      </c>
      <c r="I4120" s="2" t="s">
        <v>8332</v>
      </c>
      <c r="J4120" s="3" t="str">
        <f>HYPERLINK("https://www.boe.es/gazeta/dias/1820/01/20/pdfs/GMD-1820-9.pdf#page=8","Abrir facsímil")</f>
        <v>Abrir facsímil</v>
      </c>
      <c r="K4120" s="3" t="s">
        <v>23</v>
      </c>
    </row>
    <row r="4121" spans="1:11" ht="42" customHeight="1">
      <c r="A4121" s="2" t="s">
        <v>8331</v>
      </c>
      <c r="B4121" s="2" t="s">
        <v>8331</v>
      </c>
      <c r="C4121" s="2" t="s">
        <v>17</v>
      </c>
      <c r="D4121" s="2" t="s">
        <v>18</v>
      </c>
      <c r="E4121" s="5">
        <v>-29003</v>
      </c>
      <c r="F4121" s="3" t="s">
        <v>340</v>
      </c>
      <c r="G4121" s="3" t="s">
        <v>20</v>
      </c>
      <c r="H4121" s="2" t="s">
        <v>21</v>
      </c>
      <c r="I4121" s="2" t="s">
        <v>8333</v>
      </c>
      <c r="J4121" s="3" t="str">
        <f>HYPERLINK("https://www.boe.es/gazeta/dias/1820/08/03/pdfs/GGB-1820-36.pdf#page=4","Abrir facsímil")</f>
        <v>Abrir facsímil</v>
      </c>
      <c r="K4121" s="3" t="s">
        <v>23</v>
      </c>
    </row>
    <row r="4122" spans="1:11" ht="42" customHeight="1">
      <c r="A4122" s="2" t="s">
        <v>8331</v>
      </c>
      <c r="B4122" s="2" t="s">
        <v>8331</v>
      </c>
      <c r="C4122" s="2" t="s">
        <v>35</v>
      </c>
      <c r="D4122" s="2" t="s">
        <v>36</v>
      </c>
      <c r="E4122" s="5">
        <v>-28992</v>
      </c>
      <c r="F4122" s="3" t="s">
        <v>587</v>
      </c>
      <c r="G4122" s="3" t="s">
        <v>43</v>
      </c>
      <c r="H4122" s="2" t="s">
        <v>21</v>
      </c>
      <c r="I4122" s="2" t="s">
        <v>8334</v>
      </c>
      <c r="J4122" s="3" t="str">
        <f>HYPERLINK("https://www.boe.es/gazeta/dias/1820/08/14/pdfs/GGB-1820-47.pdf#page=2","Abrir facsímil")</f>
        <v>Abrir facsímil</v>
      </c>
      <c r="K4122" s="3" t="s">
        <v>23</v>
      </c>
    </row>
    <row r="4123" spans="1:11" ht="42" customHeight="1">
      <c r="A4123" s="2" t="s">
        <v>8331</v>
      </c>
      <c r="B4123" s="2" t="s">
        <v>8331</v>
      </c>
      <c r="C4123" s="2" t="s">
        <v>35</v>
      </c>
      <c r="D4123" s="2" t="s">
        <v>36</v>
      </c>
      <c r="E4123" s="5">
        <v>-28987</v>
      </c>
      <c r="F4123" s="3" t="s">
        <v>680</v>
      </c>
      <c r="G4123" s="3" t="s">
        <v>1300</v>
      </c>
      <c r="H4123" s="2" t="s">
        <v>21</v>
      </c>
      <c r="I4123" s="2" t="s">
        <v>8335</v>
      </c>
      <c r="J4123" s="3" t="str">
        <f>HYPERLINK("https://www.boe.es/gazeta/dias/1820/08/19/pdfs/GGB-1820-52.pdf#page=2","Abrir facsímil")</f>
        <v>Abrir facsímil</v>
      </c>
      <c r="K4123" s="3" t="s">
        <v>23</v>
      </c>
    </row>
    <row r="4124" spans="1:11" ht="42" customHeight="1">
      <c r="A4124" s="2" t="s">
        <v>8331</v>
      </c>
      <c r="B4124" s="2" t="s">
        <v>8331</v>
      </c>
      <c r="C4124" s="2" t="s">
        <v>35</v>
      </c>
      <c r="D4124" s="2" t="s">
        <v>36</v>
      </c>
      <c r="E4124" s="5">
        <v>-28987</v>
      </c>
      <c r="F4124" s="3" t="s">
        <v>680</v>
      </c>
      <c r="G4124" s="3" t="s">
        <v>20</v>
      </c>
      <c r="H4124" s="2" t="s">
        <v>21</v>
      </c>
      <c r="I4124" s="2" t="s">
        <v>8336</v>
      </c>
      <c r="J4124" s="3" t="str">
        <f>HYPERLINK("https://www.boe.es/gazeta/dias/1820/08/19/pdfs/GGB-1820-52.pdf#page=4","Abrir facsímil")</f>
        <v>Abrir facsímil</v>
      </c>
      <c r="K4124" s="3" t="s">
        <v>23</v>
      </c>
    </row>
    <row r="4125" spans="1:11" ht="42" customHeight="1">
      <c r="A4125" s="2" t="s">
        <v>8331</v>
      </c>
      <c r="B4125" s="2" t="s">
        <v>8331</v>
      </c>
      <c r="C4125" s="2" t="s">
        <v>74</v>
      </c>
      <c r="D4125" s="2" t="s">
        <v>18</v>
      </c>
      <c r="E4125" s="5">
        <v>-28982</v>
      </c>
      <c r="F4125" s="3" t="s">
        <v>173</v>
      </c>
      <c r="G4125" s="3" t="s">
        <v>62</v>
      </c>
      <c r="H4125" s="2" t="s">
        <v>21</v>
      </c>
      <c r="I4125" s="2" t="s">
        <v>8337</v>
      </c>
      <c r="J4125" s="3" t="str">
        <f>HYPERLINK("https://www.boe.es/gazeta/dias/1820/08/24/pdfs/GGB-1820-57.pdf#page=3","Abrir facsímil")</f>
        <v>Abrir facsímil</v>
      </c>
      <c r="K4125" s="3" t="s">
        <v>23</v>
      </c>
    </row>
    <row r="4126" spans="1:11" ht="42" customHeight="1">
      <c r="A4126" s="2" t="s">
        <v>8331</v>
      </c>
      <c r="B4126" s="2" t="s">
        <v>8331</v>
      </c>
      <c r="C4126" s="2" t="s">
        <v>17</v>
      </c>
      <c r="D4126" s="2" t="s">
        <v>18</v>
      </c>
      <c r="E4126" s="5">
        <v>-28971</v>
      </c>
      <c r="F4126" s="3" t="s">
        <v>691</v>
      </c>
      <c r="G4126" s="3" t="s">
        <v>5078</v>
      </c>
      <c r="H4126" s="2" t="s">
        <v>21</v>
      </c>
      <c r="I4126" s="2" t="s">
        <v>8338</v>
      </c>
      <c r="J4126" s="3" t="str">
        <f>HYPERLINK("https://www.boe.es/gazeta/dias/1820/09/04/pdfs/GGB-1820-68.pdf#page=4","Abrir facsímil")</f>
        <v>Abrir facsímil</v>
      </c>
      <c r="K4126" s="3" t="s">
        <v>23</v>
      </c>
    </row>
    <row r="4127" spans="1:11" ht="42" customHeight="1">
      <c r="A4127" s="2" t="s">
        <v>8331</v>
      </c>
      <c r="B4127" s="2" t="s">
        <v>8331</v>
      </c>
      <c r="C4127" s="2" t="s">
        <v>17</v>
      </c>
      <c r="D4127" s="2" t="s">
        <v>18</v>
      </c>
      <c r="E4127" s="5">
        <v>-28952</v>
      </c>
      <c r="F4127" s="3" t="s">
        <v>370</v>
      </c>
      <c r="G4127" s="3" t="s">
        <v>20</v>
      </c>
      <c r="H4127" s="2" t="s">
        <v>21</v>
      </c>
      <c r="I4127" s="2" t="s">
        <v>8339</v>
      </c>
      <c r="J4127" s="3" t="str">
        <f>HYPERLINK("https://www.boe.es/gazeta/dias/1820/09/23/pdfs/GGB-1820-87.pdf#page=4","Abrir facsímil")</f>
        <v>Abrir facsímil</v>
      </c>
      <c r="K4127" s="3" t="s">
        <v>23</v>
      </c>
    </row>
    <row r="4128" spans="1:11" ht="42" customHeight="1">
      <c r="A4128" s="2" t="s">
        <v>8331</v>
      </c>
      <c r="B4128" s="2" t="s">
        <v>8331</v>
      </c>
      <c r="C4128" s="2" t="s">
        <v>17</v>
      </c>
      <c r="D4128" s="2" t="s">
        <v>18</v>
      </c>
      <c r="E4128" s="5">
        <v>-28951</v>
      </c>
      <c r="F4128" s="3" t="s">
        <v>622</v>
      </c>
      <c r="G4128" s="3" t="s">
        <v>20</v>
      </c>
      <c r="H4128" s="2" t="s">
        <v>21</v>
      </c>
      <c r="I4128" s="2" t="s">
        <v>8340</v>
      </c>
      <c r="J4128" s="3" t="str">
        <f>HYPERLINK("https://www.boe.es/gazeta/dias/1820/09/24/pdfs/GGB-1820-88.pdf#page=4","Abrir facsímil")</f>
        <v>Abrir facsímil</v>
      </c>
      <c r="K4128" s="3" t="s">
        <v>23</v>
      </c>
    </row>
    <row r="4129" spans="1:11" ht="42" customHeight="1">
      <c r="A4129" s="2" t="s">
        <v>8331</v>
      </c>
      <c r="B4129" s="2" t="s">
        <v>8331</v>
      </c>
      <c r="C4129" s="2" t="s">
        <v>17</v>
      </c>
      <c r="D4129" s="2" t="s">
        <v>18</v>
      </c>
      <c r="E4129" s="5">
        <v>-28945</v>
      </c>
      <c r="F4129" s="3" t="s">
        <v>99</v>
      </c>
      <c r="G4129" s="3" t="s">
        <v>62</v>
      </c>
      <c r="H4129" s="2" t="s">
        <v>21</v>
      </c>
      <c r="I4129" s="2" t="s">
        <v>8341</v>
      </c>
      <c r="J4129" s="3" t="str">
        <f>HYPERLINK("https://www.boe.es/gazeta/dias/1820/09/30/pdfs/GGB-1820-94.pdf#page=3","Abrir facsímil")</f>
        <v>Abrir facsímil</v>
      </c>
      <c r="K4129" s="3" t="s">
        <v>23</v>
      </c>
    </row>
    <row r="4130" spans="1:11" ht="42" customHeight="1">
      <c r="A4130" s="2" t="s">
        <v>8331</v>
      </c>
      <c r="B4130" s="2" t="s">
        <v>8331</v>
      </c>
      <c r="C4130" s="2" t="s">
        <v>35</v>
      </c>
      <c r="D4130" s="2" t="s">
        <v>36</v>
      </c>
      <c r="E4130" s="5">
        <v>-28938</v>
      </c>
      <c r="F4130" s="3" t="s">
        <v>716</v>
      </c>
      <c r="G4130" s="3" t="s">
        <v>717</v>
      </c>
      <c r="H4130" s="2" t="s">
        <v>21</v>
      </c>
      <c r="I4130" s="2" t="s">
        <v>8342</v>
      </c>
      <c r="J4130" s="3" t="str">
        <f>HYPERLINK("https://www.boe.es/gazeta/dias/1820/10/07/pdfs/GGB-1820-101.pdf#page=2","Abrir facsímil")</f>
        <v>Abrir facsímil</v>
      </c>
      <c r="K4130" s="3" t="s">
        <v>23</v>
      </c>
    </row>
    <row r="4131" spans="1:11" ht="42" customHeight="1">
      <c r="A4131" s="2" t="s">
        <v>8331</v>
      </c>
      <c r="B4131" s="2" t="s">
        <v>8331</v>
      </c>
      <c r="C4131" s="2" t="s">
        <v>35</v>
      </c>
      <c r="D4131" s="2" t="s">
        <v>36</v>
      </c>
      <c r="E4131" s="5">
        <v>-28925</v>
      </c>
      <c r="F4131" s="3" t="s">
        <v>228</v>
      </c>
      <c r="G4131" s="3" t="s">
        <v>43</v>
      </c>
      <c r="H4131" s="2" t="s">
        <v>21</v>
      </c>
      <c r="I4131" s="2" t="s">
        <v>8343</v>
      </c>
      <c r="J4131" s="3" t="str">
        <f>HYPERLINK("https://www.boe.es/gazeta/dias/1820/10/20/pdfs/GGB-1820-114.pdf#page=2","Abrir facsímil")</f>
        <v>Abrir facsímil</v>
      </c>
      <c r="K4131" s="3" t="s">
        <v>23</v>
      </c>
    </row>
    <row r="4132" spans="1:11" ht="42" customHeight="1">
      <c r="A4132" s="2" t="s">
        <v>8331</v>
      </c>
      <c r="B4132" s="2" t="s">
        <v>8331</v>
      </c>
      <c r="C4132" s="2" t="s">
        <v>35</v>
      </c>
      <c r="D4132" s="2" t="s">
        <v>36</v>
      </c>
      <c r="E4132" s="5">
        <v>-28919</v>
      </c>
      <c r="F4132" s="3" t="s">
        <v>516</v>
      </c>
      <c r="G4132" s="3" t="s">
        <v>20</v>
      </c>
      <c r="H4132" s="2" t="s">
        <v>21</v>
      </c>
      <c r="I4132" s="2" t="s">
        <v>8344</v>
      </c>
      <c r="J4132" s="3" t="str">
        <f>HYPERLINK("https://www.boe.es/gazeta/dias/1820/10/26/pdfs/GGB-1820-120.pdf#page=4","Abrir facsímil")</f>
        <v>Abrir facsímil</v>
      </c>
      <c r="K4132" s="3" t="s">
        <v>23</v>
      </c>
    </row>
    <row r="4133" spans="1:11" ht="42" customHeight="1">
      <c r="A4133" s="2" t="s">
        <v>8331</v>
      </c>
      <c r="B4133" s="2" t="s">
        <v>8331</v>
      </c>
      <c r="C4133" s="2" t="s">
        <v>17</v>
      </c>
      <c r="D4133" s="2" t="s">
        <v>18</v>
      </c>
      <c r="E4133" s="5">
        <v>-28905</v>
      </c>
      <c r="F4133" s="3" t="s">
        <v>749</v>
      </c>
      <c r="G4133" s="3" t="s">
        <v>20</v>
      </c>
      <c r="H4133" s="2" t="s">
        <v>21</v>
      </c>
      <c r="I4133" s="2" t="s">
        <v>8345</v>
      </c>
      <c r="J4133" s="3" t="str">
        <f>HYPERLINK("https://www.boe.es/gazeta/dias/1820/11/09/pdfs/GGB-1820-134.pdf#page=4","Abrir facsímil")</f>
        <v>Abrir facsímil</v>
      </c>
      <c r="K4133" s="3" t="s">
        <v>23</v>
      </c>
    </row>
    <row r="4134" spans="1:11" ht="42" customHeight="1">
      <c r="A4134" s="2" t="s">
        <v>8346</v>
      </c>
      <c r="B4134" s="2" t="s">
        <v>8347</v>
      </c>
      <c r="C4134" s="2" t="s">
        <v>35</v>
      </c>
      <c r="D4134" s="2" t="s">
        <v>36</v>
      </c>
      <c r="E4134" s="5">
        <v>-28977</v>
      </c>
      <c r="F4134" s="3" t="s">
        <v>687</v>
      </c>
      <c r="G4134" s="3" t="s">
        <v>20</v>
      </c>
      <c r="H4134" s="2" t="s">
        <v>21</v>
      </c>
      <c r="I4134" s="2" t="s">
        <v>8348</v>
      </c>
      <c r="J4134" s="3" t="str">
        <f>HYPERLINK("https://www.boe.es/gazeta/dias/1820/08/29/pdfs/GGB-1820-62.pdf#page=4","Abrir facsímil")</f>
        <v>Abrir facsímil</v>
      </c>
      <c r="K4134" s="3" t="s">
        <v>23</v>
      </c>
    </row>
    <row r="4135" spans="1:11" ht="42" customHeight="1">
      <c r="A4135" s="2" t="s">
        <v>8349</v>
      </c>
      <c r="B4135" s="2" t="s">
        <v>8350</v>
      </c>
      <c r="C4135" s="2" t="s">
        <v>35</v>
      </c>
      <c r="D4135" s="2" t="s">
        <v>36</v>
      </c>
      <c r="E4135" s="5">
        <v>-28945</v>
      </c>
      <c r="F4135" s="3" t="s">
        <v>99</v>
      </c>
      <c r="G4135" s="3" t="s">
        <v>20</v>
      </c>
      <c r="H4135" s="2" t="s">
        <v>21</v>
      </c>
      <c r="I4135" s="2" t="s">
        <v>8351</v>
      </c>
      <c r="J4135" s="3" t="str">
        <f>HYPERLINK("https://www.boe.es/gazeta/dias/1820/09/30/pdfs/GGB-1820-94.pdf#page=4","Abrir facsímil")</f>
        <v>Abrir facsímil</v>
      </c>
      <c r="K4135" s="3" t="s">
        <v>23</v>
      </c>
    </row>
    <row r="4136" spans="1:11" ht="42" customHeight="1">
      <c r="A4136" s="2" t="s">
        <v>8352</v>
      </c>
      <c r="B4136" s="2" t="s">
        <v>8352</v>
      </c>
      <c r="C4136" s="2" t="s">
        <v>293</v>
      </c>
      <c r="D4136" s="2" t="s">
        <v>18</v>
      </c>
      <c r="E4136" s="5">
        <v>-28934</v>
      </c>
      <c r="F4136" s="3" t="s">
        <v>163</v>
      </c>
      <c r="G4136" s="3" t="s">
        <v>1539</v>
      </c>
      <c r="H4136" s="2" t="s">
        <v>21</v>
      </c>
      <c r="I4136" s="2" t="s">
        <v>8353</v>
      </c>
      <c r="J4136" s="3" t="str">
        <f>HYPERLINK("https://www.boe.es/gazeta/dias/1820/10/11/pdfs/GGB-1820-105.pdf#page=2","Abrir facsímil")</f>
        <v>Abrir facsímil</v>
      </c>
      <c r="K4136" s="3" t="s">
        <v>23</v>
      </c>
    </row>
    <row r="4137" spans="1:11" ht="42" customHeight="1">
      <c r="A4137" s="2" t="s">
        <v>8354</v>
      </c>
      <c r="B4137" s="2" t="s">
        <v>8354</v>
      </c>
      <c r="C4137" s="2" t="s">
        <v>26</v>
      </c>
      <c r="D4137" s="2" t="s">
        <v>27</v>
      </c>
      <c r="E4137" s="5">
        <v>-28966</v>
      </c>
      <c r="F4137" s="3" t="s">
        <v>701</v>
      </c>
      <c r="G4137" s="3" t="s">
        <v>62</v>
      </c>
      <c r="H4137" s="2" t="s">
        <v>21</v>
      </c>
      <c r="I4137" s="2" t="s">
        <v>8355</v>
      </c>
      <c r="J4137" s="3" t="str">
        <f>HYPERLINK("https://www.boe.es/gazeta/dias/1820/09/09/pdfs/GGB-1820-73.pdf#page=3","Abrir facsímil")</f>
        <v>Abrir facsímil</v>
      </c>
      <c r="K4137" s="3" t="s">
        <v>23</v>
      </c>
    </row>
    <row r="4138" spans="1:11" ht="42" customHeight="1">
      <c r="A4138" s="2" t="s">
        <v>8356</v>
      </c>
      <c r="B4138" s="2" t="s">
        <v>8356</v>
      </c>
      <c r="C4138" s="2" t="s">
        <v>35</v>
      </c>
      <c r="D4138" s="2" t="s">
        <v>36</v>
      </c>
      <c r="E4138" s="5">
        <v>-29008</v>
      </c>
      <c r="F4138" s="3" t="s">
        <v>2250</v>
      </c>
      <c r="G4138" s="3" t="s">
        <v>62</v>
      </c>
      <c r="H4138" s="2" t="s">
        <v>21</v>
      </c>
      <c r="I4138" s="2" t="s">
        <v>8357</v>
      </c>
      <c r="J4138" s="3" t="str">
        <f>HYPERLINK("https://www.boe.es/gazeta/dias/1820/07/29/pdfs/GGB-1820-31.pdf#page=3","Abrir facsímil")</f>
        <v>Abrir facsímil</v>
      </c>
      <c r="K4138" s="3" t="s">
        <v>23</v>
      </c>
    </row>
    <row r="4139" spans="1:11" ht="42" customHeight="1">
      <c r="A4139" s="2" t="s">
        <v>8358</v>
      </c>
      <c r="B4139" s="2" t="s">
        <v>8359</v>
      </c>
      <c r="C4139" s="2" t="s">
        <v>35</v>
      </c>
      <c r="D4139" s="2" t="s">
        <v>36</v>
      </c>
      <c r="E4139" s="5">
        <v>-29040</v>
      </c>
      <c r="F4139" s="3" t="s">
        <v>1125</v>
      </c>
      <c r="G4139" s="3" t="s">
        <v>196</v>
      </c>
      <c r="H4139" s="2" t="s">
        <v>21</v>
      </c>
      <c r="I4139" s="2" t="s">
        <v>8360</v>
      </c>
      <c r="J4139" s="3" t="str">
        <f>HYPERLINK("https://www.boe.es/gazeta/dias/1820/06/27/pdfs/GMD-1820-99.pdf#page=11","Abrir facsímil")</f>
        <v>Abrir facsímil</v>
      </c>
      <c r="K4139" s="3" t="s">
        <v>23</v>
      </c>
    </row>
    <row r="4140" spans="1:11" ht="42" customHeight="1">
      <c r="A4140" s="2" t="s">
        <v>8361</v>
      </c>
      <c r="B4140" s="2" t="s">
        <v>8361</v>
      </c>
      <c r="C4140" s="2" t="s">
        <v>35</v>
      </c>
      <c r="D4140" s="2" t="s">
        <v>36</v>
      </c>
      <c r="E4140" s="5">
        <v>-29038</v>
      </c>
      <c r="F4140" s="3" t="s">
        <v>957</v>
      </c>
      <c r="G4140" s="3" t="s">
        <v>38</v>
      </c>
      <c r="H4140" s="2" t="s">
        <v>21</v>
      </c>
      <c r="I4140" s="2" t="s">
        <v>8362</v>
      </c>
      <c r="J4140" s="3" t="str">
        <f>HYPERLINK("https://www.boe.es/gazeta/dias/1820/06/29/pdfs/GMD-1820-100.pdf#page=6","Abrir facsímil")</f>
        <v>Abrir facsímil</v>
      </c>
      <c r="K4140" s="3" t="s">
        <v>23</v>
      </c>
    </row>
    <row r="4141" spans="1:11" ht="42" customHeight="1">
      <c r="A4141" s="2" t="s">
        <v>8361</v>
      </c>
      <c r="B4141" s="2" t="s">
        <v>8361</v>
      </c>
      <c r="C4141" s="2" t="s">
        <v>26</v>
      </c>
      <c r="D4141" s="2" t="s">
        <v>27</v>
      </c>
      <c r="E4141" s="5">
        <v>-29026</v>
      </c>
      <c r="F4141" s="3" t="s">
        <v>1197</v>
      </c>
      <c r="G4141" s="3" t="s">
        <v>62</v>
      </c>
      <c r="H4141" s="2" t="s">
        <v>21</v>
      </c>
      <c r="I4141" s="2" t="s">
        <v>8363</v>
      </c>
      <c r="J4141" s="3" t="str">
        <f>HYPERLINK("https://www.boe.es/gazeta/dias/1820/07/11/pdfs/GGB-1820-13.pdf#page=3","Abrir facsímil")</f>
        <v>Abrir facsímil</v>
      </c>
      <c r="K4141" s="3" t="s">
        <v>23</v>
      </c>
    </row>
    <row r="4142" spans="1:11" ht="42" customHeight="1">
      <c r="A4142" s="2" t="s">
        <v>8361</v>
      </c>
      <c r="B4142" s="2" t="s">
        <v>8361</v>
      </c>
      <c r="C4142" s="2" t="s">
        <v>35</v>
      </c>
      <c r="D4142" s="2" t="s">
        <v>36</v>
      </c>
      <c r="E4142" s="5">
        <v>-29024</v>
      </c>
      <c r="F4142" s="3" t="s">
        <v>1916</v>
      </c>
      <c r="G4142" s="3" t="s">
        <v>62</v>
      </c>
      <c r="H4142" s="2" t="s">
        <v>21</v>
      </c>
      <c r="I4142" s="2" t="s">
        <v>8364</v>
      </c>
      <c r="J4142" s="3" t="str">
        <f>HYPERLINK("https://www.boe.es/gazeta/dias/1820/07/13/pdfs/GGB-1820-15.pdf#page=3","Abrir facsímil")</f>
        <v>Abrir facsímil</v>
      </c>
      <c r="K4142" s="3" t="s">
        <v>23</v>
      </c>
    </row>
    <row r="4143" spans="1:11" ht="42" customHeight="1">
      <c r="A4143" s="2" t="s">
        <v>8361</v>
      </c>
      <c r="B4143" s="2" t="s">
        <v>8361</v>
      </c>
      <c r="C4143" s="2" t="s">
        <v>17</v>
      </c>
      <c r="D4143" s="2" t="s">
        <v>18</v>
      </c>
      <c r="E4143" s="5">
        <v>-29019</v>
      </c>
      <c r="F4143" s="3" t="s">
        <v>655</v>
      </c>
      <c r="G4143" s="3" t="s">
        <v>945</v>
      </c>
      <c r="H4143" s="2" t="s">
        <v>21</v>
      </c>
      <c r="I4143" s="2" t="s">
        <v>8365</v>
      </c>
      <c r="J4143" s="3" t="str">
        <f>HYPERLINK("https://www.boe.es/gazeta/dias/1820/07/18/pdfs/GGB-1820-20.pdf#page=2","Abrir facsímil")</f>
        <v>Abrir facsímil</v>
      </c>
      <c r="K4143" s="3" t="s">
        <v>23</v>
      </c>
    </row>
    <row r="4144" spans="1:11" ht="42" customHeight="1">
      <c r="A4144" s="2" t="s">
        <v>8361</v>
      </c>
      <c r="B4144" s="2" t="s">
        <v>8361</v>
      </c>
      <c r="C4144" s="2" t="s">
        <v>17</v>
      </c>
      <c r="D4144" s="2" t="s">
        <v>18</v>
      </c>
      <c r="E4144" s="5">
        <v>-29016</v>
      </c>
      <c r="F4144" s="3" t="s">
        <v>657</v>
      </c>
      <c r="G4144" s="3" t="s">
        <v>20</v>
      </c>
      <c r="H4144" s="2" t="s">
        <v>21</v>
      </c>
      <c r="I4144" s="2" t="s">
        <v>8366</v>
      </c>
      <c r="J4144" s="3" t="str">
        <f>HYPERLINK("https://www.boe.es/gazeta/dias/1820/07/21/pdfs/GGB-1820-23.pdf#page=4","Abrir facsímil")</f>
        <v>Abrir facsímil</v>
      </c>
      <c r="K4144" s="3" t="s">
        <v>23</v>
      </c>
    </row>
    <row r="4145" spans="1:11" ht="42" customHeight="1">
      <c r="A4145" s="2" t="s">
        <v>8361</v>
      </c>
      <c r="B4145" s="2" t="s">
        <v>8361</v>
      </c>
      <c r="C4145" s="2" t="s">
        <v>35</v>
      </c>
      <c r="D4145" s="2" t="s">
        <v>36</v>
      </c>
      <c r="E4145" s="5">
        <v>-29015</v>
      </c>
      <c r="F4145" s="3" t="s">
        <v>359</v>
      </c>
      <c r="G4145" s="3" t="s">
        <v>62</v>
      </c>
      <c r="H4145" s="2" t="s">
        <v>21</v>
      </c>
      <c r="I4145" s="2" t="s">
        <v>8367</v>
      </c>
      <c r="J4145" s="3" t="str">
        <f>HYPERLINK("https://www.boe.es/gazeta/dias/1820/07/22/pdfs/GGB-1820-24.pdf#page=3","Abrir facsímil")</f>
        <v>Abrir facsímil</v>
      </c>
      <c r="K4145" s="3" t="s">
        <v>23</v>
      </c>
    </row>
    <row r="4146" spans="1:11" ht="42" customHeight="1">
      <c r="A4146" s="2" t="s">
        <v>8361</v>
      </c>
      <c r="B4146" s="2" t="s">
        <v>8361</v>
      </c>
      <c r="C4146" s="2" t="s">
        <v>293</v>
      </c>
      <c r="D4146" s="2" t="s">
        <v>18</v>
      </c>
      <c r="E4146" s="5">
        <v>-29012</v>
      </c>
      <c r="F4146" s="3" t="s">
        <v>72</v>
      </c>
      <c r="G4146" s="3" t="s">
        <v>62</v>
      </c>
      <c r="H4146" s="2" t="s">
        <v>21</v>
      </c>
      <c r="I4146" s="2" t="s">
        <v>8368</v>
      </c>
      <c r="J4146" s="3" t="str">
        <f>HYPERLINK("https://www.boe.es/gazeta/dias/1820/07/25/pdfs/GGB-1820-27.pdf#page=3","Abrir facsímil")</f>
        <v>Abrir facsímil</v>
      </c>
      <c r="K4146" s="3" t="s">
        <v>23</v>
      </c>
    </row>
    <row r="4147" spans="1:11" ht="42" customHeight="1">
      <c r="A4147" s="2" t="s">
        <v>8361</v>
      </c>
      <c r="B4147" s="2" t="s">
        <v>8361</v>
      </c>
      <c r="C4147" s="2" t="s">
        <v>35</v>
      </c>
      <c r="D4147" s="2" t="s">
        <v>36</v>
      </c>
      <c r="E4147" s="5">
        <v>-29012</v>
      </c>
      <c r="F4147" s="3" t="s">
        <v>72</v>
      </c>
      <c r="G4147" s="3" t="s">
        <v>20</v>
      </c>
      <c r="H4147" s="2" t="s">
        <v>21</v>
      </c>
      <c r="I4147" s="2" t="s">
        <v>8369</v>
      </c>
      <c r="J4147" s="3" t="str">
        <f>HYPERLINK("https://www.boe.es/gazeta/dias/1820/07/25/pdfs/GGB-1820-27.pdf#page=4","Abrir facsímil")</f>
        <v>Abrir facsímil</v>
      </c>
      <c r="K4147" s="3" t="s">
        <v>23</v>
      </c>
    </row>
    <row r="4148" spans="1:11" ht="42" customHeight="1">
      <c r="A4148" s="2" t="s">
        <v>8361</v>
      </c>
      <c r="B4148" s="2" t="s">
        <v>8361</v>
      </c>
      <c r="C4148" s="2" t="s">
        <v>35</v>
      </c>
      <c r="D4148" s="2" t="s">
        <v>36</v>
      </c>
      <c r="E4148" s="5">
        <v>-29011</v>
      </c>
      <c r="F4148" s="3" t="s">
        <v>338</v>
      </c>
      <c r="G4148" s="3" t="s">
        <v>62</v>
      </c>
      <c r="H4148" s="2" t="s">
        <v>21</v>
      </c>
      <c r="I4148" s="2" t="s">
        <v>8370</v>
      </c>
      <c r="J4148" s="3" t="str">
        <f>HYPERLINK("https://www.boe.es/gazeta/dias/1820/07/26/pdfs/GGB-1820-28.pdf#page=3","Abrir facsímil")</f>
        <v>Abrir facsímil</v>
      </c>
      <c r="K4148" s="3" t="s">
        <v>23</v>
      </c>
    </row>
    <row r="4149" spans="1:11" ht="42" customHeight="1">
      <c r="A4149" s="2" t="s">
        <v>8361</v>
      </c>
      <c r="B4149" s="2" t="s">
        <v>8361</v>
      </c>
      <c r="C4149" s="2" t="s">
        <v>74</v>
      </c>
      <c r="D4149" s="2" t="s">
        <v>18</v>
      </c>
      <c r="E4149" s="5">
        <v>-29010</v>
      </c>
      <c r="F4149" s="3" t="s">
        <v>664</v>
      </c>
      <c r="G4149" s="3" t="s">
        <v>773</v>
      </c>
      <c r="H4149" s="2" t="s">
        <v>21</v>
      </c>
      <c r="I4149" s="2" t="s">
        <v>8371</v>
      </c>
      <c r="J4149" s="3" t="str">
        <f>HYPERLINK("https://www.boe.es/gazeta/dias/1820/07/27/pdfs/GGB-1820-29.pdf#page=4","Abrir facsímil")</f>
        <v>Abrir facsímil</v>
      </c>
      <c r="K4149" s="3" t="s">
        <v>23</v>
      </c>
    </row>
    <row r="4150" spans="1:11" ht="42" customHeight="1">
      <c r="A4150" s="2" t="s">
        <v>8361</v>
      </c>
      <c r="B4150" s="2" t="s">
        <v>8361</v>
      </c>
      <c r="C4150" s="2" t="s">
        <v>26</v>
      </c>
      <c r="D4150" s="2" t="s">
        <v>27</v>
      </c>
      <c r="E4150" s="5">
        <v>-29008</v>
      </c>
      <c r="F4150" s="3" t="s">
        <v>2250</v>
      </c>
      <c r="G4150" s="3" t="s">
        <v>62</v>
      </c>
      <c r="H4150" s="2" t="s">
        <v>21</v>
      </c>
      <c r="I4150" s="2" t="s">
        <v>8372</v>
      </c>
      <c r="J4150" s="3" t="str">
        <f>HYPERLINK("https://www.boe.es/gazeta/dias/1820/07/29/pdfs/GGB-1820-31.pdf#page=3","Abrir facsímil")</f>
        <v>Abrir facsímil</v>
      </c>
      <c r="K4150" s="3" t="s">
        <v>23</v>
      </c>
    </row>
    <row r="4151" spans="1:11" ht="42" customHeight="1">
      <c r="A4151" s="2" t="s">
        <v>8361</v>
      </c>
      <c r="B4151" s="2" t="s">
        <v>8361</v>
      </c>
      <c r="C4151" s="2" t="s">
        <v>74</v>
      </c>
      <c r="D4151" s="2" t="s">
        <v>18</v>
      </c>
      <c r="E4151" s="5">
        <v>-29006</v>
      </c>
      <c r="F4151" s="3" t="s">
        <v>609</v>
      </c>
      <c r="G4151" s="3" t="s">
        <v>43</v>
      </c>
      <c r="H4151" s="2" t="s">
        <v>21</v>
      </c>
      <c r="I4151" s="2" t="s">
        <v>8373</v>
      </c>
      <c r="J4151" s="3" t="str">
        <f>HYPERLINK("https://www.boe.es/gazeta/dias/1820/07/31/pdfs/GGB-1820-33.pdf#page=2","Abrir facsímil")</f>
        <v>Abrir facsímil</v>
      </c>
      <c r="K4151" s="3" t="s">
        <v>23</v>
      </c>
    </row>
    <row r="4152" spans="1:11" ht="42" customHeight="1">
      <c r="A4152" s="2" t="s">
        <v>8361</v>
      </c>
      <c r="B4152" s="2" t="s">
        <v>8361</v>
      </c>
      <c r="C4152" s="2" t="s">
        <v>111</v>
      </c>
      <c r="D4152" s="2" t="s">
        <v>18</v>
      </c>
      <c r="E4152" s="5">
        <v>-28997</v>
      </c>
      <c r="F4152" s="3" t="s">
        <v>1471</v>
      </c>
      <c r="G4152" s="3" t="s">
        <v>62</v>
      </c>
      <c r="H4152" s="2" t="s">
        <v>21</v>
      </c>
      <c r="I4152" s="2" t="s">
        <v>8374</v>
      </c>
      <c r="J4152" s="3" t="str">
        <f>HYPERLINK("https://www.boe.es/gazeta/dias/1820/08/09/pdfs/GGB-1820-42.pdf#page=3","Abrir facsímil")</f>
        <v>Abrir facsímil</v>
      </c>
      <c r="K4152" s="3" t="s">
        <v>23</v>
      </c>
    </row>
    <row r="4153" spans="1:11" ht="42" customHeight="1">
      <c r="A4153" s="2" t="s">
        <v>8361</v>
      </c>
      <c r="B4153" s="2" t="s">
        <v>8361</v>
      </c>
      <c r="C4153" s="2" t="s">
        <v>26</v>
      </c>
      <c r="D4153" s="2" t="s">
        <v>27</v>
      </c>
      <c r="E4153" s="5">
        <v>-28991</v>
      </c>
      <c r="F4153" s="3" t="s">
        <v>213</v>
      </c>
      <c r="G4153" s="3" t="s">
        <v>62</v>
      </c>
      <c r="H4153" s="2" t="s">
        <v>21</v>
      </c>
      <c r="I4153" s="2" t="s">
        <v>8375</v>
      </c>
      <c r="J4153" s="3" t="str">
        <f>HYPERLINK("https://www.boe.es/gazeta/dias/1820/08/15/pdfs/GGB-1820-48.pdf#page=3","Abrir facsímil")</f>
        <v>Abrir facsímil</v>
      </c>
      <c r="K4153" s="3" t="s">
        <v>23</v>
      </c>
    </row>
    <row r="4154" spans="1:11" ht="42" customHeight="1">
      <c r="A4154" s="2" t="s">
        <v>8361</v>
      </c>
      <c r="B4154" s="2" t="s">
        <v>8361</v>
      </c>
      <c r="C4154" s="2" t="s">
        <v>17</v>
      </c>
      <c r="D4154" s="2" t="s">
        <v>18</v>
      </c>
      <c r="E4154" s="5">
        <v>-28990</v>
      </c>
      <c r="F4154" s="3" t="s">
        <v>61</v>
      </c>
      <c r="G4154" s="3" t="s">
        <v>62</v>
      </c>
      <c r="H4154" s="2" t="s">
        <v>21</v>
      </c>
      <c r="I4154" s="2" t="s">
        <v>8376</v>
      </c>
      <c r="J4154" s="3" t="str">
        <f>HYPERLINK("https://www.boe.es/gazeta/dias/1820/08/16/pdfs/GGB-1820-49.pdf#page=3","Abrir facsímil")</f>
        <v>Abrir facsímil</v>
      </c>
      <c r="K4154" s="3" t="s">
        <v>23</v>
      </c>
    </row>
    <row r="4155" spans="1:11" ht="42" customHeight="1">
      <c r="A4155" s="2" t="s">
        <v>8361</v>
      </c>
      <c r="B4155" s="2" t="s">
        <v>8361</v>
      </c>
      <c r="C4155" s="2" t="s">
        <v>26</v>
      </c>
      <c r="D4155" s="2" t="s">
        <v>27</v>
      </c>
      <c r="E4155" s="5">
        <v>-28989</v>
      </c>
      <c r="F4155" s="3" t="s">
        <v>809</v>
      </c>
      <c r="G4155" s="3" t="s">
        <v>43</v>
      </c>
      <c r="H4155" s="2" t="s">
        <v>21</v>
      </c>
      <c r="I4155" s="2" t="s">
        <v>8377</v>
      </c>
      <c r="J4155" s="3" t="str">
        <f>HYPERLINK("https://www.boe.es/gazeta/dias/1820/08/17/pdfs/GGB-1820-50.pdf#page=2","Abrir facsímil")</f>
        <v>Abrir facsímil</v>
      </c>
      <c r="K4155" s="3" t="s">
        <v>23</v>
      </c>
    </row>
    <row r="4156" spans="1:11" ht="42" customHeight="1">
      <c r="A4156" s="2" t="s">
        <v>8361</v>
      </c>
      <c r="B4156" s="2" t="s">
        <v>8361</v>
      </c>
      <c r="C4156" s="2" t="s">
        <v>17</v>
      </c>
      <c r="D4156" s="2" t="s">
        <v>18</v>
      </c>
      <c r="E4156" s="5">
        <v>-28987</v>
      </c>
      <c r="F4156" s="3" t="s">
        <v>680</v>
      </c>
      <c r="G4156" s="3" t="s">
        <v>1300</v>
      </c>
      <c r="H4156" s="2" t="s">
        <v>21</v>
      </c>
      <c r="I4156" s="2" t="s">
        <v>8378</v>
      </c>
      <c r="J4156" s="3" t="str">
        <f>HYPERLINK("https://www.boe.es/gazeta/dias/1820/08/19/pdfs/GGB-1820-52.pdf#page=2","Abrir facsímil")</f>
        <v>Abrir facsímil</v>
      </c>
      <c r="K4156" s="3" t="s">
        <v>23</v>
      </c>
    </row>
    <row r="4157" spans="1:11" ht="42" customHeight="1">
      <c r="A4157" s="2" t="s">
        <v>8361</v>
      </c>
      <c r="B4157" s="2" t="s">
        <v>8361</v>
      </c>
      <c r="C4157" s="2" t="s">
        <v>26</v>
      </c>
      <c r="D4157" s="2" t="s">
        <v>27</v>
      </c>
      <c r="E4157" s="5">
        <v>-28976</v>
      </c>
      <c r="F4157" s="3" t="s">
        <v>689</v>
      </c>
      <c r="G4157" s="3" t="s">
        <v>62</v>
      </c>
      <c r="H4157" s="2" t="s">
        <v>21</v>
      </c>
      <c r="I4157" s="2" t="s">
        <v>8379</v>
      </c>
      <c r="J4157" s="3" t="str">
        <f>HYPERLINK("https://www.boe.es/gazeta/dias/1820/08/30/pdfs/GGB-1820-63.pdf#page=3","Abrir facsímil")</f>
        <v>Abrir facsímil</v>
      </c>
      <c r="K4157" s="3" t="s">
        <v>23</v>
      </c>
    </row>
    <row r="4158" spans="1:11" ht="42" customHeight="1">
      <c r="A4158" s="2" t="s">
        <v>8361</v>
      </c>
      <c r="B4158" s="2" t="s">
        <v>8361</v>
      </c>
      <c r="C4158" s="2" t="s">
        <v>74</v>
      </c>
      <c r="D4158" s="2" t="s">
        <v>18</v>
      </c>
      <c r="E4158" s="5">
        <v>-28972</v>
      </c>
      <c r="F4158" s="3" t="s">
        <v>522</v>
      </c>
      <c r="G4158" s="3" t="s">
        <v>20</v>
      </c>
      <c r="H4158" s="2" t="s">
        <v>21</v>
      </c>
      <c r="I4158" s="2" t="s">
        <v>8380</v>
      </c>
      <c r="J4158" s="3" t="str">
        <f>HYPERLINK("https://www.boe.es/gazeta/dias/1820/09/03/pdfs/GGB-1820-67.pdf#page=4","Abrir facsímil")</f>
        <v>Abrir facsímil</v>
      </c>
      <c r="K4158" s="3" t="s">
        <v>23</v>
      </c>
    </row>
    <row r="4159" spans="1:11" ht="42" customHeight="1">
      <c r="A4159" s="2" t="s">
        <v>8361</v>
      </c>
      <c r="B4159" s="2" t="s">
        <v>8361</v>
      </c>
      <c r="C4159" s="2" t="s">
        <v>26</v>
      </c>
      <c r="D4159" s="2" t="s">
        <v>27</v>
      </c>
      <c r="E4159" s="5">
        <v>-28968</v>
      </c>
      <c r="F4159" s="3" t="s">
        <v>66</v>
      </c>
      <c r="G4159" s="3" t="s">
        <v>62</v>
      </c>
      <c r="H4159" s="2" t="s">
        <v>21</v>
      </c>
      <c r="I4159" s="2" t="s">
        <v>8381</v>
      </c>
      <c r="J4159" s="3" t="str">
        <f>HYPERLINK("https://www.boe.es/gazeta/dias/1820/09/07/pdfs/GGB-1820-71.pdf#page=3","Abrir facsímil")</f>
        <v>Abrir facsímil</v>
      </c>
      <c r="K4159" s="3" t="s">
        <v>23</v>
      </c>
    </row>
    <row r="4160" spans="1:11" ht="42" customHeight="1">
      <c r="A4160" s="2" t="s">
        <v>8361</v>
      </c>
      <c r="B4160" s="2" t="s">
        <v>8361</v>
      </c>
      <c r="C4160" s="2" t="s">
        <v>35</v>
      </c>
      <c r="D4160" s="2" t="s">
        <v>36</v>
      </c>
      <c r="E4160" s="5">
        <v>-28961</v>
      </c>
      <c r="F4160" s="3" t="s">
        <v>242</v>
      </c>
      <c r="G4160" s="3" t="s">
        <v>62</v>
      </c>
      <c r="H4160" s="2" t="s">
        <v>21</v>
      </c>
      <c r="I4160" s="2" t="s">
        <v>8382</v>
      </c>
      <c r="J4160" s="3" t="str">
        <f>HYPERLINK("https://www.boe.es/gazeta/dias/1820/09/14/pdfs/GGB-1820-78.pdf#page=3","Abrir facsímil")</f>
        <v>Abrir facsímil</v>
      </c>
      <c r="K4160" s="3" t="s">
        <v>23</v>
      </c>
    </row>
    <row r="4161" spans="1:11" ht="42" customHeight="1">
      <c r="A4161" s="2" t="s">
        <v>8361</v>
      </c>
      <c r="B4161" s="2" t="s">
        <v>8361</v>
      </c>
      <c r="C4161" s="2" t="s">
        <v>17</v>
      </c>
      <c r="D4161" s="2" t="s">
        <v>18</v>
      </c>
      <c r="E4161" s="5">
        <v>-28959</v>
      </c>
      <c r="F4161" s="3" t="s">
        <v>37</v>
      </c>
      <c r="G4161" s="3" t="s">
        <v>20</v>
      </c>
      <c r="H4161" s="2" t="s">
        <v>21</v>
      </c>
      <c r="I4161" s="2" t="s">
        <v>8383</v>
      </c>
      <c r="J4161" s="3" t="str">
        <f>HYPERLINK("https://www.boe.es/gazeta/dias/1820/09/16/pdfs/GGB-1820-80.pdf#page=4","Abrir facsímil")</f>
        <v>Abrir facsímil</v>
      </c>
      <c r="K4161" s="3" t="s">
        <v>23</v>
      </c>
    </row>
    <row r="4162" spans="1:11" ht="42" customHeight="1">
      <c r="A4162" s="2" t="s">
        <v>8361</v>
      </c>
      <c r="B4162" s="2" t="s">
        <v>8361</v>
      </c>
      <c r="C4162" s="2" t="s">
        <v>111</v>
      </c>
      <c r="D4162" s="2" t="s">
        <v>18</v>
      </c>
      <c r="E4162" s="5">
        <v>-28958</v>
      </c>
      <c r="F4162" s="3" t="s">
        <v>706</v>
      </c>
      <c r="G4162" s="3" t="s">
        <v>62</v>
      </c>
      <c r="H4162" s="2" t="s">
        <v>21</v>
      </c>
      <c r="I4162" s="2" t="s">
        <v>8384</v>
      </c>
      <c r="J4162" s="3" t="str">
        <f>HYPERLINK("https://www.boe.es/gazeta/dias/1820/09/17/pdfs/GGB-1820-81.pdf#page=3","Abrir facsímil")</f>
        <v>Abrir facsímil</v>
      </c>
      <c r="K4162" s="3" t="s">
        <v>23</v>
      </c>
    </row>
    <row r="4163" spans="1:11" ht="42" customHeight="1">
      <c r="A4163" s="2" t="s">
        <v>8361</v>
      </c>
      <c r="B4163" s="2" t="s">
        <v>8361</v>
      </c>
      <c r="C4163" s="2" t="s">
        <v>26</v>
      </c>
      <c r="D4163" s="2" t="s">
        <v>27</v>
      </c>
      <c r="E4163" s="5">
        <v>-28956</v>
      </c>
      <c r="F4163" s="3" t="s">
        <v>190</v>
      </c>
      <c r="G4163" s="3" t="s">
        <v>43</v>
      </c>
      <c r="H4163" s="2" t="s">
        <v>21</v>
      </c>
      <c r="I4163" s="2" t="s">
        <v>8385</v>
      </c>
      <c r="J4163" s="3" t="str">
        <f>HYPERLINK("https://www.boe.es/gazeta/dias/1820/09/19/pdfs/GGB-1820-83.pdf#page=2","Abrir facsímil")</f>
        <v>Abrir facsímil</v>
      </c>
      <c r="K4163" s="3" t="s">
        <v>23</v>
      </c>
    </row>
    <row r="4164" spans="1:11" ht="42" customHeight="1">
      <c r="A4164" s="2" t="s">
        <v>8361</v>
      </c>
      <c r="B4164" s="2" t="s">
        <v>8361</v>
      </c>
      <c r="C4164" s="2" t="s">
        <v>26</v>
      </c>
      <c r="D4164" s="2" t="s">
        <v>27</v>
      </c>
      <c r="E4164" s="5">
        <v>-28955</v>
      </c>
      <c r="F4164" s="3" t="s">
        <v>175</v>
      </c>
      <c r="G4164" s="3" t="s">
        <v>20</v>
      </c>
      <c r="H4164" s="2" t="s">
        <v>21</v>
      </c>
      <c r="I4164" s="2" t="s">
        <v>8386</v>
      </c>
      <c r="J4164" s="3" t="str">
        <f>HYPERLINK("https://www.boe.es/gazeta/dias/1820/09/20/pdfs/GGB-1820-84.pdf#page=4","Abrir facsímil")</f>
        <v>Abrir facsímil</v>
      </c>
      <c r="K4164" s="3" t="s">
        <v>23</v>
      </c>
    </row>
    <row r="4165" spans="1:11" ht="42" customHeight="1">
      <c r="A4165" s="2" t="s">
        <v>8361</v>
      </c>
      <c r="B4165" s="2" t="s">
        <v>8361</v>
      </c>
      <c r="C4165" s="2" t="s">
        <v>17</v>
      </c>
      <c r="D4165" s="2" t="s">
        <v>18</v>
      </c>
      <c r="E4165" s="5">
        <v>-28953</v>
      </c>
      <c r="F4165" s="3" t="s">
        <v>367</v>
      </c>
      <c r="G4165" s="3" t="s">
        <v>62</v>
      </c>
      <c r="H4165" s="2" t="s">
        <v>21</v>
      </c>
      <c r="I4165" s="2" t="s">
        <v>8387</v>
      </c>
      <c r="J4165" s="3" t="str">
        <f>HYPERLINK("https://www.boe.es/gazeta/dias/1820/09/22/pdfs/GGB-1820-86.pdf#page=3","Abrir facsímil")</f>
        <v>Abrir facsímil</v>
      </c>
      <c r="K4165" s="3" t="s">
        <v>23</v>
      </c>
    </row>
    <row r="4166" spans="1:11" ht="42" customHeight="1">
      <c r="A4166" s="2" t="s">
        <v>8361</v>
      </c>
      <c r="B4166" s="2" t="s">
        <v>8361</v>
      </c>
      <c r="C4166" s="2" t="s">
        <v>111</v>
      </c>
      <c r="D4166" s="2" t="s">
        <v>18</v>
      </c>
      <c r="E4166" s="5">
        <v>-28953</v>
      </c>
      <c r="F4166" s="3" t="s">
        <v>367</v>
      </c>
      <c r="G4166" s="3" t="s">
        <v>20</v>
      </c>
      <c r="H4166" s="2" t="s">
        <v>21</v>
      </c>
      <c r="I4166" s="2" t="s">
        <v>8388</v>
      </c>
      <c r="J4166" s="3" t="str">
        <f>HYPERLINK("https://www.boe.es/gazeta/dias/1820/09/22/pdfs/GGB-1820-86.pdf#page=4","Abrir facsímil")</f>
        <v>Abrir facsímil</v>
      </c>
      <c r="K4166" s="3" t="s">
        <v>23</v>
      </c>
    </row>
    <row r="4167" spans="1:11" ht="42" customHeight="1">
      <c r="A4167" s="2" t="s">
        <v>8361</v>
      </c>
      <c r="B4167" s="2" t="s">
        <v>8361</v>
      </c>
      <c r="C4167" s="2" t="s">
        <v>74</v>
      </c>
      <c r="D4167" s="2" t="s">
        <v>18</v>
      </c>
      <c r="E4167" s="5">
        <v>-28950</v>
      </c>
      <c r="F4167" s="3" t="s">
        <v>1052</v>
      </c>
      <c r="G4167" s="3" t="s">
        <v>20</v>
      </c>
      <c r="H4167" s="2" t="s">
        <v>21</v>
      </c>
      <c r="I4167" s="2" t="s">
        <v>8389</v>
      </c>
      <c r="J4167" s="3" t="str">
        <f>HYPERLINK("https://www.boe.es/gazeta/dias/1820/09/25/pdfs/GGB-1820-89.pdf#page=4","Abrir facsímil")</f>
        <v>Abrir facsímil</v>
      </c>
      <c r="K4167" s="3" t="s">
        <v>23</v>
      </c>
    </row>
    <row r="4168" spans="1:11" ht="42" customHeight="1">
      <c r="A4168" s="2" t="s">
        <v>8361</v>
      </c>
      <c r="B4168" s="2" t="s">
        <v>8361</v>
      </c>
      <c r="C4168" s="2" t="s">
        <v>17</v>
      </c>
      <c r="D4168" s="2" t="s">
        <v>18</v>
      </c>
      <c r="E4168" s="5">
        <v>-28949</v>
      </c>
      <c r="F4168" s="3" t="s">
        <v>178</v>
      </c>
      <c r="G4168" s="3" t="s">
        <v>62</v>
      </c>
      <c r="H4168" s="2" t="s">
        <v>21</v>
      </c>
      <c r="I4168" s="2" t="s">
        <v>8390</v>
      </c>
      <c r="J4168" s="3" t="str">
        <f>HYPERLINK("https://www.boe.es/gazeta/dias/1820/09/26/pdfs/GGB-1820-90.pdf#page=3","Abrir facsímil")</f>
        <v>Abrir facsímil</v>
      </c>
      <c r="K4168" s="3" t="s">
        <v>23</v>
      </c>
    </row>
    <row r="4169" spans="1:11" ht="42" customHeight="1">
      <c r="A4169" s="2" t="s">
        <v>8361</v>
      </c>
      <c r="B4169" s="2" t="s">
        <v>8361</v>
      </c>
      <c r="C4169" s="2" t="s">
        <v>26</v>
      </c>
      <c r="D4169" s="2" t="s">
        <v>27</v>
      </c>
      <c r="E4169" s="5">
        <v>-28948</v>
      </c>
      <c r="F4169" s="3" t="s">
        <v>1069</v>
      </c>
      <c r="G4169" s="3" t="s">
        <v>43</v>
      </c>
      <c r="H4169" s="2" t="s">
        <v>21</v>
      </c>
      <c r="I4169" s="2" t="s">
        <v>8391</v>
      </c>
      <c r="J4169" s="3" t="str">
        <f>HYPERLINK("https://www.boe.es/gazeta/dias/1820/09/27/pdfs/GGB-1820-91.pdf#page=2","Abrir facsímil")</f>
        <v>Abrir facsímil</v>
      </c>
      <c r="K4169" s="3" t="s">
        <v>23</v>
      </c>
    </row>
    <row r="4170" spans="1:11" ht="42" customHeight="1">
      <c r="A4170" s="2" t="s">
        <v>8361</v>
      </c>
      <c r="B4170" s="2" t="s">
        <v>8361</v>
      </c>
      <c r="C4170" s="2" t="s">
        <v>35</v>
      </c>
      <c r="D4170" s="2" t="s">
        <v>36</v>
      </c>
      <c r="E4170" s="5">
        <v>-28947</v>
      </c>
      <c r="F4170" s="3" t="s">
        <v>127</v>
      </c>
      <c r="G4170" s="3" t="s">
        <v>20</v>
      </c>
      <c r="H4170" s="2" t="s">
        <v>21</v>
      </c>
      <c r="I4170" s="2" t="s">
        <v>8392</v>
      </c>
      <c r="J4170" s="3" t="str">
        <f>HYPERLINK("https://www.boe.es/gazeta/dias/1820/09/28/pdfs/GGB-1820-92.pdf#page=4","Abrir facsímil")</f>
        <v>Abrir facsímil</v>
      </c>
      <c r="K4170" s="3" t="s">
        <v>23</v>
      </c>
    </row>
    <row r="4171" spans="1:11" ht="42" customHeight="1">
      <c r="A4171" s="2" t="s">
        <v>8361</v>
      </c>
      <c r="B4171" s="2" t="s">
        <v>8361</v>
      </c>
      <c r="C4171" s="2" t="s">
        <v>17</v>
      </c>
      <c r="D4171" s="2" t="s">
        <v>18</v>
      </c>
      <c r="E4171" s="5">
        <v>-28943</v>
      </c>
      <c r="F4171" s="3" t="s">
        <v>1403</v>
      </c>
      <c r="G4171" s="3" t="s">
        <v>62</v>
      </c>
      <c r="H4171" s="2" t="s">
        <v>21</v>
      </c>
      <c r="I4171" s="2" t="s">
        <v>8393</v>
      </c>
      <c r="J4171" s="3" t="str">
        <f>HYPERLINK("https://www.boe.es/gazeta/dias/1820/10/02/pdfs/GGB-1820-96.pdf#page=3","Abrir facsímil")</f>
        <v>Abrir facsímil</v>
      </c>
      <c r="K4171" s="3" t="s">
        <v>23</v>
      </c>
    </row>
    <row r="4172" spans="1:11" ht="42" customHeight="1">
      <c r="A4172" s="2" t="s">
        <v>8361</v>
      </c>
      <c r="B4172" s="2" t="s">
        <v>8361</v>
      </c>
      <c r="C4172" s="2" t="s">
        <v>17</v>
      </c>
      <c r="D4172" s="2" t="s">
        <v>18</v>
      </c>
      <c r="E4172" s="5">
        <v>-28937</v>
      </c>
      <c r="F4172" s="3" t="s">
        <v>4254</v>
      </c>
      <c r="G4172" s="3" t="s">
        <v>62</v>
      </c>
      <c r="H4172" s="2" t="s">
        <v>21</v>
      </c>
      <c r="I4172" s="2" t="s">
        <v>8394</v>
      </c>
      <c r="J4172" s="3" t="str">
        <f>HYPERLINK("https://www.boe.es/gazeta/dias/1820/10/08/pdfs/GGB-1820-102.pdf#page=3","Abrir facsímil")</f>
        <v>Abrir facsímil</v>
      </c>
      <c r="K4172" s="3" t="s">
        <v>23</v>
      </c>
    </row>
    <row r="4173" spans="1:11" ht="42" customHeight="1">
      <c r="A4173" s="2" t="s">
        <v>8361</v>
      </c>
      <c r="B4173" s="2" t="s">
        <v>8361</v>
      </c>
      <c r="C4173" s="2" t="s">
        <v>35</v>
      </c>
      <c r="D4173" s="2" t="s">
        <v>36</v>
      </c>
      <c r="E4173" s="5">
        <v>-28937</v>
      </c>
      <c r="F4173" s="3" t="s">
        <v>4254</v>
      </c>
      <c r="G4173" s="3" t="s">
        <v>20</v>
      </c>
      <c r="H4173" s="2" t="s">
        <v>21</v>
      </c>
      <c r="I4173" s="2" t="s">
        <v>8395</v>
      </c>
      <c r="J4173" s="3" t="str">
        <f>HYPERLINK("https://www.boe.es/gazeta/dias/1820/10/08/pdfs/GGB-1820-102.pdf#page=4","Abrir facsímil")</f>
        <v>Abrir facsímil</v>
      </c>
      <c r="K4173" s="3" t="s">
        <v>23</v>
      </c>
    </row>
    <row r="4174" spans="1:11" ht="42" customHeight="1">
      <c r="A4174" s="2" t="s">
        <v>8361</v>
      </c>
      <c r="B4174" s="2" t="s">
        <v>8361</v>
      </c>
      <c r="C4174" s="2" t="s">
        <v>107</v>
      </c>
      <c r="D4174" s="2" t="s">
        <v>18</v>
      </c>
      <c r="E4174" s="5">
        <v>-28935</v>
      </c>
      <c r="F4174" s="3" t="s">
        <v>2464</v>
      </c>
      <c r="G4174" s="3" t="s">
        <v>20</v>
      </c>
      <c r="H4174" s="2" t="s">
        <v>21</v>
      </c>
      <c r="I4174" s="2" t="s">
        <v>8396</v>
      </c>
      <c r="J4174" s="3" t="str">
        <f>HYPERLINK("https://www.boe.es/gazeta/dias/1820/10/10/pdfs/GGB-1820-104.pdf#page=4","Abrir facsímil")</f>
        <v>Abrir facsímil</v>
      </c>
      <c r="K4174" s="3" t="s">
        <v>23</v>
      </c>
    </row>
    <row r="4175" spans="1:11" ht="42" customHeight="1">
      <c r="A4175" s="2" t="s">
        <v>8361</v>
      </c>
      <c r="B4175" s="2" t="s">
        <v>8361</v>
      </c>
      <c r="C4175" s="2" t="s">
        <v>26</v>
      </c>
      <c r="D4175" s="2" t="s">
        <v>27</v>
      </c>
      <c r="E4175" s="5">
        <v>-28930</v>
      </c>
      <c r="F4175" s="3" t="s">
        <v>372</v>
      </c>
      <c r="G4175" s="3" t="s">
        <v>43</v>
      </c>
      <c r="H4175" s="2" t="s">
        <v>21</v>
      </c>
      <c r="I4175" s="2" t="s">
        <v>8397</v>
      </c>
      <c r="J4175" s="3" t="str">
        <f>HYPERLINK("https://www.boe.es/gazeta/dias/1820/10/15/pdfs/GGB-1820-109.pdf#page=2","Abrir facsímil")</f>
        <v>Abrir facsímil</v>
      </c>
      <c r="K4175" s="3" t="s">
        <v>23</v>
      </c>
    </row>
    <row r="4176" spans="1:11" ht="42" customHeight="1">
      <c r="A4176" s="2" t="s">
        <v>8361</v>
      </c>
      <c r="B4176" s="2" t="s">
        <v>8361</v>
      </c>
      <c r="C4176" s="2" t="s">
        <v>35</v>
      </c>
      <c r="D4176" s="2" t="s">
        <v>36</v>
      </c>
      <c r="E4176" s="5">
        <v>-28927</v>
      </c>
      <c r="F4176" s="3" t="s">
        <v>345</v>
      </c>
      <c r="G4176" s="3" t="s">
        <v>43</v>
      </c>
      <c r="H4176" s="2" t="s">
        <v>21</v>
      </c>
      <c r="I4176" s="2" t="s">
        <v>8398</v>
      </c>
      <c r="J4176" s="3" t="str">
        <f>HYPERLINK("https://www.boe.es/gazeta/dias/1820/10/18/pdfs/GGB-1820-112.pdf#page=2","Abrir facsímil")</f>
        <v>Abrir facsímil</v>
      </c>
      <c r="K4176" s="3" t="s">
        <v>23</v>
      </c>
    </row>
    <row r="4177" spans="1:11" ht="42" customHeight="1">
      <c r="A4177" s="2" t="s">
        <v>8361</v>
      </c>
      <c r="B4177" s="2" t="s">
        <v>8361</v>
      </c>
      <c r="C4177" s="2" t="s">
        <v>17</v>
      </c>
      <c r="D4177" s="2" t="s">
        <v>18</v>
      </c>
      <c r="E4177" s="5">
        <v>-28926</v>
      </c>
      <c r="F4177" s="3" t="s">
        <v>597</v>
      </c>
      <c r="G4177" s="3" t="s">
        <v>43</v>
      </c>
      <c r="H4177" s="2" t="s">
        <v>21</v>
      </c>
      <c r="I4177" s="2" t="s">
        <v>8399</v>
      </c>
      <c r="J4177" s="3" t="str">
        <f>HYPERLINK("https://www.boe.es/gazeta/dias/1820/10/19/pdfs/GGB-1820-113.pdf#page=2","Abrir facsímil")</f>
        <v>Abrir facsímil</v>
      </c>
      <c r="K4177" s="3" t="s">
        <v>23</v>
      </c>
    </row>
    <row r="4178" spans="1:11" ht="42" customHeight="1">
      <c r="A4178" s="2" t="s">
        <v>8361</v>
      </c>
      <c r="B4178" s="2" t="s">
        <v>8361</v>
      </c>
      <c r="C4178" s="2" t="s">
        <v>74</v>
      </c>
      <c r="D4178" s="2" t="s">
        <v>18</v>
      </c>
      <c r="E4178" s="5">
        <v>-28924</v>
      </c>
      <c r="F4178" s="3" t="s">
        <v>78</v>
      </c>
      <c r="G4178" s="3" t="s">
        <v>20</v>
      </c>
      <c r="H4178" s="2" t="s">
        <v>21</v>
      </c>
      <c r="I4178" s="2" t="s">
        <v>8400</v>
      </c>
      <c r="J4178" s="3" t="str">
        <f>HYPERLINK("https://www.boe.es/gazeta/dias/1820/10/21/pdfs/GGB-1820-115.pdf#page=4","Abrir facsímil")</f>
        <v>Abrir facsímil</v>
      </c>
      <c r="K4178" s="3" t="s">
        <v>23</v>
      </c>
    </row>
    <row r="4179" spans="1:11" ht="42" customHeight="1">
      <c r="A4179" s="2" t="s">
        <v>8361</v>
      </c>
      <c r="B4179" s="2" t="s">
        <v>8361</v>
      </c>
      <c r="C4179" s="2" t="s">
        <v>17</v>
      </c>
      <c r="D4179" s="2" t="s">
        <v>18</v>
      </c>
      <c r="E4179" s="5">
        <v>-28923</v>
      </c>
      <c r="F4179" s="3" t="s">
        <v>648</v>
      </c>
      <c r="G4179" s="3" t="s">
        <v>43</v>
      </c>
      <c r="H4179" s="2" t="s">
        <v>21</v>
      </c>
      <c r="I4179" s="2" t="s">
        <v>8401</v>
      </c>
      <c r="J4179" s="3" t="str">
        <f>HYPERLINK("https://www.boe.es/gazeta/dias/1820/10/22/pdfs/GGB-1820-116.pdf#page=2","Abrir facsímil")</f>
        <v>Abrir facsímil</v>
      </c>
      <c r="K4179" s="3" t="s">
        <v>23</v>
      </c>
    </row>
    <row r="4180" spans="1:11" ht="42" customHeight="1">
      <c r="A4180" s="2" t="s">
        <v>8361</v>
      </c>
      <c r="B4180" s="2" t="s">
        <v>8361</v>
      </c>
      <c r="C4180" s="2" t="s">
        <v>26</v>
      </c>
      <c r="D4180" s="2" t="s">
        <v>27</v>
      </c>
      <c r="E4180" s="5">
        <v>-28917</v>
      </c>
      <c r="F4180" s="3" t="s">
        <v>19</v>
      </c>
      <c r="G4180" s="3" t="s">
        <v>62</v>
      </c>
      <c r="H4180" s="2" t="s">
        <v>21</v>
      </c>
      <c r="I4180" s="2" t="s">
        <v>8402</v>
      </c>
      <c r="J4180" s="3" t="str">
        <f>HYPERLINK("https://www.boe.es/gazeta/dias/1820/10/28/pdfs/GGB-1820-122.pdf#page=3","Abrir facsímil")</f>
        <v>Abrir facsímil</v>
      </c>
      <c r="K4180" s="3" t="s">
        <v>23</v>
      </c>
    </row>
    <row r="4181" spans="1:11" ht="42" customHeight="1">
      <c r="A4181" s="2" t="s">
        <v>8361</v>
      </c>
      <c r="B4181" s="2" t="s">
        <v>8361</v>
      </c>
      <c r="C4181" s="2" t="s">
        <v>293</v>
      </c>
      <c r="D4181" s="2" t="s">
        <v>18</v>
      </c>
      <c r="E4181" s="5">
        <v>-28908</v>
      </c>
      <c r="F4181" s="3" t="s">
        <v>1060</v>
      </c>
      <c r="G4181" s="3" t="s">
        <v>62</v>
      </c>
      <c r="H4181" s="2" t="s">
        <v>21</v>
      </c>
      <c r="I4181" s="2" t="s">
        <v>8403</v>
      </c>
      <c r="J4181" s="3" t="str">
        <f>HYPERLINK("https://www.boe.es/gazeta/dias/1820/11/06/pdfs/GGB-1820-131.pdf#page=3","Abrir facsímil")</f>
        <v>Abrir facsímil</v>
      </c>
      <c r="K4181" s="3" t="s">
        <v>23</v>
      </c>
    </row>
    <row r="4182" spans="1:11" ht="42" customHeight="1">
      <c r="A4182" s="2" t="s">
        <v>8361</v>
      </c>
      <c r="B4182" s="2" t="s">
        <v>8361</v>
      </c>
      <c r="C4182" s="2" t="s">
        <v>35</v>
      </c>
      <c r="D4182" s="2" t="s">
        <v>36</v>
      </c>
      <c r="E4182" s="5">
        <v>-28907</v>
      </c>
      <c r="F4182" s="3" t="s">
        <v>374</v>
      </c>
      <c r="G4182" s="3" t="s">
        <v>43</v>
      </c>
      <c r="H4182" s="2" t="s">
        <v>21</v>
      </c>
      <c r="I4182" s="2" t="s">
        <v>8404</v>
      </c>
      <c r="J4182" s="3" t="str">
        <f>HYPERLINK("https://www.boe.es/gazeta/dias/1820/11/07/pdfs/GGB-1820-132.pdf#page=2","Abrir facsímil")</f>
        <v>Abrir facsímil</v>
      </c>
      <c r="K4182" s="3" t="s">
        <v>23</v>
      </c>
    </row>
    <row r="4183" spans="1:11" ht="42" customHeight="1">
      <c r="A4183" s="2" t="s">
        <v>8361</v>
      </c>
      <c r="B4183" s="2" t="s">
        <v>8361</v>
      </c>
      <c r="C4183" s="2" t="s">
        <v>26</v>
      </c>
      <c r="D4183" s="2" t="s">
        <v>27</v>
      </c>
      <c r="E4183" s="5">
        <v>-28904</v>
      </c>
      <c r="F4183" s="3" t="s">
        <v>541</v>
      </c>
      <c r="G4183" s="3" t="s">
        <v>62</v>
      </c>
      <c r="H4183" s="2" t="s">
        <v>21</v>
      </c>
      <c r="I4183" s="2" t="s">
        <v>8405</v>
      </c>
      <c r="J4183" s="3" t="str">
        <f>HYPERLINK("https://www.boe.es/gazeta/dias/1820/11/10/pdfs/GGB-1820-136.pdf#page=3","Abrir facsímil")</f>
        <v>Abrir facsímil</v>
      </c>
      <c r="K4183" s="3" t="s">
        <v>23</v>
      </c>
    </row>
    <row r="4184" spans="1:11" ht="42" customHeight="1">
      <c r="A4184" s="2" t="s">
        <v>8361</v>
      </c>
      <c r="B4184" s="2" t="s">
        <v>8361</v>
      </c>
      <c r="C4184" s="2" t="s">
        <v>35</v>
      </c>
      <c r="D4184" s="2" t="s">
        <v>36</v>
      </c>
      <c r="E4184" s="5">
        <v>-28904</v>
      </c>
      <c r="F4184" s="3" t="s">
        <v>541</v>
      </c>
      <c r="G4184" s="3" t="s">
        <v>20</v>
      </c>
      <c r="H4184" s="2" t="s">
        <v>21</v>
      </c>
      <c r="I4184" s="2" t="s">
        <v>8406</v>
      </c>
      <c r="J4184" s="3" t="str">
        <f>HYPERLINK("https://www.boe.es/gazeta/dias/1820/11/10/pdfs/GGB-1820-136.pdf#page=4","Abrir facsímil")</f>
        <v>Abrir facsímil</v>
      </c>
      <c r="K4184" s="3" t="s">
        <v>23</v>
      </c>
    </row>
    <row r="4185" spans="1:11" ht="42" customHeight="1">
      <c r="A4185" s="2" t="s">
        <v>8407</v>
      </c>
      <c r="B4185" s="2" t="s">
        <v>8408</v>
      </c>
      <c r="C4185" s="2" t="s">
        <v>293</v>
      </c>
      <c r="D4185" s="2" t="s">
        <v>18</v>
      </c>
      <c r="E4185" s="5">
        <v>-28870</v>
      </c>
      <c r="F4185" s="3" t="s">
        <v>1014</v>
      </c>
      <c r="G4185" s="3" t="s">
        <v>20</v>
      </c>
      <c r="H4185" s="2" t="s">
        <v>21</v>
      </c>
      <c r="I4185" s="2" t="s">
        <v>8409</v>
      </c>
      <c r="J4185" s="3" t="str">
        <f>HYPERLINK("https://www.boe.es/gazeta/dias/1820/12/14/pdfs/GGB-1820-171.pdf#page=4","Abrir facsímil")</f>
        <v>Abrir facsímil</v>
      </c>
      <c r="K4185" s="3" t="s">
        <v>23</v>
      </c>
    </row>
    <row r="4186" spans="1:11" ht="42" customHeight="1">
      <c r="A4186" s="2" t="s">
        <v>8410</v>
      </c>
      <c r="B4186" s="2" t="s">
        <v>8411</v>
      </c>
      <c r="C4186" s="2" t="s">
        <v>26</v>
      </c>
      <c r="D4186" s="2" t="s">
        <v>27</v>
      </c>
      <c r="E4186" s="5">
        <v>-28865</v>
      </c>
      <c r="F4186" s="3" t="s">
        <v>136</v>
      </c>
      <c r="G4186" s="3" t="s">
        <v>137</v>
      </c>
      <c r="H4186" s="2" t="s">
        <v>21</v>
      </c>
      <c r="I4186" s="2" t="s">
        <v>8412</v>
      </c>
      <c r="J4186" s="3" t="str">
        <f>HYPERLINK("https://www.boe.es/gazeta/dias/1820/12/19/pdfs/GGB-1820-176.pdf#page=3","Abrir facsímil")</f>
        <v>Abrir facsímil</v>
      </c>
      <c r="K4186" s="3" t="s">
        <v>23</v>
      </c>
    </row>
    <row r="4187" spans="1:11" ht="42" customHeight="1">
      <c r="A4187" s="2" t="s">
        <v>8413</v>
      </c>
      <c r="B4187" s="2" t="s">
        <v>8413</v>
      </c>
      <c r="C4187" s="2" t="s">
        <v>47</v>
      </c>
      <c r="D4187" s="2" t="s">
        <v>18</v>
      </c>
      <c r="E4187" s="5">
        <v>-28891</v>
      </c>
      <c r="F4187" s="3" t="s">
        <v>965</v>
      </c>
      <c r="G4187" s="3" t="s">
        <v>20</v>
      </c>
      <c r="H4187" s="2" t="s">
        <v>21</v>
      </c>
      <c r="I4187" s="2" t="s">
        <v>8414</v>
      </c>
      <c r="J4187" s="3" t="str">
        <f>HYPERLINK("https://www.boe.es/gazeta/dias/1820/11/23/pdfs/GGB-1820-150.pdf#page=4","Abrir facsímil")</f>
        <v>Abrir facsímil</v>
      </c>
      <c r="K4187" s="3" t="s">
        <v>23</v>
      </c>
    </row>
    <row r="4188" spans="1:11" ht="42" customHeight="1">
      <c r="A4188" s="2" t="s">
        <v>8415</v>
      </c>
      <c r="B4188" s="2" t="s">
        <v>8416</v>
      </c>
      <c r="C4188" s="2" t="s">
        <v>111</v>
      </c>
      <c r="D4188" s="2" t="s">
        <v>18</v>
      </c>
      <c r="E4188" s="5">
        <v>-29173</v>
      </c>
      <c r="F4188" s="3" t="s">
        <v>829</v>
      </c>
      <c r="G4188" s="3" t="s">
        <v>830</v>
      </c>
      <c r="H4188" s="2" t="s">
        <v>21</v>
      </c>
      <c r="I4188" s="2" t="s">
        <v>8417</v>
      </c>
      <c r="J4188" s="3" t="str">
        <f>HYPERLINK("https://www.boe.es/gazeta/dias/1820/02/15/pdfs/GMD-1820-20.pdf#page=8","Abrir facsímil")</f>
        <v>Abrir facsímil</v>
      </c>
      <c r="K4188" s="3" t="s">
        <v>23</v>
      </c>
    </row>
    <row r="4189" spans="1:11" ht="42" customHeight="1">
      <c r="A4189" s="2" t="s">
        <v>8418</v>
      </c>
      <c r="B4189" s="2" t="s">
        <v>8418</v>
      </c>
      <c r="C4189" s="2" t="s">
        <v>35</v>
      </c>
      <c r="D4189" s="2" t="s">
        <v>36</v>
      </c>
      <c r="E4189" s="5">
        <v>-29213</v>
      </c>
      <c r="F4189" s="3" t="s">
        <v>195</v>
      </c>
      <c r="G4189" s="3" t="s">
        <v>4787</v>
      </c>
      <c r="H4189" s="2" t="s">
        <v>21</v>
      </c>
      <c r="I4189" s="2" t="s">
        <v>8419</v>
      </c>
      <c r="J4189" s="3" t="str">
        <f>HYPERLINK("https://www.boe.es/gazeta/dias/1820/01/06/pdfs/GMD-1820-3.pdf#page=12","Abrir facsímil")</f>
        <v>Abrir facsímil</v>
      </c>
      <c r="K4189" s="3" t="s">
        <v>23</v>
      </c>
    </row>
    <row r="4190" spans="1:11" ht="42" customHeight="1">
      <c r="A4190" s="2" t="s">
        <v>8418</v>
      </c>
      <c r="B4190" s="2" t="s">
        <v>8418</v>
      </c>
      <c r="C4190" s="2" t="s">
        <v>26</v>
      </c>
      <c r="D4190" s="2" t="s">
        <v>310</v>
      </c>
      <c r="E4190" s="5">
        <v>-29027</v>
      </c>
      <c r="F4190" s="3" t="s">
        <v>4403</v>
      </c>
      <c r="G4190" s="3" t="s">
        <v>128</v>
      </c>
      <c r="H4190" s="2" t="s">
        <v>21</v>
      </c>
      <c r="I4190" s="2" t="s">
        <v>8420</v>
      </c>
      <c r="J4190" s="3" t="str">
        <f>HYPERLINK("https://www.boe.es/gazeta/dias/1820/07/10/pdfs/GGB-1820-12E.pdf#page=1","Abrir facsímil")</f>
        <v>Abrir facsímil</v>
      </c>
      <c r="K4190" s="3" t="s">
        <v>23</v>
      </c>
    </row>
    <row r="4191" spans="1:11" ht="42" customHeight="1">
      <c r="A4191" s="2" t="s">
        <v>8418</v>
      </c>
      <c r="B4191" s="2" t="s">
        <v>8418</v>
      </c>
      <c r="C4191" s="2" t="s">
        <v>17</v>
      </c>
      <c r="D4191" s="2" t="s">
        <v>18</v>
      </c>
      <c r="E4191" s="5">
        <v>-28964</v>
      </c>
      <c r="F4191" s="3" t="s">
        <v>240</v>
      </c>
      <c r="G4191" s="3" t="s">
        <v>43</v>
      </c>
      <c r="H4191" s="2" t="s">
        <v>21</v>
      </c>
      <c r="I4191" s="2" t="s">
        <v>8421</v>
      </c>
      <c r="J4191" s="3" t="str">
        <f>HYPERLINK("https://www.boe.es/gazeta/dias/1820/09/11/pdfs/GGB-1820-75.pdf#page=2","Abrir facsímil")</f>
        <v>Abrir facsímil</v>
      </c>
      <c r="K4191" s="3" t="s">
        <v>23</v>
      </c>
    </row>
    <row r="4192" spans="1:11" ht="42" customHeight="1">
      <c r="A4192" s="2" t="s">
        <v>8418</v>
      </c>
      <c r="B4192" s="2" t="s">
        <v>8418</v>
      </c>
      <c r="C4192" s="2" t="s">
        <v>74</v>
      </c>
      <c r="D4192" s="2" t="s">
        <v>18</v>
      </c>
      <c r="E4192" s="5">
        <v>-28958</v>
      </c>
      <c r="F4192" s="3" t="s">
        <v>706</v>
      </c>
      <c r="G4192" s="3" t="s">
        <v>43</v>
      </c>
      <c r="H4192" s="2" t="s">
        <v>21</v>
      </c>
      <c r="I4192" s="2" t="s">
        <v>8422</v>
      </c>
      <c r="J4192" s="3" t="str">
        <f>HYPERLINK("https://www.boe.es/gazeta/dias/1820/09/17/pdfs/GGB-1820-81.pdf#page=2","Abrir facsímil")</f>
        <v>Abrir facsímil</v>
      </c>
      <c r="K4192" s="3" t="s">
        <v>23</v>
      </c>
    </row>
    <row r="4193" spans="1:11" ht="42" customHeight="1">
      <c r="A4193" s="2" t="s">
        <v>8418</v>
      </c>
      <c r="B4193" s="2" t="s">
        <v>8418</v>
      </c>
      <c r="C4193" s="2" t="s">
        <v>35</v>
      </c>
      <c r="D4193" s="2" t="s">
        <v>36</v>
      </c>
      <c r="E4193" s="5">
        <v>-28922</v>
      </c>
      <c r="F4193" s="3" t="s">
        <v>735</v>
      </c>
      <c r="G4193" s="3" t="s">
        <v>62</v>
      </c>
      <c r="H4193" s="2" t="s">
        <v>21</v>
      </c>
      <c r="I4193" s="2" t="s">
        <v>8423</v>
      </c>
      <c r="J4193" s="3" t="str">
        <f>HYPERLINK("https://www.boe.es/gazeta/dias/1820/10/23/pdfs/GGB-1820-117.pdf#page=3","Abrir facsímil")</f>
        <v>Abrir facsímil</v>
      </c>
      <c r="K4193" s="3" t="s">
        <v>23</v>
      </c>
    </row>
    <row r="4194" spans="1:11" ht="42" customHeight="1">
      <c r="A4194" s="2" t="s">
        <v>8418</v>
      </c>
      <c r="B4194" s="2" t="s">
        <v>8418</v>
      </c>
      <c r="C4194" s="2" t="s">
        <v>74</v>
      </c>
      <c r="D4194" s="2" t="s">
        <v>18</v>
      </c>
      <c r="E4194" s="5">
        <v>-28909</v>
      </c>
      <c r="F4194" s="3" t="s">
        <v>278</v>
      </c>
      <c r="G4194" s="3" t="s">
        <v>43</v>
      </c>
      <c r="H4194" s="2" t="s">
        <v>21</v>
      </c>
      <c r="I4194" s="2" t="s">
        <v>8424</v>
      </c>
      <c r="J4194" s="3" t="str">
        <f>HYPERLINK("https://www.boe.es/gazeta/dias/1820/11/05/pdfs/GGB-1820-130.pdf#page=2","Abrir facsímil")</f>
        <v>Abrir facsímil</v>
      </c>
      <c r="K4194" s="3" t="s">
        <v>23</v>
      </c>
    </row>
    <row r="4195" spans="1:11" ht="42" customHeight="1">
      <c r="A4195" s="2" t="s">
        <v>8425</v>
      </c>
      <c r="B4195" s="2" t="s">
        <v>8426</v>
      </c>
      <c r="C4195" s="2" t="s">
        <v>26</v>
      </c>
      <c r="D4195" s="2" t="s">
        <v>27</v>
      </c>
      <c r="E4195" s="5">
        <v>-28983</v>
      </c>
      <c r="F4195" s="3" t="s">
        <v>682</v>
      </c>
      <c r="G4195" s="3" t="s">
        <v>20</v>
      </c>
      <c r="H4195" s="2" t="s">
        <v>21</v>
      </c>
      <c r="I4195" s="2" t="s">
        <v>8427</v>
      </c>
      <c r="J4195" s="3" t="str">
        <f>HYPERLINK("https://www.boe.es/gazeta/dias/1820/08/23/pdfs/GGB-1820-56.pdf#page=4","Abrir facsímil")</f>
        <v>Abrir facsímil</v>
      </c>
      <c r="K4195" s="3" t="s">
        <v>23</v>
      </c>
    </row>
    <row r="4196" spans="1:11" ht="42" customHeight="1">
      <c r="A4196" s="2" t="s">
        <v>8428</v>
      </c>
      <c r="B4196" s="2" t="s">
        <v>8429</v>
      </c>
      <c r="C4196" s="2" t="s">
        <v>35</v>
      </c>
      <c r="D4196" s="2" t="s">
        <v>36</v>
      </c>
      <c r="E4196" s="5">
        <v>-29057</v>
      </c>
      <c r="F4196" s="3" t="s">
        <v>2141</v>
      </c>
      <c r="G4196" s="3" t="s">
        <v>43</v>
      </c>
      <c r="H4196" s="2" t="s">
        <v>21</v>
      </c>
      <c r="I4196" s="2" t="s">
        <v>8430</v>
      </c>
      <c r="J4196" s="3" t="str">
        <f>HYPERLINK("https://www.boe.es/gazeta/dias/1820/06/10/pdfs/GMD-1820-92.pdf#page=2","Abrir facsímil")</f>
        <v>Abrir facsímil</v>
      </c>
      <c r="K4196" s="3" t="s">
        <v>23</v>
      </c>
    </row>
    <row r="4197" spans="1:11" ht="42" customHeight="1">
      <c r="A4197" s="2" t="s">
        <v>8431</v>
      </c>
      <c r="B4197" s="2" t="s">
        <v>8432</v>
      </c>
      <c r="C4197" s="2" t="s">
        <v>293</v>
      </c>
      <c r="D4197" s="2" t="s">
        <v>18</v>
      </c>
      <c r="E4197" s="5">
        <v>-28981</v>
      </c>
      <c r="F4197" s="3" t="s">
        <v>42</v>
      </c>
      <c r="G4197" s="3" t="s">
        <v>20</v>
      </c>
      <c r="H4197" s="2" t="s">
        <v>21</v>
      </c>
      <c r="I4197" s="2" t="s">
        <v>8433</v>
      </c>
      <c r="J4197" s="3" t="str">
        <f>HYPERLINK("https://www.boe.es/gazeta/dias/1820/08/25/pdfs/GGB-1820-58.pdf#page=4","Abrir facsímil")</f>
        <v>Abrir facsímil</v>
      </c>
      <c r="K4197" s="3" t="s">
        <v>23</v>
      </c>
    </row>
    <row r="4198" spans="1:11" ht="42" customHeight="1">
      <c r="A4198" s="2" t="s">
        <v>8434</v>
      </c>
      <c r="B4198" s="2" t="s">
        <v>8435</v>
      </c>
      <c r="C4198" s="2" t="s">
        <v>74</v>
      </c>
      <c r="D4198" s="2" t="s">
        <v>18</v>
      </c>
      <c r="E4198" s="5">
        <v>-29023</v>
      </c>
      <c r="F4198" s="3" t="s">
        <v>1662</v>
      </c>
      <c r="G4198" s="3" t="s">
        <v>1663</v>
      </c>
      <c r="H4198" s="2" t="s">
        <v>21</v>
      </c>
      <c r="I4198" s="2" t="s">
        <v>8436</v>
      </c>
      <c r="J4198" s="3" t="str">
        <f>HYPERLINK("https://www.boe.es/gazeta/dias/1820/07/14/pdfs/GGB-1820-16.pdf#page=3","Abrir facsímil")</f>
        <v>Abrir facsímil</v>
      </c>
      <c r="K4198" s="3" t="s">
        <v>23</v>
      </c>
    </row>
    <row r="4199" spans="1:11" ht="42" customHeight="1">
      <c r="A4199" s="2" t="s">
        <v>8437</v>
      </c>
      <c r="B4199" s="2" t="s">
        <v>8438</v>
      </c>
      <c r="C4199" s="2" t="s">
        <v>293</v>
      </c>
      <c r="D4199" s="2" t="s">
        <v>18</v>
      </c>
      <c r="E4199" s="5">
        <v>-29004</v>
      </c>
      <c r="F4199" s="3" t="s">
        <v>75</v>
      </c>
      <c r="G4199" s="3" t="s">
        <v>76</v>
      </c>
      <c r="H4199" s="2" t="s">
        <v>21</v>
      </c>
      <c r="I4199" s="2" t="s">
        <v>8439</v>
      </c>
      <c r="J4199" s="3" t="str">
        <f>HYPERLINK("https://www.boe.es/gazeta/dias/1820/08/02/pdfs/GGB-1820-35.pdf#page=2","Abrir facsímil")</f>
        <v>Abrir facsímil</v>
      </c>
      <c r="K4199" s="3" t="s">
        <v>23</v>
      </c>
    </row>
    <row r="4200" spans="1:11" ht="42" customHeight="1">
      <c r="A4200" s="2" t="s">
        <v>8440</v>
      </c>
      <c r="B4200" s="2" t="s">
        <v>8441</v>
      </c>
      <c r="C4200" s="2" t="s">
        <v>35</v>
      </c>
      <c r="D4200" s="2" t="s">
        <v>36</v>
      </c>
      <c r="E4200" s="5">
        <v>-29120</v>
      </c>
      <c r="F4200" s="3" t="s">
        <v>852</v>
      </c>
      <c r="G4200" s="3" t="s">
        <v>201</v>
      </c>
      <c r="H4200" s="2" t="s">
        <v>21</v>
      </c>
      <c r="I4200" s="2" t="s">
        <v>8442</v>
      </c>
      <c r="J4200" s="3" t="str">
        <f>HYPERLINK("https://www.boe.es/gazeta/dias/1820/04/08/pdfs/GMD-1820-63.pdf#page=7","Abrir facsímil")</f>
        <v>Abrir facsímil</v>
      </c>
      <c r="K4200" s="3" t="s">
        <v>23</v>
      </c>
    </row>
    <row r="4201" spans="1:11" ht="42" customHeight="1">
      <c r="A4201" s="2" t="s">
        <v>8443</v>
      </c>
      <c r="B4201" s="2" t="s">
        <v>8444</v>
      </c>
      <c r="C4201" s="2" t="s">
        <v>26</v>
      </c>
      <c r="D4201" s="2" t="s">
        <v>27</v>
      </c>
      <c r="E4201" s="5">
        <v>-29197</v>
      </c>
      <c r="F4201" s="3" t="s">
        <v>48</v>
      </c>
      <c r="G4201" s="3" t="s">
        <v>201</v>
      </c>
      <c r="H4201" s="2" t="s">
        <v>21</v>
      </c>
      <c r="I4201" s="2" t="s">
        <v>8445</v>
      </c>
      <c r="J4201" s="3" t="str">
        <f>HYPERLINK("https://www.boe.es/gazeta/dias/1820/01/22/pdfs/GMD-1820-10.pdf#page=7","Abrir facsímil")</f>
        <v>Abrir facsímil</v>
      </c>
      <c r="K4201" s="3" t="s">
        <v>23</v>
      </c>
    </row>
    <row r="4202" spans="1:11" ht="42" customHeight="1">
      <c r="A4202" s="2" t="s">
        <v>8443</v>
      </c>
      <c r="B4202" s="2" t="s">
        <v>8444</v>
      </c>
      <c r="C4202" s="2" t="s">
        <v>17</v>
      </c>
      <c r="D4202" s="2" t="s">
        <v>18</v>
      </c>
      <c r="E4202" s="5">
        <v>-29145</v>
      </c>
      <c r="F4202" s="3" t="s">
        <v>3537</v>
      </c>
      <c r="G4202" s="3" t="s">
        <v>38</v>
      </c>
      <c r="H4202" s="2" t="s">
        <v>21</v>
      </c>
      <c r="I4202" s="2" t="s">
        <v>8446</v>
      </c>
      <c r="J4202" s="3" t="str">
        <f>HYPERLINK("https://www.boe.es/gazeta/dias/1820/03/14/pdfs/GMD-1820-39.pdf#page=6","Abrir facsímil")</f>
        <v>Abrir facsímil</v>
      </c>
      <c r="K4202" s="3" t="s">
        <v>23</v>
      </c>
    </row>
    <row r="4203" spans="1:11" ht="42" customHeight="1">
      <c r="A4203" s="2" t="s">
        <v>8443</v>
      </c>
      <c r="B4203" s="2" t="s">
        <v>8444</v>
      </c>
      <c r="C4203" s="2" t="s">
        <v>35</v>
      </c>
      <c r="D4203" s="2" t="s">
        <v>36</v>
      </c>
      <c r="E4203" s="5">
        <v>-28987</v>
      </c>
      <c r="F4203" s="3" t="s">
        <v>680</v>
      </c>
      <c r="G4203" s="3" t="s">
        <v>1300</v>
      </c>
      <c r="H4203" s="2" t="s">
        <v>21</v>
      </c>
      <c r="I4203" s="2" t="s">
        <v>8447</v>
      </c>
      <c r="J4203" s="3" t="str">
        <f>HYPERLINK("https://www.boe.es/gazeta/dias/1820/08/19/pdfs/GGB-1820-52.pdf#page=2","Abrir facsímil")</f>
        <v>Abrir facsímil</v>
      </c>
      <c r="K4203" s="3" t="s">
        <v>23</v>
      </c>
    </row>
    <row r="4204" spans="1:11" ht="42" customHeight="1">
      <c r="A4204" s="2" t="s">
        <v>8448</v>
      </c>
      <c r="B4204" s="2" t="s">
        <v>8449</v>
      </c>
      <c r="C4204" s="2" t="s">
        <v>35</v>
      </c>
      <c r="D4204" s="2" t="s">
        <v>36</v>
      </c>
      <c r="E4204" s="5">
        <v>-28925</v>
      </c>
      <c r="F4204" s="3" t="s">
        <v>228</v>
      </c>
      <c r="G4204" s="3" t="s">
        <v>43</v>
      </c>
      <c r="H4204" s="2" t="s">
        <v>21</v>
      </c>
      <c r="I4204" s="2" t="s">
        <v>8450</v>
      </c>
      <c r="J4204" s="3" t="str">
        <f>HYPERLINK("https://www.boe.es/gazeta/dias/1820/10/20/pdfs/GGB-1820-114.pdf#page=2","Abrir facsímil")</f>
        <v>Abrir facsímil</v>
      </c>
      <c r="K4204" s="3" t="s">
        <v>23</v>
      </c>
    </row>
    <row r="4205" spans="1:11" ht="42" customHeight="1">
      <c r="A4205" s="2" t="s">
        <v>8451</v>
      </c>
      <c r="B4205" s="2" t="s">
        <v>8452</v>
      </c>
      <c r="C4205" s="2" t="s">
        <v>26</v>
      </c>
      <c r="D4205" s="2" t="s">
        <v>27</v>
      </c>
      <c r="E4205" s="5">
        <v>-28984</v>
      </c>
      <c r="F4205" s="3" t="s">
        <v>520</v>
      </c>
      <c r="G4205" s="3" t="s">
        <v>62</v>
      </c>
      <c r="H4205" s="2" t="s">
        <v>21</v>
      </c>
      <c r="I4205" s="2" t="s">
        <v>8453</v>
      </c>
      <c r="J4205" s="3" t="str">
        <f>HYPERLINK("https://www.boe.es/gazeta/dias/1820/08/22/pdfs/GGB-1820-55.pdf#page=3","Abrir facsímil")</f>
        <v>Abrir facsímil</v>
      </c>
      <c r="K4205" s="3" t="s">
        <v>23</v>
      </c>
    </row>
    <row r="4206" spans="1:11" ht="42" customHeight="1">
      <c r="A4206" s="2" t="s">
        <v>8454</v>
      </c>
      <c r="B4206" s="2" t="s">
        <v>8455</v>
      </c>
      <c r="C4206" s="2" t="s">
        <v>35</v>
      </c>
      <c r="D4206" s="2" t="s">
        <v>36</v>
      </c>
      <c r="E4206" s="5">
        <v>-28926</v>
      </c>
      <c r="F4206" s="3" t="s">
        <v>597</v>
      </c>
      <c r="G4206" s="3" t="s">
        <v>43</v>
      </c>
      <c r="H4206" s="2" t="s">
        <v>21</v>
      </c>
      <c r="I4206" s="2" t="s">
        <v>8456</v>
      </c>
      <c r="J4206" s="3" t="str">
        <f>HYPERLINK("https://www.boe.es/gazeta/dias/1820/10/19/pdfs/GGB-1820-113.pdf#page=2","Abrir facsímil")</f>
        <v>Abrir facsímil</v>
      </c>
      <c r="K4206" s="3" t="s">
        <v>23</v>
      </c>
    </row>
    <row r="4207" spans="1:11" ht="42" customHeight="1">
      <c r="A4207" s="2" t="s">
        <v>8457</v>
      </c>
      <c r="B4207" s="2" t="s">
        <v>8458</v>
      </c>
      <c r="C4207" s="2" t="s">
        <v>35</v>
      </c>
      <c r="D4207" s="2" t="s">
        <v>36</v>
      </c>
      <c r="E4207" s="5">
        <v>-28904</v>
      </c>
      <c r="F4207" s="3" t="s">
        <v>541</v>
      </c>
      <c r="G4207" s="3" t="s">
        <v>43</v>
      </c>
      <c r="H4207" s="2" t="s">
        <v>21</v>
      </c>
      <c r="I4207" s="2" t="s">
        <v>8459</v>
      </c>
      <c r="J4207" s="3" t="str">
        <f>HYPERLINK("https://www.boe.es/gazeta/dias/1820/11/10/pdfs/GGB-1820-136.pdf#page=2","Abrir facsímil")</f>
        <v>Abrir facsímil</v>
      </c>
      <c r="K4207" s="3" t="s">
        <v>23</v>
      </c>
    </row>
    <row r="4208" spans="1:11" ht="42" customHeight="1">
      <c r="A4208" s="2" t="s">
        <v>8460</v>
      </c>
      <c r="B4208" s="2" t="s">
        <v>8461</v>
      </c>
      <c r="C4208" s="2" t="s">
        <v>111</v>
      </c>
      <c r="D4208" s="2" t="s">
        <v>18</v>
      </c>
      <c r="E4208" s="5">
        <v>-29027</v>
      </c>
      <c r="F4208" s="3" t="s">
        <v>937</v>
      </c>
      <c r="G4208" s="3" t="s">
        <v>20</v>
      </c>
      <c r="H4208" s="2" t="s">
        <v>21</v>
      </c>
      <c r="I4208" s="2" t="s">
        <v>8462</v>
      </c>
      <c r="J4208" s="3" t="str">
        <f>HYPERLINK("https://www.boe.es/gazeta/dias/1820/07/10/pdfs/GGB-1820-11.pdf#page=4","Abrir facsímil")</f>
        <v>Abrir facsímil</v>
      </c>
      <c r="K4208" s="3" t="s">
        <v>23</v>
      </c>
    </row>
    <row r="4209" spans="1:11" ht="42" customHeight="1">
      <c r="A4209" s="2" t="s">
        <v>8460</v>
      </c>
      <c r="B4209" s="2" t="s">
        <v>8461</v>
      </c>
      <c r="C4209" s="2" t="s">
        <v>293</v>
      </c>
      <c r="D4209" s="2" t="s">
        <v>18</v>
      </c>
      <c r="E4209" s="5">
        <v>-28975</v>
      </c>
      <c r="F4209" s="3" t="s">
        <v>182</v>
      </c>
      <c r="G4209" s="3" t="s">
        <v>62</v>
      </c>
      <c r="H4209" s="2" t="s">
        <v>21</v>
      </c>
      <c r="I4209" s="2" t="s">
        <v>8463</v>
      </c>
      <c r="J4209" s="3" t="str">
        <f>HYPERLINK("https://www.boe.es/gazeta/dias/1820/08/31/pdfs/GGB-1820-64.pdf#page=3","Abrir facsímil")</f>
        <v>Abrir facsímil</v>
      </c>
      <c r="K4209" s="3" t="s">
        <v>23</v>
      </c>
    </row>
    <row r="4210" spans="1:11" ht="42" customHeight="1">
      <c r="A4210" s="2" t="s">
        <v>8464</v>
      </c>
      <c r="B4210" s="2" t="s">
        <v>8464</v>
      </c>
      <c r="C4210" s="2" t="s">
        <v>107</v>
      </c>
      <c r="D4210" s="2" t="s">
        <v>18</v>
      </c>
      <c r="E4210" s="5">
        <v>-29030</v>
      </c>
      <c r="F4210" s="3" t="s">
        <v>789</v>
      </c>
      <c r="G4210" s="3" t="s">
        <v>1987</v>
      </c>
      <c r="H4210" s="2" t="s">
        <v>21</v>
      </c>
      <c r="I4210" s="2" t="s">
        <v>8465</v>
      </c>
      <c r="J4210" s="3" t="str">
        <f>HYPERLINK("https://www.boe.es/gazeta/dias/1820/07/07/pdfs/GGB-1820-8.pdf#page=4","Abrir facsímil")</f>
        <v>Abrir facsímil</v>
      </c>
      <c r="K4210" s="3" t="s">
        <v>23</v>
      </c>
    </row>
    <row r="4211" spans="1:11" ht="42" customHeight="1">
      <c r="A4211" s="2" t="s">
        <v>8464</v>
      </c>
      <c r="B4211" s="2" t="s">
        <v>8464</v>
      </c>
      <c r="C4211" s="2" t="s">
        <v>74</v>
      </c>
      <c r="D4211" s="2" t="s">
        <v>18</v>
      </c>
      <c r="E4211" s="5">
        <v>-28998</v>
      </c>
      <c r="F4211" s="3" t="s">
        <v>629</v>
      </c>
      <c r="G4211" s="3" t="s">
        <v>43</v>
      </c>
      <c r="H4211" s="2" t="s">
        <v>21</v>
      </c>
      <c r="I4211" s="2" t="s">
        <v>8466</v>
      </c>
      <c r="J4211" s="3" t="str">
        <f>HYPERLINK("https://www.boe.es/gazeta/dias/1820/08/08/pdfs/GGB-1820-41.pdf#page=2","Abrir facsímil")</f>
        <v>Abrir facsímil</v>
      </c>
      <c r="K4211" s="3" t="s">
        <v>23</v>
      </c>
    </row>
    <row r="4212" spans="1:11" ht="42" customHeight="1">
      <c r="A4212" s="2" t="s">
        <v>8464</v>
      </c>
      <c r="B4212" s="2" t="s">
        <v>8464</v>
      </c>
      <c r="C4212" s="2" t="s">
        <v>35</v>
      </c>
      <c r="D4212" s="2" t="s">
        <v>36</v>
      </c>
      <c r="E4212" s="5">
        <v>-28873</v>
      </c>
      <c r="F4212" s="3" t="s">
        <v>4997</v>
      </c>
      <c r="G4212" s="3" t="s">
        <v>20</v>
      </c>
      <c r="H4212" s="2" t="s">
        <v>21</v>
      </c>
      <c r="I4212" s="2" t="s">
        <v>8467</v>
      </c>
      <c r="J4212" s="3" t="str">
        <f>HYPERLINK("https://www.boe.es/gazeta/dias/1820/12/11/pdfs/GGB-1820-168.pdf#page=4","Abrir facsímil")</f>
        <v>Abrir facsímil</v>
      </c>
      <c r="K4212" s="3" t="s">
        <v>23</v>
      </c>
    </row>
    <row r="4213" spans="1:11" ht="42" customHeight="1">
      <c r="A4213" s="2" t="s">
        <v>8468</v>
      </c>
      <c r="B4213" s="2" t="s">
        <v>8468</v>
      </c>
      <c r="C4213" s="2" t="s">
        <v>74</v>
      </c>
      <c r="D4213" s="2" t="s">
        <v>18</v>
      </c>
      <c r="E4213" s="5">
        <v>-28951</v>
      </c>
      <c r="F4213" s="3" t="s">
        <v>622</v>
      </c>
      <c r="G4213" s="3" t="s">
        <v>1370</v>
      </c>
      <c r="H4213" s="2" t="s">
        <v>21</v>
      </c>
      <c r="I4213" s="2" t="s">
        <v>8469</v>
      </c>
      <c r="J4213" s="3" t="str">
        <f>HYPERLINK("https://www.boe.es/gazeta/dias/1820/09/24/pdfs/GGB-1820-88.pdf#page=2","Abrir facsímil")</f>
        <v>Abrir facsímil</v>
      </c>
      <c r="K4213" s="3" t="s">
        <v>23</v>
      </c>
    </row>
    <row r="4214" spans="1:11" ht="42" customHeight="1">
      <c r="A4214" s="2" t="s">
        <v>8470</v>
      </c>
      <c r="B4214" s="2" t="s">
        <v>8471</v>
      </c>
      <c r="C4214" s="2" t="s">
        <v>111</v>
      </c>
      <c r="D4214" s="2" t="s">
        <v>18</v>
      </c>
      <c r="E4214" s="5">
        <v>-28967</v>
      </c>
      <c r="F4214" s="3" t="s">
        <v>238</v>
      </c>
      <c r="G4214" s="3" t="s">
        <v>38</v>
      </c>
      <c r="H4214" s="2" t="s">
        <v>21</v>
      </c>
      <c r="I4214" s="2" t="s">
        <v>8472</v>
      </c>
      <c r="J4214" s="3" t="str">
        <f>HYPERLINK("https://www.boe.es/gazeta/dias/1820/09/08/pdfs/GGB-1820-72.pdf#page=6","Abrir facsímil")</f>
        <v>Abrir facsímil</v>
      </c>
      <c r="K4214" s="3" t="s">
        <v>23</v>
      </c>
    </row>
    <row r="4215" spans="1:11" ht="42" customHeight="1">
      <c r="A4215" s="2" t="s">
        <v>8473</v>
      </c>
      <c r="B4215" s="2" t="s">
        <v>8474</v>
      </c>
      <c r="C4215" s="2" t="s">
        <v>47</v>
      </c>
      <c r="D4215" s="2" t="s">
        <v>18</v>
      </c>
      <c r="E4215" s="5">
        <v>-29206</v>
      </c>
      <c r="F4215" s="3" t="s">
        <v>897</v>
      </c>
      <c r="G4215" s="3" t="s">
        <v>295</v>
      </c>
      <c r="H4215" s="2" t="s">
        <v>21</v>
      </c>
      <c r="I4215" s="2" t="s">
        <v>8475</v>
      </c>
      <c r="J4215" s="3" t="str">
        <f>HYPERLINK("https://www.boe.es/gazeta/dias/1820/01/13/pdfs/GMD-1820-6.pdf#page=8","Abrir facsímil")</f>
        <v>Abrir facsímil</v>
      </c>
      <c r="K4215" s="3" t="s">
        <v>23</v>
      </c>
    </row>
    <row r="4216" spans="1:11" ht="42" customHeight="1">
      <c r="A4216" s="2" t="s">
        <v>8473</v>
      </c>
      <c r="B4216" s="2" t="s">
        <v>8474</v>
      </c>
      <c r="C4216" s="2" t="s">
        <v>111</v>
      </c>
      <c r="D4216" s="2" t="s">
        <v>18</v>
      </c>
      <c r="E4216" s="5">
        <v>-29138</v>
      </c>
      <c r="F4216" s="3" t="s">
        <v>200</v>
      </c>
      <c r="G4216" s="3" t="s">
        <v>295</v>
      </c>
      <c r="H4216" s="2" t="s">
        <v>21</v>
      </c>
      <c r="I4216" s="2" t="s">
        <v>8476</v>
      </c>
      <c r="J4216" s="3" t="str">
        <f>HYPERLINK("https://www.boe.es/gazeta/dias/1820/03/21/pdfs/GMD-1820-46.pdf#page=8","Abrir facsímil")</f>
        <v>Abrir facsímil</v>
      </c>
      <c r="K4216" s="3" t="s">
        <v>23</v>
      </c>
    </row>
    <row r="4217" spans="1:11" ht="42" customHeight="1">
      <c r="A4217" s="2" t="s">
        <v>8473</v>
      </c>
      <c r="B4217" s="2" t="s">
        <v>8474</v>
      </c>
      <c r="C4217" s="2" t="s">
        <v>47</v>
      </c>
      <c r="D4217" s="2" t="s">
        <v>18</v>
      </c>
      <c r="E4217" s="5">
        <v>-29038</v>
      </c>
      <c r="F4217" s="3" t="s">
        <v>957</v>
      </c>
      <c r="G4217" s="3" t="s">
        <v>295</v>
      </c>
      <c r="H4217" s="2" t="s">
        <v>21</v>
      </c>
      <c r="I4217" s="2" t="s">
        <v>8477</v>
      </c>
      <c r="J4217" s="3" t="str">
        <f>HYPERLINK("https://www.boe.es/gazeta/dias/1820/06/29/pdfs/GMD-1820-100.pdf#page=8","Abrir facsímil")</f>
        <v>Abrir facsímil</v>
      </c>
      <c r="K4217" s="3" t="s">
        <v>23</v>
      </c>
    </row>
    <row r="4218" spans="1:11" ht="42" customHeight="1">
      <c r="A4218" s="2" t="s">
        <v>8478</v>
      </c>
      <c r="B4218" s="2" t="s">
        <v>8479</v>
      </c>
      <c r="C4218" s="2" t="s">
        <v>35</v>
      </c>
      <c r="D4218" s="2" t="s">
        <v>36</v>
      </c>
      <c r="E4218" s="5">
        <v>-28965</v>
      </c>
      <c r="F4218" s="3" t="s">
        <v>1520</v>
      </c>
      <c r="G4218" s="3" t="s">
        <v>20</v>
      </c>
      <c r="H4218" s="2" t="s">
        <v>21</v>
      </c>
      <c r="I4218" s="2" t="s">
        <v>8480</v>
      </c>
      <c r="J4218" s="3" t="str">
        <f>HYPERLINK("https://www.boe.es/gazeta/dias/1820/09/10/pdfs/GGB-1820-74.pdf#page=4","Abrir facsímil")</f>
        <v>Abrir facsímil</v>
      </c>
      <c r="K4218" s="3" t="s">
        <v>23</v>
      </c>
    </row>
    <row r="4219" spans="1:11" ht="42" customHeight="1">
      <c r="A4219" s="2" t="s">
        <v>8481</v>
      </c>
      <c r="B4219" s="2" t="s">
        <v>8482</v>
      </c>
      <c r="C4219" s="2" t="s">
        <v>35</v>
      </c>
      <c r="D4219" s="2" t="s">
        <v>36</v>
      </c>
      <c r="E4219" s="5">
        <v>-29024</v>
      </c>
      <c r="F4219" s="3" t="s">
        <v>1916</v>
      </c>
      <c r="G4219" s="3" t="s">
        <v>43</v>
      </c>
      <c r="H4219" s="2" t="s">
        <v>21</v>
      </c>
      <c r="I4219" s="2" t="s">
        <v>8483</v>
      </c>
      <c r="J4219" s="3" t="str">
        <f>HYPERLINK("https://www.boe.es/gazeta/dias/1820/07/13/pdfs/GGB-1820-15.pdf#page=2","Abrir facsímil")</f>
        <v>Abrir facsímil</v>
      </c>
      <c r="K4219" s="3" t="s">
        <v>23</v>
      </c>
    </row>
    <row r="4220" spans="1:11" ht="42" customHeight="1">
      <c r="A4220" s="2" t="s">
        <v>8484</v>
      </c>
      <c r="B4220" s="2" t="s">
        <v>8485</v>
      </c>
      <c r="C4220" s="2" t="s">
        <v>26</v>
      </c>
      <c r="D4220" s="2" t="s">
        <v>27</v>
      </c>
      <c r="E4220" s="5">
        <v>-29023</v>
      </c>
      <c r="F4220" s="3" t="s">
        <v>1662</v>
      </c>
      <c r="G4220" s="3" t="s">
        <v>3662</v>
      </c>
      <c r="H4220" s="2" t="s">
        <v>21</v>
      </c>
      <c r="I4220" s="2" t="s">
        <v>8486</v>
      </c>
      <c r="J4220" s="3" t="str">
        <f>HYPERLINK("https://www.boe.es/gazeta/dias/1820/07/14/pdfs/GGB-1820-16.pdf#page=2","Abrir facsímil")</f>
        <v>Abrir facsímil</v>
      </c>
      <c r="K4220" s="3" t="s">
        <v>23</v>
      </c>
    </row>
    <row r="4221" spans="1:11" ht="42" customHeight="1">
      <c r="A4221" s="2" t="s">
        <v>8484</v>
      </c>
      <c r="B4221" s="2" t="s">
        <v>8485</v>
      </c>
      <c r="C4221" s="2" t="s">
        <v>35</v>
      </c>
      <c r="D4221" s="2" t="s">
        <v>36</v>
      </c>
      <c r="E4221" s="5">
        <v>-29001</v>
      </c>
      <c r="F4221" s="3" t="s">
        <v>633</v>
      </c>
      <c r="G4221" s="3" t="s">
        <v>62</v>
      </c>
      <c r="H4221" s="2" t="s">
        <v>21</v>
      </c>
      <c r="I4221" s="2" t="s">
        <v>8487</v>
      </c>
      <c r="J4221" s="3" t="str">
        <f>HYPERLINK("https://www.boe.es/gazeta/dias/1820/08/05/pdfs/GGB-1820-38.pdf#page=3","Abrir facsímil")</f>
        <v>Abrir facsímil</v>
      </c>
      <c r="K4221" s="3" t="s">
        <v>23</v>
      </c>
    </row>
    <row r="4222" spans="1:11" ht="42" customHeight="1">
      <c r="A4222" s="2" t="s">
        <v>8484</v>
      </c>
      <c r="B4222" s="2" t="s">
        <v>8485</v>
      </c>
      <c r="C4222" s="2" t="s">
        <v>111</v>
      </c>
      <c r="D4222" s="2" t="s">
        <v>18</v>
      </c>
      <c r="E4222" s="5">
        <v>-28997</v>
      </c>
      <c r="F4222" s="3" t="s">
        <v>1471</v>
      </c>
      <c r="G4222" s="3" t="s">
        <v>62</v>
      </c>
      <c r="H4222" s="2" t="s">
        <v>21</v>
      </c>
      <c r="I4222" s="2" t="s">
        <v>8488</v>
      </c>
      <c r="J4222" s="3" t="str">
        <f>HYPERLINK("https://www.boe.es/gazeta/dias/1820/08/09/pdfs/GGB-1820-42.pdf#page=3","Abrir facsímil")</f>
        <v>Abrir facsímil</v>
      </c>
      <c r="K4222" s="3" t="s">
        <v>23</v>
      </c>
    </row>
    <row r="4223" spans="1:11" ht="42" customHeight="1">
      <c r="A4223" s="2" t="s">
        <v>8484</v>
      </c>
      <c r="B4223" s="2" t="s">
        <v>8485</v>
      </c>
      <c r="C4223" s="2" t="s">
        <v>74</v>
      </c>
      <c r="D4223" s="2" t="s">
        <v>18</v>
      </c>
      <c r="E4223" s="5">
        <v>-28993</v>
      </c>
      <c r="F4223" s="3" t="s">
        <v>465</v>
      </c>
      <c r="G4223" s="3" t="s">
        <v>62</v>
      </c>
      <c r="H4223" s="2" t="s">
        <v>21</v>
      </c>
      <c r="I4223" s="2" t="s">
        <v>8489</v>
      </c>
      <c r="J4223" s="3" t="str">
        <f>HYPERLINK("https://www.boe.es/gazeta/dias/1820/08/13/pdfs/GGB-1820-46.pdf#page=3","Abrir facsímil")</f>
        <v>Abrir facsímil</v>
      </c>
      <c r="K4223" s="3" t="s">
        <v>23</v>
      </c>
    </row>
    <row r="4224" spans="1:11" ht="42" customHeight="1">
      <c r="A4224" s="2" t="s">
        <v>8484</v>
      </c>
      <c r="B4224" s="2" t="s">
        <v>8485</v>
      </c>
      <c r="C4224" s="2" t="s">
        <v>107</v>
      </c>
      <c r="D4224" s="2" t="s">
        <v>18</v>
      </c>
      <c r="E4224" s="5">
        <v>-28985</v>
      </c>
      <c r="F4224" s="3" t="s">
        <v>905</v>
      </c>
      <c r="G4224" s="3" t="s">
        <v>928</v>
      </c>
      <c r="H4224" s="2" t="s">
        <v>21</v>
      </c>
      <c r="I4224" s="2" t="s">
        <v>8490</v>
      </c>
      <c r="J4224" s="3" t="str">
        <f>HYPERLINK("https://www.boe.es/gazeta/dias/1820/08/21/pdfs/GGB-1820-54.pdf#page=4","Abrir facsímil")</f>
        <v>Abrir facsímil</v>
      </c>
      <c r="K4224" s="3" t="s">
        <v>23</v>
      </c>
    </row>
    <row r="4225" spans="1:11" ht="42" customHeight="1">
      <c r="A4225" s="2" t="s">
        <v>8484</v>
      </c>
      <c r="B4225" s="2" t="s">
        <v>8485</v>
      </c>
      <c r="C4225" s="2" t="s">
        <v>35</v>
      </c>
      <c r="D4225" s="2" t="s">
        <v>36</v>
      </c>
      <c r="E4225" s="5">
        <v>-28977</v>
      </c>
      <c r="F4225" s="3" t="s">
        <v>687</v>
      </c>
      <c r="G4225" s="3" t="s">
        <v>20</v>
      </c>
      <c r="H4225" s="2" t="s">
        <v>21</v>
      </c>
      <c r="I4225" s="2" t="s">
        <v>8491</v>
      </c>
      <c r="J4225" s="3" t="str">
        <f>HYPERLINK("https://www.boe.es/gazeta/dias/1820/08/29/pdfs/GGB-1820-62.pdf#page=4","Abrir facsímil")</f>
        <v>Abrir facsímil</v>
      </c>
      <c r="K4225" s="3" t="s">
        <v>23</v>
      </c>
    </row>
    <row r="4226" spans="1:11" ht="42" customHeight="1">
      <c r="A4226" s="2" t="s">
        <v>8484</v>
      </c>
      <c r="B4226" s="2" t="s">
        <v>8485</v>
      </c>
      <c r="C4226" s="2" t="s">
        <v>26</v>
      </c>
      <c r="D4226" s="2" t="s">
        <v>27</v>
      </c>
      <c r="E4226" s="5">
        <v>-28973</v>
      </c>
      <c r="F4226" s="3" t="s">
        <v>151</v>
      </c>
      <c r="G4226" s="3" t="s">
        <v>62</v>
      </c>
      <c r="H4226" s="2" t="s">
        <v>21</v>
      </c>
      <c r="I4226" s="2" t="s">
        <v>8492</v>
      </c>
      <c r="J4226" s="3" t="str">
        <f>HYPERLINK("https://www.boe.es/gazeta/dias/1820/09/02/pdfs/GGB-1820-66.pdf#page=3","Abrir facsímil")</f>
        <v>Abrir facsímil</v>
      </c>
      <c r="K4226" s="3" t="s">
        <v>23</v>
      </c>
    </row>
    <row r="4227" spans="1:11" ht="42" customHeight="1">
      <c r="A4227" s="2" t="s">
        <v>8481</v>
      </c>
      <c r="B4227" s="2" t="s">
        <v>8482</v>
      </c>
      <c r="C4227" s="2" t="s">
        <v>17</v>
      </c>
      <c r="D4227" s="2" t="s">
        <v>18</v>
      </c>
      <c r="E4227" s="5">
        <v>-28958</v>
      </c>
      <c r="F4227" s="3" t="s">
        <v>706</v>
      </c>
      <c r="G4227" s="3" t="s">
        <v>62</v>
      </c>
      <c r="H4227" s="2" t="s">
        <v>21</v>
      </c>
      <c r="I4227" s="2" t="s">
        <v>8493</v>
      </c>
      <c r="J4227" s="3" t="str">
        <f>HYPERLINK("https://www.boe.es/gazeta/dias/1820/09/17/pdfs/GGB-1820-81.pdf#page=3","Abrir facsímil")</f>
        <v>Abrir facsímil</v>
      </c>
      <c r="K4227" s="3" t="s">
        <v>23</v>
      </c>
    </row>
    <row r="4228" spans="1:11" ht="42" customHeight="1">
      <c r="A4228" s="2" t="s">
        <v>8484</v>
      </c>
      <c r="B4228" s="2" t="s">
        <v>8485</v>
      </c>
      <c r="C4228" s="2" t="s">
        <v>111</v>
      </c>
      <c r="D4228" s="2" t="s">
        <v>18</v>
      </c>
      <c r="E4228" s="5">
        <v>-28943</v>
      </c>
      <c r="F4228" s="3" t="s">
        <v>1403</v>
      </c>
      <c r="G4228" s="3" t="s">
        <v>43</v>
      </c>
      <c r="H4228" s="2" t="s">
        <v>21</v>
      </c>
      <c r="I4228" s="2" t="s">
        <v>8494</v>
      </c>
      <c r="J4228" s="3" t="str">
        <f>HYPERLINK("https://www.boe.es/gazeta/dias/1820/10/02/pdfs/GGB-1820-96.pdf#page=2","Abrir facsímil")</f>
        <v>Abrir facsímil</v>
      </c>
      <c r="K4228" s="3" t="s">
        <v>23</v>
      </c>
    </row>
    <row r="4229" spans="1:11" ht="42" customHeight="1">
      <c r="A4229" s="2" t="s">
        <v>8481</v>
      </c>
      <c r="B4229" s="2" t="s">
        <v>8482</v>
      </c>
      <c r="C4229" s="2" t="s">
        <v>26</v>
      </c>
      <c r="D4229" s="2" t="s">
        <v>27</v>
      </c>
      <c r="E4229" s="5">
        <v>-28938</v>
      </c>
      <c r="F4229" s="3" t="s">
        <v>716</v>
      </c>
      <c r="G4229" s="3" t="s">
        <v>1452</v>
      </c>
      <c r="H4229" s="2" t="s">
        <v>21</v>
      </c>
      <c r="I4229" s="2" t="s">
        <v>8495</v>
      </c>
      <c r="J4229" s="3" t="str">
        <f>HYPERLINK("https://www.boe.es/gazeta/dias/1820/10/07/pdfs/GGB-1820-101.pdf#page=4","Abrir facsímil")</f>
        <v>Abrir facsímil</v>
      </c>
      <c r="K4229" s="3" t="s">
        <v>23</v>
      </c>
    </row>
    <row r="4230" spans="1:11" ht="42" customHeight="1">
      <c r="A4230" s="2" t="s">
        <v>8484</v>
      </c>
      <c r="B4230" s="2" t="s">
        <v>8485</v>
      </c>
      <c r="C4230" s="2" t="s">
        <v>74</v>
      </c>
      <c r="D4230" s="2" t="s">
        <v>18</v>
      </c>
      <c r="E4230" s="5">
        <v>-28936</v>
      </c>
      <c r="F4230" s="3" t="s">
        <v>167</v>
      </c>
      <c r="G4230" s="3" t="s">
        <v>20</v>
      </c>
      <c r="H4230" s="2" t="s">
        <v>21</v>
      </c>
      <c r="I4230" s="2" t="s">
        <v>8496</v>
      </c>
      <c r="J4230" s="3" t="str">
        <f>HYPERLINK("https://www.boe.es/gazeta/dias/1820/10/09/pdfs/GGB-1820-103.pdf#page=4","Abrir facsímil")</f>
        <v>Abrir facsímil</v>
      </c>
      <c r="K4230" s="3" t="s">
        <v>23</v>
      </c>
    </row>
    <row r="4231" spans="1:11" ht="42" customHeight="1">
      <c r="A4231" s="2" t="s">
        <v>8497</v>
      </c>
      <c r="B4231" s="2" t="s">
        <v>8498</v>
      </c>
      <c r="C4231" s="2" t="s">
        <v>35</v>
      </c>
      <c r="D4231" s="2" t="s">
        <v>36</v>
      </c>
      <c r="E4231" s="5">
        <v>-29012</v>
      </c>
      <c r="F4231" s="3" t="s">
        <v>72</v>
      </c>
      <c r="G4231" s="3" t="s">
        <v>661</v>
      </c>
      <c r="H4231" s="2" t="s">
        <v>21</v>
      </c>
      <c r="I4231" s="2" t="s">
        <v>8499</v>
      </c>
      <c r="J4231" s="3" t="str">
        <f>HYPERLINK("https://www.boe.es/gazeta/dias/1820/07/25/pdfs/GGB-1820-27.pdf#page=2","Abrir facsímil")</f>
        <v>Abrir facsímil</v>
      </c>
      <c r="K4231" s="3" t="s">
        <v>23</v>
      </c>
    </row>
    <row r="4232" spans="1:11" ht="42" customHeight="1">
      <c r="A4232" s="2" t="s">
        <v>8500</v>
      </c>
      <c r="B4232" s="2" t="s">
        <v>8500</v>
      </c>
      <c r="C4232" s="2" t="s">
        <v>17</v>
      </c>
      <c r="D4232" s="2" t="s">
        <v>18</v>
      </c>
      <c r="E4232" s="5">
        <v>-28928</v>
      </c>
      <c r="F4232" s="3" t="s">
        <v>86</v>
      </c>
      <c r="G4232" s="3" t="s">
        <v>62</v>
      </c>
      <c r="H4232" s="2" t="s">
        <v>21</v>
      </c>
      <c r="I4232" s="2" t="s">
        <v>8501</v>
      </c>
      <c r="J4232" s="3" t="str">
        <f>HYPERLINK("https://www.boe.es/gazeta/dias/1820/10/17/pdfs/GGB-1820-111.pdf#page=3","Abrir facsímil")</f>
        <v>Abrir facsímil</v>
      </c>
      <c r="K4232" s="3" t="s">
        <v>23</v>
      </c>
    </row>
    <row r="4233" spans="1:11" ht="42" customHeight="1">
      <c r="A4233" s="2" t="s">
        <v>8502</v>
      </c>
      <c r="B4233" s="2" t="s">
        <v>8503</v>
      </c>
      <c r="C4233" s="2" t="s">
        <v>26</v>
      </c>
      <c r="D4233" s="2" t="s">
        <v>27</v>
      </c>
      <c r="E4233" s="5">
        <v>-28924</v>
      </c>
      <c r="F4233" s="3" t="s">
        <v>78</v>
      </c>
      <c r="G4233" s="3" t="s">
        <v>20</v>
      </c>
      <c r="H4233" s="2" t="s">
        <v>21</v>
      </c>
      <c r="I4233" s="2" t="s">
        <v>8504</v>
      </c>
      <c r="J4233" s="3" t="str">
        <f>HYPERLINK("https://www.boe.es/gazeta/dias/1820/10/21/pdfs/GGB-1820-115.pdf#page=4","Abrir facsímil")</f>
        <v>Abrir facsímil</v>
      </c>
      <c r="K4233" s="3" t="s">
        <v>23</v>
      </c>
    </row>
    <row r="4234" spans="1:11" ht="42" customHeight="1">
      <c r="A4234" s="2" t="s">
        <v>8505</v>
      </c>
      <c r="B4234" s="2" t="s">
        <v>8506</v>
      </c>
      <c r="C4234" s="2" t="s">
        <v>35</v>
      </c>
      <c r="D4234" s="2" t="s">
        <v>36</v>
      </c>
      <c r="E4234" s="5">
        <v>-28900</v>
      </c>
      <c r="F4234" s="3" t="s">
        <v>878</v>
      </c>
      <c r="G4234" s="3" t="s">
        <v>62</v>
      </c>
      <c r="H4234" s="2" t="s">
        <v>21</v>
      </c>
      <c r="I4234" s="2" t="s">
        <v>8507</v>
      </c>
      <c r="J4234" s="3" t="str">
        <f>HYPERLINK("https://www.boe.es/gazeta/dias/1820/11/14/pdfs/GGB-1820-140.pdf#page=3","Abrir facsímil")</f>
        <v>Abrir facsímil</v>
      </c>
      <c r="K4234" s="3" t="s">
        <v>23</v>
      </c>
    </row>
    <row r="4235" spans="1:11" ht="42" customHeight="1">
      <c r="A4235" s="2" t="s">
        <v>8505</v>
      </c>
      <c r="B4235" s="2" t="s">
        <v>8506</v>
      </c>
      <c r="C4235" s="2" t="s">
        <v>35</v>
      </c>
      <c r="D4235" s="2" t="s">
        <v>36</v>
      </c>
      <c r="E4235" s="5">
        <v>-28898</v>
      </c>
      <c r="F4235" s="3" t="s">
        <v>1405</v>
      </c>
      <c r="G4235" s="3" t="s">
        <v>62</v>
      </c>
      <c r="H4235" s="2" t="s">
        <v>21</v>
      </c>
      <c r="I4235" s="2" t="s">
        <v>8508</v>
      </c>
      <c r="J4235" s="3" t="str">
        <f>HYPERLINK("https://www.boe.es/gazeta/dias/1820/11/16/pdfs/GGB-1820-142.pdf#page=3","Abrir facsímil")</f>
        <v>Abrir facsímil</v>
      </c>
      <c r="K4235" s="3" t="s">
        <v>23</v>
      </c>
    </row>
    <row r="4236" spans="1:11" ht="42" customHeight="1">
      <c r="A4236" s="2" t="s">
        <v>8509</v>
      </c>
      <c r="B4236" s="2" t="s">
        <v>8510</v>
      </c>
      <c r="C4236" s="2" t="s">
        <v>35</v>
      </c>
      <c r="D4236" s="2" t="s">
        <v>36</v>
      </c>
      <c r="E4236" s="5">
        <v>-28998</v>
      </c>
      <c r="F4236" s="3" t="s">
        <v>629</v>
      </c>
      <c r="G4236" s="3" t="s">
        <v>62</v>
      </c>
      <c r="H4236" s="2" t="s">
        <v>21</v>
      </c>
      <c r="I4236" s="2" t="s">
        <v>8511</v>
      </c>
      <c r="J4236" s="3" t="str">
        <f>HYPERLINK("https://www.boe.es/gazeta/dias/1820/08/08/pdfs/GGB-1820-41.pdf#page=3","Abrir facsímil")</f>
        <v>Abrir facsímil</v>
      </c>
      <c r="K4236" s="3" t="s">
        <v>23</v>
      </c>
    </row>
    <row r="4237" spans="1:11" ht="42" customHeight="1">
      <c r="A4237" s="2" t="s">
        <v>8512</v>
      </c>
      <c r="B4237" s="2" t="s">
        <v>8513</v>
      </c>
      <c r="C4237" s="2" t="s">
        <v>17</v>
      </c>
      <c r="D4237" s="2" t="s">
        <v>18</v>
      </c>
      <c r="E4237" s="5">
        <v>-28960</v>
      </c>
      <c r="F4237" s="3" t="s">
        <v>704</v>
      </c>
      <c r="G4237" s="3" t="s">
        <v>62</v>
      </c>
      <c r="H4237" s="2" t="s">
        <v>21</v>
      </c>
      <c r="I4237" s="2" t="s">
        <v>8514</v>
      </c>
      <c r="J4237" s="3" t="str">
        <f>HYPERLINK("https://www.boe.es/gazeta/dias/1820/09/15/pdfs/GGB-1820-79.pdf#page=3","Abrir facsímil")</f>
        <v>Abrir facsímil</v>
      </c>
      <c r="K4237" s="3" t="s">
        <v>23</v>
      </c>
    </row>
    <row r="4238" spans="1:11" ht="42" customHeight="1">
      <c r="A4238" s="2" t="s">
        <v>8515</v>
      </c>
      <c r="B4238" s="2" t="s">
        <v>8516</v>
      </c>
      <c r="C4238" s="2" t="s">
        <v>35</v>
      </c>
      <c r="D4238" s="2" t="s">
        <v>36</v>
      </c>
      <c r="E4238" s="5">
        <v>-28896</v>
      </c>
      <c r="F4238" s="3" t="s">
        <v>1268</v>
      </c>
      <c r="G4238" s="3" t="s">
        <v>62</v>
      </c>
      <c r="H4238" s="2" t="s">
        <v>21</v>
      </c>
      <c r="I4238" s="2" t="s">
        <v>8517</v>
      </c>
      <c r="J4238" s="3" t="str">
        <f>HYPERLINK("https://www.boe.es/gazeta/dias/1820/11/18/pdfs/GGB-1820-144.pdf#page=3","Abrir facsímil")</f>
        <v>Abrir facsímil</v>
      </c>
      <c r="K4238" s="3" t="s">
        <v>23</v>
      </c>
    </row>
    <row r="4239" spans="1:11" ht="42" customHeight="1">
      <c r="A4239" s="2" t="s">
        <v>8515</v>
      </c>
      <c r="B4239" s="2" t="s">
        <v>8516</v>
      </c>
      <c r="C4239" s="2" t="s">
        <v>35</v>
      </c>
      <c r="D4239" s="2" t="s">
        <v>36</v>
      </c>
      <c r="E4239" s="5">
        <v>-28895</v>
      </c>
      <c r="F4239" s="3" t="s">
        <v>347</v>
      </c>
      <c r="G4239" s="3" t="s">
        <v>62</v>
      </c>
      <c r="H4239" s="2" t="s">
        <v>21</v>
      </c>
      <c r="I4239" s="2" t="s">
        <v>8518</v>
      </c>
      <c r="J4239" s="3" t="str">
        <f>HYPERLINK("https://www.boe.es/gazeta/dias/1820/11/19/pdfs/GGB-1820-146.pdf#page=3","Abrir facsímil")</f>
        <v>Abrir facsímil</v>
      </c>
      <c r="K4239" s="3" t="s">
        <v>23</v>
      </c>
    </row>
    <row r="4240" spans="1:11" ht="42" customHeight="1">
      <c r="A4240" s="2" t="s">
        <v>8519</v>
      </c>
      <c r="B4240" s="2" t="s">
        <v>8520</v>
      </c>
      <c r="C4240" s="2" t="s">
        <v>35</v>
      </c>
      <c r="D4240" s="2" t="s">
        <v>310</v>
      </c>
      <c r="E4240" s="5">
        <v>-29138</v>
      </c>
      <c r="F4240" s="3" t="s">
        <v>2523</v>
      </c>
      <c r="G4240" s="3" t="s">
        <v>2551</v>
      </c>
      <c r="H4240" s="2" t="s">
        <v>21</v>
      </c>
      <c r="I4240" s="2" t="s">
        <v>8521</v>
      </c>
      <c r="J4240" s="3" t="str">
        <f>HYPERLINK("https://www.boe.es/gazeta/dias/1820/03/21/pdfs/GMD-1820-48E.pdf#page=13","Abrir facsímil")</f>
        <v>Abrir facsímil</v>
      </c>
      <c r="K4240" s="3" t="s">
        <v>23</v>
      </c>
    </row>
    <row r="4241" spans="1:11" ht="42" customHeight="1">
      <c r="A4241" s="2" t="s">
        <v>8522</v>
      </c>
      <c r="B4241" s="2" t="s">
        <v>8522</v>
      </c>
      <c r="C4241" s="2" t="s">
        <v>35</v>
      </c>
      <c r="D4241" s="2" t="s">
        <v>36</v>
      </c>
      <c r="E4241" s="5">
        <v>-29019</v>
      </c>
      <c r="F4241" s="3" t="s">
        <v>655</v>
      </c>
      <c r="G4241" s="3" t="s">
        <v>62</v>
      </c>
      <c r="H4241" s="2" t="s">
        <v>21</v>
      </c>
      <c r="I4241" s="2" t="s">
        <v>8523</v>
      </c>
      <c r="J4241" s="3" t="str">
        <f>HYPERLINK("https://www.boe.es/gazeta/dias/1820/07/18/pdfs/GGB-1820-20.pdf#page=3","Abrir facsímil")</f>
        <v>Abrir facsímil</v>
      </c>
      <c r="K4241" s="3" t="s">
        <v>23</v>
      </c>
    </row>
    <row r="4242" spans="1:11" ht="42" customHeight="1">
      <c r="A4242" s="2" t="s">
        <v>8524</v>
      </c>
      <c r="B4242" s="2" t="s">
        <v>8525</v>
      </c>
      <c r="C4242" s="2" t="s">
        <v>17</v>
      </c>
      <c r="D4242" s="2" t="s">
        <v>18</v>
      </c>
      <c r="E4242" s="5">
        <v>-28926</v>
      </c>
      <c r="F4242" s="3" t="s">
        <v>597</v>
      </c>
      <c r="G4242" s="3" t="s">
        <v>20</v>
      </c>
      <c r="H4242" s="2" t="s">
        <v>21</v>
      </c>
      <c r="I4242" s="2" t="s">
        <v>8526</v>
      </c>
      <c r="J4242" s="3" t="str">
        <f>HYPERLINK("https://www.boe.es/gazeta/dias/1820/10/19/pdfs/GGB-1820-113.pdf#page=4","Abrir facsímil")</f>
        <v>Abrir facsímil</v>
      </c>
      <c r="K4242" s="3" t="s">
        <v>23</v>
      </c>
    </row>
    <row r="4243" spans="1:11" ht="42" customHeight="1">
      <c r="A4243" s="2" t="s">
        <v>8527</v>
      </c>
      <c r="B4243" s="2" t="s">
        <v>8527</v>
      </c>
      <c r="C4243" s="2" t="s">
        <v>26</v>
      </c>
      <c r="D4243" s="2" t="s">
        <v>27</v>
      </c>
      <c r="E4243" s="5">
        <v>-29028</v>
      </c>
      <c r="F4243" s="3" t="s">
        <v>132</v>
      </c>
      <c r="G4243" s="3" t="s">
        <v>20</v>
      </c>
      <c r="H4243" s="2" t="s">
        <v>21</v>
      </c>
      <c r="I4243" s="2" t="s">
        <v>8528</v>
      </c>
      <c r="J4243" s="3" t="str">
        <f>HYPERLINK("https://www.boe.es/gazeta/dias/1820/07/09/pdfs/GGB-1820-10.pdf#page=4","Abrir facsímil")</f>
        <v>Abrir facsímil</v>
      </c>
      <c r="K4243" s="3" t="s">
        <v>23</v>
      </c>
    </row>
    <row r="4244" spans="1:11" ht="42" customHeight="1">
      <c r="A4244" s="2" t="s">
        <v>8529</v>
      </c>
      <c r="B4244" s="2" t="s">
        <v>8529</v>
      </c>
      <c r="C4244" s="2" t="s">
        <v>26</v>
      </c>
      <c r="D4244" s="2" t="s">
        <v>27</v>
      </c>
      <c r="E4244" s="5">
        <v>-28905</v>
      </c>
      <c r="F4244" s="3" t="s">
        <v>749</v>
      </c>
      <c r="G4244" s="3" t="s">
        <v>62</v>
      </c>
      <c r="H4244" s="2" t="s">
        <v>21</v>
      </c>
      <c r="I4244" s="2" t="s">
        <v>8530</v>
      </c>
      <c r="J4244" s="3" t="str">
        <f>HYPERLINK("https://www.boe.es/gazeta/dias/1820/11/09/pdfs/GGB-1820-134.pdf#page=3","Abrir facsímil")</f>
        <v>Abrir facsímil</v>
      </c>
      <c r="K4244" s="3" t="s">
        <v>23</v>
      </c>
    </row>
    <row r="4245" spans="1:11" ht="42" customHeight="1">
      <c r="A4245" s="2" t="s">
        <v>8531</v>
      </c>
      <c r="B4245" s="2" t="s">
        <v>8532</v>
      </c>
      <c r="C4245" s="2" t="s">
        <v>17</v>
      </c>
      <c r="D4245" s="2" t="s">
        <v>18</v>
      </c>
      <c r="E4245" s="5">
        <v>-29078</v>
      </c>
      <c r="F4245" s="3" t="s">
        <v>260</v>
      </c>
      <c r="G4245" s="3" t="s">
        <v>261</v>
      </c>
      <c r="H4245" s="2" t="s">
        <v>21</v>
      </c>
      <c r="I4245" s="2" t="s">
        <v>8533</v>
      </c>
      <c r="J4245" s="3" t="str">
        <f>HYPERLINK("https://www.boe.es/gazeta/dias/1820/05/20/pdfs/GMD-1820-83.pdf#page=9","Abrir facsímil")</f>
        <v>Abrir facsímil</v>
      </c>
      <c r="K4245" s="3" t="s">
        <v>23</v>
      </c>
    </row>
    <row r="4246" spans="1:11" ht="42" customHeight="1">
      <c r="A4246" s="2" t="s">
        <v>8534</v>
      </c>
      <c r="B4246" s="2" t="s">
        <v>8535</v>
      </c>
      <c r="C4246" s="2" t="s">
        <v>35</v>
      </c>
      <c r="D4246" s="2" t="s">
        <v>36</v>
      </c>
      <c r="E4246" s="5">
        <v>-29013</v>
      </c>
      <c r="F4246" s="3" t="s">
        <v>52</v>
      </c>
      <c r="G4246" s="3" t="s">
        <v>53</v>
      </c>
      <c r="H4246" s="2" t="s">
        <v>21</v>
      </c>
      <c r="I4246" s="2" t="s">
        <v>8536</v>
      </c>
      <c r="J4246" s="3" t="str">
        <f>HYPERLINK("https://www.boe.es/gazeta/dias/1820/07/24/pdfs/GGB-1820-26.pdf#page=3","Abrir facsímil")</f>
        <v>Abrir facsímil</v>
      </c>
      <c r="K4246" s="3" t="s">
        <v>23</v>
      </c>
    </row>
    <row r="4247" spans="1:11" ht="42" customHeight="1">
      <c r="A4247" s="2" t="s">
        <v>8537</v>
      </c>
      <c r="B4247" s="2" t="s">
        <v>8538</v>
      </c>
      <c r="C4247" s="2" t="s">
        <v>26</v>
      </c>
      <c r="D4247" s="2" t="s">
        <v>27</v>
      </c>
      <c r="E4247" s="5">
        <v>-29211</v>
      </c>
      <c r="F4247" s="3" t="s">
        <v>578</v>
      </c>
      <c r="G4247" s="3" t="s">
        <v>256</v>
      </c>
      <c r="H4247" s="2" t="s">
        <v>21</v>
      </c>
      <c r="I4247" s="2" t="s">
        <v>8539</v>
      </c>
      <c r="J4247" s="3" t="str">
        <f>HYPERLINK("https://www.boe.es/gazeta/dias/1820/01/08/pdfs/GMD-1820-4.pdf#page=5","Abrir facsímil")</f>
        <v>Abrir facsímil</v>
      </c>
      <c r="K4247" s="3" t="s">
        <v>23</v>
      </c>
    </row>
    <row r="4248" spans="1:11" ht="42" customHeight="1">
      <c r="A4248" s="2" t="s">
        <v>8540</v>
      </c>
      <c r="B4248" s="2" t="s">
        <v>8541</v>
      </c>
      <c r="C4248" s="2" t="s">
        <v>26</v>
      </c>
      <c r="D4248" s="2" t="s">
        <v>27</v>
      </c>
      <c r="E4248" s="5">
        <v>-28984</v>
      </c>
      <c r="F4248" s="3" t="s">
        <v>520</v>
      </c>
      <c r="G4248" s="3" t="s">
        <v>43</v>
      </c>
      <c r="H4248" s="2" t="s">
        <v>21</v>
      </c>
      <c r="I4248" s="2" t="s">
        <v>8542</v>
      </c>
      <c r="J4248" s="3" t="str">
        <f>HYPERLINK("https://www.boe.es/gazeta/dias/1820/08/22/pdfs/GGB-1820-55.pdf#page=2","Abrir facsímil")</f>
        <v>Abrir facsímil</v>
      </c>
      <c r="K4248" s="3" t="s">
        <v>23</v>
      </c>
    </row>
    <row r="4249" spans="1:11" ht="42" customHeight="1">
      <c r="A4249" s="2" t="s">
        <v>8543</v>
      </c>
      <c r="B4249" s="2" t="s">
        <v>8543</v>
      </c>
      <c r="C4249" s="2" t="s">
        <v>293</v>
      </c>
      <c r="D4249" s="2" t="s">
        <v>18</v>
      </c>
      <c r="E4249" s="5">
        <v>-28959</v>
      </c>
      <c r="F4249" s="3" t="s">
        <v>37</v>
      </c>
      <c r="G4249" s="3" t="s">
        <v>256</v>
      </c>
      <c r="H4249" s="2" t="s">
        <v>21</v>
      </c>
      <c r="I4249" s="2" t="s">
        <v>8544</v>
      </c>
      <c r="J4249" s="3" t="str">
        <f>HYPERLINK("https://www.boe.es/gazeta/dias/1820/09/16/pdfs/GGB-1820-80.pdf#page=5","Abrir facsímil")</f>
        <v>Abrir facsímil</v>
      </c>
      <c r="K4249" s="3" t="s">
        <v>23</v>
      </c>
    </row>
    <row r="4250" spans="1:11" ht="42" customHeight="1">
      <c r="A4250" s="2" t="s">
        <v>8545</v>
      </c>
      <c r="B4250" s="2" t="s">
        <v>8546</v>
      </c>
      <c r="C4250" s="2" t="s">
        <v>17</v>
      </c>
      <c r="D4250" s="2" t="s">
        <v>18</v>
      </c>
      <c r="E4250" s="5">
        <v>-28940</v>
      </c>
      <c r="F4250" s="3" t="s">
        <v>141</v>
      </c>
      <c r="G4250" s="3" t="s">
        <v>62</v>
      </c>
      <c r="H4250" s="2" t="s">
        <v>21</v>
      </c>
      <c r="I4250" s="2" t="s">
        <v>8547</v>
      </c>
      <c r="J4250" s="3" t="str">
        <f>HYPERLINK("https://www.boe.es/gazeta/dias/1820/10/05/pdfs/GGB-1820-99.pdf#page=3","Abrir facsímil")</f>
        <v>Abrir facsímil</v>
      </c>
      <c r="K4250" s="3" t="s">
        <v>23</v>
      </c>
    </row>
    <row r="4251" spans="1:11" ht="42" customHeight="1">
      <c r="A4251" s="2" t="s">
        <v>8548</v>
      </c>
      <c r="B4251" s="2" t="s">
        <v>8549</v>
      </c>
      <c r="C4251" s="2" t="s">
        <v>35</v>
      </c>
      <c r="D4251" s="2" t="s">
        <v>36</v>
      </c>
      <c r="E4251" s="5">
        <v>-29138</v>
      </c>
      <c r="F4251" s="3" t="s">
        <v>200</v>
      </c>
      <c r="G4251" s="3" t="s">
        <v>201</v>
      </c>
      <c r="H4251" s="2" t="s">
        <v>21</v>
      </c>
      <c r="I4251" s="2" t="s">
        <v>8550</v>
      </c>
      <c r="J4251" s="3" t="str">
        <f>HYPERLINK("https://www.boe.es/gazeta/dias/1820/03/21/pdfs/GMD-1820-46.pdf#page=7","Abrir facsímil")</f>
        <v>Abrir facsímil</v>
      </c>
      <c r="K4251" s="3" t="s">
        <v>23</v>
      </c>
    </row>
    <row r="4252" spans="1:11" ht="42" customHeight="1">
      <c r="A4252" s="2" t="s">
        <v>8551</v>
      </c>
      <c r="B4252" s="2" t="s">
        <v>8551</v>
      </c>
      <c r="C4252" s="2" t="s">
        <v>17</v>
      </c>
      <c r="D4252" s="2" t="s">
        <v>18</v>
      </c>
      <c r="E4252" s="5">
        <v>-28939</v>
      </c>
      <c r="F4252" s="3" t="s">
        <v>992</v>
      </c>
      <c r="G4252" s="3" t="s">
        <v>62</v>
      </c>
      <c r="H4252" s="2" t="s">
        <v>21</v>
      </c>
      <c r="I4252" s="2" t="s">
        <v>8552</v>
      </c>
      <c r="J4252" s="3" t="str">
        <f>HYPERLINK("https://www.boe.es/gazeta/dias/1820/10/06/pdfs/GGB-1820-100.pdf#page=3","Abrir facsímil")</f>
        <v>Abrir facsímil</v>
      </c>
      <c r="K4252" s="3" t="s">
        <v>23</v>
      </c>
    </row>
    <row r="4253" spans="1:11" ht="42" customHeight="1">
      <c r="A4253" s="2" t="s">
        <v>8553</v>
      </c>
      <c r="B4253" s="2" t="s">
        <v>8554</v>
      </c>
      <c r="C4253" s="2" t="s">
        <v>26</v>
      </c>
      <c r="D4253" s="2" t="s">
        <v>27</v>
      </c>
      <c r="E4253" s="5">
        <v>-29002</v>
      </c>
      <c r="F4253" s="3" t="s">
        <v>124</v>
      </c>
      <c r="G4253" s="3" t="s">
        <v>43</v>
      </c>
      <c r="H4253" s="2" t="s">
        <v>21</v>
      </c>
      <c r="I4253" s="2" t="s">
        <v>8555</v>
      </c>
      <c r="J4253" s="3" t="str">
        <f>HYPERLINK("https://www.boe.es/gazeta/dias/1820/08/04/pdfs/GGB-1820-37.pdf#page=2","Abrir facsímil")</f>
        <v>Abrir facsímil</v>
      </c>
      <c r="K4253" s="3" t="s">
        <v>23</v>
      </c>
    </row>
    <row r="4254" spans="1:11" ht="42" customHeight="1">
      <c r="A4254" s="2" t="s">
        <v>8556</v>
      </c>
      <c r="B4254" s="2" t="s">
        <v>8556</v>
      </c>
      <c r="C4254" s="2" t="s">
        <v>35</v>
      </c>
      <c r="D4254" s="2" t="s">
        <v>36</v>
      </c>
      <c r="E4254" s="5">
        <v>-28950</v>
      </c>
      <c r="F4254" s="3" t="s">
        <v>1052</v>
      </c>
      <c r="G4254" s="3" t="s">
        <v>62</v>
      </c>
      <c r="H4254" s="2" t="s">
        <v>21</v>
      </c>
      <c r="I4254" s="2" t="s">
        <v>8557</v>
      </c>
      <c r="J4254" s="3" t="str">
        <f>HYPERLINK("https://www.boe.es/gazeta/dias/1820/09/25/pdfs/GGB-1820-89.pdf#page=3","Abrir facsímil")</f>
        <v>Abrir facsímil</v>
      </c>
      <c r="K4254" s="3" t="s">
        <v>23</v>
      </c>
    </row>
    <row r="4255" spans="1:11" ht="42" customHeight="1">
      <c r="A4255" s="2" t="s">
        <v>8556</v>
      </c>
      <c r="B4255" s="2" t="s">
        <v>8556</v>
      </c>
      <c r="C4255" s="2" t="s">
        <v>17</v>
      </c>
      <c r="D4255" s="2" t="s">
        <v>18</v>
      </c>
      <c r="E4255" s="5">
        <v>-28922</v>
      </c>
      <c r="F4255" s="3" t="s">
        <v>735</v>
      </c>
      <c r="G4255" s="3" t="s">
        <v>43</v>
      </c>
      <c r="H4255" s="2" t="s">
        <v>21</v>
      </c>
      <c r="I4255" s="2" t="s">
        <v>8558</v>
      </c>
      <c r="J4255" s="3" t="str">
        <f>HYPERLINK("https://www.boe.es/gazeta/dias/1820/10/23/pdfs/GGB-1820-117.pdf#page=2","Abrir facsímil")</f>
        <v>Abrir facsímil</v>
      </c>
      <c r="K4255" s="3" t="s">
        <v>23</v>
      </c>
    </row>
    <row r="4256" spans="1:11" ht="42" customHeight="1">
      <c r="A4256" s="2" t="s">
        <v>8556</v>
      </c>
      <c r="B4256" s="2" t="s">
        <v>8556</v>
      </c>
      <c r="C4256" s="2" t="s">
        <v>17</v>
      </c>
      <c r="D4256" s="2" t="s">
        <v>18</v>
      </c>
      <c r="E4256" s="5">
        <v>-28915</v>
      </c>
      <c r="F4256" s="3" t="s">
        <v>525</v>
      </c>
      <c r="G4256" s="3" t="s">
        <v>20</v>
      </c>
      <c r="H4256" s="2" t="s">
        <v>21</v>
      </c>
      <c r="I4256" s="2" t="s">
        <v>8559</v>
      </c>
      <c r="J4256" s="3" t="str">
        <f>HYPERLINK("https://www.boe.es/gazeta/dias/1820/10/30/pdfs/GGB-1820-124.pdf#page=4","Abrir facsímil")</f>
        <v>Abrir facsímil</v>
      </c>
      <c r="K4256" s="3" t="s">
        <v>23</v>
      </c>
    </row>
    <row r="4257" spans="1:11" ht="42" customHeight="1">
      <c r="A4257" s="2" t="s">
        <v>8560</v>
      </c>
      <c r="B4257" s="2" t="s">
        <v>8561</v>
      </c>
      <c r="C4257" s="2" t="s">
        <v>35</v>
      </c>
      <c r="D4257" s="2" t="s">
        <v>36</v>
      </c>
      <c r="E4257" s="5">
        <v>-29094</v>
      </c>
      <c r="F4257" s="3" t="s">
        <v>560</v>
      </c>
      <c r="G4257" s="3" t="s">
        <v>295</v>
      </c>
      <c r="H4257" s="2" t="s">
        <v>21</v>
      </c>
      <c r="I4257" s="2" t="s">
        <v>8562</v>
      </c>
      <c r="J4257" s="3" t="str">
        <f>HYPERLINK("https://www.boe.es/gazeta/dias/1820/05/04/pdfs/GMD-1820-75.pdf#page=8","Abrir facsímil")</f>
        <v>Abrir facsímil</v>
      </c>
      <c r="K4257" s="3" t="s">
        <v>23</v>
      </c>
    </row>
    <row r="4258" spans="1:11" ht="42" customHeight="1">
      <c r="A4258" s="2" t="s">
        <v>8563</v>
      </c>
      <c r="B4258" s="2" t="s">
        <v>8563</v>
      </c>
      <c r="C4258" s="2" t="s">
        <v>293</v>
      </c>
      <c r="D4258" s="2" t="s">
        <v>18</v>
      </c>
      <c r="E4258" s="5">
        <v>-29004</v>
      </c>
      <c r="F4258" s="3" t="s">
        <v>75</v>
      </c>
      <c r="G4258" s="3" t="s">
        <v>76</v>
      </c>
      <c r="H4258" s="2" t="s">
        <v>21</v>
      </c>
      <c r="I4258" s="2" t="s">
        <v>8564</v>
      </c>
      <c r="J4258" s="3" t="str">
        <f>HYPERLINK("https://www.boe.es/gazeta/dias/1820/08/02/pdfs/GGB-1820-35.pdf#page=2","Abrir facsímil")</f>
        <v>Abrir facsímil</v>
      </c>
      <c r="K4258" s="3" t="s">
        <v>23</v>
      </c>
    </row>
    <row r="4259" spans="1:11" ht="42" customHeight="1">
      <c r="A4259" s="2" t="s">
        <v>8563</v>
      </c>
      <c r="B4259" s="2" t="s">
        <v>8563</v>
      </c>
      <c r="C4259" s="2" t="s">
        <v>74</v>
      </c>
      <c r="D4259" s="2" t="s">
        <v>18</v>
      </c>
      <c r="E4259" s="5">
        <v>-28999</v>
      </c>
      <c r="F4259" s="3" t="s">
        <v>342</v>
      </c>
      <c r="G4259" s="3" t="s">
        <v>343</v>
      </c>
      <c r="H4259" s="2" t="s">
        <v>21</v>
      </c>
      <c r="I4259" s="2" t="s">
        <v>8565</v>
      </c>
      <c r="J4259" s="3" t="str">
        <f>HYPERLINK("https://www.boe.es/gazeta/dias/1820/08/07/pdfs/GGB-1820-40.pdf#page=2","Abrir facsímil")</f>
        <v>Abrir facsímil</v>
      </c>
      <c r="K4259" s="3" t="s">
        <v>23</v>
      </c>
    </row>
    <row r="4260" spans="1:11" ht="42" customHeight="1">
      <c r="A4260" s="2" t="s">
        <v>8563</v>
      </c>
      <c r="B4260" s="2" t="s">
        <v>8563</v>
      </c>
      <c r="C4260" s="2" t="s">
        <v>26</v>
      </c>
      <c r="D4260" s="2" t="s">
        <v>27</v>
      </c>
      <c r="E4260" s="5">
        <v>-28988</v>
      </c>
      <c r="F4260" s="3" t="s">
        <v>618</v>
      </c>
      <c r="G4260" s="3" t="s">
        <v>20</v>
      </c>
      <c r="H4260" s="2" t="s">
        <v>21</v>
      </c>
      <c r="I4260" s="2" t="s">
        <v>8566</v>
      </c>
      <c r="J4260" s="3" t="str">
        <f>HYPERLINK("https://www.boe.es/gazeta/dias/1820/08/18/pdfs/GGB-1820-51.pdf#page=4","Abrir facsímil")</f>
        <v>Abrir facsímil</v>
      </c>
      <c r="K4260" s="3" t="s">
        <v>23</v>
      </c>
    </row>
    <row r="4261" spans="1:11" ht="42" customHeight="1">
      <c r="A4261" s="2" t="s">
        <v>8563</v>
      </c>
      <c r="B4261" s="2" t="s">
        <v>8563</v>
      </c>
      <c r="C4261" s="2" t="s">
        <v>17</v>
      </c>
      <c r="D4261" s="2" t="s">
        <v>18</v>
      </c>
      <c r="E4261" s="5">
        <v>-28984</v>
      </c>
      <c r="F4261" s="3" t="s">
        <v>520</v>
      </c>
      <c r="G4261" s="3" t="s">
        <v>20</v>
      </c>
      <c r="H4261" s="2" t="s">
        <v>21</v>
      </c>
      <c r="I4261" s="2" t="s">
        <v>8567</v>
      </c>
      <c r="J4261" s="3" t="str">
        <f>HYPERLINK("https://www.boe.es/gazeta/dias/1820/08/22/pdfs/GGB-1820-55.pdf#page=4","Abrir facsímil")</f>
        <v>Abrir facsímil</v>
      </c>
      <c r="K4261" s="3" t="s">
        <v>23</v>
      </c>
    </row>
    <row r="4262" spans="1:11" ht="42" customHeight="1">
      <c r="A4262" s="2" t="s">
        <v>8563</v>
      </c>
      <c r="B4262" s="2" t="s">
        <v>8563</v>
      </c>
      <c r="C4262" s="2" t="s">
        <v>35</v>
      </c>
      <c r="D4262" s="2" t="s">
        <v>36</v>
      </c>
      <c r="E4262" s="5">
        <v>-28971</v>
      </c>
      <c r="F4262" s="3" t="s">
        <v>691</v>
      </c>
      <c r="G4262" s="3" t="s">
        <v>62</v>
      </c>
      <c r="H4262" s="2" t="s">
        <v>21</v>
      </c>
      <c r="I4262" s="2" t="s">
        <v>8568</v>
      </c>
      <c r="J4262" s="3" t="str">
        <f>HYPERLINK("https://www.boe.es/gazeta/dias/1820/09/04/pdfs/GGB-1820-68.pdf#page=3","Abrir facsímil")</f>
        <v>Abrir facsímil</v>
      </c>
      <c r="K4262" s="3" t="s">
        <v>23</v>
      </c>
    </row>
    <row r="4263" spans="1:11" ht="42" customHeight="1">
      <c r="A4263" s="2" t="s">
        <v>8563</v>
      </c>
      <c r="B4263" s="2" t="s">
        <v>8563</v>
      </c>
      <c r="C4263" s="2" t="s">
        <v>17</v>
      </c>
      <c r="D4263" s="2" t="s">
        <v>18</v>
      </c>
      <c r="E4263" s="5">
        <v>-28960</v>
      </c>
      <c r="F4263" s="3" t="s">
        <v>704</v>
      </c>
      <c r="G4263" s="3" t="s">
        <v>62</v>
      </c>
      <c r="H4263" s="2" t="s">
        <v>21</v>
      </c>
      <c r="I4263" s="2" t="s">
        <v>8569</v>
      </c>
      <c r="J4263" s="3" t="str">
        <f>HYPERLINK("https://www.boe.es/gazeta/dias/1820/09/15/pdfs/GGB-1820-79.pdf#page=3","Abrir facsímil")</f>
        <v>Abrir facsímil</v>
      </c>
      <c r="K4263" s="3" t="s">
        <v>23</v>
      </c>
    </row>
    <row r="4264" spans="1:11" ht="42" customHeight="1">
      <c r="A4264" s="2" t="s">
        <v>8563</v>
      </c>
      <c r="B4264" s="2" t="s">
        <v>8563</v>
      </c>
      <c r="C4264" s="2" t="s">
        <v>74</v>
      </c>
      <c r="D4264" s="2" t="s">
        <v>18</v>
      </c>
      <c r="E4264" s="5">
        <v>-28957</v>
      </c>
      <c r="F4264" s="3" t="s">
        <v>361</v>
      </c>
      <c r="G4264" s="3" t="s">
        <v>62</v>
      </c>
      <c r="H4264" s="2" t="s">
        <v>21</v>
      </c>
      <c r="I4264" s="2" t="s">
        <v>8570</v>
      </c>
      <c r="J4264" s="3" t="str">
        <f>HYPERLINK("https://www.boe.es/gazeta/dias/1820/09/18/pdfs/GGB-1820-82.pdf#page=3","Abrir facsímil")</f>
        <v>Abrir facsímil</v>
      </c>
      <c r="K4264" s="3" t="s">
        <v>23</v>
      </c>
    </row>
    <row r="4265" spans="1:11" ht="42" customHeight="1">
      <c r="A4265" s="2" t="s">
        <v>8563</v>
      </c>
      <c r="B4265" s="2" t="s">
        <v>8563</v>
      </c>
      <c r="C4265" s="2" t="s">
        <v>17</v>
      </c>
      <c r="D4265" s="2" t="s">
        <v>18</v>
      </c>
      <c r="E4265" s="5">
        <v>-28950</v>
      </c>
      <c r="F4265" s="3" t="s">
        <v>1052</v>
      </c>
      <c r="G4265" s="3" t="s">
        <v>62</v>
      </c>
      <c r="H4265" s="2" t="s">
        <v>21</v>
      </c>
      <c r="I4265" s="2" t="s">
        <v>8571</v>
      </c>
      <c r="J4265" s="3" t="str">
        <f>HYPERLINK("https://www.boe.es/gazeta/dias/1820/09/25/pdfs/GGB-1820-89.pdf#page=3","Abrir facsímil")</f>
        <v>Abrir facsímil</v>
      </c>
      <c r="K4265" s="3" t="s">
        <v>23</v>
      </c>
    </row>
    <row r="4266" spans="1:11" ht="42" customHeight="1">
      <c r="A4266" s="2" t="s">
        <v>8563</v>
      </c>
      <c r="B4266" s="2" t="s">
        <v>8563</v>
      </c>
      <c r="C4266" s="2" t="s">
        <v>47</v>
      </c>
      <c r="D4266" s="2" t="s">
        <v>18</v>
      </c>
      <c r="E4266" s="5">
        <v>-28950</v>
      </c>
      <c r="F4266" s="3" t="s">
        <v>1052</v>
      </c>
      <c r="G4266" s="3" t="s">
        <v>20</v>
      </c>
      <c r="H4266" s="2" t="s">
        <v>21</v>
      </c>
      <c r="I4266" s="2" t="s">
        <v>8572</v>
      </c>
      <c r="J4266" s="3" t="str">
        <f>HYPERLINK("https://www.boe.es/gazeta/dias/1820/09/25/pdfs/GGB-1820-89.pdf#page=4","Abrir facsímil")</f>
        <v>Abrir facsímil</v>
      </c>
      <c r="K4266" s="3" t="s">
        <v>23</v>
      </c>
    </row>
    <row r="4267" spans="1:11" ht="42" customHeight="1">
      <c r="A4267" s="2" t="s">
        <v>8563</v>
      </c>
      <c r="B4267" s="2" t="s">
        <v>8563</v>
      </c>
      <c r="C4267" s="2" t="s">
        <v>35</v>
      </c>
      <c r="D4267" s="2" t="s">
        <v>36</v>
      </c>
      <c r="E4267" s="5">
        <v>-28925</v>
      </c>
      <c r="F4267" s="3" t="s">
        <v>228</v>
      </c>
      <c r="G4267" s="3" t="s">
        <v>20</v>
      </c>
      <c r="H4267" s="2" t="s">
        <v>21</v>
      </c>
      <c r="I4267" s="2" t="s">
        <v>8573</v>
      </c>
      <c r="J4267" s="3" t="str">
        <f>HYPERLINK("https://www.boe.es/gazeta/dias/1820/10/20/pdfs/GGB-1820-114.pdf#page=4","Abrir facsímil")</f>
        <v>Abrir facsímil</v>
      </c>
      <c r="K4267" s="3" t="s">
        <v>23</v>
      </c>
    </row>
    <row r="4268" spans="1:11" ht="42" customHeight="1">
      <c r="A4268" s="2" t="s">
        <v>8563</v>
      </c>
      <c r="B4268" s="2" t="s">
        <v>8563</v>
      </c>
      <c r="C4268" s="2" t="s">
        <v>74</v>
      </c>
      <c r="D4268" s="2" t="s">
        <v>18</v>
      </c>
      <c r="E4268" s="5">
        <v>-28922</v>
      </c>
      <c r="F4268" s="3" t="s">
        <v>735</v>
      </c>
      <c r="G4268" s="3" t="s">
        <v>128</v>
      </c>
      <c r="H4268" s="2" t="s">
        <v>21</v>
      </c>
      <c r="I4268" s="2" t="s">
        <v>8574</v>
      </c>
      <c r="J4268" s="3" t="str">
        <f>HYPERLINK("https://www.boe.es/gazeta/dias/1820/10/23/pdfs/GGB-1820-117.pdf#page=1","Abrir facsímil")</f>
        <v>Abrir facsímil</v>
      </c>
      <c r="K4268" s="3" t="s">
        <v>23</v>
      </c>
    </row>
    <row r="4269" spans="1:11" ht="42" customHeight="1">
      <c r="A4269" s="2" t="s">
        <v>8563</v>
      </c>
      <c r="B4269" s="2" t="s">
        <v>8563</v>
      </c>
      <c r="C4269" s="2" t="s">
        <v>26</v>
      </c>
      <c r="D4269" s="2" t="s">
        <v>27</v>
      </c>
      <c r="E4269" s="5">
        <v>-28919</v>
      </c>
      <c r="F4269" s="3" t="s">
        <v>516</v>
      </c>
      <c r="G4269" s="3" t="s">
        <v>62</v>
      </c>
      <c r="H4269" s="2" t="s">
        <v>21</v>
      </c>
      <c r="I4269" s="2" t="s">
        <v>8575</v>
      </c>
      <c r="J4269" s="3" t="str">
        <f>HYPERLINK("https://www.boe.es/gazeta/dias/1820/10/26/pdfs/GGB-1820-120.pdf#page=3","Abrir facsímil")</f>
        <v>Abrir facsímil</v>
      </c>
      <c r="K4269" s="3" t="s">
        <v>23</v>
      </c>
    </row>
    <row r="4270" spans="1:11" ht="42" customHeight="1">
      <c r="A4270" s="2" t="s">
        <v>8576</v>
      </c>
      <c r="B4270" s="2" t="s">
        <v>8577</v>
      </c>
      <c r="C4270" s="2" t="s">
        <v>74</v>
      </c>
      <c r="D4270" s="2" t="s">
        <v>18</v>
      </c>
      <c r="E4270" s="5">
        <v>-29015</v>
      </c>
      <c r="F4270" s="3" t="s">
        <v>359</v>
      </c>
      <c r="G4270" s="3" t="s">
        <v>20</v>
      </c>
      <c r="H4270" s="2" t="s">
        <v>21</v>
      </c>
      <c r="I4270" s="2" t="s">
        <v>8578</v>
      </c>
      <c r="J4270" s="3" t="str">
        <f>HYPERLINK("https://www.boe.es/gazeta/dias/1820/07/22/pdfs/GGB-1820-24.pdf#page=4","Abrir facsímil")</f>
        <v>Abrir facsímil</v>
      </c>
      <c r="K4270" s="3" t="s">
        <v>23</v>
      </c>
    </row>
    <row r="4271" spans="1:11" ht="42" customHeight="1">
      <c r="A4271" s="2" t="s">
        <v>8579</v>
      </c>
      <c r="B4271" s="2" t="s">
        <v>8579</v>
      </c>
      <c r="C4271" s="2" t="s">
        <v>111</v>
      </c>
      <c r="D4271" s="2" t="s">
        <v>18</v>
      </c>
      <c r="E4271" s="5">
        <v>-29199</v>
      </c>
      <c r="F4271" s="3" t="s">
        <v>1178</v>
      </c>
      <c r="G4271" s="3" t="s">
        <v>62</v>
      </c>
      <c r="H4271" s="2" t="s">
        <v>21</v>
      </c>
      <c r="I4271" s="2" t="s">
        <v>8580</v>
      </c>
      <c r="J4271" s="3" t="str">
        <f>HYPERLINK("https://www.boe.es/gazeta/dias/1820/01/20/pdfs/GMD-1820-9.pdf#page=3","Abrir facsímil")</f>
        <v>Abrir facsímil</v>
      </c>
      <c r="K4271" s="3" t="s">
        <v>23</v>
      </c>
    </row>
    <row r="4272" spans="1:11" ht="42" customHeight="1">
      <c r="A4272" s="2" t="s">
        <v>8581</v>
      </c>
      <c r="B4272" s="2" t="s">
        <v>8581</v>
      </c>
      <c r="C4272" s="2" t="s">
        <v>74</v>
      </c>
      <c r="D4272" s="2" t="s">
        <v>18</v>
      </c>
      <c r="E4272" s="5">
        <v>-29021</v>
      </c>
      <c r="F4272" s="3" t="s">
        <v>377</v>
      </c>
      <c r="G4272" s="3" t="s">
        <v>62</v>
      </c>
      <c r="H4272" s="2" t="s">
        <v>21</v>
      </c>
      <c r="I4272" s="2" t="s">
        <v>8582</v>
      </c>
      <c r="J4272" s="3" t="str">
        <f>HYPERLINK("https://www.boe.es/gazeta/dias/1820/07/16/pdfs/GGB-1820-18.pdf#page=3","Abrir facsímil")</f>
        <v>Abrir facsímil</v>
      </c>
      <c r="K4272" s="3" t="s">
        <v>23</v>
      </c>
    </row>
    <row r="4273" spans="1:11" ht="42" customHeight="1">
      <c r="A4273" s="2" t="s">
        <v>8581</v>
      </c>
      <c r="B4273" s="2" t="s">
        <v>8581</v>
      </c>
      <c r="C4273" s="2" t="s">
        <v>111</v>
      </c>
      <c r="D4273" s="2" t="s">
        <v>18</v>
      </c>
      <c r="E4273" s="5">
        <v>-28988</v>
      </c>
      <c r="F4273" s="3" t="s">
        <v>618</v>
      </c>
      <c r="G4273" s="3" t="s">
        <v>62</v>
      </c>
      <c r="H4273" s="2" t="s">
        <v>21</v>
      </c>
      <c r="I4273" s="2" t="s">
        <v>8583</v>
      </c>
      <c r="J4273" s="3" t="str">
        <f>HYPERLINK("https://www.boe.es/gazeta/dias/1820/08/18/pdfs/GGB-1820-51.pdf#page=3","Abrir facsímil")</f>
        <v>Abrir facsímil</v>
      </c>
      <c r="K4273" s="3" t="s">
        <v>23</v>
      </c>
    </row>
    <row r="4274" spans="1:11" ht="42" customHeight="1">
      <c r="A4274" s="2" t="s">
        <v>8581</v>
      </c>
      <c r="B4274" s="2" t="s">
        <v>8581</v>
      </c>
      <c r="C4274" s="2" t="s">
        <v>111</v>
      </c>
      <c r="D4274" s="2" t="s">
        <v>18</v>
      </c>
      <c r="E4274" s="5">
        <v>-28956</v>
      </c>
      <c r="F4274" s="3" t="s">
        <v>190</v>
      </c>
      <c r="G4274" s="3" t="s">
        <v>62</v>
      </c>
      <c r="H4274" s="2" t="s">
        <v>21</v>
      </c>
      <c r="I4274" s="2" t="s">
        <v>8584</v>
      </c>
      <c r="J4274" s="3" t="str">
        <f>HYPERLINK("https://www.boe.es/gazeta/dias/1820/09/19/pdfs/GGB-1820-83.pdf#page=3","Abrir facsímil")</f>
        <v>Abrir facsímil</v>
      </c>
      <c r="K4274" s="3" t="s">
        <v>23</v>
      </c>
    </row>
    <row r="4275" spans="1:11" ht="42" customHeight="1">
      <c r="A4275" s="2" t="s">
        <v>8581</v>
      </c>
      <c r="B4275" s="2" t="s">
        <v>8581</v>
      </c>
      <c r="C4275" s="2" t="s">
        <v>17</v>
      </c>
      <c r="D4275" s="2" t="s">
        <v>18</v>
      </c>
      <c r="E4275" s="5">
        <v>-28953</v>
      </c>
      <c r="F4275" s="3" t="s">
        <v>367</v>
      </c>
      <c r="G4275" s="3" t="s">
        <v>62</v>
      </c>
      <c r="H4275" s="2" t="s">
        <v>21</v>
      </c>
      <c r="I4275" s="2" t="s">
        <v>8585</v>
      </c>
      <c r="J4275" s="3" t="str">
        <f>HYPERLINK("https://www.boe.es/gazeta/dias/1820/09/22/pdfs/GGB-1820-86.pdf#page=3","Abrir facsímil")</f>
        <v>Abrir facsímil</v>
      </c>
      <c r="K4275" s="3" t="s">
        <v>23</v>
      </c>
    </row>
    <row r="4276" spans="1:11" ht="42" customHeight="1">
      <c r="A4276" s="2" t="s">
        <v>8581</v>
      </c>
      <c r="B4276" s="2" t="s">
        <v>8581</v>
      </c>
      <c r="C4276" s="2" t="s">
        <v>17</v>
      </c>
      <c r="D4276" s="2" t="s">
        <v>18</v>
      </c>
      <c r="E4276" s="5">
        <v>-28944</v>
      </c>
      <c r="F4276" s="3" t="s">
        <v>990</v>
      </c>
      <c r="G4276" s="3" t="s">
        <v>1174</v>
      </c>
      <c r="H4276" s="2" t="s">
        <v>21</v>
      </c>
      <c r="I4276" s="2" t="s">
        <v>8586</v>
      </c>
      <c r="J4276" s="3" t="str">
        <f>HYPERLINK("https://www.boe.es/gazeta/dias/1820/10/01/pdfs/GGB-1820-95.pdf#page=4","Abrir facsímil")</f>
        <v>Abrir facsímil</v>
      </c>
      <c r="K4276" s="3" t="s">
        <v>23</v>
      </c>
    </row>
    <row r="4277" spans="1:11" ht="42" customHeight="1">
      <c r="A4277" s="2" t="s">
        <v>8587</v>
      </c>
      <c r="B4277" s="2" t="s">
        <v>8588</v>
      </c>
      <c r="C4277" s="2" t="s">
        <v>35</v>
      </c>
      <c r="D4277" s="2" t="s">
        <v>36</v>
      </c>
      <c r="E4277" s="5">
        <v>-28976</v>
      </c>
      <c r="F4277" s="3" t="s">
        <v>689</v>
      </c>
      <c r="G4277" s="3" t="s">
        <v>62</v>
      </c>
      <c r="H4277" s="2" t="s">
        <v>21</v>
      </c>
      <c r="I4277" s="2" t="s">
        <v>8589</v>
      </c>
      <c r="J4277" s="3" t="str">
        <f>HYPERLINK("https://www.boe.es/gazeta/dias/1820/08/30/pdfs/GGB-1820-63.pdf#page=3","Abrir facsímil")</f>
        <v>Abrir facsímil</v>
      </c>
      <c r="K4277" s="3" t="s">
        <v>23</v>
      </c>
    </row>
    <row r="4278" spans="1:11" ht="42" customHeight="1">
      <c r="A4278" s="2" t="s">
        <v>8590</v>
      </c>
      <c r="B4278" s="2" t="s">
        <v>8591</v>
      </c>
      <c r="C4278" s="2" t="s">
        <v>74</v>
      </c>
      <c r="D4278" s="2" t="s">
        <v>18</v>
      </c>
      <c r="E4278" s="5">
        <v>-28951</v>
      </c>
      <c r="F4278" s="3" t="s">
        <v>622</v>
      </c>
      <c r="G4278" s="3" t="s">
        <v>62</v>
      </c>
      <c r="H4278" s="2" t="s">
        <v>21</v>
      </c>
      <c r="I4278" s="2" t="s">
        <v>8592</v>
      </c>
      <c r="J4278" s="3" t="str">
        <f>HYPERLINK("https://www.boe.es/gazeta/dias/1820/09/24/pdfs/GGB-1820-88.pdf#page=3","Abrir facsímil")</f>
        <v>Abrir facsímil</v>
      </c>
      <c r="K4278" s="3" t="s">
        <v>23</v>
      </c>
    </row>
    <row r="4279" spans="1:11" ht="42" customHeight="1">
      <c r="A4279" s="2" t="s">
        <v>8593</v>
      </c>
      <c r="B4279" s="2" t="s">
        <v>8594</v>
      </c>
      <c r="C4279" s="2" t="s">
        <v>35</v>
      </c>
      <c r="D4279" s="2" t="s">
        <v>36</v>
      </c>
      <c r="E4279" s="5">
        <v>-28945</v>
      </c>
      <c r="F4279" s="3" t="s">
        <v>99</v>
      </c>
      <c r="G4279" s="3" t="s">
        <v>20</v>
      </c>
      <c r="H4279" s="2" t="s">
        <v>21</v>
      </c>
      <c r="I4279" s="2" t="s">
        <v>8595</v>
      </c>
      <c r="J4279" s="3" t="str">
        <f>HYPERLINK("https://www.boe.es/gazeta/dias/1820/09/30/pdfs/GGB-1820-94.pdf#page=4","Abrir facsímil")</f>
        <v>Abrir facsímil</v>
      </c>
      <c r="K4279" s="3" t="s">
        <v>23</v>
      </c>
    </row>
    <row r="4280" spans="1:11" ht="42" customHeight="1">
      <c r="A4280" s="2" t="s">
        <v>8596</v>
      </c>
      <c r="B4280" s="2" t="s">
        <v>8596</v>
      </c>
      <c r="C4280" s="2" t="s">
        <v>74</v>
      </c>
      <c r="D4280" s="2" t="s">
        <v>18</v>
      </c>
      <c r="E4280" s="5">
        <v>-28921</v>
      </c>
      <c r="F4280" s="3" t="s">
        <v>738</v>
      </c>
      <c r="G4280" s="3" t="s">
        <v>3686</v>
      </c>
      <c r="H4280" s="2" t="s">
        <v>21</v>
      </c>
      <c r="I4280" s="2" t="s">
        <v>8597</v>
      </c>
      <c r="J4280" s="3" t="str">
        <f>HYPERLINK("https://www.boe.es/gazeta/dias/1820/10/24/pdfs/GGB-1820-118.pdf#page=3","Abrir facsímil")</f>
        <v>Abrir facsímil</v>
      </c>
      <c r="K4280" s="3" t="s">
        <v>23</v>
      </c>
    </row>
    <row r="4281" spans="1:11" ht="42" customHeight="1">
      <c r="A4281" s="2" t="s">
        <v>8598</v>
      </c>
      <c r="B4281" s="2" t="s">
        <v>8598</v>
      </c>
      <c r="C4281" s="2" t="s">
        <v>35</v>
      </c>
      <c r="D4281" s="2" t="s">
        <v>36</v>
      </c>
      <c r="E4281" s="5">
        <v>-28937</v>
      </c>
      <c r="F4281" s="3" t="s">
        <v>4254</v>
      </c>
      <c r="G4281" s="3" t="s">
        <v>62</v>
      </c>
      <c r="H4281" s="2" t="s">
        <v>21</v>
      </c>
      <c r="I4281" s="2" t="s">
        <v>8599</v>
      </c>
      <c r="J4281" s="3" t="str">
        <f>HYPERLINK("https://www.boe.es/gazeta/dias/1820/10/08/pdfs/GGB-1820-102.pdf#page=3","Abrir facsímil")</f>
        <v>Abrir facsímil</v>
      </c>
      <c r="K4281" s="3" t="s">
        <v>23</v>
      </c>
    </row>
    <row r="4282" spans="1:11" ht="42" customHeight="1">
      <c r="A4282" s="2" t="s">
        <v>8600</v>
      </c>
      <c r="B4282" s="2" t="s">
        <v>8601</v>
      </c>
      <c r="C4282" s="2" t="s">
        <v>17</v>
      </c>
      <c r="D4282" s="2" t="s">
        <v>18</v>
      </c>
      <c r="E4282" s="5">
        <v>-28893</v>
      </c>
      <c r="F4282" s="3" t="s">
        <v>546</v>
      </c>
      <c r="G4282" s="3" t="s">
        <v>20</v>
      </c>
      <c r="H4282" s="2" t="s">
        <v>21</v>
      </c>
      <c r="I4282" s="2" t="s">
        <v>8602</v>
      </c>
      <c r="J4282" s="3" t="str">
        <f>HYPERLINK("https://www.boe.es/gazeta/dias/1820/11/21/pdfs/GGB-1820-148.pdf#page=4","Abrir facsímil")</f>
        <v>Abrir facsímil</v>
      </c>
      <c r="K4282" s="3" t="s">
        <v>23</v>
      </c>
    </row>
    <row r="4283" spans="1:11" ht="42" customHeight="1">
      <c r="A4283" s="2" t="s">
        <v>8603</v>
      </c>
      <c r="B4283" s="2" t="s">
        <v>8604</v>
      </c>
      <c r="C4283" s="2" t="s">
        <v>17</v>
      </c>
      <c r="D4283" s="2" t="s">
        <v>18</v>
      </c>
      <c r="E4283" s="5">
        <v>-29080</v>
      </c>
      <c r="F4283" s="3" t="s">
        <v>1031</v>
      </c>
      <c r="G4283" s="3" t="s">
        <v>38</v>
      </c>
      <c r="H4283" s="2" t="s">
        <v>30</v>
      </c>
      <c r="I4283" s="2" t="s">
        <v>8605</v>
      </c>
      <c r="J4283" s="3" t="str">
        <f>HYPERLINK("https://www.boe.es/gazeta/dias/1820/05/18/pdfs/GMD-1820-82.pdf#page=6","Abrir facsímil")</f>
        <v>Abrir facsímil</v>
      </c>
      <c r="K4283" s="3" t="s">
        <v>32</v>
      </c>
    </row>
    <row r="4284" spans="1:11" ht="42" customHeight="1">
      <c r="A4284" s="2" t="s">
        <v>8606</v>
      </c>
      <c r="B4284" s="2" t="s">
        <v>8607</v>
      </c>
      <c r="C4284" s="2" t="s">
        <v>35</v>
      </c>
      <c r="D4284" s="2" t="s">
        <v>36</v>
      </c>
      <c r="E4284" s="5">
        <v>-28996</v>
      </c>
      <c r="F4284" s="3" t="s">
        <v>636</v>
      </c>
      <c r="G4284" s="3" t="s">
        <v>20</v>
      </c>
      <c r="H4284" s="2" t="s">
        <v>21</v>
      </c>
      <c r="I4284" s="2" t="s">
        <v>8608</v>
      </c>
      <c r="J4284" s="3" t="str">
        <f>HYPERLINK("https://www.boe.es/gazeta/dias/1820/08/10/pdfs/GGB-1820-43.pdf#page=4","Abrir facsímil")</f>
        <v>Abrir facsímil</v>
      </c>
      <c r="K4284" s="3" t="s">
        <v>23</v>
      </c>
    </row>
    <row r="4285" spans="1:11" ht="42" customHeight="1">
      <c r="A4285" s="2" t="s">
        <v>8609</v>
      </c>
      <c r="B4285" s="2" t="s">
        <v>8610</v>
      </c>
      <c r="C4285" s="2" t="s">
        <v>26</v>
      </c>
      <c r="D4285" s="2" t="s">
        <v>27</v>
      </c>
      <c r="E4285" s="5">
        <v>-29218</v>
      </c>
      <c r="F4285" s="3" t="s">
        <v>834</v>
      </c>
      <c r="G4285" s="3" t="s">
        <v>286</v>
      </c>
      <c r="H4285" s="2" t="s">
        <v>21</v>
      </c>
      <c r="I4285" s="2" t="s">
        <v>8611</v>
      </c>
      <c r="J4285" s="3" t="str">
        <f>HYPERLINK("https://www.boe.es/gazeta/dias/1820/01/01/pdfs/GMD-1820-1.pdf#page=8","Abrir facsímil")</f>
        <v>Abrir facsímil</v>
      </c>
      <c r="K4285" s="3" t="s">
        <v>23</v>
      </c>
    </row>
    <row r="4286" spans="1:11" ht="42" customHeight="1">
      <c r="A4286" s="2" t="s">
        <v>8612</v>
      </c>
      <c r="B4286" s="2" t="s">
        <v>8613</v>
      </c>
      <c r="C4286" s="2" t="s">
        <v>35</v>
      </c>
      <c r="D4286" s="2" t="s">
        <v>36</v>
      </c>
      <c r="E4286" s="5">
        <v>-28999</v>
      </c>
      <c r="F4286" s="3" t="s">
        <v>342</v>
      </c>
      <c r="G4286" s="3" t="s">
        <v>20</v>
      </c>
      <c r="H4286" s="2" t="s">
        <v>21</v>
      </c>
      <c r="I4286" s="2" t="s">
        <v>8614</v>
      </c>
      <c r="J4286" s="3" t="str">
        <f>HYPERLINK("https://www.boe.es/gazeta/dias/1820/08/07/pdfs/GGB-1820-40.pdf#page=4","Abrir facsímil")</f>
        <v>Abrir facsímil</v>
      </c>
      <c r="K4286" s="3" t="s">
        <v>23</v>
      </c>
    </row>
    <row r="4287" spans="1:11" ht="42" customHeight="1">
      <c r="A4287" s="2" t="s">
        <v>8615</v>
      </c>
      <c r="B4287" s="2" t="s">
        <v>8616</v>
      </c>
      <c r="C4287" s="2" t="s">
        <v>293</v>
      </c>
      <c r="D4287" s="2" t="s">
        <v>18</v>
      </c>
      <c r="E4287" s="5">
        <v>-28854</v>
      </c>
      <c r="F4287" s="3" t="s">
        <v>147</v>
      </c>
      <c r="G4287" s="3" t="s">
        <v>62</v>
      </c>
      <c r="H4287" s="2" t="s">
        <v>21</v>
      </c>
      <c r="I4287" s="2" t="s">
        <v>8617</v>
      </c>
      <c r="J4287" s="3" t="str">
        <f>HYPERLINK("https://www.boe.es/gazeta/dias/1820/12/30/pdfs/GGB-1820-187.pdf#page=3","Abrir facsímil")</f>
        <v>Abrir facsímil</v>
      </c>
      <c r="K4287" s="3" t="s">
        <v>23</v>
      </c>
    </row>
    <row r="4288" spans="1:11" ht="42" customHeight="1">
      <c r="A4288" s="2" t="s">
        <v>8618</v>
      </c>
      <c r="B4288" s="2" t="s">
        <v>8619</v>
      </c>
      <c r="C4288" s="2" t="s">
        <v>47</v>
      </c>
      <c r="D4288" s="2" t="s">
        <v>18</v>
      </c>
      <c r="E4288" s="5">
        <v>-28895</v>
      </c>
      <c r="F4288" s="3" t="s">
        <v>347</v>
      </c>
      <c r="G4288" s="3" t="s">
        <v>20</v>
      </c>
      <c r="H4288" s="2" t="s">
        <v>21</v>
      </c>
      <c r="I4288" s="2" t="s">
        <v>8620</v>
      </c>
      <c r="J4288" s="3" t="str">
        <f>HYPERLINK("https://www.boe.es/gazeta/dias/1820/11/19/pdfs/GGB-1820-146.pdf#page=4","Abrir facsímil")</f>
        <v>Abrir facsímil</v>
      </c>
      <c r="K4288" s="3" t="s">
        <v>23</v>
      </c>
    </row>
    <row r="4289" spans="1:11" ht="42" customHeight="1">
      <c r="A4289" s="2" t="s">
        <v>8621</v>
      </c>
      <c r="B4289" s="2" t="s">
        <v>8621</v>
      </c>
      <c r="C4289" s="2" t="s">
        <v>107</v>
      </c>
      <c r="D4289" s="2" t="s">
        <v>18</v>
      </c>
      <c r="E4289" s="5">
        <v>-28959</v>
      </c>
      <c r="F4289" s="3" t="s">
        <v>37</v>
      </c>
      <c r="G4289" s="3" t="s">
        <v>256</v>
      </c>
      <c r="H4289" s="2" t="s">
        <v>21</v>
      </c>
      <c r="I4289" s="2" t="s">
        <v>8622</v>
      </c>
      <c r="J4289" s="3" t="str">
        <f>HYPERLINK("https://www.boe.es/gazeta/dias/1820/09/16/pdfs/GGB-1820-80.pdf#page=5","Abrir facsímil")</f>
        <v>Abrir facsímil</v>
      </c>
      <c r="K4289" s="3" t="s">
        <v>23</v>
      </c>
    </row>
    <row r="4290" spans="1:11" ht="42" customHeight="1">
      <c r="A4290" s="2" t="s">
        <v>8621</v>
      </c>
      <c r="B4290" s="2" t="s">
        <v>8621</v>
      </c>
      <c r="C4290" s="2" t="s">
        <v>17</v>
      </c>
      <c r="D4290" s="2" t="s">
        <v>18</v>
      </c>
      <c r="E4290" s="5">
        <v>-28941</v>
      </c>
      <c r="F4290" s="3" t="s">
        <v>1727</v>
      </c>
      <c r="G4290" s="3" t="s">
        <v>62</v>
      </c>
      <c r="H4290" s="2" t="s">
        <v>21</v>
      </c>
      <c r="I4290" s="2" t="s">
        <v>8623</v>
      </c>
      <c r="J4290" s="3" t="str">
        <f>HYPERLINK("https://www.boe.es/gazeta/dias/1820/10/04/pdfs/GGB-1820-98.pdf#page=3","Abrir facsímil")</f>
        <v>Abrir facsímil</v>
      </c>
      <c r="K4290" s="3" t="s">
        <v>23</v>
      </c>
    </row>
    <row r="4291" spans="1:11" ht="42" customHeight="1">
      <c r="A4291" s="2" t="s">
        <v>8624</v>
      </c>
      <c r="B4291" s="2" t="s">
        <v>8624</v>
      </c>
      <c r="C4291" s="2" t="s">
        <v>17</v>
      </c>
      <c r="D4291" s="2" t="s">
        <v>18</v>
      </c>
      <c r="E4291" s="5">
        <v>-28913</v>
      </c>
      <c r="F4291" s="3" t="s">
        <v>230</v>
      </c>
      <c r="G4291" s="3" t="s">
        <v>62</v>
      </c>
      <c r="H4291" s="2" t="s">
        <v>21</v>
      </c>
      <c r="I4291" s="2" t="s">
        <v>8625</v>
      </c>
      <c r="J4291" s="3" t="str">
        <f>HYPERLINK("https://www.boe.es/gazeta/dias/1820/11/01/pdfs/GGB-1820-126.pdf#page=3","Abrir facsímil")</f>
        <v>Abrir facsímil</v>
      </c>
      <c r="K4291" s="3" t="s">
        <v>23</v>
      </c>
    </row>
    <row r="4292" spans="1:11" ht="42" customHeight="1">
      <c r="A4292" s="2" t="s">
        <v>8626</v>
      </c>
      <c r="B4292" s="2" t="s">
        <v>8627</v>
      </c>
      <c r="C4292" s="2" t="s">
        <v>26</v>
      </c>
      <c r="D4292" s="2" t="s">
        <v>27</v>
      </c>
      <c r="E4292" s="5">
        <v>-29066</v>
      </c>
      <c r="F4292" s="3" t="s">
        <v>1966</v>
      </c>
      <c r="G4292" s="3" t="s">
        <v>1967</v>
      </c>
      <c r="H4292" s="2" t="s">
        <v>21</v>
      </c>
      <c r="I4292" s="2" t="s">
        <v>8628</v>
      </c>
      <c r="J4292" s="3" t="str">
        <f>HYPERLINK("https://www.boe.es/gazeta/dias/1820/06/01/pdfs/GMD-1820-88.pdf#page=8","Abrir facsímil")</f>
        <v>Abrir facsímil</v>
      </c>
      <c r="K4292" s="3" t="s">
        <v>23</v>
      </c>
    </row>
    <row r="4293" spans="1:11" ht="42" customHeight="1">
      <c r="A4293" s="2" t="s">
        <v>8629</v>
      </c>
      <c r="B4293" s="2" t="s">
        <v>8629</v>
      </c>
      <c r="C4293" s="2" t="s">
        <v>35</v>
      </c>
      <c r="D4293" s="2" t="s">
        <v>36</v>
      </c>
      <c r="E4293" s="5">
        <v>-29038</v>
      </c>
      <c r="F4293" s="3" t="s">
        <v>957</v>
      </c>
      <c r="G4293" s="3" t="s">
        <v>256</v>
      </c>
      <c r="H4293" s="2" t="s">
        <v>21</v>
      </c>
      <c r="I4293" s="2" t="s">
        <v>8630</v>
      </c>
      <c r="J4293" s="3" t="str">
        <f>HYPERLINK("https://www.boe.es/gazeta/dias/1820/06/29/pdfs/GMD-1820-100.pdf#page=5","Abrir facsímil")</f>
        <v>Abrir facsímil</v>
      </c>
      <c r="K4293" s="3" t="s">
        <v>23</v>
      </c>
    </row>
    <row r="4294" spans="1:11" ht="42" customHeight="1">
      <c r="A4294" s="2" t="s">
        <v>8629</v>
      </c>
      <c r="B4294" s="2" t="s">
        <v>8629</v>
      </c>
      <c r="C4294" s="2" t="s">
        <v>26</v>
      </c>
      <c r="D4294" s="2" t="s">
        <v>27</v>
      </c>
      <c r="E4294" s="5">
        <v>-29026</v>
      </c>
      <c r="F4294" s="3" t="s">
        <v>1197</v>
      </c>
      <c r="G4294" s="3" t="s">
        <v>62</v>
      </c>
      <c r="H4294" s="2" t="s">
        <v>21</v>
      </c>
      <c r="I4294" s="2" t="s">
        <v>8631</v>
      </c>
      <c r="J4294" s="3" t="str">
        <f>HYPERLINK("https://www.boe.es/gazeta/dias/1820/07/11/pdfs/GGB-1820-13.pdf#page=3","Abrir facsímil")</f>
        <v>Abrir facsímil</v>
      </c>
      <c r="K4294" s="3" t="s">
        <v>23</v>
      </c>
    </row>
    <row r="4295" spans="1:11" ht="42" customHeight="1">
      <c r="A4295" s="2" t="s">
        <v>8629</v>
      </c>
      <c r="B4295" s="2" t="s">
        <v>8629</v>
      </c>
      <c r="C4295" s="2" t="s">
        <v>35</v>
      </c>
      <c r="D4295" s="2" t="s">
        <v>36</v>
      </c>
      <c r="E4295" s="5">
        <v>-29025</v>
      </c>
      <c r="F4295" s="3" t="s">
        <v>902</v>
      </c>
      <c r="G4295" s="3" t="s">
        <v>62</v>
      </c>
      <c r="H4295" s="2" t="s">
        <v>21</v>
      </c>
      <c r="I4295" s="2" t="s">
        <v>8632</v>
      </c>
      <c r="J4295" s="3" t="str">
        <f>HYPERLINK("https://www.boe.es/gazeta/dias/1820/07/12/pdfs/GGB-1820-14.pdf#page=3","Abrir facsímil")</f>
        <v>Abrir facsímil</v>
      </c>
      <c r="K4295" s="3" t="s">
        <v>23</v>
      </c>
    </row>
    <row r="4296" spans="1:11" ht="42" customHeight="1">
      <c r="A4296" s="2" t="s">
        <v>8629</v>
      </c>
      <c r="B4296" s="2" t="s">
        <v>8629</v>
      </c>
      <c r="C4296" s="2" t="s">
        <v>111</v>
      </c>
      <c r="D4296" s="2" t="s">
        <v>18</v>
      </c>
      <c r="E4296" s="5">
        <v>-29024</v>
      </c>
      <c r="F4296" s="3" t="s">
        <v>1916</v>
      </c>
      <c r="G4296" s="3" t="s">
        <v>43</v>
      </c>
      <c r="H4296" s="2" t="s">
        <v>21</v>
      </c>
      <c r="I4296" s="2" t="s">
        <v>8633</v>
      </c>
      <c r="J4296" s="3" t="str">
        <f>HYPERLINK("https://www.boe.es/gazeta/dias/1820/07/13/pdfs/GGB-1820-15.pdf#page=2","Abrir facsímil")</f>
        <v>Abrir facsímil</v>
      </c>
      <c r="K4296" s="3" t="s">
        <v>23</v>
      </c>
    </row>
    <row r="4297" spans="1:11" ht="42" customHeight="1">
      <c r="A4297" s="2" t="s">
        <v>8629</v>
      </c>
      <c r="B4297" s="2" t="s">
        <v>8629</v>
      </c>
      <c r="C4297" s="2" t="s">
        <v>17</v>
      </c>
      <c r="D4297" s="2" t="s">
        <v>18</v>
      </c>
      <c r="E4297" s="5">
        <v>-29024</v>
      </c>
      <c r="F4297" s="3" t="s">
        <v>1916</v>
      </c>
      <c r="G4297" s="3" t="s">
        <v>62</v>
      </c>
      <c r="H4297" s="2" t="s">
        <v>21</v>
      </c>
      <c r="I4297" s="2" t="s">
        <v>8634</v>
      </c>
      <c r="J4297" s="3" t="str">
        <f>HYPERLINK("https://www.boe.es/gazeta/dias/1820/07/13/pdfs/GGB-1820-15.pdf#page=3","Abrir facsímil")</f>
        <v>Abrir facsímil</v>
      </c>
      <c r="K4297" s="3" t="s">
        <v>23</v>
      </c>
    </row>
    <row r="4298" spans="1:11" ht="42" customHeight="1">
      <c r="A4298" s="2" t="s">
        <v>8629</v>
      </c>
      <c r="B4298" s="2" t="s">
        <v>8629</v>
      </c>
      <c r="C4298" s="2" t="s">
        <v>17</v>
      </c>
      <c r="D4298" s="2" t="s">
        <v>18</v>
      </c>
      <c r="E4298" s="5">
        <v>-29021</v>
      </c>
      <c r="F4298" s="3" t="s">
        <v>377</v>
      </c>
      <c r="G4298" s="3" t="s">
        <v>62</v>
      </c>
      <c r="H4298" s="2" t="s">
        <v>21</v>
      </c>
      <c r="I4298" s="2" t="s">
        <v>8635</v>
      </c>
      <c r="J4298" s="3" t="str">
        <f>HYPERLINK("https://www.boe.es/gazeta/dias/1820/07/16/pdfs/GGB-1820-18.pdf#page=3","Abrir facsímil")</f>
        <v>Abrir facsímil</v>
      </c>
      <c r="K4298" s="3" t="s">
        <v>23</v>
      </c>
    </row>
    <row r="4299" spans="1:11" ht="42" customHeight="1">
      <c r="A4299" s="2" t="s">
        <v>8629</v>
      </c>
      <c r="B4299" s="2" t="s">
        <v>8629</v>
      </c>
      <c r="C4299" s="2" t="s">
        <v>74</v>
      </c>
      <c r="D4299" s="2" t="s">
        <v>18</v>
      </c>
      <c r="E4299" s="5">
        <v>-29018</v>
      </c>
      <c r="F4299" s="3" t="s">
        <v>601</v>
      </c>
      <c r="G4299" s="3" t="s">
        <v>62</v>
      </c>
      <c r="H4299" s="2" t="s">
        <v>21</v>
      </c>
      <c r="I4299" s="2" t="s">
        <v>8636</v>
      </c>
      <c r="J4299" s="3" t="str">
        <f>HYPERLINK("https://www.boe.es/gazeta/dias/1820/07/19/pdfs/GGB-1820-21.pdf#page=3","Abrir facsímil")</f>
        <v>Abrir facsímil</v>
      </c>
      <c r="K4299" s="3" t="s">
        <v>23</v>
      </c>
    </row>
    <row r="4300" spans="1:11" ht="42" customHeight="1">
      <c r="A4300" s="2" t="s">
        <v>8629</v>
      </c>
      <c r="B4300" s="2" t="s">
        <v>8629</v>
      </c>
      <c r="C4300" s="2" t="s">
        <v>74</v>
      </c>
      <c r="D4300" s="2" t="s">
        <v>18</v>
      </c>
      <c r="E4300" s="5">
        <v>-29017</v>
      </c>
      <c r="F4300" s="3" t="s">
        <v>274</v>
      </c>
      <c r="G4300" s="3" t="s">
        <v>43</v>
      </c>
      <c r="H4300" s="2" t="s">
        <v>21</v>
      </c>
      <c r="I4300" s="2" t="s">
        <v>8637</v>
      </c>
      <c r="J4300" s="3" t="str">
        <f>HYPERLINK("https://www.boe.es/gazeta/dias/1820/07/20/pdfs/GGB-1820-22.pdf#page=2","Abrir facsímil")</f>
        <v>Abrir facsímil</v>
      </c>
      <c r="K4300" s="3" t="s">
        <v>23</v>
      </c>
    </row>
    <row r="4301" spans="1:11" ht="42" customHeight="1">
      <c r="A4301" s="2" t="s">
        <v>8629</v>
      </c>
      <c r="B4301" s="2" t="s">
        <v>8629</v>
      </c>
      <c r="C4301" s="2" t="s">
        <v>26</v>
      </c>
      <c r="D4301" s="2" t="s">
        <v>27</v>
      </c>
      <c r="E4301" s="5">
        <v>-29017</v>
      </c>
      <c r="F4301" s="3" t="s">
        <v>274</v>
      </c>
      <c r="G4301" s="3" t="s">
        <v>62</v>
      </c>
      <c r="H4301" s="2" t="s">
        <v>21</v>
      </c>
      <c r="I4301" s="2" t="s">
        <v>8638</v>
      </c>
      <c r="J4301" s="3" t="str">
        <f>HYPERLINK("https://www.boe.es/gazeta/dias/1820/07/20/pdfs/GGB-1820-22.pdf#page=3","Abrir facsímil")</f>
        <v>Abrir facsímil</v>
      </c>
      <c r="K4301" s="3" t="s">
        <v>23</v>
      </c>
    </row>
    <row r="4302" spans="1:11" ht="42" customHeight="1">
      <c r="A4302" s="2" t="s">
        <v>8629</v>
      </c>
      <c r="B4302" s="2" t="s">
        <v>8629</v>
      </c>
      <c r="C4302" s="2" t="s">
        <v>74</v>
      </c>
      <c r="D4302" s="2" t="s">
        <v>18</v>
      </c>
      <c r="E4302" s="5">
        <v>-29016</v>
      </c>
      <c r="F4302" s="3" t="s">
        <v>657</v>
      </c>
      <c r="G4302" s="3" t="s">
        <v>43</v>
      </c>
      <c r="H4302" s="2" t="s">
        <v>21</v>
      </c>
      <c r="I4302" s="2" t="s">
        <v>8639</v>
      </c>
      <c r="J4302" s="3" t="str">
        <f>HYPERLINK("https://www.boe.es/gazeta/dias/1820/07/21/pdfs/GGB-1820-23.pdf#page=2","Abrir facsímil")</f>
        <v>Abrir facsímil</v>
      </c>
      <c r="K4302" s="3" t="s">
        <v>23</v>
      </c>
    </row>
    <row r="4303" spans="1:11" ht="42" customHeight="1">
      <c r="A4303" s="2" t="s">
        <v>8629</v>
      </c>
      <c r="B4303" s="2" t="s">
        <v>8629</v>
      </c>
      <c r="C4303" s="2" t="s">
        <v>26</v>
      </c>
      <c r="D4303" s="2" t="s">
        <v>27</v>
      </c>
      <c r="E4303" s="5">
        <v>-29015</v>
      </c>
      <c r="F4303" s="3" t="s">
        <v>359</v>
      </c>
      <c r="G4303" s="3" t="s">
        <v>43</v>
      </c>
      <c r="H4303" s="2" t="s">
        <v>21</v>
      </c>
      <c r="I4303" s="2" t="s">
        <v>8640</v>
      </c>
      <c r="J4303" s="3" t="str">
        <f>HYPERLINK("https://www.boe.es/gazeta/dias/1820/07/22/pdfs/GGB-1820-24.pdf#page=2","Abrir facsímil")</f>
        <v>Abrir facsímil</v>
      </c>
      <c r="K4303" s="3" t="s">
        <v>23</v>
      </c>
    </row>
    <row r="4304" spans="1:11" ht="42" customHeight="1">
      <c r="A4304" s="2" t="s">
        <v>8629</v>
      </c>
      <c r="B4304" s="2" t="s">
        <v>8629</v>
      </c>
      <c r="C4304" s="2" t="s">
        <v>35</v>
      </c>
      <c r="D4304" s="2" t="s">
        <v>36</v>
      </c>
      <c r="E4304" s="5">
        <v>-29010</v>
      </c>
      <c r="F4304" s="3" t="s">
        <v>664</v>
      </c>
      <c r="G4304" s="3" t="s">
        <v>773</v>
      </c>
      <c r="H4304" s="2" t="s">
        <v>21</v>
      </c>
      <c r="I4304" s="2" t="s">
        <v>8641</v>
      </c>
      <c r="J4304" s="3" t="str">
        <f>HYPERLINK("https://www.boe.es/gazeta/dias/1820/07/27/pdfs/GGB-1820-29.pdf#page=4","Abrir facsímil")</f>
        <v>Abrir facsímil</v>
      </c>
      <c r="K4304" s="3" t="s">
        <v>23</v>
      </c>
    </row>
    <row r="4305" spans="1:11" ht="42" customHeight="1">
      <c r="A4305" s="2" t="s">
        <v>8629</v>
      </c>
      <c r="B4305" s="2" t="s">
        <v>8629</v>
      </c>
      <c r="C4305" s="2" t="s">
        <v>35</v>
      </c>
      <c r="D4305" s="2" t="s">
        <v>36</v>
      </c>
      <c r="E4305" s="5">
        <v>-29010</v>
      </c>
      <c r="F4305" s="3" t="s">
        <v>664</v>
      </c>
      <c r="G4305" s="3" t="s">
        <v>62</v>
      </c>
      <c r="H4305" s="2" t="s">
        <v>21</v>
      </c>
      <c r="I4305" s="2" t="s">
        <v>8642</v>
      </c>
      <c r="J4305" s="3" t="str">
        <f>HYPERLINK("https://www.boe.es/gazeta/dias/1820/07/27/pdfs/GGB-1820-29.pdf#page=3","Abrir facsímil")</f>
        <v>Abrir facsímil</v>
      </c>
      <c r="K4305" s="3" t="s">
        <v>23</v>
      </c>
    </row>
    <row r="4306" spans="1:11" ht="42" customHeight="1">
      <c r="A4306" s="2" t="s">
        <v>8629</v>
      </c>
      <c r="B4306" s="2" t="s">
        <v>8629</v>
      </c>
      <c r="C4306" s="2" t="s">
        <v>74</v>
      </c>
      <c r="D4306" s="2" t="s">
        <v>18</v>
      </c>
      <c r="E4306" s="5">
        <v>-29009</v>
      </c>
      <c r="F4306" s="3" t="s">
        <v>605</v>
      </c>
      <c r="G4306" s="3" t="s">
        <v>62</v>
      </c>
      <c r="H4306" s="2" t="s">
        <v>21</v>
      </c>
      <c r="I4306" s="2" t="s">
        <v>8643</v>
      </c>
      <c r="J4306" s="3" t="str">
        <f>HYPERLINK("https://www.boe.es/gazeta/dias/1820/07/28/pdfs/GGB-1820-30.pdf#page=3","Abrir facsímil")</f>
        <v>Abrir facsímil</v>
      </c>
      <c r="K4306" s="3" t="s">
        <v>23</v>
      </c>
    </row>
    <row r="4307" spans="1:11" ht="42" customHeight="1">
      <c r="A4307" s="2" t="s">
        <v>8629</v>
      </c>
      <c r="B4307" s="2" t="s">
        <v>8629</v>
      </c>
      <c r="C4307" s="2" t="s">
        <v>35</v>
      </c>
      <c r="D4307" s="2" t="s">
        <v>36</v>
      </c>
      <c r="E4307" s="5">
        <v>-29009</v>
      </c>
      <c r="F4307" s="3" t="s">
        <v>605</v>
      </c>
      <c r="G4307" s="3" t="s">
        <v>20</v>
      </c>
      <c r="H4307" s="2" t="s">
        <v>21</v>
      </c>
      <c r="I4307" s="2" t="s">
        <v>8644</v>
      </c>
      <c r="J4307" s="3" t="str">
        <f>HYPERLINK("https://www.boe.es/gazeta/dias/1820/07/28/pdfs/GGB-1820-30.pdf#page=4","Abrir facsímil")</f>
        <v>Abrir facsímil</v>
      </c>
      <c r="K4307" s="3" t="s">
        <v>23</v>
      </c>
    </row>
    <row r="4308" spans="1:11" ht="42" customHeight="1">
      <c r="A4308" s="2" t="s">
        <v>8629</v>
      </c>
      <c r="B4308" s="2" t="s">
        <v>8629</v>
      </c>
      <c r="C4308" s="2" t="s">
        <v>17</v>
      </c>
      <c r="D4308" s="2" t="s">
        <v>18</v>
      </c>
      <c r="E4308" s="5">
        <v>-29008</v>
      </c>
      <c r="F4308" s="3" t="s">
        <v>2250</v>
      </c>
      <c r="G4308" s="3" t="s">
        <v>62</v>
      </c>
      <c r="H4308" s="2" t="s">
        <v>21</v>
      </c>
      <c r="I4308" s="2" t="s">
        <v>8645</v>
      </c>
      <c r="J4308" s="3" t="str">
        <f>HYPERLINK("https://www.boe.es/gazeta/dias/1820/07/29/pdfs/GGB-1820-31.pdf#page=3","Abrir facsímil")</f>
        <v>Abrir facsímil</v>
      </c>
      <c r="K4308" s="3" t="s">
        <v>23</v>
      </c>
    </row>
    <row r="4309" spans="1:11" ht="42" customHeight="1">
      <c r="A4309" s="2" t="s">
        <v>8629</v>
      </c>
      <c r="B4309" s="2" t="s">
        <v>8629</v>
      </c>
      <c r="C4309" s="2" t="s">
        <v>17</v>
      </c>
      <c r="D4309" s="2" t="s">
        <v>18</v>
      </c>
      <c r="E4309" s="5">
        <v>-29007</v>
      </c>
      <c r="F4309" s="3" t="s">
        <v>251</v>
      </c>
      <c r="G4309" s="3" t="s">
        <v>43</v>
      </c>
      <c r="H4309" s="2" t="s">
        <v>21</v>
      </c>
      <c r="I4309" s="2" t="s">
        <v>8646</v>
      </c>
      <c r="J4309" s="3" t="str">
        <f>HYPERLINK("https://www.boe.es/gazeta/dias/1820/07/30/pdfs/GGB-1820-32.pdf#page=2","Abrir facsímil")</f>
        <v>Abrir facsímil</v>
      </c>
      <c r="K4309" s="3" t="s">
        <v>23</v>
      </c>
    </row>
    <row r="4310" spans="1:11" ht="42" customHeight="1">
      <c r="A4310" s="2" t="s">
        <v>8629</v>
      </c>
      <c r="B4310" s="2" t="s">
        <v>8629</v>
      </c>
      <c r="C4310" s="2" t="s">
        <v>17</v>
      </c>
      <c r="D4310" s="2" t="s">
        <v>18</v>
      </c>
      <c r="E4310" s="5">
        <v>-29006</v>
      </c>
      <c r="F4310" s="3" t="s">
        <v>609</v>
      </c>
      <c r="G4310" s="3" t="s">
        <v>43</v>
      </c>
      <c r="H4310" s="2" t="s">
        <v>21</v>
      </c>
      <c r="I4310" s="2" t="s">
        <v>8647</v>
      </c>
      <c r="J4310" s="3" t="str">
        <f>HYPERLINK("https://www.boe.es/gazeta/dias/1820/07/31/pdfs/GGB-1820-33.pdf#page=2","Abrir facsímil")</f>
        <v>Abrir facsímil</v>
      </c>
      <c r="K4310" s="3" t="s">
        <v>23</v>
      </c>
    </row>
    <row r="4311" spans="1:11" ht="42" customHeight="1">
      <c r="A4311" s="2" t="s">
        <v>8629</v>
      </c>
      <c r="B4311" s="2" t="s">
        <v>8629</v>
      </c>
      <c r="C4311" s="2" t="s">
        <v>17</v>
      </c>
      <c r="D4311" s="2" t="s">
        <v>18</v>
      </c>
      <c r="E4311" s="5">
        <v>-29006</v>
      </c>
      <c r="F4311" s="3" t="s">
        <v>609</v>
      </c>
      <c r="G4311" s="3" t="s">
        <v>62</v>
      </c>
      <c r="H4311" s="2" t="s">
        <v>21</v>
      </c>
      <c r="I4311" s="2" t="s">
        <v>8648</v>
      </c>
      <c r="J4311" s="3" t="str">
        <f>HYPERLINK("https://www.boe.es/gazeta/dias/1820/07/31/pdfs/GGB-1820-33.pdf#page=3","Abrir facsímil")</f>
        <v>Abrir facsímil</v>
      </c>
      <c r="K4311" s="3" t="s">
        <v>23</v>
      </c>
    </row>
    <row r="4312" spans="1:11" ht="42" customHeight="1">
      <c r="A4312" s="2" t="s">
        <v>8629</v>
      </c>
      <c r="B4312" s="2" t="s">
        <v>8629</v>
      </c>
      <c r="C4312" s="2" t="s">
        <v>17</v>
      </c>
      <c r="D4312" s="2" t="s">
        <v>18</v>
      </c>
      <c r="E4312" s="5">
        <v>-29004</v>
      </c>
      <c r="F4312" s="3" t="s">
        <v>75</v>
      </c>
      <c r="G4312" s="3" t="s">
        <v>76</v>
      </c>
      <c r="H4312" s="2" t="s">
        <v>21</v>
      </c>
      <c r="I4312" s="2" t="s">
        <v>8649</v>
      </c>
      <c r="J4312" s="3" t="str">
        <f>HYPERLINK("https://www.boe.es/gazeta/dias/1820/08/02/pdfs/GGB-1820-35.pdf#page=2","Abrir facsímil")</f>
        <v>Abrir facsímil</v>
      </c>
      <c r="K4312" s="3" t="s">
        <v>23</v>
      </c>
    </row>
    <row r="4313" spans="1:11" ht="42" customHeight="1">
      <c r="A4313" s="2" t="s">
        <v>8629</v>
      </c>
      <c r="B4313" s="2" t="s">
        <v>8629</v>
      </c>
      <c r="C4313" s="2" t="s">
        <v>17</v>
      </c>
      <c r="D4313" s="2" t="s">
        <v>18</v>
      </c>
      <c r="E4313" s="5">
        <v>-29004</v>
      </c>
      <c r="F4313" s="3" t="s">
        <v>75</v>
      </c>
      <c r="G4313" s="3" t="s">
        <v>62</v>
      </c>
      <c r="H4313" s="2" t="s">
        <v>21</v>
      </c>
      <c r="I4313" s="2" t="s">
        <v>8650</v>
      </c>
      <c r="J4313" s="3" t="str">
        <f>HYPERLINK("https://www.boe.es/gazeta/dias/1820/08/02/pdfs/GGB-1820-35.pdf#page=3","Abrir facsímil")</f>
        <v>Abrir facsímil</v>
      </c>
      <c r="K4313" s="3" t="s">
        <v>23</v>
      </c>
    </row>
    <row r="4314" spans="1:11" ht="42" customHeight="1">
      <c r="A4314" s="2" t="s">
        <v>8629</v>
      </c>
      <c r="B4314" s="2" t="s">
        <v>8629</v>
      </c>
      <c r="C4314" s="2" t="s">
        <v>35</v>
      </c>
      <c r="D4314" s="2" t="s">
        <v>36</v>
      </c>
      <c r="E4314" s="5">
        <v>-29003</v>
      </c>
      <c r="F4314" s="3" t="s">
        <v>340</v>
      </c>
      <c r="G4314" s="3" t="s">
        <v>43</v>
      </c>
      <c r="H4314" s="2" t="s">
        <v>21</v>
      </c>
      <c r="I4314" s="2" t="s">
        <v>8651</v>
      </c>
      <c r="J4314" s="3" t="str">
        <f>HYPERLINK("https://www.boe.es/gazeta/dias/1820/08/03/pdfs/GGB-1820-36.pdf#page=2","Abrir facsímil")</f>
        <v>Abrir facsímil</v>
      </c>
      <c r="K4314" s="3" t="s">
        <v>23</v>
      </c>
    </row>
    <row r="4315" spans="1:11" ht="42" customHeight="1">
      <c r="A4315" s="2" t="s">
        <v>8629</v>
      </c>
      <c r="B4315" s="2" t="s">
        <v>8629</v>
      </c>
      <c r="C4315" s="2" t="s">
        <v>74</v>
      </c>
      <c r="D4315" s="2" t="s">
        <v>18</v>
      </c>
      <c r="E4315" s="5">
        <v>-29003</v>
      </c>
      <c r="F4315" s="3" t="s">
        <v>340</v>
      </c>
      <c r="G4315" s="3" t="s">
        <v>62</v>
      </c>
      <c r="H4315" s="2" t="s">
        <v>21</v>
      </c>
      <c r="I4315" s="2" t="s">
        <v>8652</v>
      </c>
      <c r="J4315" s="3" t="str">
        <f>HYPERLINK("https://www.boe.es/gazeta/dias/1820/08/03/pdfs/GGB-1820-36.pdf#page=3","Abrir facsímil")</f>
        <v>Abrir facsímil</v>
      </c>
      <c r="K4315" s="3" t="s">
        <v>23</v>
      </c>
    </row>
    <row r="4316" spans="1:11" ht="42" customHeight="1">
      <c r="A4316" s="2" t="s">
        <v>8629</v>
      </c>
      <c r="B4316" s="2" t="s">
        <v>8629</v>
      </c>
      <c r="C4316" s="2" t="s">
        <v>26</v>
      </c>
      <c r="D4316" s="2" t="s">
        <v>27</v>
      </c>
      <c r="E4316" s="5">
        <v>-29003</v>
      </c>
      <c r="F4316" s="3" t="s">
        <v>340</v>
      </c>
      <c r="G4316" s="3" t="s">
        <v>20</v>
      </c>
      <c r="H4316" s="2" t="s">
        <v>21</v>
      </c>
      <c r="I4316" s="2" t="s">
        <v>8653</v>
      </c>
      <c r="J4316" s="3" t="str">
        <f>HYPERLINK("https://www.boe.es/gazeta/dias/1820/08/03/pdfs/GGB-1820-36.pdf#page=4","Abrir facsímil")</f>
        <v>Abrir facsímil</v>
      </c>
      <c r="K4316" s="3" t="s">
        <v>23</v>
      </c>
    </row>
    <row r="4317" spans="1:11" ht="42" customHeight="1">
      <c r="A4317" s="2" t="s">
        <v>8629</v>
      </c>
      <c r="B4317" s="2" t="s">
        <v>8629</v>
      </c>
      <c r="C4317" s="2" t="s">
        <v>74</v>
      </c>
      <c r="D4317" s="2" t="s">
        <v>18</v>
      </c>
      <c r="E4317" s="5">
        <v>-29002</v>
      </c>
      <c r="F4317" s="3" t="s">
        <v>124</v>
      </c>
      <c r="G4317" s="3" t="s">
        <v>62</v>
      </c>
      <c r="H4317" s="2" t="s">
        <v>21</v>
      </c>
      <c r="I4317" s="2" t="s">
        <v>8654</v>
      </c>
      <c r="J4317" s="3" t="str">
        <f>HYPERLINK("https://www.boe.es/gazeta/dias/1820/08/04/pdfs/GGB-1820-37.pdf#page=3","Abrir facsímil")</f>
        <v>Abrir facsímil</v>
      </c>
      <c r="K4317" s="3" t="s">
        <v>23</v>
      </c>
    </row>
    <row r="4318" spans="1:11" ht="42" customHeight="1">
      <c r="A4318" s="2" t="s">
        <v>8629</v>
      </c>
      <c r="B4318" s="2" t="s">
        <v>8629</v>
      </c>
      <c r="C4318" s="2" t="s">
        <v>35</v>
      </c>
      <c r="D4318" s="2" t="s">
        <v>36</v>
      </c>
      <c r="E4318" s="5">
        <v>-29001</v>
      </c>
      <c r="F4318" s="3" t="s">
        <v>633</v>
      </c>
      <c r="G4318" s="3" t="s">
        <v>62</v>
      </c>
      <c r="H4318" s="2" t="s">
        <v>21</v>
      </c>
      <c r="I4318" s="2" t="s">
        <v>8655</v>
      </c>
      <c r="J4318" s="3" t="str">
        <f>HYPERLINK("https://www.boe.es/gazeta/dias/1820/08/05/pdfs/GGB-1820-38.pdf#page=3","Abrir facsímil")</f>
        <v>Abrir facsímil</v>
      </c>
      <c r="K4318" s="3" t="s">
        <v>23</v>
      </c>
    </row>
    <row r="4319" spans="1:11" ht="42" customHeight="1">
      <c r="A4319" s="2" t="s">
        <v>8629</v>
      </c>
      <c r="B4319" s="2" t="s">
        <v>8629</v>
      </c>
      <c r="C4319" s="2" t="s">
        <v>35</v>
      </c>
      <c r="D4319" s="2" t="s">
        <v>36</v>
      </c>
      <c r="E4319" s="5">
        <v>-29000</v>
      </c>
      <c r="F4319" s="3" t="s">
        <v>670</v>
      </c>
      <c r="G4319" s="3" t="s">
        <v>62</v>
      </c>
      <c r="H4319" s="2" t="s">
        <v>21</v>
      </c>
      <c r="I4319" s="2" t="s">
        <v>8656</v>
      </c>
      <c r="J4319" s="3" t="str">
        <f>HYPERLINK("https://www.boe.es/gazeta/dias/1820/08/06/pdfs/GGB-1820-39.pdf#page=3","Abrir facsímil")</f>
        <v>Abrir facsímil</v>
      </c>
      <c r="K4319" s="3" t="s">
        <v>23</v>
      </c>
    </row>
    <row r="4320" spans="1:11" ht="42" customHeight="1">
      <c r="A4320" s="2" t="s">
        <v>8657</v>
      </c>
      <c r="B4320" s="2" t="s">
        <v>8657</v>
      </c>
      <c r="C4320" s="2" t="s">
        <v>26</v>
      </c>
      <c r="D4320" s="2" t="s">
        <v>27</v>
      </c>
      <c r="E4320" s="5">
        <v>-28998</v>
      </c>
      <c r="F4320" s="3" t="s">
        <v>629</v>
      </c>
      <c r="G4320" s="3" t="s">
        <v>62</v>
      </c>
      <c r="H4320" s="2" t="s">
        <v>21</v>
      </c>
      <c r="I4320" s="2" t="s">
        <v>8658</v>
      </c>
      <c r="J4320" s="3" t="str">
        <f>HYPERLINK("https://www.boe.es/gazeta/dias/1820/08/08/pdfs/GGB-1820-41.pdf#page=3","Abrir facsímil")</f>
        <v>Abrir facsímil</v>
      </c>
      <c r="K4320" s="3" t="s">
        <v>23</v>
      </c>
    </row>
    <row r="4321" spans="1:11" ht="42" customHeight="1">
      <c r="A4321" s="2" t="s">
        <v>8629</v>
      </c>
      <c r="B4321" s="2" t="s">
        <v>8629</v>
      </c>
      <c r="C4321" s="2" t="s">
        <v>293</v>
      </c>
      <c r="D4321" s="2" t="s">
        <v>18</v>
      </c>
      <c r="E4321" s="5">
        <v>-28996</v>
      </c>
      <c r="F4321" s="3" t="s">
        <v>636</v>
      </c>
      <c r="G4321" s="3" t="s">
        <v>637</v>
      </c>
      <c r="H4321" s="2" t="s">
        <v>21</v>
      </c>
      <c r="I4321" s="2" t="s">
        <v>8659</v>
      </c>
      <c r="J4321" s="3" t="str">
        <f>HYPERLINK("https://www.boe.es/gazeta/dias/1820/08/10/pdfs/GGB-1820-43.pdf#page=3","Abrir facsímil")</f>
        <v>Abrir facsímil</v>
      </c>
      <c r="K4321" s="3" t="s">
        <v>23</v>
      </c>
    </row>
    <row r="4322" spans="1:11" ht="42" customHeight="1">
      <c r="A4322" s="2" t="s">
        <v>8629</v>
      </c>
      <c r="B4322" s="2" t="s">
        <v>8629</v>
      </c>
      <c r="C4322" s="2" t="s">
        <v>26</v>
      </c>
      <c r="D4322" s="2" t="s">
        <v>27</v>
      </c>
      <c r="E4322" s="5">
        <v>-28994</v>
      </c>
      <c r="F4322" s="3" t="s">
        <v>1612</v>
      </c>
      <c r="G4322" s="3" t="s">
        <v>20</v>
      </c>
      <c r="H4322" s="2" t="s">
        <v>21</v>
      </c>
      <c r="I4322" s="2" t="s">
        <v>8660</v>
      </c>
      <c r="J4322" s="3" t="str">
        <f>HYPERLINK("https://www.boe.es/gazeta/dias/1820/08/12/pdfs/GGB-1820-45.pdf#page=4","Abrir facsímil")</f>
        <v>Abrir facsímil</v>
      </c>
      <c r="K4322" s="3" t="s">
        <v>23</v>
      </c>
    </row>
    <row r="4323" spans="1:11" ht="42" customHeight="1">
      <c r="A4323" s="2" t="s">
        <v>8629</v>
      </c>
      <c r="B4323" s="2" t="s">
        <v>8629</v>
      </c>
      <c r="C4323" s="2" t="s">
        <v>26</v>
      </c>
      <c r="D4323" s="2" t="s">
        <v>27</v>
      </c>
      <c r="E4323" s="5">
        <v>-28993</v>
      </c>
      <c r="F4323" s="3" t="s">
        <v>465</v>
      </c>
      <c r="G4323" s="3" t="s">
        <v>20</v>
      </c>
      <c r="H4323" s="2" t="s">
        <v>21</v>
      </c>
      <c r="I4323" s="2" t="s">
        <v>8661</v>
      </c>
      <c r="J4323" s="3" t="str">
        <f>HYPERLINK("https://www.boe.es/gazeta/dias/1820/08/13/pdfs/GGB-1820-46.pdf#page=4","Abrir facsímil")</f>
        <v>Abrir facsímil</v>
      </c>
      <c r="K4323" s="3" t="s">
        <v>23</v>
      </c>
    </row>
    <row r="4324" spans="1:11" ht="42" customHeight="1">
      <c r="A4324" s="2" t="s">
        <v>8629</v>
      </c>
      <c r="B4324" s="2" t="s">
        <v>8629</v>
      </c>
      <c r="C4324" s="2" t="s">
        <v>35</v>
      </c>
      <c r="D4324" s="2" t="s">
        <v>36</v>
      </c>
      <c r="E4324" s="5">
        <v>-28991</v>
      </c>
      <c r="F4324" s="3" t="s">
        <v>213</v>
      </c>
      <c r="G4324" s="3" t="s">
        <v>62</v>
      </c>
      <c r="H4324" s="2" t="s">
        <v>21</v>
      </c>
      <c r="I4324" s="2" t="s">
        <v>8662</v>
      </c>
      <c r="J4324" s="3" t="str">
        <f>HYPERLINK("https://www.boe.es/gazeta/dias/1820/08/15/pdfs/GGB-1820-48.pdf#page=3","Abrir facsímil")</f>
        <v>Abrir facsímil</v>
      </c>
      <c r="K4324" s="3" t="s">
        <v>23</v>
      </c>
    </row>
    <row r="4325" spans="1:11" ht="42" customHeight="1">
      <c r="A4325" s="2" t="s">
        <v>8629</v>
      </c>
      <c r="B4325" s="2" t="s">
        <v>8629</v>
      </c>
      <c r="C4325" s="2" t="s">
        <v>26</v>
      </c>
      <c r="D4325" s="2" t="s">
        <v>27</v>
      </c>
      <c r="E4325" s="5">
        <v>-28990</v>
      </c>
      <c r="F4325" s="3" t="s">
        <v>61</v>
      </c>
      <c r="G4325" s="3" t="s">
        <v>62</v>
      </c>
      <c r="H4325" s="2" t="s">
        <v>21</v>
      </c>
      <c r="I4325" s="2" t="s">
        <v>8663</v>
      </c>
      <c r="J4325" s="3" t="str">
        <f>HYPERLINK("https://www.boe.es/gazeta/dias/1820/08/16/pdfs/GGB-1820-49.pdf#page=3","Abrir facsímil")</f>
        <v>Abrir facsímil</v>
      </c>
      <c r="K4325" s="3" t="s">
        <v>23</v>
      </c>
    </row>
    <row r="4326" spans="1:11" ht="42" customHeight="1">
      <c r="A4326" s="2" t="s">
        <v>8629</v>
      </c>
      <c r="B4326" s="2" t="s">
        <v>8629</v>
      </c>
      <c r="C4326" s="2" t="s">
        <v>293</v>
      </c>
      <c r="D4326" s="2" t="s">
        <v>18</v>
      </c>
      <c r="E4326" s="5">
        <v>-28989</v>
      </c>
      <c r="F4326" s="3" t="s">
        <v>809</v>
      </c>
      <c r="G4326" s="3" t="s">
        <v>62</v>
      </c>
      <c r="H4326" s="2" t="s">
        <v>21</v>
      </c>
      <c r="I4326" s="2" t="s">
        <v>8664</v>
      </c>
      <c r="J4326" s="3" t="str">
        <f>HYPERLINK("https://www.boe.es/gazeta/dias/1820/08/17/pdfs/GGB-1820-50.pdf#page=3","Abrir facsímil")</f>
        <v>Abrir facsímil</v>
      </c>
      <c r="K4326" s="3" t="s">
        <v>23</v>
      </c>
    </row>
    <row r="4327" spans="1:11" ht="42" customHeight="1">
      <c r="A4327" s="2" t="s">
        <v>8629</v>
      </c>
      <c r="B4327" s="2" t="s">
        <v>8629</v>
      </c>
      <c r="C4327" s="2" t="s">
        <v>26</v>
      </c>
      <c r="D4327" s="2" t="s">
        <v>27</v>
      </c>
      <c r="E4327" s="5">
        <v>-28984</v>
      </c>
      <c r="F4327" s="3" t="s">
        <v>520</v>
      </c>
      <c r="G4327" s="3" t="s">
        <v>62</v>
      </c>
      <c r="H4327" s="2" t="s">
        <v>21</v>
      </c>
      <c r="I4327" s="2" t="s">
        <v>8665</v>
      </c>
      <c r="J4327" s="3" t="str">
        <f>HYPERLINK("https://www.boe.es/gazeta/dias/1820/08/22/pdfs/GGB-1820-55.pdf#page=3","Abrir facsímil")</f>
        <v>Abrir facsímil</v>
      </c>
      <c r="K4327" s="3" t="s">
        <v>23</v>
      </c>
    </row>
    <row r="4328" spans="1:11" ht="42" customHeight="1">
      <c r="A4328" s="2" t="s">
        <v>8629</v>
      </c>
      <c r="B4328" s="2" t="s">
        <v>8629</v>
      </c>
      <c r="C4328" s="2" t="s">
        <v>17</v>
      </c>
      <c r="D4328" s="2" t="s">
        <v>18</v>
      </c>
      <c r="E4328" s="5">
        <v>-28983</v>
      </c>
      <c r="F4328" s="3" t="s">
        <v>682</v>
      </c>
      <c r="G4328" s="3" t="s">
        <v>20</v>
      </c>
      <c r="H4328" s="2" t="s">
        <v>21</v>
      </c>
      <c r="I4328" s="2" t="s">
        <v>8666</v>
      </c>
      <c r="J4328" s="3" t="str">
        <f>HYPERLINK("https://www.boe.es/gazeta/dias/1820/08/23/pdfs/GGB-1820-56.pdf#page=4","Abrir facsímil")</f>
        <v>Abrir facsímil</v>
      </c>
      <c r="K4328" s="3" t="s">
        <v>23</v>
      </c>
    </row>
    <row r="4329" spans="1:11" ht="42" customHeight="1">
      <c r="A4329" s="2" t="s">
        <v>8657</v>
      </c>
      <c r="B4329" s="2" t="s">
        <v>8657</v>
      </c>
      <c r="C4329" s="2" t="s">
        <v>35</v>
      </c>
      <c r="D4329" s="2" t="s">
        <v>36</v>
      </c>
      <c r="E4329" s="5">
        <v>-28982</v>
      </c>
      <c r="F4329" s="3" t="s">
        <v>173</v>
      </c>
      <c r="G4329" s="3" t="s">
        <v>529</v>
      </c>
      <c r="H4329" s="2" t="s">
        <v>21</v>
      </c>
      <c r="I4329" s="2" t="s">
        <v>8667</v>
      </c>
      <c r="J4329" s="3" t="str">
        <f>HYPERLINK("https://www.boe.es/gazeta/dias/1820/08/24/pdfs/GGB-1820-57.pdf#page=4","Abrir facsímil")</f>
        <v>Abrir facsímil</v>
      </c>
      <c r="K4329" s="3" t="s">
        <v>23</v>
      </c>
    </row>
    <row r="4330" spans="1:11" ht="42" customHeight="1">
      <c r="A4330" s="2" t="s">
        <v>8629</v>
      </c>
      <c r="B4330" s="2" t="s">
        <v>8629</v>
      </c>
      <c r="C4330" s="2" t="s">
        <v>35</v>
      </c>
      <c r="D4330" s="2" t="s">
        <v>36</v>
      </c>
      <c r="E4330" s="5">
        <v>-28982</v>
      </c>
      <c r="F4330" s="3" t="s">
        <v>173</v>
      </c>
      <c r="G4330" s="3" t="s">
        <v>62</v>
      </c>
      <c r="H4330" s="2" t="s">
        <v>21</v>
      </c>
      <c r="I4330" s="2" t="s">
        <v>8668</v>
      </c>
      <c r="J4330" s="3" t="str">
        <f>HYPERLINK("https://www.boe.es/gazeta/dias/1820/08/24/pdfs/GGB-1820-57.pdf#page=3","Abrir facsímil")</f>
        <v>Abrir facsímil</v>
      </c>
      <c r="K4330" s="3" t="s">
        <v>23</v>
      </c>
    </row>
    <row r="4331" spans="1:11" ht="42" customHeight="1">
      <c r="A4331" s="2" t="s">
        <v>8629</v>
      </c>
      <c r="B4331" s="2" t="s">
        <v>8629</v>
      </c>
      <c r="C4331" s="2" t="s">
        <v>293</v>
      </c>
      <c r="D4331" s="2" t="s">
        <v>18</v>
      </c>
      <c r="E4331" s="5">
        <v>-28981</v>
      </c>
      <c r="F4331" s="3" t="s">
        <v>42</v>
      </c>
      <c r="G4331" s="3" t="s">
        <v>20</v>
      </c>
      <c r="H4331" s="2" t="s">
        <v>21</v>
      </c>
      <c r="I4331" s="2" t="s">
        <v>8669</v>
      </c>
      <c r="J4331" s="3" t="str">
        <f>HYPERLINK("https://www.boe.es/gazeta/dias/1820/08/25/pdfs/GGB-1820-58.pdf#page=4","Abrir facsímil")</f>
        <v>Abrir facsímil</v>
      </c>
      <c r="K4331" s="3" t="s">
        <v>23</v>
      </c>
    </row>
    <row r="4332" spans="1:11" ht="42" customHeight="1">
      <c r="A4332" s="2" t="s">
        <v>8629</v>
      </c>
      <c r="B4332" s="2" t="s">
        <v>8629</v>
      </c>
      <c r="C4332" s="2" t="s">
        <v>35</v>
      </c>
      <c r="D4332" s="2" t="s">
        <v>36</v>
      </c>
      <c r="E4332" s="5">
        <v>-28979</v>
      </c>
      <c r="F4332" s="3" t="s">
        <v>218</v>
      </c>
      <c r="G4332" s="3" t="s">
        <v>62</v>
      </c>
      <c r="H4332" s="2" t="s">
        <v>21</v>
      </c>
      <c r="I4332" s="2" t="s">
        <v>8670</v>
      </c>
      <c r="J4332" s="3" t="str">
        <f>HYPERLINK("https://www.boe.es/gazeta/dias/1820/08/27/pdfs/GGB-1820-60.pdf#page=3","Abrir facsímil")</f>
        <v>Abrir facsímil</v>
      </c>
      <c r="K4332" s="3" t="s">
        <v>23</v>
      </c>
    </row>
    <row r="4333" spans="1:11" ht="42" customHeight="1">
      <c r="A4333" s="2" t="s">
        <v>8629</v>
      </c>
      <c r="B4333" s="2" t="s">
        <v>8629</v>
      </c>
      <c r="C4333" s="2" t="s">
        <v>111</v>
      </c>
      <c r="D4333" s="2" t="s">
        <v>18</v>
      </c>
      <c r="E4333" s="5">
        <v>-28979</v>
      </c>
      <c r="F4333" s="3" t="s">
        <v>218</v>
      </c>
      <c r="G4333" s="3" t="s">
        <v>20</v>
      </c>
      <c r="H4333" s="2" t="s">
        <v>21</v>
      </c>
      <c r="I4333" s="2" t="s">
        <v>8671</v>
      </c>
      <c r="J4333" s="3" t="str">
        <f>HYPERLINK("https://www.boe.es/gazeta/dias/1820/08/27/pdfs/GGB-1820-60.pdf#page=4","Abrir facsímil")</f>
        <v>Abrir facsímil</v>
      </c>
      <c r="K4333" s="3" t="s">
        <v>23</v>
      </c>
    </row>
    <row r="4334" spans="1:11" ht="42" customHeight="1">
      <c r="A4334" s="2" t="s">
        <v>8629</v>
      </c>
      <c r="B4334" s="2" t="s">
        <v>8629</v>
      </c>
      <c r="C4334" s="2" t="s">
        <v>17</v>
      </c>
      <c r="D4334" s="2" t="s">
        <v>18</v>
      </c>
      <c r="E4334" s="5">
        <v>-28977</v>
      </c>
      <c r="F4334" s="3" t="s">
        <v>687</v>
      </c>
      <c r="G4334" s="3" t="s">
        <v>20</v>
      </c>
      <c r="H4334" s="2" t="s">
        <v>21</v>
      </c>
      <c r="I4334" s="2" t="s">
        <v>8672</v>
      </c>
      <c r="J4334" s="3" t="str">
        <f>HYPERLINK("https://www.boe.es/gazeta/dias/1820/08/29/pdfs/GGB-1820-62.pdf#page=4","Abrir facsímil")</f>
        <v>Abrir facsímil</v>
      </c>
      <c r="K4334" s="3" t="s">
        <v>23</v>
      </c>
    </row>
    <row r="4335" spans="1:11" ht="42" customHeight="1">
      <c r="A4335" s="2" t="s">
        <v>8629</v>
      </c>
      <c r="B4335" s="2" t="s">
        <v>8629</v>
      </c>
      <c r="C4335" s="2" t="s">
        <v>17</v>
      </c>
      <c r="D4335" s="2" t="s">
        <v>18</v>
      </c>
      <c r="E4335" s="5">
        <v>-28976</v>
      </c>
      <c r="F4335" s="3" t="s">
        <v>689</v>
      </c>
      <c r="G4335" s="3" t="s">
        <v>62</v>
      </c>
      <c r="H4335" s="2" t="s">
        <v>21</v>
      </c>
      <c r="I4335" s="2" t="s">
        <v>8673</v>
      </c>
      <c r="J4335" s="3" t="str">
        <f>HYPERLINK("https://www.boe.es/gazeta/dias/1820/08/30/pdfs/GGB-1820-63.pdf#page=3","Abrir facsímil")</f>
        <v>Abrir facsímil</v>
      </c>
      <c r="K4335" s="3" t="s">
        <v>23</v>
      </c>
    </row>
    <row r="4336" spans="1:11" ht="42" customHeight="1">
      <c r="A4336" s="2" t="s">
        <v>8657</v>
      </c>
      <c r="B4336" s="2" t="s">
        <v>8657</v>
      </c>
      <c r="C4336" s="2" t="s">
        <v>17</v>
      </c>
      <c r="D4336" s="2" t="s">
        <v>18</v>
      </c>
      <c r="E4336" s="5">
        <v>-28971</v>
      </c>
      <c r="F4336" s="3" t="s">
        <v>691</v>
      </c>
      <c r="G4336" s="3" t="s">
        <v>62</v>
      </c>
      <c r="H4336" s="2" t="s">
        <v>21</v>
      </c>
      <c r="I4336" s="2" t="s">
        <v>8674</v>
      </c>
      <c r="J4336" s="3" t="str">
        <f>HYPERLINK("https://www.boe.es/gazeta/dias/1820/09/04/pdfs/GGB-1820-68.pdf#page=3","Abrir facsímil")</f>
        <v>Abrir facsímil</v>
      </c>
      <c r="K4336" s="3" t="s">
        <v>23</v>
      </c>
    </row>
    <row r="4337" spans="1:11" ht="42" customHeight="1">
      <c r="A4337" s="2" t="s">
        <v>8629</v>
      </c>
      <c r="B4337" s="2" t="s">
        <v>8629</v>
      </c>
      <c r="C4337" s="2" t="s">
        <v>35</v>
      </c>
      <c r="D4337" s="2" t="s">
        <v>36</v>
      </c>
      <c r="E4337" s="5">
        <v>-28970</v>
      </c>
      <c r="F4337" s="3" t="s">
        <v>693</v>
      </c>
      <c r="G4337" s="3" t="s">
        <v>62</v>
      </c>
      <c r="H4337" s="2" t="s">
        <v>21</v>
      </c>
      <c r="I4337" s="2" t="s">
        <v>8675</v>
      </c>
      <c r="J4337" s="3" t="str">
        <f>HYPERLINK("https://www.boe.es/gazeta/dias/1820/09/05/pdfs/GGB-1820-69.pdf#page=3","Abrir facsímil")</f>
        <v>Abrir facsímil</v>
      </c>
      <c r="K4337" s="3" t="s">
        <v>23</v>
      </c>
    </row>
    <row r="4338" spans="1:11" ht="42" customHeight="1">
      <c r="A4338" s="2" t="s">
        <v>8629</v>
      </c>
      <c r="B4338" s="2" t="s">
        <v>8629</v>
      </c>
      <c r="C4338" s="2" t="s">
        <v>26</v>
      </c>
      <c r="D4338" s="2" t="s">
        <v>27</v>
      </c>
      <c r="E4338" s="5">
        <v>-28969</v>
      </c>
      <c r="F4338" s="3" t="s">
        <v>225</v>
      </c>
      <c r="G4338" s="3" t="s">
        <v>43</v>
      </c>
      <c r="H4338" s="2" t="s">
        <v>21</v>
      </c>
      <c r="I4338" s="2" t="s">
        <v>8676</v>
      </c>
      <c r="J4338" s="3" t="str">
        <f>HYPERLINK("https://www.boe.es/gazeta/dias/1820/09/06/pdfs/GGB-1820-70.pdf#page=2","Abrir facsímil")</f>
        <v>Abrir facsímil</v>
      </c>
      <c r="K4338" s="3" t="s">
        <v>23</v>
      </c>
    </row>
    <row r="4339" spans="1:11" ht="42" customHeight="1">
      <c r="A4339" s="2" t="s">
        <v>8629</v>
      </c>
      <c r="B4339" s="2" t="s">
        <v>8629</v>
      </c>
      <c r="C4339" s="2" t="s">
        <v>26</v>
      </c>
      <c r="D4339" s="2" t="s">
        <v>27</v>
      </c>
      <c r="E4339" s="5">
        <v>-28969</v>
      </c>
      <c r="F4339" s="3" t="s">
        <v>225</v>
      </c>
      <c r="G4339" s="3" t="s">
        <v>20</v>
      </c>
      <c r="H4339" s="2" t="s">
        <v>21</v>
      </c>
      <c r="I4339" s="2" t="s">
        <v>8677</v>
      </c>
      <c r="J4339" s="3" t="str">
        <f>HYPERLINK("https://www.boe.es/gazeta/dias/1820/09/06/pdfs/GGB-1820-70.pdf#page=4","Abrir facsímil")</f>
        <v>Abrir facsímil</v>
      </c>
      <c r="K4339" s="3" t="s">
        <v>23</v>
      </c>
    </row>
    <row r="4340" spans="1:11" ht="42" customHeight="1">
      <c r="A4340" s="2" t="s">
        <v>8629</v>
      </c>
      <c r="B4340" s="2" t="s">
        <v>8629</v>
      </c>
      <c r="C4340" s="2" t="s">
        <v>26</v>
      </c>
      <c r="D4340" s="2" t="s">
        <v>27</v>
      </c>
      <c r="E4340" s="5">
        <v>-28967</v>
      </c>
      <c r="F4340" s="3" t="s">
        <v>238</v>
      </c>
      <c r="G4340" s="3" t="s">
        <v>256</v>
      </c>
      <c r="H4340" s="2" t="s">
        <v>21</v>
      </c>
      <c r="I4340" s="2" t="s">
        <v>8678</v>
      </c>
      <c r="J4340" s="3" t="str">
        <f>HYPERLINK("https://www.boe.es/gazeta/dias/1820/09/08/pdfs/GGB-1820-72.pdf#page=5","Abrir facsímil")</f>
        <v>Abrir facsímil</v>
      </c>
      <c r="K4340" s="3" t="s">
        <v>23</v>
      </c>
    </row>
    <row r="4341" spans="1:11" ht="42" customHeight="1">
      <c r="A4341" s="2" t="s">
        <v>8629</v>
      </c>
      <c r="B4341" s="2" t="s">
        <v>8629</v>
      </c>
      <c r="C4341" s="2" t="s">
        <v>293</v>
      </c>
      <c r="D4341" s="2" t="s">
        <v>18</v>
      </c>
      <c r="E4341" s="5">
        <v>-28965</v>
      </c>
      <c r="F4341" s="3" t="s">
        <v>1520</v>
      </c>
      <c r="G4341" s="3" t="s">
        <v>62</v>
      </c>
      <c r="H4341" s="2" t="s">
        <v>21</v>
      </c>
      <c r="I4341" s="2" t="s">
        <v>8679</v>
      </c>
      <c r="J4341" s="3" t="str">
        <f>HYPERLINK("https://www.boe.es/gazeta/dias/1820/09/10/pdfs/GGB-1820-74.pdf#page=3","Abrir facsímil")</f>
        <v>Abrir facsímil</v>
      </c>
      <c r="K4341" s="3" t="s">
        <v>23</v>
      </c>
    </row>
    <row r="4342" spans="1:11" ht="42" customHeight="1">
      <c r="A4342" s="2" t="s">
        <v>8629</v>
      </c>
      <c r="B4342" s="2" t="s">
        <v>8629</v>
      </c>
      <c r="C4342" s="2" t="s">
        <v>35</v>
      </c>
      <c r="D4342" s="2" t="s">
        <v>36</v>
      </c>
      <c r="E4342" s="5">
        <v>-28964</v>
      </c>
      <c r="F4342" s="3" t="s">
        <v>240</v>
      </c>
      <c r="G4342" s="3" t="s">
        <v>43</v>
      </c>
      <c r="H4342" s="2" t="s">
        <v>21</v>
      </c>
      <c r="I4342" s="2" t="s">
        <v>8680</v>
      </c>
      <c r="J4342" s="3" t="str">
        <f>HYPERLINK("https://www.boe.es/gazeta/dias/1820/09/11/pdfs/GGB-1820-75.pdf#page=2","Abrir facsímil")</f>
        <v>Abrir facsímil</v>
      </c>
      <c r="K4342" s="3" t="s">
        <v>23</v>
      </c>
    </row>
    <row r="4343" spans="1:11" ht="42" customHeight="1">
      <c r="A4343" s="2" t="s">
        <v>8657</v>
      </c>
      <c r="B4343" s="2" t="s">
        <v>8657</v>
      </c>
      <c r="C4343" s="2" t="s">
        <v>26</v>
      </c>
      <c r="D4343" s="2" t="s">
        <v>27</v>
      </c>
      <c r="E4343" s="5">
        <v>-28963</v>
      </c>
      <c r="F4343" s="3" t="s">
        <v>94</v>
      </c>
      <c r="G4343" s="3" t="s">
        <v>62</v>
      </c>
      <c r="H4343" s="2" t="s">
        <v>21</v>
      </c>
      <c r="I4343" s="2" t="s">
        <v>8681</v>
      </c>
      <c r="J4343" s="3" t="str">
        <f>HYPERLINK("https://www.boe.es/gazeta/dias/1820/09/12/pdfs/GGB-1820-76.pdf#page=3","Abrir facsímil")</f>
        <v>Abrir facsímil</v>
      </c>
      <c r="K4343" s="3" t="s">
        <v>23</v>
      </c>
    </row>
    <row r="4344" spans="1:11" ht="42" customHeight="1">
      <c r="A4344" s="2" t="s">
        <v>8629</v>
      </c>
      <c r="B4344" s="2" t="s">
        <v>8629</v>
      </c>
      <c r="C4344" s="2" t="s">
        <v>293</v>
      </c>
      <c r="D4344" s="2" t="s">
        <v>18</v>
      </c>
      <c r="E4344" s="5">
        <v>-28962</v>
      </c>
      <c r="F4344" s="3" t="s">
        <v>90</v>
      </c>
      <c r="G4344" s="3" t="s">
        <v>20</v>
      </c>
      <c r="H4344" s="2" t="s">
        <v>21</v>
      </c>
      <c r="I4344" s="2" t="s">
        <v>8682</v>
      </c>
      <c r="J4344" s="3" t="str">
        <f>HYPERLINK("https://www.boe.es/gazeta/dias/1820/09/13/pdfs/GGB-1820-77.pdf#page=4","Abrir facsímil")</f>
        <v>Abrir facsímil</v>
      </c>
      <c r="K4344" s="3" t="s">
        <v>23</v>
      </c>
    </row>
    <row r="4345" spans="1:11" ht="42" customHeight="1">
      <c r="A4345" s="2" t="s">
        <v>8629</v>
      </c>
      <c r="B4345" s="2" t="s">
        <v>8629</v>
      </c>
      <c r="C4345" s="2" t="s">
        <v>293</v>
      </c>
      <c r="D4345" s="2" t="s">
        <v>18</v>
      </c>
      <c r="E4345" s="5">
        <v>-28961</v>
      </c>
      <c r="F4345" s="3" t="s">
        <v>242</v>
      </c>
      <c r="G4345" s="3" t="s">
        <v>62</v>
      </c>
      <c r="H4345" s="2" t="s">
        <v>21</v>
      </c>
      <c r="I4345" s="2" t="s">
        <v>8683</v>
      </c>
      <c r="J4345" s="3" t="str">
        <f>HYPERLINK("https://www.boe.es/gazeta/dias/1820/09/14/pdfs/GGB-1820-78.pdf#page=3","Abrir facsímil")</f>
        <v>Abrir facsímil</v>
      </c>
      <c r="K4345" s="3" t="s">
        <v>23</v>
      </c>
    </row>
    <row r="4346" spans="1:11" ht="42" customHeight="1">
      <c r="A4346" s="2" t="s">
        <v>8629</v>
      </c>
      <c r="B4346" s="2" t="s">
        <v>8629</v>
      </c>
      <c r="C4346" s="2" t="s">
        <v>74</v>
      </c>
      <c r="D4346" s="2" t="s">
        <v>18</v>
      </c>
      <c r="E4346" s="5">
        <v>-28960</v>
      </c>
      <c r="F4346" s="3" t="s">
        <v>704</v>
      </c>
      <c r="G4346" s="3" t="s">
        <v>62</v>
      </c>
      <c r="H4346" s="2" t="s">
        <v>21</v>
      </c>
      <c r="I4346" s="2" t="s">
        <v>8684</v>
      </c>
      <c r="J4346" s="3" t="str">
        <f>HYPERLINK("https://www.boe.es/gazeta/dias/1820/09/15/pdfs/GGB-1820-79.pdf#page=3","Abrir facsímil")</f>
        <v>Abrir facsímil</v>
      </c>
      <c r="K4346" s="3" t="s">
        <v>23</v>
      </c>
    </row>
    <row r="4347" spans="1:11" ht="42" customHeight="1">
      <c r="A4347" s="2" t="s">
        <v>8629</v>
      </c>
      <c r="B4347" s="2" t="s">
        <v>8629</v>
      </c>
      <c r="C4347" s="2" t="s">
        <v>111</v>
      </c>
      <c r="D4347" s="2" t="s">
        <v>18</v>
      </c>
      <c r="E4347" s="5">
        <v>-28959</v>
      </c>
      <c r="F4347" s="3" t="s">
        <v>37</v>
      </c>
      <c r="G4347" s="3" t="s">
        <v>20</v>
      </c>
      <c r="H4347" s="2" t="s">
        <v>21</v>
      </c>
      <c r="I4347" s="2" t="s">
        <v>8685</v>
      </c>
      <c r="J4347" s="3" t="str">
        <f>HYPERLINK("https://www.boe.es/gazeta/dias/1820/09/16/pdfs/GGB-1820-80.pdf#page=4","Abrir facsímil")</f>
        <v>Abrir facsímil</v>
      </c>
      <c r="K4347" s="3" t="s">
        <v>23</v>
      </c>
    </row>
    <row r="4348" spans="1:11" ht="42" customHeight="1">
      <c r="A4348" s="2" t="s">
        <v>8629</v>
      </c>
      <c r="B4348" s="2" t="s">
        <v>8629</v>
      </c>
      <c r="C4348" s="2" t="s">
        <v>107</v>
      </c>
      <c r="D4348" s="2" t="s">
        <v>18</v>
      </c>
      <c r="E4348" s="5">
        <v>-28959</v>
      </c>
      <c r="F4348" s="3" t="s">
        <v>37</v>
      </c>
      <c r="G4348" s="3" t="s">
        <v>256</v>
      </c>
      <c r="H4348" s="2" t="s">
        <v>21</v>
      </c>
      <c r="I4348" s="2" t="s">
        <v>8686</v>
      </c>
      <c r="J4348" s="3" t="str">
        <f>HYPERLINK("https://www.boe.es/gazeta/dias/1820/09/16/pdfs/GGB-1820-80.pdf#page=5","Abrir facsímil")</f>
        <v>Abrir facsímil</v>
      </c>
      <c r="K4348" s="3" t="s">
        <v>23</v>
      </c>
    </row>
    <row r="4349" spans="1:11" ht="42" customHeight="1">
      <c r="A4349" s="2" t="s">
        <v>8629</v>
      </c>
      <c r="B4349" s="2" t="s">
        <v>8629</v>
      </c>
      <c r="C4349" s="2" t="s">
        <v>17</v>
      </c>
      <c r="D4349" s="2" t="s">
        <v>18</v>
      </c>
      <c r="E4349" s="5">
        <v>-28958</v>
      </c>
      <c r="F4349" s="3" t="s">
        <v>706</v>
      </c>
      <c r="G4349" s="3" t="s">
        <v>62</v>
      </c>
      <c r="H4349" s="2" t="s">
        <v>21</v>
      </c>
      <c r="I4349" s="2" t="s">
        <v>8687</v>
      </c>
      <c r="J4349" s="3" t="str">
        <f>HYPERLINK("https://www.boe.es/gazeta/dias/1820/09/17/pdfs/GGB-1820-81.pdf#page=3","Abrir facsímil")</f>
        <v>Abrir facsímil</v>
      </c>
      <c r="K4349" s="3" t="s">
        <v>23</v>
      </c>
    </row>
    <row r="4350" spans="1:11" ht="42" customHeight="1">
      <c r="A4350" s="2" t="s">
        <v>8629</v>
      </c>
      <c r="B4350" s="2" t="s">
        <v>8629</v>
      </c>
      <c r="C4350" s="2" t="s">
        <v>35</v>
      </c>
      <c r="D4350" s="2" t="s">
        <v>36</v>
      </c>
      <c r="E4350" s="5">
        <v>-28957</v>
      </c>
      <c r="F4350" s="3" t="s">
        <v>361</v>
      </c>
      <c r="G4350" s="3" t="s">
        <v>62</v>
      </c>
      <c r="H4350" s="2" t="s">
        <v>21</v>
      </c>
      <c r="I4350" s="2" t="s">
        <v>8688</v>
      </c>
      <c r="J4350" s="3" t="str">
        <f>HYPERLINK("https://www.boe.es/gazeta/dias/1820/09/18/pdfs/GGB-1820-82.pdf#page=3","Abrir facsímil")</f>
        <v>Abrir facsímil</v>
      </c>
      <c r="K4350" s="3" t="s">
        <v>23</v>
      </c>
    </row>
    <row r="4351" spans="1:11" ht="42" customHeight="1">
      <c r="A4351" s="2" t="s">
        <v>8629</v>
      </c>
      <c r="B4351" s="2" t="s">
        <v>8629</v>
      </c>
      <c r="C4351" s="2" t="s">
        <v>111</v>
      </c>
      <c r="D4351" s="2" t="s">
        <v>18</v>
      </c>
      <c r="E4351" s="5">
        <v>-28956</v>
      </c>
      <c r="F4351" s="3" t="s">
        <v>190</v>
      </c>
      <c r="G4351" s="3" t="s">
        <v>62</v>
      </c>
      <c r="H4351" s="2" t="s">
        <v>21</v>
      </c>
      <c r="I4351" s="2" t="s">
        <v>8689</v>
      </c>
      <c r="J4351" s="3" t="str">
        <f>HYPERLINK("https://www.boe.es/gazeta/dias/1820/09/19/pdfs/GGB-1820-83.pdf#page=3","Abrir facsímil")</f>
        <v>Abrir facsímil</v>
      </c>
      <c r="K4351" s="3" t="s">
        <v>23</v>
      </c>
    </row>
    <row r="4352" spans="1:11" ht="42" customHeight="1">
      <c r="A4352" s="2" t="s">
        <v>8629</v>
      </c>
      <c r="B4352" s="2" t="s">
        <v>8629</v>
      </c>
      <c r="C4352" s="2" t="s">
        <v>17</v>
      </c>
      <c r="D4352" s="2" t="s">
        <v>18</v>
      </c>
      <c r="E4352" s="5">
        <v>-28956</v>
      </c>
      <c r="F4352" s="3" t="s">
        <v>190</v>
      </c>
      <c r="G4352" s="3" t="s">
        <v>20</v>
      </c>
      <c r="H4352" s="2" t="s">
        <v>21</v>
      </c>
      <c r="I4352" s="2" t="s">
        <v>8690</v>
      </c>
      <c r="J4352" s="3" t="str">
        <f>HYPERLINK("https://www.boe.es/gazeta/dias/1820/09/19/pdfs/GGB-1820-83.pdf#page=4","Abrir facsímil")</f>
        <v>Abrir facsímil</v>
      </c>
      <c r="K4352" s="3" t="s">
        <v>23</v>
      </c>
    </row>
    <row r="4353" spans="1:11" ht="42" customHeight="1">
      <c r="A4353" s="2" t="s">
        <v>8629</v>
      </c>
      <c r="B4353" s="2" t="s">
        <v>8629</v>
      </c>
      <c r="C4353" s="2" t="s">
        <v>293</v>
      </c>
      <c r="D4353" s="2" t="s">
        <v>18</v>
      </c>
      <c r="E4353" s="5">
        <v>-28955</v>
      </c>
      <c r="F4353" s="3" t="s">
        <v>175</v>
      </c>
      <c r="G4353" s="3" t="s">
        <v>62</v>
      </c>
      <c r="H4353" s="2" t="s">
        <v>21</v>
      </c>
      <c r="I4353" s="2" t="s">
        <v>8691</v>
      </c>
      <c r="J4353" s="3" t="str">
        <f>HYPERLINK("https://www.boe.es/gazeta/dias/1820/09/20/pdfs/GGB-1820-84.pdf#page=3","Abrir facsímil")</f>
        <v>Abrir facsímil</v>
      </c>
      <c r="K4353" s="3" t="s">
        <v>23</v>
      </c>
    </row>
    <row r="4354" spans="1:11" ht="42" customHeight="1">
      <c r="A4354" s="2" t="s">
        <v>8629</v>
      </c>
      <c r="B4354" s="2" t="s">
        <v>8629</v>
      </c>
      <c r="C4354" s="2" t="s">
        <v>17</v>
      </c>
      <c r="D4354" s="2" t="s">
        <v>18</v>
      </c>
      <c r="E4354" s="5">
        <v>-28954</v>
      </c>
      <c r="F4354" s="3" t="s">
        <v>28</v>
      </c>
      <c r="G4354" s="3" t="s">
        <v>20</v>
      </c>
      <c r="H4354" s="2" t="s">
        <v>21</v>
      </c>
      <c r="I4354" s="2" t="s">
        <v>8692</v>
      </c>
      <c r="J4354" s="3" t="str">
        <f>HYPERLINK("https://www.boe.es/gazeta/dias/1820/09/21/pdfs/GGB-1820-85.pdf#page=4","Abrir facsímil")</f>
        <v>Abrir facsímil</v>
      </c>
      <c r="K4354" s="3" t="s">
        <v>23</v>
      </c>
    </row>
    <row r="4355" spans="1:11" ht="42" customHeight="1">
      <c r="A4355" s="2" t="s">
        <v>8629</v>
      </c>
      <c r="B4355" s="2" t="s">
        <v>8629</v>
      </c>
      <c r="C4355" s="2" t="s">
        <v>74</v>
      </c>
      <c r="D4355" s="2" t="s">
        <v>18</v>
      </c>
      <c r="E4355" s="5">
        <v>-28953</v>
      </c>
      <c r="F4355" s="3" t="s">
        <v>367</v>
      </c>
      <c r="G4355" s="3" t="s">
        <v>62</v>
      </c>
      <c r="H4355" s="2" t="s">
        <v>21</v>
      </c>
      <c r="I4355" s="2" t="s">
        <v>8693</v>
      </c>
      <c r="J4355" s="3" t="str">
        <f>HYPERLINK("https://www.boe.es/gazeta/dias/1820/09/22/pdfs/GGB-1820-86.pdf#page=3","Abrir facsímil")</f>
        <v>Abrir facsímil</v>
      </c>
      <c r="K4355" s="3" t="s">
        <v>23</v>
      </c>
    </row>
    <row r="4356" spans="1:11" ht="42" customHeight="1">
      <c r="A4356" s="2" t="s">
        <v>8629</v>
      </c>
      <c r="B4356" s="2" t="s">
        <v>8629</v>
      </c>
      <c r="C4356" s="2" t="s">
        <v>47</v>
      </c>
      <c r="D4356" s="2" t="s">
        <v>18</v>
      </c>
      <c r="E4356" s="5">
        <v>-28952</v>
      </c>
      <c r="F4356" s="3" t="s">
        <v>370</v>
      </c>
      <c r="G4356" s="3" t="s">
        <v>62</v>
      </c>
      <c r="H4356" s="2" t="s">
        <v>21</v>
      </c>
      <c r="I4356" s="2" t="s">
        <v>8694</v>
      </c>
      <c r="J4356" s="3" t="str">
        <f>HYPERLINK("https://www.boe.es/gazeta/dias/1820/09/23/pdfs/GGB-1820-87.pdf#page=3","Abrir facsímil")</f>
        <v>Abrir facsímil</v>
      </c>
      <c r="K4356" s="3" t="s">
        <v>23</v>
      </c>
    </row>
    <row r="4357" spans="1:11" ht="42" customHeight="1">
      <c r="A4357" s="2" t="s">
        <v>8629</v>
      </c>
      <c r="B4357" s="2" t="s">
        <v>8629</v>
      </c>
      <c r="C4357" s="2" t="s">
        <v>17</v>
      </c>
      <c r="D4357" s="2" t="s">
        <v>18</v>
      </c>
      <c r="E4357" s="5">
        <v>-28951</v>
      </c>
      <c r="F4357" s="3" t="s">
        <v>622</v>
      </c>
      <c r="G4357" s="3" t="s">
        <v>62</v>
      </c>
      <c r="H4357" s="2" t="s">
        <v>21</v>
      </c>
      <c r="I4357" s="2" t="s">
        <v>8695</v>
      </c>
      <c r="J4357" s="3" t="str">
        <f>HYPERLINK("https://www.boe.es/gazeta/dias/1820/09/24/pdfs/GGB-1820-88.pdf#page=3","Abrir facsímil")</f>
        <v>Abrir facsímil</v>
      </c>
      <c r="K4357" s="3" t="s">
        <v>23</v>
      </c>
    </row>
    <row r="4358" spans="1:11" ht="42" customHeight="1">
      <c r="A4358" s="2" t="s">
        <v>8629</v>
      </c>
      <c r="B4358" s="2" t="s">
        <v>8629</v>
      </c>
      <c r="C4358" s="2" t="s">
        <v>35</v>
      </c>
      <c r="D4358" s="2" t="s">
        <v>36</v>
      </c>
      <c r="E4358" s="5">
        <v>-28950</v>
      </c>
      <c r="F4358" s="3" t="s">
        <v>1052</v>
      </c>
      <c r="G4358" s="3" t="s">
        <v>62</v>
      </c>
      <c r="H4358" s="2" t="s">
        <v>21</v>
      </c>
      <c r="I4358" s="2" t="s">
        <v>8696</v>
      </c>
      <c r="J4358" s="3" t="str">
        <f>HYPERLINK("https://www.boe.es/gazeta/dias/1820/09/25/pdfs/GGB-1820-89.pdf#page=3","Abrir facsímil")</f>
        <v>Abrir facsímil</v>
      </c>
      <c r="K4358" s="3" t="s">
        <v>23</v>
      </c>
    </row>
    <row r="4359" spans="1:11" ht="42" customHeight="1">
      <c r="A4359" s="2" t="s">
        <v>8629</v>
      </c>
      <c r="B4359" s="2" t="s">
        <v>8629</v>
      </c>
      <c r="C4359" s="2" t="s">
        <v>47</v>
      </c>
      <c r="D4359" s="2" t="s">
        <v>18</v>
      </c>
      <c r="E4359" s="5">
        <v>-28949</v>
      </c>
      <c r="F4359" s="3" t="s">
        <v>178</v>
      </c>
      <c r="G4359" s="3" t="s">
        <v>62</v>
      </c>
      <c r="H4359" s="2" t="s">
        <v>21</v>
      </c>
      <c r="I4359" s="2" t="s">
        <v>8697</v>
      </c>
      <c r="J4359" s="3" t="str">
        <f>HYPERLINK("https://www.boe.es/gazeta/dias/1820/09/26/pdfs/GGB-1820-90.pdf#page=3","Abrir facsímil")</f>
        <v>Abrir facsímil</v>
      </c>
      <c r="K4359" s="3" t="s">
        <v>23</v>
      </c>
    </row>
    <row r="4360" spans="1:11" ht="42" customHeight="1">
      <c r="A4360" s="2" t="s">
        <v>8629</v>
      </c>
      <c r="B4360" s="2" t="s">
        <v>8629</v>
      </c>
      <c r="C4360" s="2" t="s">
        <v>26</v>
      </c>
      <c r="D4360" s="2" t="s">
        <v>27</v>
      </c>
      <c r="E4360" s="5">
        <v>-28948</v>
      </c>
      <c r="F4360" s="3" t="s">
        <v>1069</v>
      </c>
      <c r="G4360" s="3" t="s">
        <v>43</v>
      </c>
      <c r="H4360" s="2" t="s">
        <v>21</v>
      </c>
      <c r="I4360" s="2" t="s">
        <v>8698</v>
      </c>
      <c r="J4360" s="3" t="str">
        <f>HYPERLINK("https://www.boe.es/gazeta/dias/1820/09/27/pdfs/GGB-1820-91.pdf#page=2","Abrir facsímil")</f>
        <v>Abrir facsímil</v>
      </c>
      <c r="K4360" s="3" t="s">
        <v>23</v>
      </c>
    </row>
    <row r="4361" spans="1:11" ht="42" customHeight="1">
      <c r="A4361" s="2" t="s">
        <v>8629</v>
      </c>
      <c r="B4361" s="2" t="s">
        <v>8629</v>
      </c>
      <c r="C4361" s="2" t="s">
        <v>17</v>
      </c>
      <c r="D4361" s="2" t="s">
        <v>18</v>
      </c>
      <c r="E4361" s="5">
        <v>-28947</v>
      </c>
      <c r="F4361" s="3" t="s">
        <v>127</v>
      </c>
      <c r="G4361" s="3" t="s">
        <v>43</v>
      </c>
      <c r="H4361" s="2" t="s">
        <v>21</v>
      </c>
      <c r="I4361" s="2" t="s">
        <v>8699</v>
      </c>
      <c r="J4361" s="3" t="str">
        <f>HYPERLINK("https://www.boe.es/gazeta/dias/1820/09/28/pdfs/GGB-1820-92.pdf#page=2","Abrir facsímil")</f>
        <v>Abrir facsímil</v>
      </c>
      <c r="K4361" s="3" t="s">
        <v>23</v>
      </c>
    </row>
    <row r="4362" spans="1:11" ht="42" customHeight="1">
      <c r="A4362" s="2" t="s">
        <v>8629</v>
      </c>
      <c r="B4362" s="2" t="s">
        <v>8629</v>
      </c>
      <c r="C4362" s="2" t="s">
        <v>111</v>
      </c>
      <c r="D4362" s="2" t="s">
        <v>18</v>
      </c>
      <c r="E4362" s="5">
        <v>-28947</v>
      </c>
      <c r="F4362" s="3" t="s">
        <v>127</v>
      </c>
      <c r="G4362" s="3" t="s">
        <v>62</v>
      </c>
      <c r="H4362" s="2" t="s">
        <v>21</v>
      </c>
      <c r="I4362" s="2" t="s">
        <v>8700</v>
      </c>
      <c r="J4362" s="3" t="str">
        <f>HYPERLINK("https://www.boe.es/gazeta/dias/1820/09/28/pdfs/GGB-1820-92.pdf#page=3","Abrir facsímil")</f>
        <v>Abrir facsímil</v>
      </c>
      <c r="K4362" s="3" t="s">
        <v>23</v>
      </c>
    </row>
    <row r="4363" spans="1:11" ht="42" customHeight="1">
      <c r="A4363" s="2" t="s">
        <v>8629</v>
      </c>
      <c r="B4363" s="2" t="s">
        <v>8629</v>
      </c>
      <c r="C4363" s="2" t="s">
        <v>17</v>
      </c>
      <c r="D4363" s="2" t="s">
        <v>18</v>
      </c>
      <c r="E4363" s="5">
        <v>-28945</v>
      </c>
      <c r="F4363" s="3" t="s">
        <v>99</v>
      </c>
      <c r="G4363" s="3" t="s">
        <v>62</v>
      </c>
      <c r="H4363" s="2" t="s">
        <v>21</v>
      </c>
      <c r="I4363" s="2" t="s">
        <v>8701</v>
      </c>
      <c r="J4363" s="3" t="str">
        <f>HYPERLINK("https://www.boe.es/gazeta/dias/1820/09/30/pdfs/GGB-1820-94.pdf#page=3","Abrir facsímil")</f>
        <v>Abrir facsímil</v>
      </c>
      <c r="K4363" s="3" t="s">
        <v>23</v>
      </c>
    </row>
    <row r="4364" spans="1:11" ht="42" customHeight="1">
      <c r="A4364" s="2" t="s">
        <v>8629</v>
      </c>
      <c r="B4364" s="2" t="s">
        <v>8629</v>
      </c>
      <c r="C4364" s="2" t="s">
        <v>35</v>
      </c>
      <c r="D4364" s="2" t="s">
        <v>36</v>
      </c>
      <c r="E4364" s="5">
        <v>-28943</v>
      </c>
      <c r="F4364" s="3" t="s">
        <v>1403</v>
      </c>
      <c r="G4364" s="3" t="s">
        <v>43</v>
      </c>
      <c r="H4364" s="2" t="s">
        <v>21</v>
      </c>
      <c r="I4364" s="2" t="s">
        <v>8702</v>
      </c>
      <c r="J4364" s="3" t="str">
        <f>HYPERLINK("https://www.boe.es/gazeta/dias/1820/10/02/pdfs/GGB-1820-96.pdf#page=2","Abrir facsímil")</f>
        <v>Abrir facsímil</v>
      </c>
      <c r="K4364" s="3" t="s">
        <v>23</v>
      </c>
    </row>
    <row r="4365" spans="1:11" ht="42" customHeight="1">
      <c r="A4365" s="2" t="s">
        <v>8629</v>
      </c>
      <c r="B4365" s="2" t="s">
        <v>8629</v>
      </c>
      <c r="C4365" s="2" t="s">
        <v>35</v>
      </c>
      <c r="D4365" s="2" t="s">
        <v>36</v>
      </c>
      <c r="E4365" s="5">
        <v>-28943</v>
      </c>
      <c r="F4365" s="3" t="s">
        <v>1403</v>
      </c>
      <c r="G4365" s="3" t="s">
        <v>62</v>
      </c>
      <c r="H4365" s="2" t="s">
        <v>21</v>
      </c>
      <c r="I4365" s="2" t="s">
        <v>8703</v>
      </c>
      <c r="J4365" s="3" t="str">
        <f>HYPERLINK("https://www.boe.es/gazeta/dias/1820/10/02/pdfs/GGB-1820-96.pdf#page=3","Abrir facsímil")</f>
        <v>Abrir facsímil</v>
      </c>
      <c r="K4365" s="3" t="s">
        <v>23</v>
      </c>
    </row>
    <row r="4366" spans="1:11" ht="42" customHeight="1">
      <c r="A4366" s="2" t="s">
        <v>8629</v>
      </c>
      <c r="B4366" s="2" t="s">
        <v>8629</v>
      </c>
      <c r="C4366" s="2" t="s">
        <v>35</v>
      </c>
      <c r="D4366" s="2" t="s">
        <v>36</v>
      </c>
      <c r="E4366" s="5">
        <v>-28940</v>
      </c>
      <c r="F4366" s="3" t="s">
        <v>141</v>
      </c>
      <c r="G4366" s="3" t="s">
        <v>43</v>
      </c>
      <c r="H4366" s="2" t="s">
        <v>21</v>
      </c>
      <c r="I4366" s="2" t="s">
        <v>8704</v>
      </c>
      <c r="J4366" s="3" t="str">
        <f>HYPERLINK("https://www.boe.es/gazeta/dias/1820/10/05/pdfs/GGB-1820-99.pdf#page=2","Abrir facsímil")</f>
        <v>Abrir facsímil</v>
      </c>
      <c r="K4366" s="3" t="s">
        <v>23</v>
      </c>
    </row>
    <row r="4367" spans="1:11" ht="42" customHeight="1">
      <c r="A4367" s="2" t="s">
        <v>8629</v>
      </c>
      <c r="B4367" s="2" t="s">
        <v>8629</v>
      </c>
      <c r="C4367" s="2" t="s">
        <v>35</v>
      </c>
      <c r="D4367" s="2" t="s">
        <v>36</v>
      </c>
      <c r="E4367" s="5">
        <v>-28940</v>
      </c>
      <c r="F4367" s="3" t="s">
        <v>141</v>
      </c>
      <c r="G4367" s="3" t="s">
        <v>62</v>
      </c>
      <c r="H4367" s="2" t="s">
        <v>21</v>
      </c>
      <c r="I4367" s="2" t="s">
        <v>8705</v>
      </c>
      <c r="J4367" s="3" t="str">
        <f>HYPERLINK("https://www.boe.es/gazeta/dias/1820/10/05/pdfs/GGB-1820-99.pdf#page=3","Abrir facsímil")</f>
        <v>Abrir facsímil</v>
      </c>
      <c r="K4367" s="3" t="s">
        <v>23</v>
      </c>
    </row>
    <row r="4368" spans="1:11" ht="42" customHeight="1">
      <c r="A4368" s="2" t="s">
        <v>8629</v>
      </c>
      <c r="B4368" s="2" t="s">
        <v>8629</v>
      </c>
      <c r="C4368" s="2" t="s">
        <v>1808</v>
      </c>
      <c r="D4368" s="2" t="s">
        <v>36</v>
      </c>
      <c r="E4368" s="5">
        <v>-28939</v>
      </c>
      <c r="F4368" s="3" t="s">
        <v>992</v>
      </c>
      <c r="G4368" s="3" t="s">
        <v>62</v>
      </c>
      <c r="H4368" s="2" t="s">
        <v>21</v>
      </c>
      <c r="I4368" s="2" t="s">
        <v>8706</v>
      </c>
      <c r="J4368" s="3" t="str">
        <f>HYPERLINK("https://www.boe.es/gazeta/dias/1820/10/06/pdfs/GGB-1820-100.pdf#page=3","Abrir facsímil")</f>
        <v>Abrir facsímil</v>
      </c>
      <c r="K4368" s="3" t="s">
        <v>23</v>
      </c>
    </row>
    <row r="4369" spans="1:11" ht="42" customHeight="1">
      <c r="A4369" s="2" t="s">
        <v>8629</v>
      </c>
      <c r="B4369" s="2" t="s">
        <v>8629</v>
      </c>
      <c r="C4369" s="2" t="s">
        <v>35</v>
      </c>
      <c r="D4369" s="2" t="s">
        <v>36</v>
      </c>
      <c r="E4369" s="5">
        <v>-28938</v>
      </c>
      <c r="F4369" s="3" t="s">
        <v>716</v>
      </c>
      <c r="G4369" s="3" t="s">
        <v>717</v>
      </c>
      <c r="H4369" s="2" t="s">
        <v>21</v>
      </c>
      <c r="I4369" s="2" t="s">
        <v>8707</v>
      </c>
      <c r="J4369" s="3" t="str">
        <f>HYPERLINK("https://www.boe.es/gazeta/dias/1820/10/07/pdfs/GGB-1820-101.pdf#page=2","Abrir facsímil")</f>
        <v>Abrir facsímil</v>
      </c>
      <c r="K4369" s="3" t="s">
        <v>23</v>
      </c>
    </row>
    <row r="4370" spans="1:11" ht="42" customHeight="1">
      <c r="A4370" s="2" t="s">
        <v>8629</v>
      </c>
      <c r="B4370" s="2" t="s">
        <v>8629</v>
      </c>
      <c r="C4370" s="2" t="s">
        <v>17</v>
      </c>
      <c r="D4370" s="2" t="s">
        <v>18</v>
      </c>
      <c r="E4370" s="5">
        <v>-28937</v>
      </c>
      <c r="F4370" s="3" t="s">
        <v>4254</v>
      </c>
      <c r="G4370" s="3" t="s">
        <v>6960</v>
      </c>
      <c r="H4370" s="2" t="s">
        <v>21</v>
      </c>
      <c r="I4370" s="2" t="s">
        <v>8708</v>
      </c>
      <c r="J4370" s="3" t="str">
        <f>HYPERLINK("https://www.boe.es/gazeta/dias/1820/10/08/pdfs/GGB-1820-102.pdf#page=2","Abrir facsímil")</f>
        <v>Abrir facsímil</v>
      </c>
      <c r="K4370" s="3" t="s">
        <v>23</v>
      </c>
    </row>
    <row r="4371" spans="1:11" ht="42" customHeight="1">
      <c r="A4371" s="2" t="s">
        <v>8629</v>
      </c>
      <c r="B4371" s="2" t="s">
        <v>8629</v>
      </c>
      <c r="C4371" s="2" t="s">
        <v>35</v>
      </c>
      <c r="D4371" s="2" t="s">
        <v>36</v>
      </c>
      <c r="E4371" s="5">
        <v>-28937</v>
      </c>
      <c r="F4371" s="3" t="s">
        <v>4254</v>
      </c>
      <c r="G4371" s="3" t="s">
        <v>62</v>
      </c>
      <c r="H4371" s="2" t="s">
        <v>21</v>
      </c>
      <c r="I4371" s="2" t="s">
        <v>8709</v>
      </c>
      <c r="J4371" s="3" t="str">
        <f>HYPERLINK("https://www.boe.es/gazeta/dias/1820/10/08/pdfs/GGB-1820-102.pdf#page=3","Abrir facsímil")</f>
        <v>Abrir facsímil</v>
      </c>
      <c r="K4371" s="3" t="s">
        <v>23</v>
      </c>
    </row>
    <row r="4372" spans="1:11" ht="42" customHeight="1">
      <c r="A4372" s="2" t="s">
        <v>8629</v>
      </c>
      <c r="B4372" s="2" t="s">
        <v>8629</v>
      </c>
      <c r="C4372" s="2" t="s">
        <v>74</v>
      </c>
      <c r="D4372" s="2" t="s">
        <v>18</v>
      </c>
      <c r="E4372" s="5">
        <v>-28936</v>
      </c>
      <c r="F4372" s="3" t="s">
        <v>167</v>
      </c>
      <c r="G4372" s="3" t="s">
        <v>43</v>
      </c>
      <c r="H4372" s="2" t="s">
        <v>21</v>
      </c>
      <c r="I4372" s="2" t="s">
        <v>8710</v>
      </c>
      <c r="J4372" s="3" t="str">
        <f>HYPERLINK("https://www.boe.es/gazeta/dias/1820/10/09/pdfs/GGB-1820-103.pdf#page=2","Abrir facsímil")</f>
        <v>Abrir facsímil</v>
      </c>
      <c r="K4372" s="3" t="s">
        <v>23</v>
      </c>
    </row>
    <row r="4373" spans="1:11" ht="42" customHeight="1">
      <c r="A4373" s="2" t="s">
        <v>8657</v>
      </c>
      <c r="B4373" s="2" t="s">
        <v>8657</v>
      </c>
      <c r="C4373" s="2" t="s">
        <v>74</v>
      </c>
      <c r="D4373" s="2" t="s">
        <v>18</v>
      </c>
      <c r="E4373" s="5">
        <v>-28932</v>
      </c>
      <c r="F4373" s="3" t="s">
        <v>407</v>
      </c>
      <c r="G4373" s="3" t="s">
        <v>20</v>
      </c>
      <c r="H4373" s="2" t="s">
        <v>21</v>
      </c>
      <c r="I4373" s="2" t="s">
        <v>8711</v>
      </c>
      <c r="J4373" s="3" t="str">
        <f>HYPERLINK("https://www.boe.es/gazeta/dias/1820/10/13/pdfs/GGB-1820-107.pdf#page=4","Abrir facsímil")</f>
        <v>Abrir facsímil</v>
      </c>
      <c r="K4373" s="3" t="s">
        <v>23</v>
      </c>
    </row>
    <row r="4374" spans="1:11" ht="42" customHeight="1">
      <c r="A4374" s="2" t="s">
        <v>8629</v>
      </c>
      <c r="B4374" s="2" t="s">
        <v>8629</v>
      </c>
      <c r="C4374" s="2" t="s">
        <v>17</v>
      </c>
      <c r="D4374" s="2" t="s">
        <v>18</v>
      </c>
      <c r="E4374" s="5">
        <v>-28931</v>
      </c>
      <c r="F4374" s="3" t="s">
        <v>724</v>
      </c>
      <c r="G4374" s="3" t="s">
        <v>725</v>
      </c>
      <c r="H4374" s="2" t="s">
        <v>21</v>
      </c>
      <c r="I4374" s="2" t="s">
        <v>8712</v>
      </c>
      <c r="J4374" s="3" t="str">
        <f>HYPERLINK("https://www.boe.es/gazeta/dias/1820/10/14/pdfs/GGB-1820-108.pdf#page=3","Abrir facsímil")</f>
        <v>Abrir facsímil</v>
      </c>
      <c r="K4374" s="3" t="s">
        <v>23</v>
      </c>
    </row>
    <row r="4375" spans="1:11" ht="42" customHeight="1">
      <c r="A4375" s="2" t="s">
        <v>8629</v>
      </c>
      <c r="B4375" s="2" t="s">
        <v>8629</v>
      </c>
      <c r="C4375" s="2" t="s">
        <v>17</v>
      </c>
      <c r="D4375" s="2" t="s">
        <v>18</v>
      </c>
      <c r="E4375" s="5">
        <v>-28926</v>
      </c>
      <c r="F4375" s="3" t="s">
        <v>597</v>
      </c>
      <c r="G4375" s="3" t="s">
        <v>62</v>
      </c>
      <c r="H4375" s="2" t="s">
        <v>21</v>
      </c>
      <c r="I4375" s="2" t="s">
        <v>8713</v>
      </c>
      <c r="J4375" s="3" t="str">
        <f>HYPERLINK("https://www.boe.es/gazeta/dias/1820/10/19/pdfs/GGB-1820-113.pdf#page=3","Abrir facsímil")</f>
        <v>Abrir facsímil</v>
      </c>
      <c r="K4375" s="3" t="s">
        <v>23</v>
      </c>
    </row>
    <row r="4376" spans="1:11" ht="42" customHeight="1">
      <c r="A4376" s="2" t="s">
        <v>8629</v>
      </c>
      <c r="B4376" s="2" t="s">
        <v>8629</v>
      </c>
      <c r="C4376" s="2" t="s">
        <v>17</v>
      </c>
      <c r="D4376" s="2" t="s">
        <v>18</v>
      </c>
      <c r="E4376" s="5">
        <v>-28925</v>
      </c>
      <c r="F4376" s="3" t="s">
        <v>228</v>
      </c>
      <c r="G4376" s="3" t="s">
        <v>43</v>
      </c>
      <c r="H4376" s="2" t="s">
        <v>21</v>
      </c>
      <c r="I4376" s="2" t="s">
        <v>8714</v>
      </c>
      <c r="J4376" s="3" t="str">
        <f>HYPERLINK("https://www.boe.es/gazeta/dias/1820/10/20/pdfs/GGB-1820-114.pdf#page=2","Abrir facsímil")</f>
        <v>Abrir facsímil</v>
      </c>
      <c r="K4376" s="3" t="s">
        <v>23</v>
      </c>
    </row>
    <row r="4377" spans="1:11" ht="42" customHeight="1">
      <c r="A4377" s="2" t="s">
        <v>8629</v>
      </c>
      <c r="B4377" s="2" t="s">
        <v>8629</v>
      </c>
      <c r="C4377" s="2" t="s">
        <v>35</v>
      </c>
      <c r="D4377" s="2" t="s">
        <v>36</v>
      </c>
      <c r="E4377" s="5">
        <v>-28925</v>
      </c>
      <c r="F4377" s="3" t="s">
        <v>228</v>
      </c>
      <c r="G4377" s="3" t="s">
        <v>20</v>
      </c>
      <c r="H4377" s="2" t="s">
        <v>21</v>
      </c>
      <c r="I4377" s="2" t="s">
        <v>8715</v>
      </c>
      <c r="J4377" s="3" t="str">
        <f>HYPERLINK("https://www.boe.es/gazeta/dias/1820/10/20/pdfs/GGB-1820-114.pdf#page=4","Abrir facsímil")</f>
        <v>Abrir facsímil</v>
      </c>
      <c r="K4377" s="3" t="s">
        <v>23</v>
      </c>
    </row>
    <row r="4378" spans="1:11" ht="42" customHeight="1">
      <c r="A4378" s="2" t="s">
        <v>8629</v>
      </c>
      <c r="B4378" s="2" t="s">
        <v>8629</v>
      </c>
      <c r="C4378" s="2" t="s">
        <v>17</v>
      </c>
      <c r="D4378" s="2" t="s">
        <v>18</v>
      </c>
      <c r="E4378" s="5">
        <v>-28924</v>
      </c>
      <c r="F4378" s="3" t="s">
        <v>78</v>
      </c>
      <c r="G4378" s="3" t="s">
        <v>43</v>
      </c>
      <c r="H4378" s="2" t="s">
        <v>21</v>
      </c>
      <c r="I4378" s="2" t="s">
        <v>8716</v>
      </c>
      <c r="J4378" s="3" t="str">
        <f>HYPERLINK("https://www.boe.es/gazeta/dias/1820/10/21/pdfs/GGB-1820-115.pdf#page=2","Abrir facsímil")</f>
        <v>Abrir facsímil</v>
      </c>
      <c r="K4378" s="3" t="s">
        <v>23</v>
      </c>
    </row>
    <row r="4379" spans="1:11" ht="42" customHeight="1">
      <c r="A4379" s="2" t="s">
        <v>8629</v>
      </c>
      <c r="B4379" s="2" t="s">
        <v>8629</v>
      </c>
      <c r="C4379" s="2" t="s">
        <v>26</v>
      </c>
      <c r="D4379" s="2" t="s">
        <v>27</v>
      </c>
      <c r="E4379" s="5">
        <v>-28924</v>
      </c>
      <c r="F4379" s="3" t="s">
        <v>78</v>
      </c>
      <c r="G4379" s="3" t="s">
        <v>62</v>
      </c>
      <c r="H4379" s="2" t="s">
        <v>21</v>
      </c>
      <c r="I4379" s="2" t="s">
        <v>8717</v>
      </c>
      <c r="J4379" s="3" t="str">
        <f>HYPERLINK("https://www.boe.es/gazeta/dias/1820/10/21/pdfs/GGB-1820-115.pdf#page=3","Abrir facsímil")</f>
        <v>Abrir facsímil</v>
      </c>
      <c r="K4379" s="3" t="s">
        <v>23</v>
      </c>
    </row>
    <row r="4380" spans="1:11" ht="42" customHeight="1">
      <c r="A4380" s="2" t="s">
        <v>8629</v>
      </c>
      <c r="B4380" s="2" t="s">
        <v>8629</v>
      </c>
      <c r="C4380" s="2" t="s">
        <v>74</v>
      </c>
      <c r="D4380" s="2" t="s">
        <v>18</v>
      </c>
      <c r="E4380" s="5">
        <v>-28922</v>
      </c>
      <c r="F4380" s="3" t="s">
        <v>735</v>
      </c>
      <c r="G4380" s="3" t="s">
        <v>43</v>
      </c>
      <c r="H4380" s="2" t="s">
        <v>21</v>
      </c>
      <c r="I4380" s="2" t="s">
        <v>8718</v>
      </c>
      <c r="J4380" s="3" t="str">
        <f>HYPERLINK("https://www.boe.es/gazeta/dias/1820/10/23/pdfs/GGB-1820-117.pdf#page=2","Abrir facsímil")</f>
        <v>Abrir facsímil</v>
      </c>
      <c r="K4380" s="3" t="s">
        <v>23</v>
      </c>
    </row>
    <row r="4381" spans="1:11" ht="42" customHeight="1">
      <c r="A4381" s="2" t="s">
        <v>8629</v>
      </c>
      <c r="B4381" s="2" t="s">
        <v>8629</v>
      </c>
      <c r="C4381" s="2" t="s">
        <v>26</v>
      </c>
      <c r="D4381" s="2" t="s">
        <v>27</v>
      </c>
      <c r="E4381" s="5">
        <v>-28921</v>
      </c>
      <c r="F4381" s="3" t="s">
        <v>738</v>
      </c>
      <c r="G4381" s="3" t="s">
        <v>3686</v>
      </c>
      <c r="H4381" s="2" t="s">
        <v>21</v>
      </c>
      <c r="I4381" s="2" t="s">
        <v>8719</v>
      </c>
      <c r="J4381" s="3" t="str">
        <f>HYPERLINK("https://www.boe.es/gazeta/dias/1820/10/24/pdfs/GGB-1820-118.pdf#page=3","Abrir facsímil")</f>
        <v>Abrir facsímil</v>
      </c>
      <c r="K4381" s="3" t="s">
        <v>23</v>
      </c>
    </row>
    <row r="4382" spans="1:11" ht="42" customHeight="1">
      <c r="A4382" s="2" t="s">
        <v>8657</v>
      </c>
      <c r="B4382" s="2" t="s">
        <v>8657</v>
      </c>
      <c r="C4382" s="2" t="s">
        <v>74</v>
      </c>
      <c r="D4382" s="2" t="s">
        <v>18</v>
      </c>
      <c r="E4382" s="5">
        <v>-28921</v>
      </c>
      <c r="F4382" s="3" t="s">
        <v>738</v>
      </c>
      <c r="G4382" s="3" t="s">
        <v>20</v>
      </c>
      <c r="H4382" s="2" t="s">
        <v>21</v>
      </c>
      <c r="I4382" s="2" t="s">
        <v>8720</v>
      </c>
      <c r="J4382" s="3" t="str">
        <f>HYPERLINK("https://www.boe.es/gazeta/dias/1820/10/24/pdfs/GGB-1820-118.pdf#page=4","Abrir facsímil")</f>
        <v>Abrir facsímil</v>
      </c>
      <c r="K4382" s="3" t="s">
        <v>23</v>
      </c>
    </row>
    <row r="4383" spans="1:11" ht="42" customHeight="1">
      <c r="A4383" s="2" t="s">
        <v>8629</v>
      </c>
      <c r="B4383" s="2" t="s">
        <v>8629</v>
      </c>
      <c r="C4383" s="2" t="s">
        <v>293</v>
      </c>
      <c r="D4383" s="2" t="s">
        <v>18</v>
      </c>
      <c r="E4383" s="5">
        <v>-28920</v>
      </c>
      <c r="F4383" s="3" t="s">
        <v>399</v>
      </c>
      <c r="G4383" s="3" t="s">
        <v>62</v>
      </c>
      <c r="H4383" s="2" t="s">
        <v>21</v>
      </c>
      <c r="I4383" s="2" t="s">
        <v>8721</v>
      </c>
      <c r="J4383" s="3" t="str">
        <f>HYPERLINK("https://www.boe.es/gazeta/dias/1820/10/25/pdfs/GGB-1820-119.pdf#page=3","Abrir facsímil")</f>
        <v>Abrir facsímil</v>
      </c>
      <c r="K4383" s="3" t="s">
        <v>23</v>
      </c>
    </row>
    <row r="4384" spans="1:11" ht="42" customHeight="1">
      <c r="A4384" s="2" t="s">
        <v>8629</v>
      </c>
      <c r="B4384" s="2" t="s">
        <v>8629</v>
      </c>
      <c r="C4384" s="2" t="s">
        <v>47</v>
      </c>
      <c r="D4384" s="2" t="s">
        <v>18</v>
      </c>
      <c r="E4384" s="5">
        <v>-28919</v>
      </c>
      <c r="F4384" s="3" t="s">
        <v>516</v>
      </c>
      <c r="G4384" s="3" t="s">
        <v>62</v>
      </c>
      <c r="H4384" s="2" t="s">
        <v>21</v>
      </c>
      <c r="I4384" s="2" t="s">
        <v>8722</v>
      </c>
      <c r="J4384" s="3" t="str">
        <f>HYPERLINK("https://www.boe.es/gazeta/dias/1820/10/26/pdfs/GGB-1820-120.pdf#page=3","Abrir facsímil")</f>
        <v>Abrir facsímil</v>
      </c>
      <c r="K4384" s="3" t="s">
        <v>23</v>
      </c>
    </row>
    <row r="4385" spans="1:11" ht="42" customHeight="1">
      <c r="A4385" s="2" t="s">
        <v>8629</v>
      </c>
      <c r="B4385" s="2" t="s">
        <v>8629</v>
      </c>
      <c r="C4385" s="2" t="s">
        <v>74</v>
      </c>
      <c r="D4385" s="2" t="s">
        <v>18</v>
      </c>
      <c r="E4385" s="5">
        <v>-28918</v>
      </c>
      <c r="F4385" s="3" t="s">
        <v>160</v>
      </c>
      <c r="G4385" s="3" t="s">
        <v>62</v>
      </c>
      <c r="H4385" s="2" t="s">
        <v>21</v>
      </c>
      <c r="I4385" s="2" t="s">
        <v>8723</v>
      </c>
      <c r="J4385" s="3" t="str">
        <f>HYPERLINK("https://www.boe.es/gazeta/dias/1820/10/27/pdfs/GGB-1820-121.pdf#page=3","Abrir facsímil")</f>
        <v>Abrir facsímil</v>
      </c>
      <c r="K4385" s="3" t="s">
        <v>23</v>
      </c>
    </row>
    <row r="4386" spans="1:11" ht="42" customHeight="1">
      <c r="A4386" s="2" t="s">
        <v>8657</v>
      </c>
      <c r="B4386" s="2" t="s">
        <v>8657</v>
      </c>
      <c r="C4386" s="2" t="s">
        <v>293</v>
      </c>
      <c r="D4386" s="2" t="s">
        <v>18</v>
      </c>
      <c r="E4386" s="5">
        <v>-28918</v>
      </c>
      <c r="F4386" s="3" t="s">
        <v>160</v>
      </c>
      <c r="G4386" s="3" t="s">
        <v>20</v>
      </c>
      <c r="H4386" s="2" t="s">
        <v>21</v>
      </c>
      <c r="I4386" s="2" t="s">
        <v>8724</v>
      </c>
      <c r="J4386" s="3" t="str">
        <f>HYPERLINK("https://www.boe.es/gazeta/dias/1820/10/27/pdfs/GGB-1820-121.pdf#page=4","Abrir facsímil")</f>
        <v>Abrir facsímil</v>
      </c>
      <c r="K4386" s="3" t="s">
        <v>23</v>
      </c>
    </row>
    <row r="4387" spans="1:11" ht="42" customHeight="1">
      <c r="A4387" s="2" t="s">
        <v>8629</v>
      </c>
      <c r="B4387" s="2" t="s">
        <v>8629</v>
      </c>
      <c r="C4387" s="2" t="s">
        <v>35</v>
      </c>
      <c r="D4387" s="2" t="s">
        <v>36</v>
      </c>
      <c r="E4387" s="5">
        <v>-28916</v>
      </c>
      <c r="F4387" s="3" t="s">
        <v>2688</v>
      </c>
      <c r="G4387" s="3" t="s">
        <v>62</v>
      </c>
      <c r="H4387" s="2" t="s">
        <v>21</v>
      </c>
      <c r="I4387" s="2" t="s">
        <v>8725</v>
      </c>
      <c r="J4387" s="3" t="str">
        <f>HYPERLINK("https://www.boe.es/gazeta/dias/1820/10/29/pdfs/GGB-1820-123.pdf#page=3","Abrir facsímil")</f>
        <v>Abrir facsímil</v>
      </c>
      <c r="K4387" s="3" t="s">
        <v>23</v>
      </c>
    </row>
    <row r="4388" spans="1:11" ht="42" customHeight="1">
      <c r="A4388" s="2" t="s">
        <v>8629</v>
      </c>
      <c r="B4388" s="2" t="s">
        <v>8629</v>
      </c>
      <c r="C4388" s="2" t="s">
        <v>35</v>
      </c>
      <c r="D4388" s="2" t="s">
        <v>36</v>
      </c>
      <c r="E4388" s="5">
        <v>-28915</v>
      </c>
      <c r="F4388" s="3" t="s">
        <v>525</v>
      </c>
      <c r="G4388" s="3" t="s">
        <v>62</v>
      </c>
      <c r="H4388" s="2" t="s">
        <v>21</v>
      </c>
      <c r="I4388" s="2" t="s">
        <v>8726</v>
      </c>
      <c r="J4388" s="3" t="str">
        <f>HYPERLINK("https://www.boe.es/gazeta/dias/1820/10/30/pdfs/GGB-1820-124.pdf#page=3","Abrir facsímil")</f>
        <v>Abrir facsímil</v>
      </c>
      <c r="K4388" s="3" t="s">
        <v>23</v>
      </c>
    </row>
    <row r="4389" spans="1:11" ht="42" customHeight="1">
      <c r="A4389" s="2" t="s">
        <v>8629</v>
      </c>
      <c r="B4389" s="2" t="s">
        <v>8629</v>
      </c>
      <c r="C4389" s="2" t="s">
        <v>26</v>
      </c>
      <c r="D4389" s="2" t="s">
        <v>27</v>
      </c>
      <c r="E4389" s="5">
        <v>-28915</v>
      </c>
      <c r="F4389" s="3" t="s">
        <v>525</v>
      </c>
      <c r="G4389" s="3" t="s">
        <v>20</v>
      </c>
      <c r="H4389" s="2" t="s">
        <v>21</v>
      </c>
      <c r="I4389" s="2" t="s">
        <v>8727</v>
      </c>
      <c r="J4389" s="3" t="str">
        <f>HYPERLINK("https://www.boe.es/gazeta/dias/1820/10/30/pdfs/GGB-1820-124.pdf#page=4","Abrir facsímil")</f>
        <v>Abrir facsímil</v>
      </c>
      <c r="K4389" s="3" t="s">
        <v>23</v>
      </c>
    </row>
    <row r="4390" spans="1:11" ht="42" customHeight="1">
      <c r="A4390" s="2" t="s">
        <v>8629</v>
      </c>
      <c r="B4390" s="2" t="s">
        <v>8629</v>
      </c>
      <c r="C4390" s="2" t="s">
        <v>35</v>
      </c>
      <c r="D4390" s="2" t="s">
        <v>36</v>
      </c>
      <c r="E4390" s="5">
        <v>-28914</v>
      </c>
      <c r="F4390" s="3" t="s">
        <v>434</v>
      </c>
      <c r="G4390" s="3" t="s">
        <v>128</v>
      </c>
      <c r="H4390" s="2" t="s">
        <v>21</v>
      </c>
      <c r="I4390" s="2" t="s">
        <v>8728</v>
      </c>
      <c r="J4390" s="3" t="str">
        <f>HYPERLINK("https://www.boe.es/gazeta/dias/1820/10/31/pdfs/GGB-1820-125.pdf#page=1","Abrir facsímil")</f>
        <v>Abrir facsímil</v>
      </c>
      <c r="K4390" s="3" t="s">
        <v>23</v>
      </c>
    </row>
    <row r="4391" spans="1:11" ht="42" customHeight="1">
      <c r="A4391" s="2" t="s">
        <v>8629</v>
      </c>
      <c r="B4391" s="2" t="s">
        <v>8629</v>
      </c>
      <c r="C4391" s="2" t="s">
        <v>17</v>
      </c>
      <c r="D4391" s="2" t="s">
        <v>18</v>
      </c>
      <c r="E4391" s="5">
        <v>-28914</v>
      </c>
      <c r="F4391" s="3" t="s">
        <v>434</v>
      </c>
      <c r="G4391" s="3" t="s">
        <v>43</v>
      </c>
      <c r="H4391" s="2" t="s">
        <v>21</v>
      </c>
      <c r="I4391" s="2" t="s">
        <v>8729</v>
      </c>
      <c r="J4391" s="3" t="str">
        <f>HYPERLINK("https://www.boe.es/gazeta/dias/1820/10/31/pdfs/GGB-1820-125.pdf#page=2","Abrir facsímil")</f>
        <v>Abrir facsímil</v>
      </c>
      <c r="K4391" s="3" t="s">
        <v>23</v>
      </c>
    </row>
    <row r="4392" spans="1:11" ht="42" customHeight="1">
      <c r="A4392" s="2" t="s">
        <v>8629</v>
      </c>
      <c r="B4392" s="2" t="s">
        <v>8629</v>
      </c>
      <c r="C4392" s="2" t="s">
        <v>74</v>
      </c>
      <c r="D4392" s="2" t="s">
        <v>18</v>
      </c>
      <c r="E4392" s="5">
        <v>-28913</v>
      </c>
      <c r="F4392" s="3" t="s">
        <v>230</v>
      </c>
      <c r="G4392" s="3" t="s">
        <v>62</v>
      </c>
      <c r="H4392" s="2" t="s">
        <v>21</v>
      </c>
      <c r="I4392" s="2" t="s">
        <v>8730</v>
      </c>
      <c r="J4392" s="3" t="str">
        <f>HYPERLINK("https://www.boe.es/gazeta/dias/1820/11/01/pdfs/GGB-1820-126.pdf#page=3","Abrir facsímil")</f>
        <v>Abrir facsímil</v>
      </c>
      <c r="K4392" s="3" t="s">
        <v>23</v>
      </c>
    </row>
    <row r="4393" spans="1:11" ht="42" customHeight="1">
      <c r="A4393" s="2" t="s">
        <v>8629</v>
      </c>
      <c r="B4393" s="2" t="s">
        <v>8629</v>
      </c>
      <c r="C4393" s="2" t="s">
        <v>111</v>
      </c>
      <c r="D4393" s="2" t="s">
        <v>18</v>
      </c>
      <c r="E4393" s="5">
        <v>-28912</v>
      </c>
      <c r="F4393" s="3" t="s">
        <v>1329</v>
      </c>
      <c r="G4393" s="3" t="s">
        <v>20</v>
      </c>
      <c r="H4393" s="2" t="s">
        <v>21</v>
      </c>
      <c r="I4393" s="2" t="s">
        <v>8731</v>
      </c>
      <c r="J4393" s="3" t="str">
        <f>HYPERLINK("https://www.boe.es/gazeta/dias/1820/11/02/pdfs/GGB-1820-127.pdf#page=4","Abrir facsímil")</f>
        <v>Abrir facsímil</v>
      </c>
      <c r="K4393" s="3" t="s">
        <v>23</v>
      </c>
    </row>
    <row r="4394" spans="1:11" ht="42" customHeight="1">
      <c r="A4394" s="2" t="s">
        <v>8629</v>
      </c>
      <c r="B4394" s="2" t="s">
        <v>8629</v>
      </c>
      <c r="C4394" s="2" t="s">
        <v>35</v>
      </c>
      <c r="D4394" s="2" t="s">
        <v>36</v>
      </c>
      <c r="E4394" s="5">
        <v>-28910</v>
      </c>
      <c r="F4394" s="3" t="s">
        <v>746</v>
      </c>
      <c r="G4394" s="3" t="s">
        <v>62</v>
      </c>
      <c r="H4394" s="2" t="s">
        <v>21</v>
      </c>
      <c r="I4394" s="2" t="s">
        <v>8732</v>
      </c>
      <c r="J4394" s="3" t="str">
        <f>HYPERLINK("https://www.boe.es/gazeta/dias/1820/11/04/pdfs/GGB-1820-129.pdf#page=3","Abrir facsímil")</f>
        <v>Abrir facsímil</v>
      </c>
      <c r="K4394" s="3" t="s">
        <v>23</v>
      </c>
    </row>
    <row r="4395" spans="1:11" ht="42" customHeight="1">
      <c r="A4395" s="2" t="s">
        <v>8629</v>
      </c>
      <c r="B4395" s="2" t="s">
        <v>8629</v>
      </c>
      <c r="C4395" s="2" t="s">
        <v>293</v>
      </c>
      <c r="D4395" s="2" t="s">
        <v>18</v>
      </c>
      <c r="E4395" s="5">
        <v>-28908</v>
      </c>
      <c r="F4395" s="3" t="s">
        <v>1060</v>
      </c>
      <c r="G4395" s="3" t="s">
        <v>62</v>
      </c>
      <c r="H4395" s="2" t="s">
        <v>21</v>
      </c>
      <c r="I4395" s="2" t="s">
        <v>8733</v>
      </c>
      <c r="J4395" s="3" t="str">
        <f>HYPERLINK("https://www.boe.es/gazeta/dias/1820/11/06/pdfs/GGB-1820-131.pdf#page=3","Abrir facsímil")</f>
        <v>Abrir facsímil</v>
      </c>
      <c r="K4395" s="3" t="s">
        <v>23</v>
      </c>
    </row>
    <row r="4396" spans="1:11" ht="42" customHeight="1">
      <c r="A4396" s="2" t="s">
        <v>8629</v>
      </c>
      <c r="B4396" s="2" t="s">
        <v>8629</v>
      </c>
      <c r="C4396" s="2" t="s">
        <v>35</v>
      </c>
      <c r="D4396" s="2" t="s">
        <v>36</v>
      </c>
      <c r="E4396" s="5">
        <v>-28907</v>
      </c>
      <c r="F4396" s="3" t="s">
        <v>374</v>
      </c>
      <c r="G4396" s="3" t="s">
        <v>128</v>
      </c>
      <c r="H4396" s="2" t="s">
        <v>21</v>
      </c>
      <c r="I4396" s="2" t="s">
        <v>8734</v>
      </c>
      <c r="J4396" s="3" t="str">
        <f>HYPERLINK("https://www.boe.es/gazeta/dias/1820/11/07/pdfs/GGB-1820-132.pdf#page=1","Abrir facsímil")</f>
        <v>Abrir facsímil</v>
      </c>
      <c r="K4396" s="3" t="s">
        <v>23</v>
      </c>
    </row>
    <row r="4397" spans="1:11" ht="42" customHeight="1">
      <c r="A4397" s="2" t="s">
        <v>8735</v>
      </c>
      <c r="B4397" s="2" t="s">
        <v>8736</v>
      </c>
      <c r="C4397" s="2" t="s">
        <v>26</v>
      </c>
      <c r="D4397" s="2" t="s">
        <v>27</v>
      </c>
      <c r="E4397" s="5">
        <v>-28985</v>
      </c>
      <c r="F4397" s="3" t="s">
        <v>905</v>
      </c>
      <c r="G4397" s="3" t="s">
        <v>62</v>
      </c>
      <c r="H4397" s="2" t="s">
        <v>21</v>
      </c>
      <c r="I4397" s="2" t="s">
        <v>8737</v>
      </c>
      <c r="J4397" s="3" t="str">
        <f>HYPERLINK("https://www.boe.es/gazeta/dias/1820/08/21/pdfs/GGB-1820-54.pdf#page=3","Abrir facsímil")</f>
        <v>Abrir facsímil</v>
      </c>
      <c r="K4397" s="3" t="s">
        <v>23</v>
      </c>
    </row>
    <row r="4398" spans="1:11" ht="42" customHeight="1">
      <c r="A4398" s="2" t="s">
        <v>8738</v>
      </c>
      <c r="B4398" s="2" t="s">
        <v>8739</v>
      </c>
      <c r="C4398" s="2" t="s">
        <v>47</v>
      </c>
      <c r="D4398" s="2" t="s">
        <v>18</v>
      </c>
      <c r="E4398" s="5">
        <v>-28859</v>
      </c>
      <c r="F4398" s="3" t="s">
        <v>265</v>
      </c>
      <c r="G4398" s="3" t="s">
        <v>62</v>
      </c>
      <c r="H4398" s="2" t="s">
        <v>21</v>
      </c>
      <c r="I4398" s="2" t="s">
        <v>8740</v>
      </c>
      <c r="J4398" s="3" t="str">
        <f>HYPERLINK("https://www.boe.es/gazeta/dias/1820/12/25/pdfs/GGB-1820-182.pdf#page=3","Abrir facsímil")</f>
        <v>Abrir facsímil</v>
      </c>
      <c r="K4398" s="3" t="s">
        <v>23</v>
      </c>
    </row>
    <row r="4399" spans="1:11" ht="42" customHeight="1">
      <c r="A4399" s="2" t="s">
        <v>8741</v>
      </c>
      <c r="B4399" s="2" t="s">
        <v>8742</v>
      </c>
      <c r="C4399" s="2" t="s">
        <v>26</v>
      </c>
      <c r="D4399" s="2" t="s">
        <v>27</v>
      </c>
      <c r="E4399" s="5">
        <v>-29143</v>
      </c>
      <c r="F4399" s="3" t="s">
        <v>334</v>
      </c>
      <c r="G4399" s="3" t="s">
        <v>201</v>
      </c>
      <c r="H4399" s="2" t="s">
        <v>21</v>
      </c>
      <c r="I4399" s="2" t="s">
        <v>8743</v>
      </c>
      <c r="J4399" s="3" t="str">
        <f>HYPERLINK("https://www.boe.es/gazeta/dias/1820/03/16/pdfs/GMD-1820-42.pdf#page=7","Abrir facsímil")</f>
        <v>Abrir facsímil</v>
      </c>
      <c r="K4399" s="3" t="s">
        <v>23</v>
      </c>
    </row>
    <row r="4400" spans="1:11" ht="42" customHeight="1">
      <c r="A4400" s="2" t="s">
        <v>8744</v>
      </c>
      <c r="B4400" s="2" t="s">
        <v>8745</v>
      </c>
      <c r="C4400" s="2" t="s">
        <v>47</v>
      </c>
      <c r="D4400" s="2" t="s">
        <v>18</v>
      </c>
      <c r="E4400" s="5">
        <v>-28975</v>
      </c>
      <c r="F4400" s="3" t="s">
        <v>182</v>
      </c>
      <c r="G4400" s="3" t="s">
        <v>183</v>
      </c>
      <c r="H4400" s="2" t="s">
        <v>21</v>
      </c>
      <c r="I4400" s="2" t="s">
        <v>8746</v>
      </c>
      <c r="J4400" s="3" t="str">
        <f>HYPERLINK("https://www.boe.es/gazeta/dias/1820/08/31/pdfs/GGB-1820-64.pdf#page=4","Abrir facsímil")</f>
        <v>Abrir facsímil</v>
      </c>
      <c r="K4400" s="3" t="s">
        <v>23</v>
      </c>
    </row>
    <row r="4401" spans="1:11" ht="42" customHeight="1">
      <c r="A4401" s="2" t="s">
        <v>8747</v>
      </c>
      <c r="B4401" s="2" t="s">
        <v>8748</v>
      </c>
      <c r="C4401" s="2" t="s">
        <v>107</v>
      </c>
      <c r="D4401" s="2" t="s">
        <v>18</v>
      </c>
      <c r="E4401" s="5">
        <v>-29138</v>
      </c>
      <c r="F4401" s="3" t="s">
        <v>200</v>
      </c>
      <c r="G4401" s="3" t="s">
        <v>201</v>
      </c>
      <c r="H4401" s="2" t="s">
        <v>21</v>
      </c>
      <c r="I4401" s="2" t="s">
        <v>8749</v>
      </c>
      <c r="J4401" s="3" t="str">
        <f>HYPERLINK("https://www.boe.es/gazeta/dias/1820/03/21/pdfs/GMD-1820-46.pdf#page=7","Abrir facsímil")</f>
        <v>Abrir facsímil</v>
      </c>
      <c r="K4401" s="3" t="s">
        <v>23</v>
      </c>
    </row>
    <row r="4402" spans="1:11" ht="42" customHeight="1">
      <c r="A4402" s="2" t="s">
        <v>8750</v>
      </c>
      <c r="B4402" s="2" t="s">
        <v>8751</v>
      </c>
      <c r="C4402" s="2" t="s">
        <v>74</v>
      </c>
      <c r="D4402" s="2" t="s">
        <v>18</v>
      </c>
      <c r="E4402" s="5">
        <v>-28970</v>
      </c>
      <c r="F4402" s="3" t="s">
        <v>693</v>
      </c>
      <c r="G4402" s="3" t="s">
        <v>43</v>
      </c>
      <c r="H4402" s="2" t="s">
        <v>21</v>
      </c>
      <c r="I4402" s="2" t="s">
        <v>8752</v>
      </c>
      <c r="J4402" s="3" t="str">
        <f>HYPERLINK("https://www.boe.es/gazeta/dias/1820/09/05/pdfs/GGB-1820-69.pdf#page=2","Abrir facsímil")</f>
        <v>Abrir facsímil</v>
      </c>
      <c r="K4402" s="3" t="s">
        <v>23</v>
      </c>
    </row>
    <row r="4403" spans="1:11" ht="42" customHeight="1">
      <c r="A4403" s="2" t="s">
        <v>8753</v>
      </c>
      <c r="B4403" s="2" t="s">
        <v>8754</v>
      </c>
      <c r="C4403" s="2" t="s">
        <v>35</v>
      </c>
      <c r="D4403" s="2" t="s">
        <v>36</v>
      </c>
      <c r="E4403" s="5">
        <v>-29199</v>
      </c>
      <c r="F4403" s="3" t="s">
        <v>1178</v>
      </c>
      <c r="G4403" s="3" t="s">
        <v>38</v>
      </c>
      <c r="H4403" s="2" t="s">
        <v>21</v>
      </c>
      <c r="I4403" s="2" t="s">
        <v>8755</v>
      </c>
      <c r="J4403" s="3" t="str">
        <f>HYPERLINK("https://www.boe.es/gazeta/dias/1820/01/20/pdfs/GMD-1820-9.pdf#page=6","Abrir facsímil")</f>
        <v>Abrir facsímil</v>
      </c>
      <c r="K4403" s="3" t="s">
        <v>23</v>
      </c>
    </row>
    <row r="4404" spans="1:11" ht="42" customHeight="1">
      <c r="A4404" s="2" t="s">
        <v>8753</v>
      </c>
      <c r="B4404" s="2" t="s">
        <v>8754</v>
      </c>
      <c r="C4404" s="2" t="s">
        <v>17</v>
      </c>
      <c r="D4404" s="2" t="s">
        <v>18</v>
      </c>
      <c r="E4404" s="5">
        <v>-28931</v>
      </c>
      <c r="F4404" s="3" t="s">
        <v>724</v>
      </c>
      <c r="G4404" s="3" t="s">
        <v>20</v>
      </c>
      <c r="H4404" s="2" t="s">
        <v>21</v>
      </c>
      <c r="I4404" s="2" t="s">
        <v>8756</v>
      </c>
      <c r="J4404" s="3" t="str">
        <f>HYPERLINK("https://www.boe.es/gazeta/dias/1820/10/14/pdfs/GGB-1820-108.pdf#page=4","Abrir facsímil")</f>
        <v>Abrir facsímil</v>
      </c>
      <c r="K4404" s="3" t="s">
        <v>23</v>
      </c>
    </row>
    <row r="4405" spans="1:11" ht="42" customHeight="1">
      <c r="A4405" s="2" t="s">
        <v>8757</v>
      </c>
      <c r="B4405" s="2" t="s">
        <v>8758</v>
      </c>
      <c r="C4405" s="2" t="s">
        <v>26</v>
      </c>
      <c r="D4405" s="2" t="s">
        <v>27</v>
      </c>
      <c r="E4405" s="5">
        <v>-28951</v>
      </c>
      <c r="F4405" s="3" t="s">
        <v>622</v>
      </c>
      <c r="G4405" s="3" t="s">
        <v>1370</v>
      </c>
      <c r="H4405" s="2" t="s">
        <v>21</v>
      </c>
      <c r="I4405" s="2" t="s">
        <v>8759</v>
      </c>
      <c r="J4405" s="3" t="str">
        <f>HYPERLINK("https://www.boe.es/gazeta/dias/1820/09/24/pdfs/GGB-1820-88.pdf#page=2","Abrir facsímil")</f>
        <v>Abrir facsímil</v>
      </c>
      <c r="K4405" s="3" t="s">
        <v>23</v>
      </c>
    </row>
    <row r="4406" spans="1:11" ht="42" customHeight="1">
      <c r="A4406" s="2" t="s">
        <v>8760</v>
      </c>
      <c r="B4406" s="2" t="s">
        <v>8761</v>
      </c>
      <c r="C4406" s="2" t="s">
        <v>35</v>
      </c>
      <c r="D4406" s="2" t="s">
        <v>36</v>
      </c>
      <c r="E4406" s="5">
        <v>-28904</v>
      </c>
      <c r="F4406" s="3" t="s">
        <v>541</v>
      </c>
      <c r="G4406" s="3" t="s">
        <v>43</v>
      </c>
      <c r="H4406" s="2" t="s">
        <v>21</v>
      </c>
      <c r="I4406" s="2" t="s">
        <v>8762</v>
      </c>
      <c r="J4406" s="3" t="str">
        <f>HYPERLINK("https://www.boe.es/gazeta/dias/1820/11/10/pdfs/GGB-1820-136.pdf#page=2","Abrir facsímil")</f>
        <v>Abrir facsímil</v>
      </c>
      <c r="K4406" s="3" t="s">
        <v>23</v>
      </c>
    </row>
    <row r="4407" spans="1:11" ht="42" customHeight="1">
      <c r="A4407" s="2" t="s">
        <v>8763</v>
      </c>
      <c r="B4407" s="2" t="s">
        <v>8764</v>
      </c>
      <c r="C4407" s="2" t="s">
        <v>293</v>
      </c>
      <c r="D4407" s="2" t="s">
        <v>18</v>
      </c>
      <c r="E4407" s="5">
        <v>-28924</v>
      </c>
      <c r="F4407" s="3" t="s">
        <v>78</v>
      </c>
      <c r="G4407" s="3" t="s">
        <v>62</v>
      </c>
      <c r="H4407" s="2" t="s">
        <v>21</v>
      </c>
      <c r="I4407" s="2" t="s">
        <v>8765</v>
      </c>
      <c r="J4407" s="3" t="str">
        <f>HYPERLINK("https://www.boe.es/gazeta/dias/1820/10/21/pdfs/GGB-1820-115.pdf#page=3","Abrir facsímil")</f>
        <v>Abrir facsímil</v>
      </c>
      <c r="K4407" s="3" t="s">
        <v>23</v>
      </c>
    </row>
    <row r="4408" spans="1:11" ht="42" customHeight="1">
      <c r="A4408" s="2" t="s">
        <v>8766</v>
      </c>
      <c r="B4408" s="2" t="s">
        <v>8767</v>
      </c>
      <c r="C4408" s="2" t="s">
        <v>35</v>
      </c>
      <c r="D4408" s="2" t="s">
        <v>36</v>
      </c>
      <c r="E4408" s="5">
        <v>-29178</v>
      </c>
      <c r="F4408" s="3" t="s">
        <v>782</v>
      </c>
      <c r="G4408" s="3" t="s">
        <v>201</v>
      </c>
      <c r="H4408" s="2" t="s">
        <v>21</v>
      </c>
      <c r="I4408" s="2" t="s">
        <v>8768</v>
      </c>
      <c r="J4408" s="3" t="str">
        <f>HYPERLINK("https://www.boe.es/gazeta/dias/1820/02/10/pdfs/GMD-1820-18.pdf#page=7","Abrir facsímil")</f>
        <v>Abrir facsímil</v>
      </c>
      <c r="K4408" s="3" t="s">
        <v>23</v>
      </c>
    </row>
    <row r="4409" spans="1:11" ht="42" customHeight="1">
      <c r="A4409" s="2" t="s">
        <v>8769</v>
      </c>
      <c r="B4409" s="2" t="s">
        <v>8770</v>
      </c>
      <c r="C4409" s="2" t="s">
        <v>35</v>
      </c>
      <c r="D4409" s="2" t="s">
        <v>36</v>
      </c>
      <c r="E4409" s="5">
        <v>-28917</v>
      </c>
      <c r="F4409" s="3" t="s">
        <v>19</v>
      </c>
      <c r="G4409" s="3" t="s">
        <v>43</v>
      </c>
      <c r="H4409" s="2" t="s">
        <v>21</v>
      </c>
      <c r="I4409" s="2" t="s">
        <v>8771</v>
      </c>
      <c r="J4409" s="3" t="str">
        <f>HYPERLINK("https://www.boe.es/gazeta/dias/1820/10/28/pdfs/GGB-1820-122.pdf#page=2","Abrir facsímil")</f>
        <v>Abrir facsímil</v>
      </c>
      <c r="K4409" s="3" t="s">
        <v>23</v>
      </c>
    </row>
    <row r="4410" spans="1:11" ht="42" customHeight="1">
      <c r="A4410" s="2" t="s">
        <v>8772</v>
      </c>
      <c r="B4410" s="2" t="s">
        <v>8773</v>
      </c>
      <c r="C4410" s="2" t="s">
        <v>35</v>
      </c>
      <c r="D4410" s="2" t="s">
        <v>36</v>
      </c>
      <c r="E4410" s="5">
        <v>-28909</v>
      </c>
      <c r="F4410" s="3" t="s">
        <v>278</v>
      </c>
      <c r="G4410" s="3" t="s">
        <v>62</v>
      </c>
      <c r="H4410" s="2" t="s">
        <v>21</v>
      </c>
      <c r="I4410" s="2" t="s">
        <v>8774</v>
      </c>
      <c r="J4410" s="3" t="str">
        <f>HYPERLINK("https://www.boe.es/gazeta/dias/1820/11/05/pdfs/GGB-1820-130.pdf#page=3","Abrir facsímil")</f>
        <v>Abrir facsímil</v>
      </c>
      <c r="K4410" s="3" t="s">
        <v>23</v>
      </c>
    </row>
    <row r="4411" spans="1:11" ht="42" customHeight="1">
      <c r="A4411" s="2" t="s">
        <v>8775</v>
      </c>
      <c r="B4411" s="2" t="s">
        <v>8776</v>
      </c>
      <c r="C4411" s="2" t="s">
        <v>17</v>
      </c>
      <c r="D4411" s="2" t="s">
        <v>18</v>
      </c>
      <c r="E4411" s="5">
        <v>-28974</v>
      </c>
      <c r="F4411" s="3" t="s">
        <v>1144</v>
      </c>
      <c r="G4411" s="3" t="s">
        <v>1145</v>
      </c>
      <c r="H4411" s="2" t="s">
        <v>21</v>
      </c>
      <c r="I4411" s="2" t="s">
        <v>8777</v>
      </c>
      <c r="J4411" s="3" t="str">
        <f>HYPERLINK("https://www.boe.es/gazeta/dias/1820/09/01/pdfs/GGB-1820-65.pdf#page=4","Abrir facsímil")</f>
        <v>Abrir facsímil</v>
      </c>
      <c r="K4411" s="3" t="s">
        <v>23</v>
      </c>
    </row>
    <row r="4412" spans="1:11" ht="42" customHeight="1">
      <c r="A4412" s="2" t="s">
        <v>8778</v>
      </c>
      <c r="B4412" s="2" t="s">
        <v>8779</v>
      </c>
      <c r="C4412" s="2" t="s">
        <v>17</v>
      </c>
      <c r="D4412" s="2" t="s">
        <v>18</v>
      </c>
      <c r="E4412" s="5">
        <v>-29213</v>
      </c>
      <c r="F4412" s="3" t="s">
        <v>195</v>
      </c>
      <c r="G4412" s="3" t="s">
        <v>196</v>
      </c>
      <c r="H4412" s="2" t="s">
        <v>30</v>
      </c>
      <c r="I4412" s="2" t="s">
        <v>8780</v>
      </c>
      <c r="J4412" s="3" t="str">
        <f>HYPERLINK("https://www.boe.es/gazeta/dias/1820/01/06/pdfs/GMD-1820-3.pdf#page=11","Abrir facsímil")</f>
        <v>Abrir facsímil</v>
      </c>
      <c r="K4412" s="3" t="s">
        <v>32</v>
      </c>
    </row>
    <row r="4413" spans="1:11" ht="42" customHeight="1">
      <c r="A4413" s="2" t="s">
        <v>8781</v>
      </c>
      <c r="B4413" s="2" t="s">
        <v>8782</v>
      </c>
      <c r="C4413" s="2" t="s">
        <v>17</v>
      </c>
      <c r="D4413" s="2" t="s">
        <v>18</v>
      </c>
      <c r="E4413" s="5">
        <v>-28950</v>
      </c>
      <c r="F4413" s="3" t="s">
        <v>1052</v>
      </c>
      <c r="G4413" s="3" t="s">
        <v>20</v>
      </c>
      <c r="H4413" s="2" t="s">
        <v>21</v>
      </c>
      <c r="I4413" s="2" t="s">
        <v>8783</v>
      </c>
      <c r="J4413" s="3" t="str">
        <f>HYPERLINK("https://www.boe.es/gazeta/dias/1820/09/25/pdfs/GGB-1820-89.pdf#page=4","Abrir facsímil")</f>
        <v>Abrir facsímil</v>
      </c>
      <c r="K4413" s="3" t="s">
        <v>23</v>
      </c>
    </row>
    <row r="4414" spans="1:11" ht="42" customHeight="1">
      <c r="A4414" s="2" t="s">
        <v>8784</v>
      </c>
      <c r="B4414" s="2" t="s">
        <v>8784</v>
      </c>
      <c r="C4414" s="2" t="s">
        <v>293</v>
      </c>
      <c r="D4414" s="2" t="s">
        <v>18</v>
      </c>
      <c r="E4414" s="5">
        <v>-28856</v>
      </c>
      <c r="F4414" s="3" t="s">
        <v>1217</v>
      </c>
      <c r="G4414" s="3" t="s">
        <v>62</v>
      </c>
      <c r="H4414" s="2" t="s">
        <v>21</v>
      </c>
      <c r="I4414" s="2" t="s">
        <v>8785</v>
      </c>
      <c r="J4414" s="3" t="str">
        <f>HYPERLINK("https://www.boe.es/gazeta/dias/1820/12/28/pdfs/GGB-1820-185.pdf#page=3","Abrir facsímil")</f>
        <v>Abrir facsímil</v>
      </c>
      <c r="K4414" s="3" t="s">
        <v>23</v>
      </c>
    </row>
    <row r="4415" spans="1:11" ht="42" customHeight="1">
      <c r="A4415" s="2" t="s">
        <v>8786</v>
      </c>
      <c r="B4415" s="2" t="s">
        <v>8786</v>
      </c>
      <c r="C4415" s="2" t="s">
        <v>35</v>
      </c>
      <c r="D4415" s="2" t="s">
        <v>36</v>
      </c>
      <c r="E4415" s="5">
        <v>-28992</v>
      </c>
      <c r="F4415" s="3" t="s">
        <v>587</v>
      </c>
      <c r="G4415" s="3" t="s">
        <v>43</v>
      </c>
      <c r="H4415" s="2" t="s">
        <v>21</v>
      </c>
      <c r="I4415" s="2" t="s">
        <v>8787</v>
      </c>
      <c r="J4415" s="3" t="str">
        <f>HYPERLINK("https://www.boe.es/gazeta/dias/1820/08/14/pdfs/GGB-1820-47.pdf#page=2","Abrir facsímil")</f>
        <v>Abrir facsímil</v>
      </c>
      <c r="K4415" s="3" t="s">
        <v>23</v>
      </c>
    </row>
    <row r="4416" spans="1:11" ht="42" customHeight="1">
      <c r="A4416" s="2" t="s">
        <v>8788</v>
      </c>
      <c r="B4416" s="2" t="s">
        <v>8789</v>
      </c>
      <c r="C4416" s="2" t="s">
        <v>111</v>
      </c>
      <c r="D4416" s="2" t="s">
        <v>18</v>
      </c>
      <c r="E4416" s="5">
        <v>-29155</v>
      </c>
      <c r="F4416" s="3" t="s">
        <v>2095</v>
      </c>
      <c r="G4416" s="3" t="s">
        <v>295</v>
      </c>
      <c r="H4416" s="2" t="s">
        <v>21</v>
      </c>
      <c r="I4416" s="2" t="s">
        <v>8790</v>
      </c>
      <c r="J4416" s="3" t="str">
        <f>HYPERLINK("https://www.boe.es/gazeta/dias/1820/03/04/pdfs/GMD-1820-28.pdf#page=8","Abrir facsímil")</f>
        <v>Abrir facsímil</v>
      </c>
      <c r="K4416" s="3" t="s">
        <v>23</v>
      </c>
    </row>
    <row r="4417" spans="1:11" ht="42" customHeight="1">
      <c r="A4417" s="2" t="s">
        <v>8791</v>
      </c>
      <c r="B4417" s="2" t="s">
        <v>8792</v>
      </c>
      <c r="C4417" s="2" t="s">
        <v>26</v>
      </c>
      <c r="D4417" s="2" t="s">
        <v>27</v>
      </c>
      <c r="E4417" s="5">
        <v>-28974</v>
      </c>
      <c r="F4417" s="3" t="s">
        <v>1144</v>
      </c>
      <c r="G4417" s="3" t="s">
        <v>1145</v>
      </c>
      <c r="H4417" s="2" t="s">
        <v>21</v>
      </c>
      <c r="I4417" s="2" t="s">
        <v>8793</v>
      </c>
      <c r="J4417" s="3" t="str">
        <f>HYPERLINK("https://www.boe.es/gazeta/dias/1820/09/01/pdfs/GGB-1820-65.pdf#page=4","Abrir facsímil")</f>
        <v>Abrir facsímil</v>
      </c>
      <c r="K4417" s="3" t="s">
        <v>23</v>
      </c>
    </row>
    <row r="4418" spans="1:11" ht="42" customHeight="1">
      <c r="A4418" s="2" t="s">
        <v>8794</v>
      </c>
      <c r="B4418" s="2" t="s">
        <v>8795</v>
      </c>
      <c r="C4418" s="2" t="s">
        <v>26</v>
      </c>
      <c r="D4418" s="2" t="s">
        <v>27</v>
      </c>
      <c r="E4418" s="5">
        <v>-28968</v>
      </c>
      <c r="F4418" s="3" t="s">
        <v>66</v>
      </c>
      <c r="G4418" s="3" t="s">
        <v>62</v>
      </c>
      <c r="H4418" s="2" t="s">
        <v>21</v>
      </c>
      <c r="I4418" s="2" t="s">
        <v>8796</v>
      </c>
      <c r="J4418" s="3" t="str">
        <f>HYPERLINK("https://www.boe.es/gazeta/dias/1820/09/07/pdfs/GGB-1820-71.pdf#page=3","Abrir facsímil")</f>
        <v>Abrir facsímil</v>
      </c>
      <c r="K4418" s="3" t="s">
        <v>23</v>
      </c>
    </row>
    <row r="4419" spans="1:11" ht="42" customHeight="1">
      <c r="A4419" s="2" t="s">
        <v>8797</v>
      </c>
      <c r="B4419" s="2" t="s">
        <v>8798</v>
      </c>
      <c r="C4419" s="2" t="s">
        <v>111</v>
      </c>
      <c r="D4419" s="2" t="s">
        <v>18</v>
      </c>
      <c r="E4419" s="5">
        <v>-28990</v>
      </c>
      <c r="F4419" s="3" t="s">
        <v>61</v>
      </c>
      <c r="G4419" s="3" t="s">
        <v>1438</v>
      </c>
      <c r="H4419" s="2" t="s">
        <v>21</v>
      </c>
      <c r="I4419" s="2" t="s">
        <v>8799</v>
      </c>
      <c r="J4419" s="3" t="str">
        <f>HYPERLINK("https://www.boe.es/gazeta/dias/1820/08/16/pdfs/GGB-1820-49.pdf#page=4","Abrir facsímil")</f>
        <v>Abrir facsímil</v>
      </c>
      <c r="K4419" s="3" t="s">
        <v>23</v>
      </c>
    </row>
    <row r="4420" spans="1:11" ht="42" customHeight="1">
      <c r="A4420" s="2" t="s">
        <v>8800</v>
      </c>
      <c r="B4420" s="2" t="s">
        <v>8801</v>
      </c>
      <c r="C4420" s="2" t="s">
        <v>74</v>
      </c>
      <c r="D4420" s="2" t="s">
        <v>18</v>
      </c>
      <c r="E4420" s="5">
        <v>-28928</v>
      </c>
      <c r="F4420" s="3" t="s">
        <v>86</v>
      </c>
      <c r="G4420" s="3" t="s">
        <v>20</v>
      </c>
      <c r="H4420" s="2" t="s">
        <v>21</v>
      </c>
      <c r="I4420" s="2" t="s">
        <v>8802</v>
      </c>
      <c r="J4420" s="3" t="str">
        <f>HYPERLINK("https://www.boe.es/gazeta/dias/1820/10/17/pdfs/GGB-1820-111.pdf#page=4","Abrir facsímil")</f>
        <v>Abrir facsímil</v>
      </c>
      <c r="K4420" s="3" t="s">
        <v>23</v>
      </c>
    </row>
    <row r="4421" spans="1:11" ht="42" customHeight="1">
      <c r="A4421" s="2" t="s">
        <v>8803</v>
      </c>
      <c r="B4421" s="2" t="s">
        <v>8804</v>
      </c>
      <c r="C4421" s="2" t="s">
        <v>26</v>
      </c>
      <c r="D4421" s="2" t="s">
        <v>27</v>
      </c>
      <c r="E4421" s="5">
        <v>-28854</v>
      </c>
      <c r="F4421" s="3" t="s">
        <v>147</v>
      </c>
      <c r="G4421" s="3" t="s">
        <v>43</v>
      </c>
      <c r="H4421" s="2" t="s">
        <v>21</v>
      </c>
      <c r="I4421" s="2" t="s">
        <v>8805</v>
      </c>
      <c r="J4421" s="3" t="str">
        <f>HYPERLINK("https://www.boe.es/gazeta/dias/1820/12/30/pdfs/GGB-1820-187.pdf#page=2","Abrir facsímil")</f>
        <v>Abrir facsímil</v>
      </c>
      <c r="K4421" s="3" t="s">
        <v>23</v>
      </c>
    </row>
    <row r="4422" spans="1:11" ht="42" customHeight="1">
      <c r="A4422" s="2" t="s">
        <v>8806</v>
      </c>
      <c r="B4422" s="2" t="s">
        <v>8806</v>
      </c>
      <c r="C4422" s="2" t="s">
        <v>26</v>
      </c>
      <c r="D4422" s="2" t="s">
        <v>27</v>
      </c>
      <c r="E4422" s="5">
        <v>-28856</v>
      </c>
      <c r="F4422" s="3" t="s">
        <v>1217</v>
      </c>
      <c r="G4422" s="3" t="s">
        <v>43</v>
      </c>
      <c r="H4422" s="2" t="s">
        <v>21</v>
      </c>
      <c r="I4422" s="2" t="s">
        <v>8807</v>
      </c>
      <c r="J4422" s="3" t="str">
        <f>HYPERLINK("https://www.boe.es/gazeta/dias/1820/12/28/pdfs/GGB-1820-185.pdf#page=2","Abrir facsímil")</f>
        <v>Abrir facsímil</v>
      </c>
      <c r="K4422" s="3" t="s">
        <v>23</v>
      </c>
    </row>
    <row r="4423" spans="1:11" ht="42" customHeight="1">
      <c r="A4423" s="2" t="s">
        <v>8808</v>
      </c>
      <c r="B4423" s="2" t="s">
        <v>8809</v>
      </c>
      <c r="C4423" s="2" t="s">
        <v>26</v>
      </c>
      <c r="D4423" s="2" t="s">
        <v>27</v>
      </c>
      <c r="E4423" s="5">
        <v>-29030</v>
      </c>
      <c r="F4423" s="3" t="s">
        <v>789</v>
      </c>
      <c r="G4423" s="3" t="s">
        <v>1987</v>
      </c>
      <c r="H4423" s="2" t="s">
        <v>21</v>
      </c>
      <c r="I4423" s="2" t="s">
        <v>8810</v>
      </c>
      <c r="J4423" s="3" t="str">
        <f>HYPERLINK("https://www.boe.es/gazeta/dias/1820/07/07/pdfs/GGB-1820-8.pdf#page=4","Abrir facsímil")</f>
        <v>Abrir facsímil</v>
      </c>
      <c r="K4423" s="3" t="s">
        <v>23</v>
      </c>
    </row>
    <row r="4424" spans="1:11" ht="42" customHeight="1">
      <c r="A4424" s="2" t="s">
        <v>8811</v>
      </c>
      <c r="B4424" s="2" t="s">
        <v>8812</v>
      </c>
      <c r="C4424" s="2" t="s">
        <v>26</v>
      </c>
      <c r="D4424" s="2" t="s">
        <v>27</v>
      </c>
      <c r="E4424" s="5">
        <v>-29029</v>
      </c>
      <c r="F4424" s="3" t="s">
        <v>282</v>
      </c>
      <c r="G4424" s="3" t="s">
        <v>20</v>
      </c>
      <c r="H4424" s="2" t="s">
        <v>21</v>
      </c>
      <c r="I4424" s="2" t="s">
        <v>8813</v>
      </c>
      <c r="J4424" s="3" t="str">
        <f>HYPERLINK("https://www.boe.es/gazeta/dias/1820/07/08/pdfs/GGB-1820-9.pdf#page=4","Abrir facsímil")</f>
        <v>Abrir facsímil</v>
      </c>
      <c r="K4424" s="3" t="s">
        <v>23</v>
      </c>
    </row>
    <row r="4425" spans="1:11" ht="42" customHeight="1">
      <c r="A4425" s="2" t="s">
        <v>8814</v>
      </c>
      <c r="B4425" s="2" t="s">
        <v>8814</v>
      </c>
      <c r="C4425" s="2" t="s">
        <v>26</v>
      </c>
      <c r="D4425" s="2" t="s">
        <v>27</v>
      </c>
      <c r="E4425" s="5">
        <v>-28951</v>
      </c>
      <c r="F4425" s="3" t="s">
        <v>622</v>
      </c>
      <c r="G4425" s="3" t="s">
        <v>128</v>
      </c>
      <c r="H4425" s="2" t="s">
        <v>21</v>
      </c>
      <c r="I4425" s="2" t="s">
        <v>8815</v>
      </c>
      <c r="J4425" s="3" t="str">
        <f>HYPERLINK("https://www.boe.es/gazeta/dias/1820/09/24/pdfs/GGB-1820-88.pdf#page=1","Abrir facsímil")</f>
        <v>Abrir facsímil</v>
      </c>
      <c r="K4425" s="3" t="s">
        <v>23</v>
      </c>
    </row>
    <row r="4426" spans="1:11" ht="42" customHeight="1">
      <c r="A4426" s="2" t="s">
        <v>8816</v>
      </c>
      <c r="B4426" s="2" t="s">
        <v>8816</v>
      </c>
      <c r="C4426" s="2" t="s">
        <v>47</v>
      </c>
      <c r="D4426" s="2" t="s">
        <v>18</v>
      </c>
      <c r="E4426" s="5">
        <v>-28906</v>
      </c>
      <c r="F4426" s="3" t="s">
        <v>232</v>
      </c>
      <c r="G4426" s="3" t="s">
        <v>20</v>
      </c>
      <c r="H4426" s="2" t="s">
        <v>21</v>
      </c>
      <c r="I4426" s="2" t="s">
        <v>8817</v>
      </c>
      <c r="J4426" s="3" t="str">
        <f>HYPERLINK("https://www.boe.es/gazeta/dias/1820/11/08/pdfs/GGB-1820-133.pdf#page=4","Abrir facsímil")</f>
        <v>Abrir facsímil</v>
      </c>
      <c r="K4426" s="3" t="s">
        <v>23</v>
      </c>
    </row>
    <row r="4427" spans="1:11" ht="42" customHeight="1">
      <c r="A4427" s="2" t="s">
        <v>8818</v>
      </c>
      <c r="B4427" s="2" t="s">
        <v>8818</v>
      </c>
      <c r="C4427" s="2" t="s">
        <v>293</v>
      </c>
      <c r="D4427" s="2" t="s">
        <v>18</v>
      </c>
      <c r="E4427" s="5">
        <v>-29173</v>
      </c>
      <c r="F4427" s="3" t="s">
        <v>829</v>
      </c>
      <c r="G4427" s="3" t="s">
        <v>8819</v>
      </c>
      <c r="H4427" s="2" t="s">
        <v>21</v>
      </c>
      <c r="I4427" s="2" t="s">
        <v>8820</v>
      </c>
      <c r="J4427" s="3" t="str">
        <f>HYPERLINK("https://www.boe.es/gazeta/dias/1820/02/15/pdfs/GMD-1820-20.pdf#page=7","Abrir facsímil")</f>
        <v>Abrir facsímil</v>
      </c>
      <c r="K4427" s="3" t="s">
        <v>23</v>
      </c>
    </row>
    <row r="4428" spans="1:11" ht="42" customHeight="1">
      <c r="A4428" s="2" t="s">
        <v>8821</v>
      </c>
      <c r="B4428" s="2" t="s">
        <v>8821</v>
      </c>
      <c r="C4428" s="2" t="s">
        <v>47</v>
      </c>
      <c r="D4428" s="2" t="s">
        <v>18</v>
      </c>
      <c r="E4428" s="5">
        <v>-29127</v>
      </c>
      <c r="F4428" s="3" t="s">
        <v>583</v>
      </c>
      <c r="G4428" s="3" t="s">
        <v>295</v>
      </c>
      <c r="H4428" s="2" t="s">
        <v>21</v>
      </c>
      <c r="I4428" s="2" t="s">
        <v>8822</v>
      </c>
      <c r="J4428" s="3" t="str">
        <f>HYPERLINK("https://www.boe.es/gazeta/dias/1820/04/01/pdfs/GMD-1820-59.pdf#page=8","Abrir facsímil")</f>
        <v>Abrir facsímil</v>
      </c>
      <c r="K4428" s="3" t="s">
        <v>23</v>
      </c>
    </row>
    <row r="4429" spans="1:11" ht="42" customHeight="1">
      <c r="A4429" s="2" t="s">
        <v>8823</v>
      </c>
      <c r="B4429" s="2" t="s">
        <v>8824</v>
      </c>
      <c r="C4429" s="2" t="s">
        <v>35</v>
      </c>
      <c r="D4429" s="2" t="s">
        <v>36</v>
      </c>
      <c r="E4429" s="5">
        <v>-28977</v>
      </c>
      <c r="F4429" s="3" t="s">
        <v>687</v>
      </c>
      <c r="G4429" s="3" t="s">
        <v>20</v>
      </c>
      <c r="H4429" s="2" t="s">
        <v>21</v>
      </c>
      <c r="I4429" s="2" t="s">
        <v>8825</v>
      </c>
      <c r="J4429" s="3" t="str">
        <f>HYPERLINK("https://www.boe.es/gazeta/dias/1820/08/29/pdfs/GGB-1820-62.pdf#page=4","Abrir facsímil")</f>
        <v>Abrir facsímil</v>
      </c>
      <c r="K4429" s="3" t="s">
        <v>23</v>
      </c>
    </row>
    <row r="4430" spans="1:11" ht="42" customHeight="1">
      <c r="A4430" s="2" t="s">
        <v>8826</v>
      </c>
      <c r="B4430" s="2" t="s">
        <v>8827</v>
      </c>
      <c r="C4430" s="2" t="s">
        <v>17</v>
      </c>
      <c r="D4430" s="2" t="s">
        <v>18</v>
      </c>
      <c r="E4430" s="5">
        <v>-28881</v>
      </c>
      <c r="F4430" s="3" t="s">
        <v>57</v>
      </c>
      <c r="G4430" s="3" t="s">
        <v>20</v>
      </c>
      <c r="H4430" s="2" t="s">
        <v>21</v>
      </c>
      <c r="I4430" s="2" t="s">
        <v>8828</v>
      </c>
      <c r="J4430" s="3" t="str">
        <f>HYPERLINK("https://www.boe.es/gazeta/dias/1820/12/03/pdfs/GGB-1820-160.pdf#page=4","Abrir facsímil")</f>
        <v>Abrir facsímil</v>
      </c>
      <c r="K4430" s="3" t="s">
        <v>23</v>
      </c>
    </row>
    <row r="4431" spans="1:11" ht="42" customHeight="1">
      <c r="A4431" s="2" t="s">
        <v>8829</v>
      </c>
      <c r="B4431" s="2" t="s">
        <v>8829</v>
      </c>
      <c r="C4431" s="2" t="s">
        <v>111</v>
      </c>
      <c r="D4431" s="2" t="s">
        <v>18</v>
      </c>
      <c r="E4431" s="5">
        <v>-29016</v>
      </c>
      <c r="F4431" s="3" t="s">
        <v>657</v>
      </c>
      <c r="G4431" s="3" t="s">
        <v>43</v>
      </c>
      <c r="H4431" s="2" t="s">
        <v>21</v>
      </c>
      <c r="I4431" s="2" t="s">
        <v>8830</v>
      </c>
      <c r="J4431" s="3" t="str">
        <f>HYPERLINK("https://www.boe.es/gazeta/dias/1820/07/21/pdfs/GGB-1820-23.pdf#page=2","Abrir facsímil")</f>
        <v>Abrir facsímil</v>
      </c>
      <c r="K4431" s="3" t="s">
        <v>23</v>
      </c>
    </row>
    <row r="4432" spans="1:11" ht="42" customHeight="1">
      <c r="A4432" s="2" t="s">
        <v>8829</v>
      </c>
      <c r="B4432" s="2" t="s">
        <v>8829</v>
      </c>
      <c r="C4432" s="2" t="s">
        <v>26</v>
      </c>
      <c r="D4432" s="2" t="s">
        <v>27</v>
      </c>
      <c r="E4432" s="5">
        <v>-28986</v>
      </c>
      <c r="F4432" s="3" t="s">
        <v>488</v>
      </c>
      <c r="G4432" s="3" t="s">
        <v>62</v>
      </c>
      <c r="H4432" s="2" t="s">
        <v>21</v>
      </c>
      <c r="I4432" s="2" t="s">
        <v>8831</v>
      </c>
      <c r="J4432" s="3" t="str">
        <f>HYPERLINK("https://www.boe.es/gazeta/dias/1820/08/20/pdfs/GGB-1820-53.pdf#page=3","Abrir facsímil")</f>
        <v>Abrir facsímil</v>
      </c>
      <c r="K4432" s="3" t="s">
        <v>23</v>
      </c>
    </row>
    <row r="4433" spans="1:11" ht="42" customHeight="1">
      <c r="A4433" s="2" t="s">
        <v>8829</v>
      </c>
      <c r="B4433" s="2" t="s">
        <v>8829</v>
      </c>
      <c r="C4433" s="2" t="s">
        <v>26</v>
      </c>
      <c r="D4433" s="2" t="s">
        <v>27</v>
      </c>
      <c r="E4433" s="5">
        <v>-28951</v>
      </c>
      <c r="F4433" s="3" t="s">
        <v>622</v>
      </c>
      <c r="G4433" s="3" t="s">
        <v>20</v>
      </c>
      <c r="H4433" s="2" t="s">
        <v>21</v>
      </c>
      <c r="I4433" s="2" t="s">
        <v>8832</v>
      </c>
      <c r="J4433" s="3" t="str">
        <f>HYPERLINK("https://www.boe.es/gazeta/dias/1820/09/24/pdfs/GGB-1820-88.pdf#page=4","Abrir facsímil")</f>
        <v>Abrir facsímil</v>
      </c>
      <c r="K4433" s="3" t="s">
        <v>23</v>
      </c>
    </row>
    <row r="4434" spans="1:11" ht="42" customHeight="1">
      <c r="A4434" s="2" t="s">
        <v>8829</v>
      </c>
      <c r="B4434" s="2" t="s">
        <v>8829</v>
      </c>
      <c r="C4434" s="2" t="s">
        <v>47</v>
      </c>
      <c r="D4434" s="2" t="s">
        <v>18</v>
      </c>
      <c r="E4434" s="5">
        <v>-28912</v>
      </c>
      <c r="F4434" s="3" t="s">
        <v>1329</v>
      </c>
      <c r="G4434" s="3" t="s">
        <v>62</v>
      </c>
      <c r="H4434" s="2" t="s">
        <v>21</v>
      </c>
      <c r="I4434" s="2" t="s">
        <v>8833</v>
      </c>
      <c r="J4434" s="3" t="str">
        <f>HYPERLINK("https://www.boe.es/gazeta/dias/1820/11/02/pdfs/GGB-1820-127.pdf#page=3","Abrir facsímil")</f>
        <v>Abrir facsímil</v>
      </c>
      <c r="K4434" s="3" t="s">
        <v>23</v>
      </c>
    </row>
    <row r="4435" spans="1:11" ht="42" customHeight="1">
      <c r="A4435" s="2" t="s">
        <v>8834</v>
      </c>
      <c r="B4435" s="2" t="s">
        <v>8835</v>
      </c>
      <c r="C4435" s="2" t="s">
        <v>26</v>
      </c>
      <c r="D4435" s="2" t="s">
        <v>27</v>
      </c>
      <c r="E4435" s="5">
        <v>-29120</v>
      </c>
      <c r="F4435" s="3" t="s">
        <v>852</v>
      </c>
      <c r="G4435" s="3" t="s">
        <v>20</v>
      </c>
      <c r="H4435" s="2" t="s">
        <v>30</v>
      </c>
      <c r="I4435" s="2" t="s">
        <v>8836</v>
      </c>
      <c r="J4435" s="3" t="str">
        <f>HYPERLINK("https://www.boe.es/gazeta/dias/1820/04/08/pdfs/GMD-1820-63.pdf#page=4","Abrir facsímil")</f>
        <v>Abrir facsímil</v>
      </c>
      <c r="K4435" s="3" t="s">
        <v>32</v>
      </c>
    </row>
    <row r="4436" spans="1:11" ht="42" customHeight="1">
      <c r="A4436" s="2" t="s">
        <v>8837</v>
      </c>
      <c r="B4436" s="2" t="s">
        <v>8838</v>
      </c>
      <c r="C4436" s="2" t="s">
        <v>35</v>
      </c>
      <c r="D4436" s="2" t="s">
        <v>36</v>
      </c>
      <c r="E4436" s="5">
        <v>-28900</v>
      </c>
      <c r="F4436" s="3" t="s">
        <v>878</v>
      </c>
      <c r="G4436" s="3" t="s">
        <v>20</v>
      </c>
      <c r="H4436" s="2" t="s">
        <v>21</v>
      </c>
      <c r="I4436" s="2" t="s">
        <v>8839</v>
      </c>
      <c r="J4436" s="3" t="str">
        <f>HYPERLINK("https://www.boe.es/gazeta/dias/1820/11/14/pdfs/GGB-1820-140.pdf#page=4","Abrir facsímil")</f>
        <v>Abrir facsímil</v>
      </c>
      <c r="K4436" s="3" t="s">
        <v>23</v>
      </c>
    </row>
    <row r="4437" spans="1:11" ht="42" customHeight="1">
      <c r="A4437" s="2" t="s">
        <v>8840</v>
      </c>
      <c r="B4437" s="2" t="s">
        <v>8840</v>
      </c>
      <c r="C4437" s="2" t="s">
        <v>26</v>
      </c>
      <c r="D4437" s="2" t="s">
        <v>27</v>
      </c>
      <c r="E4437" s="5">
        <v>-28907</v>
      </c>
      <c r="F4437" s="3" t="s">
        <v>374</v>
      </c>
      <c r="G4437" s="3" t="s">
        <v>20</v>
      </c>
      <c r="H4437" s="2" t="s">
        <v>21</v>
      </c>
      <c r="I4437" s="2" t="s">
        <v>8841</v>
      </c>
      <c r="J4437" s="3" t="str">
        <f>HYPERLINK("https://www.boe.es/gazeta/dias/1820/11/07/pdfs/GGB-1820-132.pdf#page=4","Abrir facsímil")</f>
        <v>Abrir facsímil</v>
      </c>
      <c r="K4437" s="3" t="s">
        <v>23</v>
      </c>
    </row>
    <row r="4438" spans="1:11" ht="42" customHeight="1">
      <c r="A4438" s="2" t="s">
        <v>8842</v>
      </c>
      <c r="B4438" s="2" t="s">
        <v>8843</v>
      </c>
      <c r="C4438" s="2" t="s">
        <v>26</v>
      </c>
      <c r="D4438" s="2" t="s">
        <v>27</v>
      </c>
      <c r="E4438" s="5">
        <v>-29213</v>
      </c>
      <c r="F4438" s="3" t="s">
        <v>195</v>
      </c>
      <c r="G4438" s="3" t="s">
        <v>196</v>
      </c>
      <c r="H4438" s="2" t="s">
        <v>30</v>
      </c>
      <c r="I4438" s="2" t="s">
        <v>8844</v>
      </c>
      <c r="J4438" s="3" t="str">
        <f>HYPERLINK("https://www.boe.es/gazeta/dias/1820/01/06/pdfs/GMD-1820-3.pdf#page=11","Abrir facsímil")</f>
        <v>Abrir facsímil</v>
      </c>
      <c r="K4438" s="3" t="s">
        <v>32</v>
      </c>
    </row>
    <row r="4439" spans="1:11" ht="42" customHeight="1">
      <c r="A4439" s="2" t="s">
        <v>8845</v>
      </c>
      <c r="B4439" s="2" t="s">
        <v>8846</v>
      </c>
      <c r="C4439" s="2" t="s">
        <v>17</v>
      </c>
      <c r="D4439" s="2" t="s">
        <v>18</v>
      </c>
      <c r="E4439" s="5">
        <v>-28861</v>
      </c>
      <c r="F4439" s="3" t="s">
        <v>894</v>
      </c>
      <c r="G4439" s="3" t="s">
        <v>43</v>
      </c>
      <c r="H4439" s="2" t="s">
        <v>21</v>
      </c>
      <c r="I4439" s="2" t="s">
        <v>8847</v>
      </c>
      <c r="J4439" s="3" t="str">
        <f>HYPERLINK("https://www.boe.es/gazeta/dias/1820/12/23/pdfs/GGB-1820-180.pdf#page=2","Abrir facsímil")</f>
        <v>Abrir facsímil</v>
      </c>
      <c r="K4439" s="3" t="s">
        <v>23</v>
      </c>
    </row>
    <row r="4440" spans="1:11" ht="42" customHeight="1">
      <c r="A4440" s="2" t="s">
        <v>8848</v>
      </c>
      <c r="B4440" s="2" t="s">
        <v>8849</v>
      </c>
      <c r="C4440" s="2" t="s">
        <v>26</v>
      </c>
      <c r="D4440" s="2" t="s">
        <v>27</v>
      </c>
      <c r="E4440" s="5">
        <v>-28870</v>
      </c>
      <c r="F4440" s="3" t="s">
        <v>1014</v>
      </c>
      <c r="G4440" s="3" t="s">
        <v>20</v>
      </c>
      <c r="H4440" s="2" t="s">
        <v>21</v>
      </c>
      <c r="I4440" s="2" t="s">
        <v>8850</v>
      </c>
      <c r="J4440" s="3" t="str">
        <f>HYPERLINK("https://www.boe.es/gazeta/dias/1820/12/14/pdfs/GGB-1820-171.pdf#page=4","Abrir facsímil")</f>
        <v>Abrir facsímil</v>
      </c>
      <c r="K4440" s="3" t="s">
        <v>23</v>
      </c>
    </row>
    <row r="4441" spans="1:11" ht="42" customHeight="1">
      <c r="A4441" s="2" t="s">
        <v>8851</v>
      </c>
      <c r="B4441" s="2" t="s">
        <v>8851</v>
      </c>
      <c r="C4441" s="2" t="s">
        <v>17</v>
      </c>
      <c r="D4441" s="2" t="s">
        <v>18</v>
      </c>
      <c r="E4441" s="5">
        <v>-28908</v>
      </c>
      <c r="F4441" s="3" t="s">
        <v>1060</v>
      </c>
      <c r="G4441" s="3" t="s">
        <v>128</v>
      </c>
      <c r="H4441" s="2" t="s">
        <v>21</v>
      </c>
      <c r="I4441" s="2" t="s">
        <v>8852</v>
      </c>
      <c r="J4441" s="3" t="str">
        <f>HYPERLINK("https://www.boe.es/gazeta/dias/1820/11/06/pdfs/GGB-1820-131.pdf#page=1","Abrir facsímil")</f>
        <v>Abrir facsímil</v>
      </c>
      <c r="K4441" s="3" t="s">
        <v>23</v>
      </c>
    </row>
    <row r="4442" spans="1:11" ht="42" customHeight="1">
      <c r="A4442" s="2" t="s">
        <v>8851</v>
      </c>
      <c r="B4442" s="2" t="s">
        <v>8851</v>
      </c>
      <c r="C4442" s="2" t="s">
        <v>35</v>
      </c>
      <c r="D4442" s="2" t="s">
        <v>36</v>
      </c>
      <c r="E4442" s="5">
        <v>-28882</v>
      </c>
      <c r="F4442" s="3" t="s">
        <v>1245</v>
      </c>
      <c r="G4442" s="3" t="s">
        <v>128</v>
      </c>
      <c r="H4442" s="2" t="s">
        <v>21</v>
      </c>
      <c r="I4442" s="2" t="s">
        <v>8853</v>
      </c>
      <c r="J4442" s="3" t="str">
        <f>HYPERLINK("https://www.boe.es/gazeta/dias/1820/12/02/pdfs/GGB-1820-159.pdf#page=1","Abrir facsímil")</f>
        <v>Abrir facsímil</v>
      </c>
      <c r="K4442" s="3" t="s">
        <v>23</v>
      </c>
    </row>
    <row r="4443" spans="1:11" ht="42" customHeight="1">
      <c r="A4443" s="2" t="s">
        <v>8854</v>
      </c>
      <c r="B4443" s="2" t="s">
        <v>8855</v>
      </c>
      <c r="C4443" s="2" t="s">
        <v>17</v>
      </c>
      <c r="D4443" s="2" t="s">
        <v>18</v>
      </c>
      <c r="E4443" s="5">
        <v>-28917</v>
      </c>
      <c r="F4443" s="3" t="s">
        <v>19</v>
      </c>
      <c r="G4443" s="3" t="s">
        <v>62</v>
      </c>
      <c r="H4443" s="2" t="s">
        <v>21</v>
      </c>
      <c r="I4443" s="2" t="s">
        <v>8856</v>
      </c>
      <c r="J4443" s="3" t="str">
        <f>HYPERLINK("https://www.boe.es/gazeta/dias/1820/10/28/pdfs/GGB-1820-122.pdf#page=3","Abrir facsímil")</f>
        <v>Abrir facsímil</v>
      </c>
      <c r="K4443" s="3" t="s">
        <v>23</v>
      </c>
    </row>
    <row r="4444" spans="1:11" ht="42" customHeight="1">
      <c r="A4444" s="2" t="s">
        <v>8857</v>
      </c>
      <c r="B4444" s="2" t="s">
        <v>8857</v>
      </c>
      <c r="C4444" s="2" t="s">
        <v>17</v>
      </c>
      <c r="D4444" s="2" t="s">
        <v>18</v>
      </c>
      <c r="E4444" s="5">
        <v>-28948</v>
      </c>
      <c r="F4444" s="3" t="s">
        <v>1069</v>
      </c>
      <c r="G4444" s="3" t="s">
        <v>128</v>
      </c>
      <c r="H4444" s="2" t="s">
        <v>21</v>
      </c>
      <c r="I4444" s="2" t="s">
        <v>8858</v>
      </c>
      <c r="J4444" s="3" t="str">
        <f>HYPERLINK("https://www.boe.es/gazeta/dias/1820/09/27/pdfs/GGB-1820-91.pdf#page=1","Abrir facsímil")</f>
        <v>Abrir facsímil</v>
      </c>
      <c r="K4444" s="3" t="s">
        <v>23</v>
      </c>
    </row>
    <row r="4445" spans="1:11" ht="42" customHeight="1">
      <c r="A4445" s="2" t="s">
        <v>8859</v>
      </c>
      <c r="B4445" s="2" t="s">
        <v>8860</v>
      </c>
      <c r="C4445" s="2" t="s">
        <v>35</v>
      </c>
      <c r="D4445" s="2" t="s">
        <v>36</v>
      </c>
      <c r="E4445" s="5">
        <v>-29047</v>
      </c>
      <c r="F4445" s="3" t="s">
        <v>1033</v>
      </c>
      <c r="G4445" s="3" t="s">
        <v>256</v>
      </c>
      <c r="H4445" s="2" t="s">
        <v>21</v>
      </c>
      <c r="I4445" s="2" t="s">
        <v>8861</v>
      </c>
      <c r="J4445" s="3" t="str">
        <f>HYPERLINK("https://www.boe.es/gazeta/dias/1820/06/20/pdfs/GMD-1820-96.pdf#page=5","Abrir facsímil")</f>
        <v>Abrir facsímil</v>
      </c>
      <c r="K4445" s="3" t="s">
        <v>23</v>
      </c>
    </row>
    <row r="4446" spans="1:11" ht="42" customHeight="1">
      <c r="A4446" s="2" t="s">
        <v>8862</v>
      </c>
      <c r="B4446" s="2" t="s">
        <v>8863</v>
      </c>
      <c r="C4446" s="2" t="s">
        <v>26</v>
      </c>
      <c r="D4446" s="2" t="s">
        <v>310</v>
      </c>
      <c r="E4446" s="5">
        <v>-29138</v>
      </c>
      <c r="F4446" s="3" t="s">
        <v>2523</v>
      </c>
      <c r="G4446" s="3" t="s">
        <v>261</v>
      </c>
      <c r="H4446" s="2" t="s">
        <v>21</v>
      </c>
      <c r="I4446" s="2" t="s">
        <v>8864</v>
      </c>
      <c r="J4446" s="3" t="str">
        <f>HYPERLINK("https://www.boe.es/gazeta/dias/1820/03/21/pdfs/GMD-1820-48E.pdf#page=9","Abrir facsímil")</f>
        <v>Abrir facsímil</v>
      </c>
      <c r="K4446" s="3" t="s">
        <v>23</v>
      </c>
    </row>
    <row r="4447" spans="1:11" ht="42" customHeight="1">
      <c r="A4447" s="2" t="s">
        <v>8865</v>
      </c>
      <c r="B4447" s="2" t="s">
        <v>8866</v>
      </c>
      <c r="C4447" s="2" t="s">
        <v>26</v>
      </c>
      <c r="D4447" s="2" t="s">
        <v>27</v>
      </c>
      <c r="E4447" s="5">
        <v>-29199</v>
      </c>
      <c r="F4447" s="3" t="s">
        <v>1178</v>
      </c>
      <c r="G4447" s="3" t="s">
        <v>201</v>
      </c>
      <c r="H4447" s="2" t="s">
        <v>30</v>
      </c>
      <c r="I4447" s="2" t="s">
        <v>8867</v>
      </c>
      <c r="J4447" s="3" t="str">
        <f>HYPERLINK("https://www.boe.es/gazeta/dias/1820/01/20/pdfs/GMD-1820-9.pdf#page=7","Abrir facsímil")</f>
        <v>Abrir facsímil</v>
      </c>
      <c r="K4447" s="3" t="s">
        <v>32</v>
      </c>
    </row>
    <row r="4448" spans="1:11" ht="42" customHeight="1">
      <c r="A4448" s="2" t="s">
        <v>8868</v>
      </c>
      <c r="B4448" s="2" t="s">
        <v>8869</v>
      </c>
      <c r="C4448" s="2" t="s">
        <v>26</v>
      </c>
      <c r="D4448" s="2" t="s">
        <v>27</v>
      </c>
      <c r="E4448" s="5">
        <v>-28946</v>
      </c>
      <c r="F4448" s="3" t="s">
        <v>1055</v>
      </c>
      <c r="G4448" s="3" t="s">
        <v>20</v>
      </c>
      <c r="H4448" s="2" t="s">
        <v>21</v>
      </c>
      <c r="I4448" s="2" t="s">
        <v>8870</v>
      </c>
      <c r="J4448" s="3" t="str">
        <f>HYPERLINK("https://www.boe.es/gazeta/dias/1820/09/29/pdfs/GGB-1820-93.pdf#page=4","Abrir facsímil")</f>
        <v>Abrir facsímil</v>
      </c>
      <c r="K4448" s="3" t="s">
        <v>23</v>
      </c>
    </row>
    <row r="4449" spans="1:11" ht="42" customHeight="1">
      <c r="A4449" s="2" t="s">
        <v>8871</v>
      </c>
      <c r="B4449" s="2" t="s">
        <v>8872</v>
      </c>
      <c r="C4449" s="2" t="s">
        <v>26</v>
      </c>
      <c r="D4449" s="2" t="s">
        <v>27</v>
      </c>
      <c r="E4449" s="5">
        <v>-28892</v>
      </c>
      <c r="F4449" s="3" t="s">
        <v>3036</v>
      </c>
      <c r="G4449" s="3" t="s">
        <v>20</v>
      </c>
      <c r="H4449" s="2" t="s">
        <v>21</v>
      </c>
      <c r="I4449" s="2" t="s">
        <v>8873</v>
      </c>
      <c r="J4449" s="3" t="str">
        <f>HYPERLINK("https://www.boe.es/gazeta/dias/1820/11/22/pdfs/GGB-1820-149.pdf#page=4","Abrir facsímil")</f>
        <v>Abrir facsímil</v>
      </c>
      <c r="K4449" s="3" t="s">
        <v>23</v>
      </c>
    </row>
    <row r="4450" spans="1:11" ht="42" customHeight="1">
      <c r="A4450" s="2" t="s">
        <v>8874</v>
      </c>
      <c r="B4450" s="2" t="s">
        <v>8874</v>
      </c>
      <c r="C4450" s="2" t="s">
        <v>26</v>
      </c>
      <c r="D4450" s="2" t="s">
        <v>27</v>
      </c>
      <c r="E4450" s="5">
        <v>-29017</v>
      </c>
      <c r="F4450" s="3" t="s">
        <v>274</v>
      </c>
      <c r="G4450" s="3" t="s">
        <v>62</v>
      </c>
      <c r="H4450" s="2" t="s">
        <v>21</v>
      </c>
      <c r="I4450" s="2" t="s">
        <v>8875</v>
      </c>
      <c r="J4450" s="3" t="str">
        <f>HYPERLINK("https://www.boe.es/gazeta/dias/1820/07/20/pdfs/GGB-1820-22.pdf#page=3","Abrir facsímil")</f>
        <v>Abrir facsímil</v>
      </c>
      <c r="K4450" s="3" t="s">
        <v>23</v>
      </c>
    </row>
    <row r="4451" spans="1:11" ht="42" customHeight="1">
      <c r="A4451" s="2" t="s">
        <v>8874</v>
      </c>
      <c r="B4451" s="2" t="s">
        <v>8874</v>
      </c>
      <c r="C4451" s="2" t="s">
        <v>35</v>
      </c>
      <c r="D4451" s="2" t="s">
        <v>36</v>
      </c>
      <c r="E4451" s="5">
        <v>-28992</v>
      </c>
      <c r="F4451" s="3" t="s">
        <v>587</v>
      </c>
      <c r="G4451" s="3" t="s">
        <v>62</v>
      </c>
      <c r="H4451" s="2" t="s">
        <v>21</v>
      </c>
      <c r="I4451" s="2" t="s">
        <v>8876</v>
      </c>
      <c r="J4451" s="3" t="str">
        <f>HYPERLINK("https://www.boe.es/gazeta/dias/1820/08/14/pdfs/GGB-1820-47.pdf#page=3","Abrir facsímil")</f>
        <v>Abrir facsímil</v>
      </c>
      <c r="K4451" s="3" t="s">
        <v>23</v>
      </c>
    </row>
    <row r="4452" spans="1:11" ht="42" customHeight="1">
      <c r="A4452" s="2" t="s">
        <v>8874</v>
      </c>
      <c r="B4452" s="2" t="s">
        <v>8874</v>
      </c>
      <c r="C4452" s="2" t="s">
        <v>26</v>
      </c>
      <c r="D4452" s="2" t="s">
        <v>27</v>
      </c>
      <c r="E4452" s="5">
        <v>-28963</v>
      </c>
      <c r="F4452" s="3" t="s">
        <v>94</v>
      </c>
      <c r="G4452" s="3" t="s">
        <v>62</v>
      </c>
      <c r="H4452" s="2" t="s">
        <v>21</v>
      </c>
      <c r="I4452" s="2" t="s">
        <v>8877</v>
      </c>
      <c r="J4452" s="3" t="str">
        <f>HYPERLINK("https://www.boe.es/gazeta/dias/1820/09/12/pdfs/GGB-1820-76.pdf#page=3","Abrir facsímil")</f>
        <v>Abrir facsímil</v>
      </c>
      <c r="K4452" s="3" t="s">
        <v>23</v>
      </c>
    </row>
    <row r="4453" spans="1:11" ht="42" customHeight="1">
      <c r="A4453" s="2" t="s">
        <v>8874</v>
      </c>
      <c r="B4453" s="2" t="s">
        <v>8874</v>
      </c>
      <c r="C4453" s="2" t="s">
        <v>74</v>
      </c>
      <c r="D4453" s="2" t="s">
        <v>18</v>
      </c>
      <c r="E4453" s="5">
        <v>-28949</v>
      </c>
      <c r="F4453" s="3" t="s">
        <v>178</v>
      </c>
      <c r="G4453" s="3" t="s">
        <v>62</v>
      </c>
      <c r="H4453" s="2" t="s">
        <v>21</v>
      </c>
      <c r="I4453" s="2" t="s">
        <v>8878</v>
      </c>
      <c r="J4453" s="3" t="str">
        <f>HYPERLINK("https://www.boe.es/gazeta/dias/1820/09/26/pdfs/GGB-1820-90.pdf#page=3","Abrir facsímil")</f>
        <v>Abrir facsímil</v>
      </c>
      <c r="K4453" s="3" t="s">
        <v>23</v>
      </c>
    </row>
    <row r="4454" spans="1:11" ht="42" customHeight="1">
      <c r="A4454" s="2" t="s">
        <v>8874</v>
      </c>
      <c r="B4454" s="2" t="s">
        <v>8874</v>
      </c>
      <c r="C4454" s="2" t="s">
        <v>35</v>
      </c>
      <c r="D4454" s="2" t="s">
        <v>36</v>
      </c>
      <c r="E4454" s="5">
        <v>-28938</v>
      </c>
      <c r="F4454" s="3" t="s">
        <v>716</v>
      </c>
      <c r="G4454" s="3" t="s">
        <v>717</v>
      </c>
      <c r="H4454" s="2" t="s">
        <v>21</v>
      </c>
      <c r="I4454" s="2" t="s">
        <v>8879</v>
      </c>
      <c r="J4454" s="3" t="str">
        <f>HYPERLINK("https://www.boe.es/gazeta/dias/1820/10/07/pdfs/GGB-1820-101.pdf#page=2","Abrir facsímil")</f>
        <v>Abrir facsímil</v>
      </c>
      <c r="K4454" s="3" t="s">
        <v>23</v>
      </c>
    </row>
    <row r="4455" spans="1:11" ht="42" customHeight="1">
      <c r="A4455" s="2" t="s">
        <v>8874</v>
      </c>
      <c r="B4455" s="2" t="s">
        <v>8874</v>
      </c>
      <c r="C4455" s="2" t="s">
        <v>26</v>
      </c>
      <c r="D4455" s="2" t="s">
        <v>27</v>
      </c>
      <c r="E4455" s="5">
        <v>-28924</v>
      </c>
      <c r="F4455" s="3" t="s">
        <v>78</v>
      </c>
      <c r="G4455" s="3" t="s">
        <v>62</v>
      </c>
      <c r="H4455" s="2" t="s">
        <v>21</v>
      </c>
      <c r="I4455" s="2" t="s">
        <v>8880</v>
      </c>
      <c r="J4455" s="3" t="str">
        <f>HYPERLINK("https://www.boe.es/gazeta/dias/1820/10/21/pdfs/GGB-1820-115.pdf#page=3","Abrir facsímil")</f>
        <v>Abrir facsímil</v>
      </c>
      <c r="K4455" s="3" t="s">
        <v>23</v>
      </c>
    </row>
    <row r="4456" spans="1:11" ht="42" customHeight="1">
      <c r="A4456" s="2" t="s">
        <v>8881</v>
      </c>
      <c r="B4456" s="2" t="s">
        <v>8882</v>
      </c>
      <c r="C4456" s="2" t="s">
        <v>26</v>
      </c>
      <c r="D4456" s="2" t="s">
        <v>27</v>
      </c>
      <c r="E4456" s="5">
        <v>-28997</v>
      </c>
      <c r="F4456" s="3" t="s">
        <v>1471</v>
      </c>
      <c r="G4456" s="3" t="s">
        <v>43</v>
      </c>
      <c r="H4456" s="2" t="s">
        <v>21</v>
      </c>
      <c r="I4456" s="2" t="s">
        <v>8883</v>
      </c>
      <c r="J4456" s="3" t="str">
        <f>HYPERLINK("https://www.boe.es/gazeta/dias/1820/08/09/pdfs/GGB-1820-42.pdf#page=2","Abrir facsímil")</f>
        <v>Abrir facsímil</v>
      </c>
      <c r="K4456" s="3" t="s">
        <v>23</v>
      </c>
    </row>
    <row r="4457" spans="1:11" ht="42" customHeight="1">
      <c r="A4457" s="2" t="s">
        <v>8884</v>
      </c>
      <c r="B4457" s="2" t="s">
        <v>8885</v>
      </c>
      <c r="C4457" s="2" t="s">
        <v>26</v>
      </c>
      <c r="D4457" s="2" t="s">
        <v>27</v>
      </c>
      <c r="E4457" s="5">
        <v>-29045</v>
      </c>
      <c r="F4457" s="3" t="s">
        <v>155</v>
      </c>
      <c r="G4457" s="3" t="s">
        <v>38</v>
      </c>
      <c r="H4457" s="2" t="s">
        <v>21</v>
      </c>
      <c r="I4457" s="2" t="s">
        <v>8886</v>
      </c>
      <c r="J4457" s="3" t="str">
        <f>HYPERLINK("https://www.boe.es/gazeta/dias/1820/06/22/pdfs/GMD-1820-97.pdf#page=6","Abrir facsímil")</f>
        <v>Abrir facsímil</v>
      </c>
      <c r="K4457" s="3" t="s">
        <v>23</v>
      </c>
    </row>
    <row r="4458" spans="1:11" ht="42" customHeight="1">
      <c r="A4458" s="2" t="s">
        <v>8887</v>
      </c>
      <c r="B4458" s="2" t="s">
        <v>8888</v>
      </c>
      <c r="C4458" s="2" t="s">
        <v>26</v>
      </c>
      <c r="D4458" s="2" t="s">
        <v>27</v>
      </c>
      <c r="E4458" s="5">
        <v>-29152</v>
      </c>
      <c r="F4458" s="3" t="s">
        <v>1293</v>
      </c>
      <c r="G4458" s="3" t="s">
        <v>295</v>
      </c>
      <c r="H4458" s="2" t="s">
        <v>21</v>
      </c>
      <c r="I4458" s="2" t="s">
        <v>8889</v>
      </c>
      <c r="J4458" s="3" t="str">
        <f>HYPERLINK("https://www.boe.es/gazeta/dias/1820/03/07/pdfs/GMD-1820-29.pdf#page=8","Abrir facsímil")</f>
        <v>Abrir facsímil</v>
      </c>
      <c r="K4458" s="3" t="s">
        <v>23</v>
      </c>
    </row>
    <row r="4459" spans="1:11" ht="42" customHeight="1">
      <c r="A4459" s="2" t="s">
        <v>8887</v>
      </c>
      <c r="B4459" s="2" t="s">
        <v>8888</v>
      </c>
      <c r="C4459" s="2" t="s">
        <v>26</v>
      </c>
      <c r="D4459" s="2" t="s">
        <v>27</v>
      </c>
      <c r="E4459" s="5">
        <v>-29129</v>
      </c>
      <c r="F4459" s="3" t="s">
        <v>269</v>
      </c>
      <c r="G4459" s="3" t="s">
        <v>5428</v>
      </c>
      <c r="H4459" s="2" t="s">
        <v>21</v>
      </c>
      <c r="I4459" s="2" t="s">
        <v>8890</v>
      </c>
      <c r="J4459" s="3" t="str">
        <f>HYPERLINK("https://www.boe.es/gazeta/dias/1820/03/30/pdfs/GMD-1820-58.pdf#page=12","Abrir facsímil")</f>
        <v>Abrir facsímil</v>
      </c>
      <c r="K4459" s="3" t="s">
        <v>23</v>
      </c>
    </row>
    <row r="4460" spans="1:11" ht="42" customHeight="1">
      <c r="A4460" s="2" t="s">
        <v>8891</v>
      </c>
      <c r="B4460" s="2" t="s">
        <v>8891</v>
      </c>
      <c r="C4460" s="2" t="s">
        <v>107</v>
      </c>
      <c r="D4460" s="2" t="s">
        <v>18</v>
      </c>
      <c r="E4460" s="5">
        <v>-28896</v>
      </c>
      <c r="F4460" s="3" t="s">
        <v>1268</v>
      </c>
      <c r="G4460" s="3" t="s">
        <v>128</v>
      </c>
      <c r="H4460" s="2" t="s">
        <v>21</v>
      </c>
      <c r="I4460" s="2" t="s">
        <v>8892</v>
      </c>
      <c r="J4460" s="3" t="str">
        <f>HYPERLINK("https://www.boe.es/gazeta/dias/1820/11/18/pdfs/GGB-1820-144.pdf#page=1","Abrir facsímil")</f>
        <v>Abrir facsímil</v>
      </c>
      <c r="K4460" s="3" t="s">
        <v>23</v>
      </c>
    </row>
    <row r="4461" spans="1:11" ht="42" customHeight="1">
      <c r="A4461" s="2" t="s">
        <v>8893</v>
      </c>
      <c r="B4461" s="2" t="s">
        <v>8894</v>
      </c>
      <c r="C4461" s="2" t="s">
        <v>107</v>
      </c>
      <c r="D4461" s="2" t="s">
        <v>18</v>
      </c>
      <c r="E4461" s="5">
        <v>-28896</v>
      </c>
      <c r="F4461" s="3" t="s">
        <v>1268</v>
      </c>
      <c r="G4461" s="3" t="s">
        <v>128</v>
      </c>
      <c r="H4461" s="2" t="s">
        <v>21</v>
      </c>
      <c r="I4461" s="2" t="s">
        <v>8895</v>
      </c>
      <c r="J4461" s="3" t="str">
        <f>HYPERLINK("https://www.boe.es/gazeta/dias/1820/11/18/pdfs/GGB-1820-144.pdf#page=1","Abrir facsímil")</f>
        <v>Abrir facsímil</v>
      </c>
      <c r="K4461" s="3" t="s">
        <v>23</v>
      </c>
    </row>
    <row r="4462" spans="1:11" ht="42" customHeight="1">
      <c r="A4462" s="2" t="s">
        <v>8896</v>
      </c>
      <c r="B4462" s="2" t="s">
        <v>8897</v>
      </c>
      <c r="C4462" s="2" t="s">
        <v>47</v>
      </c>
      <c r="D4462" s="2" t="s">
        <v>18</v>
      </c>
      <c r="E4462" s="5">
        <v>-28942</v>
      </c>
      <c r="F4462" s="3" t="s">
        <v>244</v>
      </c>
      <c r="G4462" s="3" t="s">
        <v>20</v>
      </c>
      <c r="H4462" s="2" t="s">
        <v>21</v>
      </c>
      <c r="I4462" s="2" t="s">
        <v>8898</v>
      </c>
      <c r="J4462" s="3" t="str">
        <f>HYPERLINK("https://www.boe.es/gazeta/dias/1820/10/03/pdfs/GGB-1820-97.pdf#page=4","Abrir facsímil")</f>
        <v>Abrir facsímil</v>
      </c>
      <c r="K4462" s="3" t="s">
        <v>23</v>
      </c>
    </row>
    <row r="4463" spans="1:11" ht="42" customHeight="1">
      <c r="A4463" s="2" t="s">
        <v>8899</v>
      </c>
      <c r="B4463" s="2" t="s">
        <v>8900</v>
      </c>
      <c r="C4463" s="2" t="s">
        <v>26</v>
      </c>
      <c r="D4463" s="2" t="s">
        <v>27</v>
      </c>
      <c r="E4463" s="5">
        <v>-29020</v>
      </c>
      <c r="F4463" s="3" t="s">
        <v>756</v>
      </c>
      <c r="G4463" s="3" t="s">
        <v>20</v>
      </c>
      <c r="H4463" s="2" t="s">
        <v>21</v>
      </c>
      <c r="I4463" s="2" t="s">
        <v>8901</v>
      </c>
      <c r="J4463" s="3" t="str">
        <f>HYPERLINK("https://www.boe.es/gazeta/dias/1820/07/17/pdfs/GGB-1820-19.pdf#page=4","Abrir facsímil")</f>
        <v>Abrir facsímil</v>
      </c>
      <c r="K4463" s="3" t="s">
        <v>23</v>
      </c>
    </row>
    <row r="4464" spans="1:11" ht="42" customHeight="1">
      <c r="A4464" s="2" t="s">
        <v>8902</v>
      </c>
      <c r="B4464" s="2" t="s">
        <v>8902</v>
      </c>
      <c r="C4464" s="2" t="s">
        <v>26</v>
      </c>
      <c r="D4464" s="2" t="s">
        <v>27</v>
      </c>
      <c r="E4464" s="5">
        <v>-29176</v>
      </c>
      <c r="F4464" s="3" t="s">
        <v>797</v>
      </c>
      <c r="G4464" s="3" t="s">
        <v>201</v>
      </c>
      <c r="H4464" s="2" t="s">
        <v>21</v>
      </c>
      <c r="I4464" s="2" t="s">
        <v>8903</v>
      </c>
      <c r="J4464" s="3" t="str">
        <f>HYPERLINK("https://www.boe.es/gazeta/dias/1820/02/12/pdfs/GMD-1820-19.pdf#page=7","Abrir facsímil")</f>
        <v>Abrir facsímil</v>
      </c>
      <c r="K4464" s="3" t="s">
        <v>23</v>
      </c>
    </row>
    <row r="4465" spans="1:11" ht="42" customHeight="1">
      <c r="A4465" s="2" t="s">
        <v>8902</v>
      </c>
      <c r="B4465" s="2" t="s">
        <v>8902</v>
      </c>
      <c r="C4465" s="2" t="s">
        <v>26</v>
      </c>
      <c r="D4465" s="2" t="s">
        <v>27</v>
      </c>
      <c r="E4465" s="5">
        <v>-29164</v>
      </c>
      <c r="F4465" s="3" t="s">
        <v>2516</v>
      </c>
      <c r="G4465" s="3" t="s">
        <v>20</v>
      </c>
      <c r="H4465" s="2" t="s">
        <v>21</v>
      </c>
      <c r="I4465" s="2" t="s">
        <v>8904</v>
      </c>
      <c r="J4465" s="3" t="str">
        <f>HYPERLINK("https://www.boe.es/gazeta/dias/1820/02/24/pdfs/GMD-1820-24.pdf#page=4","Abrir facsímil")</f>
        <v>Abrir facsímil</v>
      </c>
      <c r="K4465" s="3" t="s">
        <v>23</v>
      </c>
    </row>
    <row r="4466" spans="1:11" ht="42" customHeight="1">
      <c r="A4466" s="2" t="s">
        <v>8905</v>
      </c>
      <c r="B4466" s="2" t="s">
        <v>8906</v>
      </c>
      <c r="C4466" s="2" t="s">
        <v>107</v>
      </c>
      <c r="D4466" s="2" t="s">
        <v>18</v>
      </c>
      <c r="E4466" s="5">
        <v>-28986</v>
      </c>
      <c r="F4466" s="3" t="s">
        <v>488</v>
      </c>
      <c r="G4466" s="3" t="s">
        <v>2659</v>
      </c>
      <c r="H4466" s="2" t="s">
        <v>21</v>
      </c>
      <c r="I4466" s="2" t="s">
        <v>8907</v>
      </c>
      <c r="J4466" s="3" t="str">
        <f>HYPERLINK("https://www.boe.es/gazeta/dias/1820/08/20/pdfs/GGB-1820-53.pdf#page=4","Abrir facsímil")</f>
        <v>Abrir facsímil</v>
      </c>
      <c r="K4466" s="3" t="s">
        <v>23</v>
      </c>
    </row>
    <row r="4467" spans="1:11" ht="42" customHeight="1">
      <c r="A4467" s="2" t="s">
        <v>8908</v>
      </c>
      <c r="B4467" s="2" t="s">
        <v>8909</v>
      </c>
      <c r="C4467" s="2" t="s">
        <v>26</v>
      </c>
      <c r="D4467" s="2" t="s">
        <v>27</v>
      </c>
      <c r="E4467" s="5">
        <v>-28985</v>
      </c>
      <c r="F4467" s="3" t="s">
        <v>905</v>
      </c>
      <c r="G4467" s="3" t="s">
        <v>928</v>
      </c>
      <c r="H4467" s="2" t="s">
        <v>30</v>
      </c>
      <c r="I4467" s="2" t="s">
        <v>8910</v>
      </c>
      <c r="J4467" s="3" t="str">
        <f>HYPERLINK("https://www.boe.es/gazeta/dias/1820/08/21/pdfs/GGB-1820-54.pdf#page=4","Abrir facsímil")</f>
        <v>Abrir facsímil</v>
      </c>
      <c r="K4467" s="3" t="s">
        <v>32</v>
      </c>
    </row>
    <row r="4468" spans="1:11" ht="42" customHeight="1">
      <c r="A4468" s="2" t="s">
        <v>8911</v>
      </c>
      <c r="B4468" s="2" t="s">
        <v>8912</v>
      </c>
      <c r="C4468" s="2" t="s">
        <v>47</v>
      </c>
      <c r="D4468" s="2" t="s">
        <v>18</v>
      </c>
      <c r="E4468" s="5">
        <v>-29171</v>
      </c>
      <c r="F4468" s="3" t="s">
        <v>764</v>
      </c>
      <c r="G4468" s="3" t="s">
        <v>3896</v>
      </c>
      <c r="H4468" s="2" t="s">
        <v>21</v>
      </c>
      <c r="I4468" s="2" t="s">
        <v>8913</v>
      </c>
      <c r="J4468" s="3" t="str">
        <f>HYPERLINK("https://www.boe.es/gazeta/dias/1820/02/17/pdfs/GMD-1820-21.pdf#page=6","Abrir facsímil")</f>
        <v>Abrir facsímil</v>
      </c>
      <c r="K4468" s="3" t="s">
        <v>23</v>
      </c>
    </row>
    <row r="4469" spans="1:11" ht="42" customHeight="1">
      <c r="A4469" s="2" t="s">
        <v>8914</v>
      </c>
      <c r="B4469" s="2" t="s">
        <v>8915</v>
      </c>
      <c r="C4469" s="2" t="s">
        <v>17</v>
      </c>
      <c r="D4469" s="2" t="s">
        <v>18</v>
      </c>
      <c r="E4469" s="5">
        <v>-28900</v>
      </c>
      <c r="F4469" s="3" t="s">
        <v>878</v>
      </c>
      <c r="G4469" s="3" t="s">
        <v>20</v>
      </c>
      <c r="H4469" s="2" t="s">
        <v>21</v>
      </c>
      <c r="I4469" s="2" t="s">
        <v>8916</v>
      </c>
      <c r="J4469" s="3" t="str">
        <f>HYPERLINK("https://www.boe.es/gazeta/dias/1820/11/14/pdfs/GGB-1820-140.pdf#page=4","Abrir facsímil")</f>
        <v>Abrir facsímil</v>
      </c>
      <c r="K4469" s="3" t="s">
        <v>23</v>
      </c>
    </row>
    <row r="4470" spans="1:11" ht="42" customHeight="1">
      <c r="A4470" s="2" t="s">
        <v>8917</v>
      </c>
      <c r="B4470" s="2" t="s">
        <v>8918</v>
      </c>
      <c r="C4470" s="2" t="s">
        <v>17</v>
      </c>
      <c r="D4470" s="2" t="s">
        <v>18</v>
      </c>
      <c r="E4470" s="5">
        <v>-28854</v>
      </c>
      <c r="F4470" s="3" t="s">
        <v>147</v>
      </c>
      <c r="G4470" s="3" t="s">
        <v>43</v>
      </c>
      <c r="H4470" s="2" t="s">
        <v>21</v>
      </c>
      <c r="I4470" s="2" t="s">
        <v>8919</v>
      </c>
      <c r="J4470" s="3" t="str">
        <f>HYPERLINK("https://www.boe.es/gazeta/dias/1820/12/30/pdfs/GGB-1820-187.pdf#page=2","Abrir facsímil")</f>
        <v>Abrir facsímil</v>
      </c>
      <c r="K4470" s="3" t="s">
        <v>23</v>
      </c>
    </row>
    <row r="4471" spans="1:11" ht="42" customHeight="1">
      <c r="A4471" s="2" t="s">
        <v>8920</v>
      </c>
      <c r="B4471" s="2" t="s">
        <v>8921</v>
      </c>
      <c r="C4471" s="2" t="s">
        <v>74</v>
      </c>
      <c r="D4471" s="2" t="s">
        <v>18</v>
      </c>
      <c r="E4471" s="5">
        <v>-28953</v>
      </c>
      <c r="F4471" s="3" t="s">
        <v>367</v>
      </c>
      <c r="G4471" s="3" t="s">
        <v>2925</v>
      </c>
      <c r="H4471" s="2" t="s">
        <v>21</v>
      </c>
      <c r="I4471" s="2" t="s">
        <v>8922</v>
      </c>
      <c r="J4471" s="3" t="str">
        <f>HYPERLINK("https://www.boe.es/gazeta/dias/1820/09/22/pdfs/GGB-1820-86.pdf#page=2","Abrir facsímil")</f>
        <v>Abrir facsímil</v>
      </c>
      <c r="K4471" s="3" t="s">
        <v>23</v>
      </c>
    </row>
    <row r="4472" spans="1:11" ht="42" customHeight="1">
      <c r="A4472" s="2" t="s">
        <v>8923</v>
      </c>
      <c r="B4472" s="2" t="s">
        <v>8924</v>
      </c>
      <c r="C4472" s="2" t="s">
        <v>47</v>
      </c>
      <c r="D4472" s="2" t="s">
        <v>18</v>
      </c>
      <c r="E4472" s="5">
        <v>-28863</v>
      </c>
      <c r="F4472" s="3" t="s">
        <v>3630</v>
      </c>
      <c r="G4472" s="3" t="s">
        <v>20</v>
      </c>
      <c r="H4472" s="2" t="s">
        <v>21</v>
      </c>
      <c r="I4472" s="2" t="s">
        <v>8925</v>
      </c>
      <c r="J4472" s="3" t="str">
        <f>HYPERLINK("https://www.boe.es/gazeta/dias/1820/12/21/pdfs/GGB-1820-178.pdf#page=4","Abrir facsímil")</f>
        <v>Abrir facsímil</v>
      </c>
      <c r="K4472" s="3" t="s">
        <v>23</v>
      </c>
    </row>
    <row r="4473" spans="1:11" ht="42" customHeight="1">
      <c r="A4473" s="2" t="s">
        <v>8926</v>
      </c>
      <c r="B4473" s="2" t="s">
        <v>8927</v>
      </c>
      <c r="C4473" s="2" t="s">
        <v>35</v>
      </c>
      <c r="D4473" s="2" t="s">
        <v>36</v>
      </c>
      <c r="E4473" s="5">
        <v>-29025</v>
      </c>
      <c r="F4473" s="3" t="s">
        <v>902</v>
      </c>
      <c r="G4473" s="3" t="s">
        <v>20</v>
      </c>
      <c r="H4473" s="2" t="s">
        <v>21</v>
      </c>
      <c r="I4473" s="2" t="s">
        <v>8928</v>
      </c>
      <c r="J4473" s="3" t="str">
        <f>HYPERLINK("https://www.boe.es/gazeta/dias/1820/07/12/pdfs/GGB-1820-14.pdf#page=4","Abrir facsímil")</f>
        <v>Abrir facsímil</v>
      </c>
      <c r="K4473" s="3" t="s">
        <v>23</v>
      </c>
    </row>
    <row r="4474" spans="1:11" ht="42" customHeight="1">
      <c r="A4474" s="2" t="s">
        <v>8929</v>
      </c>
      <c r="B4474" s="2" t="s">
        <v>8930</v>
      </c>
      <c r="C4474" s="2" t="s">
        <v>74</v>
      </c>
      <c r="D4474" s="2" t="s">
        <v>18</v>
      </c>
      <c r="E4474" s="5">
        <v>-28965</v>
      </c>
      <c r="F4474" s="3" t="s">
        <v>1520</v>
      </c>
      <c r="G4474" s="3" t="s">
        <v>20</v>
      </c>
      <c r="H4474" s="2" t="s">
        <v>21</v>
      </c>
      <c r="I4474" s="2" t="s">
        <v>8931</v>
      </c>
      <c r="J4474" s="3" t="str">
        <f>HYPERLINK("https://www.boe.es/gazeta/dias/1820/09/10/pdfs/GGB-1820-74.pdf#page=4","Abrir facsímil")</f>
        <v>Abrir facsímil</v>
      </c>
      <c r="K4474" s="3" t="s">
        <v>23</v>
      </c>
    </row>
    <row r="4475" spans="1:11" ht="42" customHeight="1">
      <c r="A4475" s="2" t="s">
        <v>8932</v>
      </c>
      <c r="B4475" s="2" t="s">
        <v>8933</v>
      </c>
      <c r="C4475" s="2" t="s">
        <v>74</v>
      </c>
      <c r="D4475" s="2" t="s">
        <v>18</v>
      </c>
      <c r="E4475" s="5">
        <v>-28986</v>
      </c>
      <c r="F4475" s="3" t="s">
        <v>488</v>
      </c>
      <c r="G4475" s="3" t="s">
        <v>489</v>
      </c>
      <c r="H4475" s="2" t="s">
        <v>21</v>
      </c>
      <c r="I4475" s="2" t="s">
        <v>8934</v>
      </c>
      <c r="J4475" s="3" t="str">
        <f>HYPERLINK("https://www.boe.es/gazeta/dias/1820/08/20/pdfs/GGB-1820-53.pdf#page=2","Abrir facsímil")</f>
        <v>Abrir facsímil</v>
      </c>
      <c r="K4475" s="3" t="s">
        <v>23</v>
      </c>
    </row>
    <row r="4476" spans="1:11" ht="42" customHeight="1">
      <c r="A4476" s="2" t="s">
        <v>8935</v>
      </c>
      <c r="B4476" s="2" t="s">
        <v>8936</v>
      </c>
      <c r="C4476" s="2" t="s">
        <v>26</v>
      </c>
      <c r="D4476" s="2" t="s">
        <v>27</v>
      </c>
      <c r="E4476" s="5">
        <v>-29036</v>
      </c>
      <c r="F4476" s="3" t="s">
        <v>1167</v>
      </c>
      <c r="G4476" s="3" t="s">
        <v>20</v>
      </c>
      <c r="H4476" s="2" t="s">
        <v>21</v>
      </c>
      <c r="I4476" s="2" t="s">
        <v>8937</v>
      </c>
      <c r="J4476" s="3" t="str">
        <f>HYPERLINK("https://www.boe.es/gazeta/dias/1820/07/01/pdfs/GGB-1820-1.pdf#page=4","Abrir facsímil")</f>
        <v>Abrir facsímil</v>
      </c>
      <c r="K4476" s="3" t="s">
        <v>23</v>
      </c>
    </row>
    <row r="4477" spans="1:11" ht="42" customHeight="1">
      <c r="A4477" s="2" t="s">
        <v>8938</v>
      </c>
      <c r="B4477" s="2" t="s">
        <v>8939</v>
      </c>
      <c r="C4477" s="2" t="s">
        <v>35</v>
      </c>
      <c r="D4477" s="2" t="s">
        <v>36</v>
      </c>
      <c r="E4477" s="5">
        <v>-29145</v>
      </c>
      <c r="F4477" s="3" t="s">
        <v>3537</v>
      </c>
      <c r="G4477" s="3" t="s">
        <v>4091</v>
      </c>
      <c r="H4477" s="2" t="s">
        <v>21</v>
      </c>
      <c r="I4477" s="2" t="s">
        <v>8940</v>
      </c>
      <c r="J4477" s="3" t="str">
        <f>HYPERLINK("https://www.boe.es/gazeta/dias/1820/03/14/pdfs/GMD-1820-39.pdf#page=5","Abrir facsímil")</f>
        <v>Abrir facsímil</v>
      </c>
      <c r="K4477" s="3" t="s">
        <v>23</v>
      </c>
    </row>
    <row r="4478" spans="1:11" ht="42" customHeight="1">
      <c r="A4478" s="2" t="s">
        <v>8941</v>
      </c>
      <c r="B4478" s="2" t="s">
        <v>8942</v>
      </c>
      <c r="C4478" s="2" t="s">
        <v>26</v>
      </c>
      <c r="D4478" s="2" t="s">
        <v>27</v>
      </c>
      <c r="E4478" s="5">
        <v>-29131</v>
      </c>
      <c r="F4478" s="3" t="s">
        <v>1193</v>
      </c>
      <c r="G4478" s="3" t="s">
        <v>295</v>
      </c>
      <c r="H4478" s="2" t="s">
        <v>21</v>
      </c>
      <c r="I4478" s="2" t="s">
        <v>8943</v>
      </c>
      <c r="J4478" s="3" t="str">
        <f>HYPERLINK("https://www.boe.es/gazeta/dias/1820/03/28/pdfs/GMD-1820-56.pdf#page=8","Abrir facsímil")</f>
        <v>Abrir facsímil</v>
      </c>
      <c r="K4478" s="3" t="s">
        <v>23</v>
      </c>
    </row>
    <row r="4479" spans="1:11" ht="42" customHeight="1">
      <c r="A4479" s="2" t="s">
        <v>8944</v>
      </c>
      <c r="B4479" s="2" t="s">
        <v>8945</v>
      </c>
      <c r="C4479" s="2" t="s">
        <v>26</v>
      </c>
      <c r="D4479" s="2" t="s">
        <v>27</v>
      </c>
      <c r="E4479" s="5">
        <v>-28991</v>
      </c>
      <c r="F4479" s="3" t="s">
        <v>213</v>
      </c>
      <c r="G4479" s="3" t="s">
        <v>214</v>
      </c>
      <c r="H4479" s="2" t="s">
        <v>21</v>
      </c>
      <c r="I4479" s="2" t="s">
        <v>8946</v>
      </c>
      <c r="J4479" s="3" t="str">
        <f>HYPERLINK("https://www.boe.es/gazeta/dias/1820/08/15/pdfs/GGB-1820-48.pdf#page=2","Abrir facsímil")</f>
        <v>Abrir facsímil</v>
      </c>
      <c r="K4479" s="3" t="s">
        <v>23</v>
      </c>
    </row>
    <row r="4480" spans="1:11" ht="42" customHeight="1">
      <c r="A4480" s="2" t="s">
        <v>8947</v>
      </c>
      <c r="B4480" s="2" t="s">
        <v>8948</v>
      </c>
      <c r="C4480" s="2" t="s">
        <v>107</v>
      </c>
      <c r="D4480" s="2" t="s">
        <v>18</v>
      </c>
      <c r="E4480" s="5">
        <v>-29192</v>
      </c>
      <c r="F4480" s="3" t="s">
        <v>497</v>
      </c>
      <c r="G4480" s="3" t="s">
        <v>295</v>
      </c>
      <c r="H4480" s="2" t="s">
        <v>21</v>
      </c>
      <c r="I4480" s="2" t="s">
        <v>8949</v>
      </c>
      <c r="J4480" s="3" t="str">
        <f>HYPERLINK("https://www.boe.es/gazeta/dias/1820/01/27/pdfs/GMD-1820-12.pdf#page=8","Abrir facsímil")</f>
        <v>Abrir facsímil</v>
      </c>
      <c r="K4480" s="3" t="s">
        <v>23</v>
      </c>
    </row>
    <row r="4481" spans="1:11" ht="42" customHeight="1">
      <c r="A4481" s="2" t="s">
        <v>8950</v>
      </c>
      <c r="B4481" s="2" t="s">
        <v>8951</v>
      </c>
      <c r="C4481" s="2" t="s">
        <v>111</v>
      </c>
      <c r="D4481" s="2" t="s">
        <v>18</v>
      </c>
      <c r="E4481" s="5">
        <v>-29103</v>
      </c>
      <c r="F4481" s="3" t="s">
        <v>313</v>
      </c>
      <c r="G4481" s="3" t="s">
        <v>295</v>
      </c>
      <c r="H4481" s="2" t="s">
        <v>21</v>
      </c>
      <c r="I4481" s="2" t="s">
        <v>8952</v>
      </c>
      <c r="J4481" s="3" t="str">
        <f>HYPERLINK("https://www.boe.es/gazeta/dias/1820/04/25/pdfs/GMD-1820-70.pdf#page=8","Abrir facsímil")</f>
        <v>Abrir facsímil</v>
      </c>
      <c r="K4481" s="3" t="s">
        <v>23</v>
      </c>
    </row>
    <row r="4482" spans="1:11" ht="42" customHeight="1">
      <c r="A4482" s="2" t="s">
        <v>8953</v>
      </c>
      <c r="B4482" s="2" t="s">
        <v>8954</v>
      </c>
      <c r="C4482" s="2" t="s">
        <v>47</v>
      </c>
      <c r="D4482" s="2" t="s">
        <v>18</v>
      </c>
      <c r="E4482" s="5">
        <v>-28998</v>
      </c>
      <c r="F4482" s="3" t="s">
        <v>629</v>
      </c>
      <c r="G4482" s="3" t="s">
        <v>20</v>
      </c>
      <c r="H4482" s="2" t="s">
        <v>21</v>
      </c>
      <c r="I4482" s="2" t="s">
        <v>8955</v>
      </c>
      <c r="J4482" s="3" t="str">
        <f>HYPERLINK("https://www.boe.es/gazeta/dias/1820/08/08/pdfs/GGB-1820-41.pdf#page=4","Abrir facsímil")</f>
        <v>Abrir facsímil</v>
      </c>
      <c r="K4482" s="3" t="s">
        <v>23</v>
      </c>
    </row>
    <row r="4483" spans="1:11" ht="42" customHeight="1">
      <c r="A4483" s="2" t="s">
        <v>8956</v>
      </c>
      <c r="B4483" s="2" t="s">
        <v>8956</v>
      </c>
      <c r="C4483" s="2" t="s">
        <v>17</v>
      </c>
      <c r="D4483" s="2" t="s">
        <v>18</v>
      </c>
      <c r="E4483" s="5">
        <v>-28884</v>
      </c>
      <c r="F4483" s="3" t="s">
        <v>882</v>
      </c>
      <c r="G4483" s="3" t="s">
        <v>128</v>
      </c>
      <c r="H4483" s="2" t="s">
        <v>21</v>
      </c>
      <c r="I4483" s="2" t="s">
        <v>8957</v>
      </c>
      <c r="J4483" s="3" t="str">
        <f>HYPERLINK("https://www.boe.es/gazeta/dias/1820/11/30/pdfs/GGB-1820-157.pdf#page=1","Abrir facsímil")</f>
        <v>Abrir facsímil</v>
      </c>
      <c r="K4483" s="3" t="s">
        <v>23</v>
      </c>
    </row>
    <row r="4484" spans="1:11" ht="42" customHeight="1">
      <c r="A4484" s="2" t="s">
        <v>8958</v>
      </c>
      <c r="B4484" s="2" t="s">
        <v>8959</v>
      </c>
      <c r="C4484" s="2" t="s">
        <v>74</v>
      </c>
      <c r="D4484" s="2" t="s">
        <v>18</v>
      </c>
      <c r="E4484" s="5">
        <v>-29148</v>
      </c>
      <c r="F4484" s="3" t="s">
        <v>493</v>
      </c>
      <c r="G4484" s="3" t="s">
        <v>295</v>
      </c>
      <c r="H4484" s="2" t="s">
        <v>30</v>
      </c>
      <c r="I4484" s="2" t="s">
        <v>8960</v>
      </c>
      <c r="J4484" s="3" t="str">
        <f>HYPERLINK("https://www.boe.es/gazeta/dias/1820/03/11/pdfs/GMD-1820-36.pdf#page=8","Abrir facsímil")</f>
        <v>Abrir facsímil</v>
      </c>
      <c r="K4484" s="3" t="s">
        <v>32</v>
      </c>
    </row>
    <row r="4485" spans="1:11" ht="42" customHeight="1">
      <c r="A4485" s="2" t="s">
        <v>8961</v>
      </c>
      <c r="B4485" s="2" t="s">
        <v>8962</v>
      </c>
      <c r="C4485" s="2" t="s">
        <v>293</v>
      </c>
      <c r="D4485" s="2" t="s">
        <v>18</v>
      </c>
      <c r="E4485" s="5">
        <v>-28977</v>
      </c>
      <c r="F4485" s="3" t="s">
        <v>687</v>
      </c>
      <c r="G4485" s="3" t="s">
        <v>20</v>
      </c>
      <c r="H4485" s="2" t="s">
        <v>21</v>
      </c>
      <c r="I4485" s="2" t="s">
        <v>8963</v>
      </c>
      <c r="J4485" s="3" t="str">
        <f>HYPERLINK("https://www.boe.es/gazeta/dias/1820/08/29/pdfs/GGB-1820-62.pdf#page=4","Abrir facsímil")</f>
        <v>Abrir facsímil</v>
      </c>
      <c r="K4485" s="3" t="s">
        <v>23</v>
      </c>
    </row>
    <row r="4486" spans="1:11" ht="42" customHeight="1">
      <c r="A4486" s="2" t="s">
        <v>8964</v>
      </c>
      <c r="B4486" s="2" t="s">
        <v>8965</v>
      </c>
      <c r="C4486" s="2" t="s">
        <v>107</v>
      </c>
      <c r="D4486" s="2" t="s">
        <v>18</v>
      </c>
      <c r="E4486" s="5">
        <v>-29027</v>
      </c>
      <c r="F4486" s="3" t="s">
        <v>937</v>
      </c>
      <c r="G4486" s="3" t="s">
        <v>20</v>
      </c>
      <c r="H4486" s="2" t="s">
        <v>21</v>
      </c>
      <c r="I4486" s="2" t="s">
        <v>8966</v>
      </c>
      <c r="J4486" s="3" t="str">
        <f>HYPERLINK("https://www.boe.es/gazeta/dias/1820/07/10/pdfs/GGB-1820-11.pdf#page=4","Abrir facsímil")</f>
        <v>Abrir facsímil</v>
      </c>
      <c r="K4486" s="3" t="s">
        <v>23</v>
      </c>
    </row>
    <row r="4487" spans="1:11" ht="42" customHeight="1">
      <c r="A4487" s="2" t="s">
        <v>8967</v>
      </c>
      <c r="B4487" s="2" t="s">
        <v>8967</v>
      </c>
      <c r="C4487" s="2" t="s">
        <v>107</v>
      </c>
      <c r="D4487" s="2" t="s">
        <v>18</v>
      </c>
      <c r="E4487" s="5">
        <v>-29215</v>
      </c>
      <c r="F4487" s="3" t="s">
        <v>827</v>
      </c>
      <c r="G4487" s="3" t="s">
        <v>1987</v>
      </c>
      <c r="H4487" s="2" t="s">
        <v>21</v>
      </c>
      <c r="I4487" s="2" t="s">
        <v>8968</v>
      </c>
      <c r="J4487" s="3" t="str">
        <f>HYPERLINK("https://www.boe.es/gazeta/dias/1820/01/04/pdfs/GMD-1820-2.pdf#page=4","Abrir facsímil")</f>
        <v>Abrir facsímil</v>
      </c>
      <c r="K4487" s="3" t="s">
        <v>23</v>
      </c>
    </row>
    <row r="4488" spans="1:11" ht="42" customHeight="1">
      <c r="A4488" s="2" t="s">
        <v>8967</v>
      </c>
      <c r="B4488" s="2" t="s">
        <v>8967</v>
      </c>
      <c r="C4488" s="2" t="s">
        <v>35</v>
      </c>
      <c r="D4488" s="2" t="s">
        <v>36</v>
      </c>
      <c r="E4488" s="5">
        <v>-29215</v>
      </c>
      <c r="F4488" s="3" t="s">
        <v>827</v>
      </c>
      <c r="G4488" s="3" t="s">
        <v>128</v>
      </c>
      <c r="H4488" s="2" t="s">
        <v>21</v>
      </c>
      <c r="I4488" s="2" t="s">
        <v>8969</v>
      </c>
      <c r="J4488" s="3" t="str">
        <f>HYPERLINK("https://www.boe.es/gazeta/dias/1820/01/04/pdfs/GMD-1820-2.pdf#page=1","Abrir facsímil")</f>
        <v>Abrir facsímil</v>
      </c>
      <c r="K4488" s="3" t="s">
        <v>23</v>
      </c>
    </row>
    <row r="4489" spans="1:11" ht="42" customHeight="1">
      <c r="A4489" s="2" t="s">
        <v>8967</v>
      </c>
      <c r="B4489" s="2" t="s">
        <v>8967</v>
      </c>
      <c r="C4489" s="2" t="s">
        <v>35</v>
      </c>
      <c r="D4489" s="2" t="s">
        <v>36</v>
      </c>
      <c r="E4489" s="5">
        <v>-29197</v>
      </c>
      <c r="F4489" s="3" t="s">
        <v>48</v>
      </c>
      <c r="G4489" s="3" t="s">
        <v>43</v>
      </c>
      <c r="H4489" s="2" t="s">
        <v>21</v>
      </c>
      <c r="I4489" s="2" t="s">
        <v>8970</v>
      </c>
      <c r="J4489" s="3" t="str">
        <f>HYPERLINK("https://www.boe.es/gazeta/dias/1820/01/22/pdfs/GMD-1820-10.pdf#page=2","Abrir facsímil")</f>
        <v>Abrir facsímil</v>
      </c>
      <c r="K4489" s="3" t="s">
        <v>23</v>
      </c>
    </row>
    <row r="4490" spans="1:11" ht="42" customHeight="1">
      <c r="A4490" s="2" t="s">
        <v>8967</v>
      </c>
      <c r="B4490" s="2" t="s">
        <v>8967</v>
      </c>
      <c r="C4490" s="2" t="s">
        <v>26</v>
      </c>
      <c r="D4490" s="2" t="s">
        <v>27</v>
      </c>
      <c r="E4490" s="5">
        <v>-29171</v>
      </c>
      <c r="F4490" s="3" t="s">
        <v>764</v>
      </c>
      <c r="G4490" s="3" t="s">
        <v>43</v>
      </c>
      <c r="H4490" s="2" t="s">
        <v>21</v>
      </c>
      <c r="I4490" s="2" t="s">
        <v>8971</v>
      </c>
      <c r="J4490" s="3" t="str">
        <f>HYPERLINK("https://www.boe.es/gazeta/dias/1820/02/17/pdfs/GMD-1820-21.pdf#page=2","Abrir facsímil")</f>
        <v>Abrir facsímil</v>
      </c>
      <c r="K4490" s="3" t="s">
        <v>23</v>
      </c>
    </row>
    <row r="4491" spans="1:11" ht="42" customHeight="1">
      <c r="A4491" s="2" t="s">
        <v>8967</v>
      </c>
      <c r="B4491" s="2" t="s">
        <v>8967</v>
      </c>
      <c r="C4491" s="2" t="s">
        <v>35</v>
      </c>
      <c r="D4491" s="2" t="s">
        <v>36</v>
      </c>
      <c r="E4491" s="5">
        <v>-29136</v>
      </c>
      <c r="F4491" s="3" t="s">
        <v>2972</v>
      </c>
      <c r="G4491" s="3" t="s">
        <v>128</v>
      </c>
      <c r="H4491" s="2" t="s">
        <v>21</v>
      </c>
      <c r="I4491" s="2" t="s">
        <v>8972</v>
      </c>
      <c r="J4491" s="3" t="str">
        <f>HYPERLINK("https://www.boe.es/gazeta/dias/1820/03/23/pdfs/GMD-1820-51.pdf#page=1","Abrir facsímil")</f>
        <v>Abrir facsímil</v>
      </c>
      <c r="K4491" s="3" t="s">
        <v>23</v>
      </c>
    </row>
    <row r="4492" spans="1:11" ht="42" customHeight="1">
      <c r="A4492" s="2" t="s">
        <v>8967</v>
      </c>
      <c r="B4492" s="2" t="s">
        <v>8967</v>
      </c>
      <c r="C4492" s="2" t="s">
        <v>17</v>
      </c>
      <c r="D4492" s="2" t="s">
        <v>18</v>
      </c>
      <c r="E4492" s="5">
        <v>-29122</v>
      </c>
      <c r="F4492" s="3" t="s">
        <v>844</v>
      </c>
      <c r="G4492" s="3" t="s">
        <v>8973</v>
      </c>
      <c r="H4492" s="2" t="s">
        <v>21</v>
      </c>
      <c r="I4492" s="2" t="s">
        <v>8974</v>
      </c>
      <c r="J4492" s="3" t="str">
        <f>HYPERLINK("https://www.boe.es/gazeta/dias/1820/04/06/pdfs/GMD-1820-62.pdf#page=2","Abrir facsímil")</f>
        <v>Abrir facsímil</v>
      </c>
      <c r="K4492" s="3" t="s">
        <v>23</v>
      </c>
    </row>
    <row r="4493" spans="1:11" ht="42" customHeight="1">
      <c r="A4493" s="2" t="s">
        <v>8967</v>
      </c>
      <c r="B4493" s="2" t="s">
        <v>8967</v>
      </c>
      <c r="C4493" s="2" t="s">
        <v>293</v>
      </c>
      <c r="D4493" s="2" t="s">
        <v>18</v>
      </c>
      <c r="E4493" s="5">
        <v>-28986</v>
      </c>
      <c r="F4493" s="3" t="s">
        <v>488</v>
      </c>
      <c r="G4493" s="3" t="s">
        <v>128</v>
      </c>
      <c r="H4493" s="2" t="s">
        <v>21</v>
      </c>
      <c r="I4493" s="2" t="s">
        <v>8975</v>
      </c>
      <c r="J4493" s="3" t="str">
        <f>HYPERLINK("https://www.boe.es/gazeta/dias/1820/08/20/pdfs/GGB-1820-53.pdf#page=1","Abrir facsímil")</f>
        <v>Abrir facsímil</v>
      </c>
      <c r="K4493" s="3" t="s">
        <v>23</v>
      </c>
    </row>
    <row r="4494" spans="1:11" ht="42" customHeight="1">
      <c r="A4494" s="2" t="s">
        <v>8976</v>
      </c>
      <c r="B4494" s="2" t="s">
        <v>8976</v>
      </c>
      <c r="C4494" s="2" t="s">
        <v>35</v>
      </c>
      <c r="D4494" s="2" t="s">
        <v>36</v>
      </c>
      <c r="E4494" s="5">
        <v>-28899</v>
      </c>
      <c r="F4494" s="3" t="s">
        <v>285</v>
      </c>
      <c r="G4494" s="3" t="s">
        <v>128</v>
      </c>
      <c r="H4494" s="2" t="s">
        <v>21</v>
      </c>
      <c r="I4494" s="2" t="s">
        <v>8977</v>
      </c>
      <c r="J4494" s="3" t="str">
        <f>HYPERLINK("https://www.boe.es/gazeta/dias/1820/11/15/pdfs/GGB-1820-141.pdf#page=1","Abrir facsímil")</f>
        <v>Abrir facsímil</v>
      </c>
      <c r="K4494" s="3" t="s">
        <v>23</v>
      </c>
    </row>
    <row r="4495" spans="1:11" ht="42" customHeight="1">
      <c r="A4495" s="2" t="s">
        <v>8967</v>
      </c>
      <c r="B4495" s="2" t="s">
        <v>8967</v>
      </c>
      <c r="C4495" s="2" t="s">
        <v>26</v>
      </c>
      <c r="D4495" s="2" t="s">
        <v>27</v>
      </c>
      <c r="E4495" s="5">
        <v>-28890</v>
      </c>
      <c r="F4495" s="3" t="s">
        <v>248</v>
      </c>
      <c r="G4495" s="3" t="s">
        <v>128</v>
      </c>
      <c r="H4495" s="2" t="s">
        <v>21</v>
      </c>
      <c r="I4495" s="2" t="s">
        <v>8978</v>
      </c>
      <c r="J4495" s="3" t="str">
        <f>HYPERLINK("https://www.boe.es/gazeta/dias/1820/11/24/pdfs/GGB-1820-151.pdf#page=1","Abrir facsímil")</f>
        <v>Abrir facsímil</v>
      </c>
      <c r="K4495" s="3" t="s">
        <v>23</v>
      </c>
    </row>
    <row r="4496" spans="1:11" ht="42" customHeight="1">
      <c r="A4496" s="2" t="s">
        <v>8967</v>
      </c>
      <c r="B4496" s="2" t="s">
        <v>8967</v>
      </c>
      <c r="C4496" s="2" t="s">
        <v>26</v>
      </c>
      <c r="D4496" s="2" t="s">
        <v>27</v>
      </c>
      <c r="E4496" s="5">
        <v>-28889</v>
      </c>
      <c r="F4496" s="3" t="s">
        <v>777</v>
      </c>
      <c r="G4496" s="3" t="s">
        <v>128</v>
      </c>
      <c r="H4496" s="2" t="s">
        <v>21</v>
      </c>
      <c r="I4496" s="2" t="s">
        <v>8979</v>
      </c>
      <c r="J4496" s="3" t="str">
        <f>HYPERLINK("https://www.boe.es/gazeta/dias/1820/11/25/pdfs/GGB-1820-152.pdf#page=1","Abrir facsímil")</f>
        <v>Abrir facsímil</v>
      </c>
      <c r="K4496" s="3" t="s">
        <v>23</v>
      </c>
    </row>
    <row r="4497" spans="1:11" ht="42" customHeight="1">
      <c r="A4497" s="2" t="s">
        <v>8967</v>
      </c>
      <c r="B4497" s="2" t="s">
        <v>8967</v>
      </c>
      <c r="C4497" s="2" t="s">
        <v>74</v>
      </c>
      <c r="D4497" s="2" t="s">
        <v>18</v>
      </c>
      <c r="E4497" s="5">
        <v>-28870</v>
      </c>
      <c r="F4497" s="3" t="s">
        <v>1014</v>
      </c>
      <c r="G4497" s="3" t="s">
        <v>128</v>
      </c>
      <c r="H4497" s="2" t="s">
        <v>21</v>
      </c>
      <c r="I4497" s="2" t="s">
        <v>8980</v>
      </c>
      <c r="J4497" s="3" t="str">
        <f>HYPERLINK("https://www.boe.es/gazeta/dias/1820/12/14/pdfs/GGB-1820-171.pdf#page=1","Abrir facsímil")</f>
        <v>Abrir facsímil</v>
      </c>
      <c r="K4497" s="3" t="s">
        <v>23</v>
      </c>
    </row>
    <row r="4498" spans="1:11" ht="42" customHeight="1">
      <c r="A4498" s="2" t="s">
        <v>8981</v>
      </c>
      <c r="B4498" s="2" t="s">
        <v>8981</v>
      </c>
      <c r="C4498" s="2" t="s">
        <v>17</v>
      </c>
      <c r="D4498" s="2" t="s">
        <v>18</v>
      </c>
      <c r="E4498" s="5">
        <v>-29138</v>
      </c>
      <c r="F4498" s="3" t="s">
        <v>200</v>
      </c>
      <c r="G4498" s="3" t="s">
        <v>201</v>
      </c>
      <c r="H4498" s="2" t="s">
        <v>21</v>
      </c>
      <c r="I4498" s="2" t="s">
        <v>8982</v>
      </c>
      <c r="J4498" s="3" t="str">
        <f>HYPERLINK("https://www.boe.es/gazeta/dias/1820/03/21/pdfs/GMD-1820-46.pdf#page=7","Abrir facsímil")</f>
        <v>Abrir facsímil</v>
      </c>
      <c r="K4498" s="3" t="s">
        <v>23</v>
      </c>
    </row>
    <row r="4499" spans="1:11" ht="42" customHeight="1">
      <c r="A4499" s="2" t="s">
        <v>8981</v>
      </c>
      <c r="B4499" s="2" t="s">
        <v>8981</v>
      </c>
      <c r="C4499" s="2" t="s">
        <v>111</v>
      </c>
      <c r="D4499" s="2" t="s">
        <v>18</v>
      </c>
      <c r="E4499" s="5">
        <v>-28912</v>
      </c>
      <c r="F4499" s="3" t="s">
        <v>1329</v>
      </c>
      <c r="G4499" s="3" t="s">
        <v>20</v>
      </c>
      <c r="H4499" s="2" t="s">
        <v>21</v>
      </c>
      <c r="I4499" s="2" t="s">
        <v>8983</v>
      </c>
      <c r="J4499" s="3" t="str">
        <f>HYPERLINK("https://www.boe.es/gazeta/dias/1820/11/02/pdfs/GGB-1820-127.pdf#page=4","Abrir facsímil")</f>
        <v>Abrir facsímil</v>
      </c>
      <c r="K4499" s="3" t="s">
        <v>23</v>
      </c>
    </row>
    <row r="4500" spans="1:11" ht="42" customHeight="1">
      <c r="A4500" s="2" t="s">
        <v>8981</v>
      </c>
      <c r="B4500" s="2" t="s">
        <v>8981</v>
      </c>
      <c r="C4500" s="2" t="s">
        <v>26</v>
      </c>
      <c r="D4500" s="2" t="s">
        <v>27</v>
      </c>
      <c r="E4500" s="5">
        <v>-28911</v>
      </c>
      <c r="F4500" s="3" t="s">
        <v>82</v>
      </c>
      <c r="G4500" s="3" t="s">
        <v>43</v>
      </c>
      <c r="H4500" s="2" t="s">
        <v>21</v>
      </c>
      <c r="I4500" s="2" t="s">
        <v>8984</v>
      </c>
      <c r="J4500" s="3" t="str">
        <f>HYPERLINK("https://www.boe.es/gazeta/dias/1820/11/03/pdfs/GGB-1820-128.pdf#page=2","Abrir facsímil")</f>
        <v>Abrir facsímil</v>
      </c>
      <c r="K4500" s="3" t="s">
        <v>23</v>
      </c>
    </row>
    <row r="4501" spans="1:11" ht="42" customHeight="1">
      <c r="A4501" s="2" t="s">
        <v>8985</v>
      </c>
      <c r="B4501" s="2" t="s">
        <v>8986</v>
      </c>
      <c r="C4501" s="2" t="s">
        <v>26</v>
      </c>
      <c r="D4501" s="2" t="s">
        <v>27</v>
      </c>
      <c r="E4501" s="5">
        <v>-28985</v>
      </c>
      <c r="F4501" s="3" t="s">
        <v>905</v>
      </c>
      <c r="G4501" s="3" t="s">
        <v>62</v>
      </c>
      <c r="H4501" s="2" t="s">
        <v>30</v>
      </c>
      <c r="I4501" s="2" t="s">
        <v>8987</v>
      </c>
      <c r="J4501" s="3" t="str">
        <f>HYPERLINK("https://www.boe.es/gazeta/dias/1820/08/21/pdfs/GGB-1820-54.pdf#page=3","Abrir facsímil")</f>
        <v>Abrir facsímil</v>
      </c>
      <c r="K4501" s="3" t="s">
        <v>32</v>
      </c>
    </row>
    <row r="4502" spans="1:11" ht="42" customHeight="1">
      <c r="A4502" s="2" t="s">
        <v>8988</v>
      </c>
      <c r="B4502" s="2" t="s">
        <v>8988</v>
      </c>
      <c r="C4502" s="2" t="s">
        <v>26</v>
      </c>
      <c r="D4502" s="2" t="s">
        <v>27</v>
      </c>
      <c r="E4502" s="5">
        <v>-29029</v>
      </c>
      <c r="F4502" s="3" t="s">
        <v>282</v>
      </c>
      <c r="G4502" s="3" t="s">
        <v>62</v>
      </c>
      <c r="H4502" s="2" t="s">
        <v>21</v>
      </c>
      <c r="I4502" s="2" t="s">
        <v>8989</v>
      </c>
      <c r="J4502" s="3" t="str">
        <f>HYPERLINK("https://www.boe.es/gazeta/dias/1820/07/08/pdfs/GGB-1820-9.pdf#page=3","Abrir facsímil")</f>
        <v>Abrir facsímil</v>
      </c>
      <c r="K4502" s="3" t="s">
        <v>23</v>
      </c>
    </row>
    <row r="4503" spans="1:11" ht="42" customHeight="1">
      <c r="A4503" s="2" t="s">
        <v>8988</v>
      </c>
      <c r="B4503" s="2" t="s">
        <v>8988</v>
      </c>
      <c r="C4503" s="2" t="s">
        <v>17</v>
      </c>
      <c r="D4503" s="2" t="s">
        <v>18</v>
      </c>
      <c r="E4503" s="5">
        <v>-29000</v>
      </c>
      <c r="F4503" s="3" t="s">
        <v>670</v>
      </c>
      <c r="G4503" s="3" t="s">
        <v>20</v>
      </c>
      <c r="H4503" s="2" t="s">
        <v>21</v>
      </c>
      <c r="I4503" s="2" t="s">
        <v>8990</v>
      </c>
      <c r="J4503" s="3" t="str">
        <f>HYPERLINK("https://www.boe.es/gazeta/dias/1820/08/06/pdfs/GGB-1820-39.pdf#page=4","Abrir facsímil")</f>
        <v>Abrir facsímil</v>
      </c>
      <c r="K4503" s="3" t="s">
        <v>23</v>
      </c>
    </row>
    <row r="4504" spans="1:11" ht="42" customHeight="1">
      <c r="A4504" s="2" t="s">
        <v>8991</v>
      </c>
      <c r="B4504" s="2" t="s">
        <v>8991</v>
      </c>
      <c r="C4504" s="2" t="s">
        <v>26</v>
      </c>
      <c r="D4504" s="2" t="s">
        <v>27</v>
      </c>
      <c r="E4504" s="5">
        <v>-29003</v>
      </c>
      <c r="F4504" s="3" t="s">
        <v>340</v>
      </c>
      <c r="G4504" s="3" t="s">
        <v>20</v>
      </c>
      <c r="H4504" s="2" t="s">
        <v>21</v>
      </c>
      <c r="I4504" s="2" t="s">
        <v>8992</v>
      </c>
      <c r="J4504" s="3" t="str">
        <f>HYPERLINK("https://www.boe.es/gazeta/dias/1820/08/03/pdfs/GGB-1820-36.pdf#page=4","Abrir facsímil")</f>
        <v>Abrir facsímil</v>
      </c>
      <c r="K4504" s="3" t="s">
        <v>23</v>
      </c>
    </row>
    <row r="4505" spans="1:11" ht="42" customHeight="1">
      <c r="A4505" s="2" t="s">
        <v>8993</v>
      </c>
      <c r="B4505" s="2" t="s">
        <v>8993</v>
      </c>
      <c r="C4505" s="2" t="s">
        <v>74</v>
      </c>
      <c r="D4505" s="2" t="s">
        <v>18</v>
      </c>
      <c r="E4505" s="5">
        <v>-28924</v>
      </c>
      <c r="F4505" s="3" t="s">
        <v>78</v>
      </c>
      <c r="G4505" s="3" t="s">
        <v>62</v>
      </c>
      <c r="H4505" s="2" t="s">
        <v>21</v>
      </c>
      <c r="I4505" s="2" t="s">
        <v>8994</v>
      </c>
      <c r="J4505" s="3" t="str">
        <f>HYPERLINK("https://www.boe.es/gazeta/dias/1820/10/21/pdfs/GGB-1820-115.pdf#page=3","Abrir facsímil")</f>
        <v>Abrir facsímil</v>
      </c>
      <c r="K4505" s="3" t="s">
        <v>23</v>
      </c>
    </row>
    <row r="4506" spans="1:11" ht="42" customHeight="1">
      <c r="A4506" s="2" t="s">
        <v>8995</v>
      </c>
      <c r="B4506" s="2" t="s">
        <v>8995</v>
      </c>
      <c r="C4506" s="2" t="s">
        <v>35</v>
      </c>
      <c r="D4506" s="2" t="s">
        <v>36</v>
      </c>
      <c r="E4506" s="5">
        <v>-29014</v>
      </c>
      <c r="F4506" s="3" t="s">
        <v>70</v>
      </c>
      <c r="G4506" s="3" t="s">
        <v>20</v>
      </c>
      <c r="H4506" s="2" t="s">
        <v>21</v>
      </c>
      <c r="I4506" s="2" t="s">
        <v>8996</v>
      </c>
      <c r="J4506" s="3" t="str">
        <f>HYPERLINK("https://www.boe.es/gazeta/dias/1820/07/23/pdfs/GGB-1820-25.pdf#page=4","Abrir facsímil")</f>
        <v>Abrir facsímil</v>
      </c>
      <c r="K4506" s="3" t="s">
        <v>23</v>
      </c>
    </row>
    <row r="4507" spans="1:11" ht="42" customHeight="1">
      <c r="A4507" s="2" t="s">
        <v>8995</v>
      </c>
      <c r="B4507" s="2" t="s">
        <v>8995</v>
      </c>
      <c r="C4507" s="2" t="s">
        <v>35</v>
      </c>
      <c r="D4507" s="2" t="s">
        <v>36</v>
      </c>
      <c r="E4507" s="5">
        <v>-29011</v>
      </c>
      <c r="F4507" s="3" t="s">
        <v>338</v>
      </c>
      <c r="G4507" s="3" t="s">
        <v>62</v>
      </c>
      <c r="H4507" s="2" t="s">
        <v>21</v>
      </c>
      <c r="I4507" s="2" t="s">
        <v>8997</v>
      </c>
      <c r="J4507" s="3" t="str">
        <f>HYPERLINK("https://www.boe.es/gazeta/dias/1820/07/26/pdfs/GGB-1820-28.pdf#page=3","Abrir facsímil")</f>
        <v>Abrir facsímil</v>
      </c>
      <c r="K4507" s="3" t="s">
        <v>23</v>
      </c>
    </row>
    <row r="4508" spans="1:11" ht="42" customHeight="1">
      <c r="A4508" s="2" t="s">
        <v>8995</v>
      </c>
      <c r="B4508" s="2" t="s">
        <v>8995</v>
      </c>
      <c r="C4508" s="2" t="s">
        <v>293</v>
      </c>
      <c r="D4508" s="2" t="s">
        <v>18</v>
      </c>
      <c r="E4508" s="5">
        <v>-29000</v>
      </c>
      <c r="F4508" s="3" t="s">
        <v>670</v>
      </c>
      <c r="G4508" s="3" t="s">
        <v>20</v>
      </c>
      <c r="H4508" s="2" t="s">
        <v>21</v>
      </c>
      <c r="I4508" s="2" t="s">
        <v>8998</v>
      </c>
      <c r="J4508" s="3" t="str">
        <f>HYPERLINK("https://www.boe.es/gazeta/dias/1820/08/06/pdfs/GGB-1820-39.pdf#page=4","Abrir facsímil")</f>
        <v>Abrir facsímil</v>
      </c>
      <c r="K4508" s="3" t="s">
        <v>23</v>
      </c>
    </row>
    <row r="4509" spans="1:11" ht="42" customHeight="1">
      <c r="A4509" s="2" t="s">
        <v>8995</v>
      </c>
      <c r="B4509" s="2" t="s">
        <v>8995</v>
      </c>
      <c r="C4509" s="2" t="s">
        <v>35</v>
      </c>
      <c r="D4509" s="2" t="s">
        <v>36</v>
      </c>
      <c r="E4509" s="5">
        <v>-28995</v>
      </c>
      <c r="F4509" s="3" t="s">
        <v>672</v>
      </c>
      <c r="G4509" s="3" t="s">
        <v>20</v>
      </c>
      <c r="H4509" s="2" t="s">
        <v>21</v>
      </c>
      <c r="I4509" s="2" t="s">
        <v>8999</v>
      </c>
      <c r="J4509" s="3" t="str">
        <f>HYPERLINK("https://www.boe.es/gazeta/dias/1820/08/11/pdfs/GGB-1820-44.pdf#page=4","Abrir facsímil")</f>
        <v>Abrir facsímil</v>
      </c>
      <c r="K4509" s="3" t="s">
        <v>23</v>
      </c>
    </row>
    <row r="4510" spans="1:11" ht="42" customHeight="1">
      <c r="A4510" s="2" t="s">
        <v>8995</v>
      </c>
      <c r="B4510" s="2" t="s">
        <v>8995</v>
      </c>
      <c r="C4510" s="2" t="s">
        <v>293</v>
      </c>
      <c r="D4510" s="2" t="s">
        <v>18</v>
      </c>
      <c r="E4510" s="5">
        <v>-28934</v>
      </c>
      <c r="F4510" s="3" t="s">
        <v>163</v>
      </c>
      <c r="G4510" s="3" t="s">
        <v>62</v>
      </c>
      <c r="H4510" s="2" t="s">
        <v>21</v>
      </c>
      <c r="I4510" s="2" t="s">
        <v>9000</v>
      </c>
      <c r="J4510" s="3" t="str">
        <f>HYPERLINK("https://www.boe.es/gazeta/dias/1820/10/11/pdfs/GGB-1820-105.pdf#page=3","Abrir facsímil")</f>
        <v>Abrir facsímil</v>
      </c>
      <c r="K4510" s="3" t="s">
        <v>23</v>
      </c>
    </row>
    <row r="4511" spans="1:11" ht="42" customHeight="1">
      <c r="A4511" s="2" t="s">
        <v>8995</v>
      </c>
      <c r="B4511" s="2" t="s">
        <v>8995</v>
      </c>
      <c r="C4511" s="2" t="s">
        <v>17</v>
      </c>
      <c r="D4511" s="2" t="s">
        <v>18</v>
      </c>
      <c r="E4511" s="5">
        <v>-28924</v>
      </c>
      <c r="F4511" s="3" t="s">
        <v>78</v>
      </c>
      <c r="G4511" s="3" t="s">
        <v>43</v>
      </c>
      <c r="H4511" s="2" t="s">
        <v>21</v>
      </c>
      <c r="I4511" s="2" t="s">
        <v>9001</v>
      </c>
      <c r="J4511" s="3" t="str">
        <f>HYPERLINK("https://www.boe.es/gazeta/dias/1820/10/21/pdfs/GGB-1820-115.pdf#page=2","Abrir facsímil")</f>
        <v>Abrir facsímil</v>
      </c>
      <c r="K4511" s="3" t="s">
        <v>23</v>
      </c>
    </row>
    <row r="4512" spans="1:11" ht="42" customHeight="1">
      <c r="A4512" s="2" t="s">
        <v>8995</v>
      </c>
      <c r="B4512" s="2" t="s">
        <v>8995</v>
      </c>
      <c r="C4512" s="2" t="s">
        <v>47</v>
      </c>
      <c r="D4512" s="2" t="s">
        <v>18</v>
      </c>
      <c r="E4512" s="5">
        <v>-28923</v>
      </c>
      <c r="F4512" s="3" t="s">
        <v>648</v>
      </c>
      <c r="G4512" s="3" t="s">
        <v>62</v>
      </c>
      <c r="H4512" s="2" t="s">
        <v>21</v>
      </c>
      <c r="I4512" s="2" t="s">
        <v>9002</v>
      </c>
      <c r="J4512" s="3" t="str">
        <f>HYPERLINK("https://www.boe.es/gazeta/dias/1820/10/22/pdfs/GGB-1820-116.pdf#page=3","Abrir facsímil")</f>
        <v>Abrir facsímil</v>
      </c>
      <c r="K4512" s="3" t="s">
        <v>23</v>
      </c>
    </row>
    <row r="4513" spans="1:11" ht="42" customHeight="1">
      <c r="A4513" s="2" t="s">
        <v>8995</v>
      </c>
      <c r="B4513" s="2" t="s">
        <v>8995</v>
      </c>
      <c r="C4513" s="2" t="s">
        <v>47</v>
      </c>
      <c r="D4513" s="2" t="s">
        <v>18</v>
      </c>
      <c r="E4513" s="5">
        <v>-28912</v>
      </c>
      <c r="F4513" s="3" t="s">
        <v>1329</v>
      </c>
      <c r="G4513" s="3" t="s">
        <v>20</v>
      </c>
      <c r="H4513" s="2" t="s">
        <v>21</v>
      </c>
      <c r="I4513" s="2" t="s">
        <v>9003</v>
      </c>
      <c r="J4513" s="3" t="str">
        <f>HYPERLINK("https://www.boe.es/gazeta/dias/1820/11/02/pdfs/GGB-1820-127.pdf#page=4","Abrir facsímil")</f>
        <v>Abrir facsímil</v>
      </c>
      <c r="K4513" s="3" t="s">
        <v>23</v>
      </c>
    </row>
    <row r="4514" spans="1:11" ht="42" customHeight="1">
      <c r="A4514" s="2" t="s">
        <v>8995</v>
      </c>
      <c r="B4514" s="2" t="s">
        <v>8995</v>
      </c>
      <c r="C4514" s="2" t="s">
        <v>17</v>
      </c>
      <c r="D4514" s="2" t="s">
        <v>18</v>
      </c>
      <c r="E4514" s="5">
        <v>-28911</v>
      </c>
      <c r="F4514" s="3" t="s">
        <v>82</v>
      </c>
      <c r="G4514" s="3" t="s">
        <v>62</v>
      </c>
      <c r="H4514" s="2" t="s">
        <v>21</v>
      </c>
      <c r="I4514" s="2" t="s">
        <v>9004</v>
      </c>
      <c r="J4514" s="3" t="str">
        <f>HYPERLINK("https://www.boe.es/gazeta/dias/1820/11/03/pdfs/GGB-1820-128.pdf#page=3","Abrir facsímil")</f>
        <v>Abrir facsímil</v>
      </c>
      <c r="K4514" s="3" t="s">
        <v>23</v>
      </c>
    </row>
    <row r="4515" spans="1:11" ht="42" customHeight="1">
      <c r="A4515" s="2" t="s">
        <v>8995</v>
      </c>
      <c r="B4515" s="2" t="s">
        <v>8995</v>
      </c>
      <c r="C4515" s="2" t="s">
        <v>74</v>
      </c>
      <c r="D4515" s="2" t="s">
        <v>18</v>
      </c>
      <c r="E4515" s="5">
        <v>-28908</v>
      </c>
      <c r="F4515" s="3" t="s">
        <v>1060</v>
      </c>
      <c r="G4515" s="3" t="s">
        <v>62</v>
      </c>
      <c r="H4515" s="2" t="s">
        <v>21</v>
      </c>
      <c r="I4515" s="2" t="s">
        <v>9005</v>
      </c>
      <c r="J4515" s="3" t="str">
        <f>HYPERLINK("https://www.boe.es/gazeta/dias/1820/11/06/pdfs/GGB-1820-131.pdf#page=3","Abrir facsímil")</f>
        <v>Abrir facsímil</v>
      </c>
      <c r="K4515" s="3" t="s">
        <v>23</v>
      </c>
    </row>
    <row r="4516" spans="1:11" ht="42" customHeight="1">
      <c r="A4516" s="2" t="s">
        <v>9006</v>
      </c>
      <c r="B4516" s="2" t="s">
        <v>9007</v>
      </c>
      <c r="C4516" s="2" t="s">
        <v>26</v>
      </c>
      <c r="D4516" s="2" t="s">
        <v>27</v>
      </c>
      <c r="E4516" s="5">
        <v>-28936</v>
      </c>
      <c r="F4516" s="3" t="s">
        <v>167</v>
      </c>
      <c r="G4516" s="3" t="s">
        <v>43</v>
      </c>
      <c r="H4516" s="2" t="s">
        <v>21</v>
      </c>
      <c r="I4516" s="2" t="s">
        <v>9008</v>
      </c>
      <c r="J4516" s="3" t="str">
        <f>HYPERLINK("https://www.boe.es/gazeta/dias/1820/10/09/pdfs/GGB-1820-103.pdf#page=2","Abrir facsímil")</f>
        <v>Abrir facsímil</v>
      </c>
      <c r="K4516" s="3" t="s">
        <v>23</v>
      </c>
    </row>
    <row r="4517" spans="1:11" ht="42" customHeight="1">
      <c r="A4517" s="2" t="s">
        <v>9009</v>
      </c>
      <c r="B4517" s="2" t="s">
        <v>9010</v>
      </c>
      <c r="C4517" s="2" t="s">
        <v>47</v>
      </c>
      <c r="D4517" s="2" t="s">
        <v>18</v>
      </c>
      <c r="E4517" s="5">
        <v>-29016</v>
      </c>
      <c r="F4517" s="3" t="s">
        <v>657</v>
      </c>
      <c r="G4517" s="3" t="s">
        <v>43</v>
      </c>
      <c r="H4517" s="2" t="s">
        <v>21</v>
      </c>
      <c r="I4517" s="2" t="s">
        <v>9011</v>
      </c>
      <c r="J4517" s="3" t="str">
        <f>HYPERLINK("https://www.boe.es/gazeta/dias/1820/07/21/pdfs/GGB-1820-23.pdf#page=2","Abrir facsímil")</f>
        <v>Abrir facsímil</v>
      </c>
      <c r="K4517" s="3" t="s">
        <v>23</v>
      </c>
    </row>
    <row r="4518" spans="1:11" ht="42" customHeight="1">
      <c r="A4518" s="2" t="s">
        <v>9012</v>
      </c>
      <c r="B4518" s="2" t="s">
        <v>9013</v>
      </c>
      <c r="C4518" s="2" t="s">
        <v>17</v>
      </c>
      <c r="D4518" s="2" t="s">
        <v>18</v>
      </c>
      <c r="E4518" s="5">
        <v>-28931</v>
      </c>
      <c r="F4518" s="3" t="s">
        <v>724</v>
      </c>
      <c r="G4518" s="3" t="s">
        <v>20</v>
      </c>
      <c r="H4518" s="2" t="s">
        <v>30</v>
      </c>
      <c r="I4518" s="2" t="s">
        <v>9014</v>
      </c>
      <c r="J4518" s="3" t="str">
        <f>HYPERLINK("https://www.boe.es/gazeta/dias/1820/10/14/pdfs/GGB-1820-108.pdf#page=4","Abrir facsímil")</f>
        <v>Abrir facsímil</v>
      </c>
      <c r="K4518" s="3" t="s">
        <v>32</v>
      </c>
    </row>
    <row r="4519" spans="1:11" ht="42" customHeight="1">
      <c r="A4519" s="2" t="s">
        <v>9015</v>
      </c>
      <c r="B4519" s="2" t="s">
        <v>9015</v>
      </c>
      <c r="C4519" s="2" t="s">
        <v>35</v>
      </c>
      <c r="D4519" s="2" t="s">
        <v>36</v>
      </c>
      <c r="E4519" s="5">
        <v>-28927</v>
      </c>
      <c r="F4519" s="3" t="s">
        <v>345</v>
      </c>
      <c r="G4519" s="3" t="s">
        <v>20</v>
      </c>
      <c r="H4519" s="2" t="s">
        <v>21</v>
      </c>
      <c r="I4519" s="2" t="s">
        <v>9016</v>
      </c>
      <c r="J4519" s="3" t="str">
        <f>HYPERLINK("https://www.boe.es/gazeta/dias/1820/10/18/pdfs/GGB-1820-112.pdf#page=4","Abrir facsímil")</f>
        <v>Abrir facsímil</v>
      </c>
      <c r="K4519" s="3" t="s">
        <v>23</v>
      </c>
    </row>
    <row r="4520" spans="1:11" ht="42" customHeight="1">
      <c r="A4520" s="2" t="s">
        <v>9017</v>
      </c>
      <c r="B4520" s="2" t="s">
        <v>9018</v>
      </c>
      <c r="C4520" s="2" t="s">
        <v>17</v>
      </c>
      <c r="D4520" s="2" t="s">
        <v>18</v>
      </c>
      <c r="E4520" s="5">
        <v>-28924</v>
      </c>
      <c r="F4520" s="3" t="s">
        <v>78</v>
      </c>
      <c r="G4520" s="3" t="s">
        <v>43</v>
      </c>
      <c r="H4520" s="2" t="s">
        <v>21</v>
      </c>
      <c r="I4520" s="2" t="s">
        <v>9019</v>
      </c>
      <c r="J4520" s="3" t="str">
        <f>HYPERLINK("https://www.boe.es/gazeta/dias/1820/10/21/pdfs/GGB-1820-115.pdf#page=2","Abrir facsímil")</f>
        <v>Abrir facsímil</v>
      </c>
      <c r="K4520" s="3" t="s">
        <v>23</v>
      </c>
    </row>
    <row r="4521" spans="1:11" ht="42" customHeight="1">
      <c r="A4521" s="2" t="s">
        <v>9020</v>
      </c>
      <c r="B4521" s="2" t="s">
        <v>9020</v>
      </c>
      <c r="C4521" s="2" t="s">
        <v>47</v>
      </c>
      <c r="D4521" s="2" t="s">
        <v>18</v>
      </c>
      <c r="E4521" s="5">
        <v>-29117</v>
      </c>
      <c r="F4521" s="3" t="s">
        <v>1451</v>
      </c>
      <c r="G4521" s="3" t="s">
        <v>201</v>
      </c>
      <c r="H4521" s="2" t="s">
        <v>21</v>
      </c>
      <c r="I4521" s="2" t="s">
        <v>9021</v>
      </c>
      <c r="J4521" s="3" t="str">
        <f>HYPERLINK("https://www.boe.es/gazeta/dias/1820/04/11/pdfs/GMD-1820-64.pdf#page=7","Abrir facsímil")</f>
        <v>Abrir facsímil</v>
      </c>
      <c r="K4521" s="3" t="s">
        <v>23</v>
      </c>
    </row>
    <row r="4522" spans="1:11" ht="42" customHeight="1">
      <c r="A4522" s="2" t="s">
        <v>9020</v>
      </c>
      <c r="B4522" s="2" t="s">
        <v>9020</v>
      </c>
      <c r="C4522" s="2" t="s">
        <v>26</v>
      </c>
      <c r="D4522" s="2" t="s">
        <v>27</v>
      </c>
      <c r="E4522" s="5">
        <v>-28974</v>
      </c>
      <c r="F4522" s="3" t="s">
        <v>1144</v>
      </c>
      <c r="G4522" s="3" t="s">
        <v>1145</v>
      </c>
      <c r="H4522" s="2" t="s">
        <v>21</v>
      </c>
      <c r="I4522" s="2" t="s">
        <v>9022</v>
      </c>
      <c r="J4522" s="3" t="str">
        <f>HYPERLINK("https://www.boe.es/gazeta/dias/1820/09/01/pdfs/GGB-1820-65.pdf#page=4","Abrir facsímil")</f>
        <v>Abrir facsímil</v>
      </c>
      <c r="K4522" s="3" t="s">
        <v>23</v>
      </c>
    </row>
    <row r="4523" spans="1:11" ht="42" customHeight="1">
      <c r="A4523" s="2" t="s">
        <v>9020</v>
      </c>
      <c r="B4523" s="2" t="s">
        <v>9020</v>
      </c>
      <c r="C4523" s="2" t="s">
        <v>17</v>
      </c>
      <c r="D4523" s="2" t="s">
        <v>18</v>
      </c>
      <c r="E4523" s="5">
        <v>-28971</v>
      </c>
      <c r="F4523" s="3" t="s">
        <v>691</v>
      </c>
      <c r="G4523" s="3" t="s">
        <v>43</v>
      </c>
      <c r="H4523" s="2" t="s">
        <v>21</v>
      </c>
      <c r="I4523" s="2" t="s">
        <v>9023</v>
      </c>
      <c r="J4523" s="3" t="str">
        <f>HYPERLINK("https://www.boe.es/gazeta/dias/1820/09/04/pdfs/GGB-1820-68.pdf#page=2","Abrir facsímil")</f>
        <v>Abrir facsímil</v>
      </c>
      <c r="K4523" s="3" t="s">
        <v>23</v>
      </c>
    </row>
    <row r="4524" spans="1:11" ht="42" customHeight="1">
      <c r="A4524" s="2" t="s">
        <v>9020</v>
      </c>
      <c r="B4524" s="2" t="s">
        <v>9020</v>
      </c>
      <c r="C4524" s="2" t="s">
        <v>107</v>
      </c>
      <c r="D4524" s="2" t="s">
        <v>18</v>
      </c>
      <c r="E4524" s="5">
        <v>-28945</v>
      </c>
      <c r="F4524" s="3" t="s">
        <v>99</v>
      </c>
      <c r="G4524" s="3" t="s">
        <v>20</v>
      </c>
      <c r="H4524" s="2" t="s">
        <v>21</v>
      </c>
      <c r="I4524" s="2" t="s">
        <v>9024</v>
      </c>
      <c r="J4524" s="3" t="str">
        <f>HYPERLINK("https://www.boe.es/gazeta/dias/1820/09/30/pdfs/GGB-1820-94.pdf#page=4","Abrir facsímil")</f>
        <v>Abrir facsímil</v>
      </c>
      <c r="K4524" s="3" t="s">
        <v>23</v>
      </c>
    </row>
    <row r="4525" spans="1:11" ht="42" customHeight="1">
      <c r="A4525" s="2" t="s">
        <v>9020</v>
      </c>
      <c r="B4525" s="2" t="s">
        <v>9020</v>
      </c>
      <c r="C4525" s="2" t="s">
        <v>35</v>
      </c>
      <c r="D4525" s="2" t="s">
        <v>36</v>
      </c>
      <c r="E4525" s="5">
        <v>-28899</v>
      </c>
      <c r="F4525" s="3" t="s">
        <v>285</v>
      </c>
      <c r="G4525" s="3" t="s">
        <v>20</v>
      </c>
      <c r="H4525" s="2" t="s">
        <v>21</v>
      </c>
      <c r="I4525" s="2" t="s">
        <v>9025</v>
      </c>
      <c r="J4525" s="3" t="str">
        <f>HYPERLINK("https://www.boe.es/gazeta/dias/1820/11/15/pdfs/GGB-1820-141.pdf#page=4","Abrir facsímil")</f>
        <v>Abrir facsímil</v>
      </c>
      <c r="K4525" s="3" t="s">
        <v>23</v>
      </c>
    </row>
    <row r="4526" spans="1:11" ht="42" customHeight="1">
      <c r="A4526" s="2" t="s">
        <v>9020</v>
      </c>
      <c r="B4526" s="2" t="s">
        <v>9020</v>
      </c>
      <c r="C4526" s="2" t="s">
        <v>26</v>
      </c>
      <c r="D4526" s="2" t="s">
        <v>27</v>
      </c>
      <c r="E4526" s="5">
        <v>-28879</v>
      </c>
      <c r="F4526" s="3" t="s">
        <v>953</v>
      </c>
      <c r="G4526" s="3" t="s">
        <v>43</v>
      </c>
      <c r="H4526" s="2" t="s">
        <v>21</v>
      </c>
      <c r="I4526" s="2" t="s">
        <v>9026</v>
      </c>
      <c r="J4526" s="3" t="str">
        <f>HYPERLINK("https://www.boe.es/gazeta/dias/1820/12/05/pdfs/GGB-1820-162.pdf#page=2","Abrir facsímil")</f>
        <v>Abrir facsímil</v>
      </c>
      <c r="K4526" s="3" t="s">
        <v>23</v>
      </c>
    </row>
    <row r="4527" spans="1:11" ht="42" customHeight="1">
      <c r="A4527" s="2" t="s">
        <v>9020</v>
      </c>
      <c r="B4527" s="2" t="s">
        <v>9020</v>
      </c>
      <c r="C4527" s="2" t="s">
        <v>26</v>
      </c>
      <c r="D4527" s="2" t="s">
        <v>27</v>
      </c>
      <c r="E4527" s="5">
        <v>-28870</v>
      </c>
      <c r="F4527" s="3" t="s">
        <v>1014</v>
      </c>
      <c r="G4527" s="3" t="s">
        <v>20</v>
      </c>
      <c r="H4527" s="2" t="s">
        <v>21</v>
      </c>
      <c r="I4527" s="2" t="s">
        <v>9027</v>
      </c>
      <c r="J4527" s="3" t="str">
        <f>HYPERLINK("https://www.boe.es/gazeta/dias/1820/12/14/pdfs/GGB-1820-171.pdf#page=4","Abrir facsímil")</f>
        <v>Abrir facsímil</v>
      </c>
      <c r="K4527" s="3" t="s">
        <v>23</v>
      </c>
    </row>
    <row r="4528" spans="1:11" ht="42" customHeight="1">
      <c r="A4528" s="2" t="s">
        <v>9028</v>
      </c>
      <c r="B4528" s="2" t="s">
        <v>9028</v>
      </c>
      <c r="C4528" s="2" t="s">
        <v>35</v>
      </c>
      <c r="D4528" s="2" t="s">
        <v>36</v>
      </c>
      <c r="E4528" s="5">
        <v>-28942</v>
      </c>
      <c r="F4528" s="3" t="s">
        <v>244</v>
      </c>
      <c r="G4528" s="3" t="s">
        <v>20</v>
      </c>
      <c r="H4528" s="2" t="s">
        <v>21</v>
      </c>
      <c r="I4528" s="2" t="s">
        <v>9029</v>
      </c>
      <c r="J4528" s="3" t="str">
        <f>HYPERLINK("https://www.boe.es/gazeta/dias/1820/10/03/pdfs/GGB-1820-97.pdf#page=4","Abrir facsímil")</f>
        <v>Abrir facsímil</v>
      </c>
      <c r="K4528" s="3" t="s">
        <v>23</v>
      </c>
    </row>
    <row r="4529" spans="1:11" ht="42" customHeight="1">
      <c r="A4529" s="2" t="s">
        <v>9030</v>
      </c>
      <c r="B4529" s="2" t="s">
        <v>9031</v>
      </c>
      <c r="C4529" s="2" t="s">
        <v>35</v>
      </c>
      <c r="D4529" s="2" t="s">
        <v>36</v>
      </c>
      <c r="E4529" s="5">
        <v>-28924</v>
      </c>
      <c r="F4529" s="3" t="s">
        <v>78</v>
      </c>
      <c r="G4529" s="3" t="s">
        <v>20</v>
      </c>
      <c r="H4529" s="2" t="s">
        <v>30</v>
      </c>
      <c r="I4529" s="2" t="s">
        <v>9032</v>
      </c>
      <c r="J4529" s="3" t="str">
        <f>HYPERLINK("https://www.boe.es/gazeta/dias/1820/10/21/pdfs/GGB-1820-115.pdf#page=4","Abrir facsímil")</f>
        <v>Abrir facsímil</v>
      </c>
      <c r="K4529" s="3" t="s">
        <v>32</v>
      </c>
    </row>
    <row r="4530" spans="1:11" ht="42" customHeight="1">
      <c r="A4530" s="2" t="s">
        <v>9033</v>
      </c>
      <c r="B4530" s="2" t="s">
        <v>9034</v>
      </c>
      <c r="C4530" s="2" t="s">
        <v>35</v>
      </c>
      <c r="D4530" s="2" t="s">
        <v>36</v>
      </c>
      <c r="E4530" s="5">
        <v>-28925</v>
      </c>
      <c r="F4530" s="3" t="s">
        <v>228</v>
      </c>
      <c r="G4530" s="3" t="s">
        <v>62</v>
      </c>
      <c r="H4530" s="2" t="s">
        <v>21</v>
      </c>
      <c r="I4530" s="2" t="s">
        <v>9035</v>
      </c>
      <c r="J4530" s="3" t="str">
        <f>HYPERLINK("https://www.boe.es/gazeta/dias/1820/10/20/pdfs/GGB-1820-114.pdf#page=3","Abrir facsímil")</f>
        <v>Abrir facsímil</v>
      </c>
      <c r="K4530" s="3" t="s">
        <v>23</v>
      </c>
    </row>
    <row r="4531" spans="1:11" ht="42" customHeight="1">
      <c r="A4531" s="2" t="s">
        <v>9036</v>
      </c>
      <c r="B4531" s="2" t="s">
        <v>9037</v>
      </c>
      <c r="C4531" s="2" t="s">
        <v>26</v>
      </c>
      <c r="D4531" s="2" t="s">
        <v>27</v>
      </c>
      <c r="E4531" s="5">
        <v>-28925</v>
      </c>
      <c r="F4531" s="3" t="s">
        <v>228</v>
      </c>
      <c r="G4531" s="3" t="s">
        <v>62</v>
      </c>
      <c r="H4531" s="2" t="s">
        <v>21</v>
      </c>
      <c r="I4531" s="2" t="s">
        <v>9038</v>
      </c>
      <c r="J4531" s="3" t="str">
        <f>HYPERLINK("https://www.boe.es/gazeta/dias/1820/10/20/pdfs/GGB-1820-114.pdf#page=3","Abrir facsímil")</f>
        <v>Abrir facsímil</v>
      </c>
      <c r="K4531" s="3" t="s">
        <v>23</v>
      </c>
    </row>
    <row r="4532" spans="1:11" ht="42" customHeight="1">
      <c r="A4532" s="2" t="s">
        <v>9039</v>
      </c>
      <c r="B4532" s="2" t="s">
        <v>9040</v>
      </c>
      <c r="C4532" s="2" t="s">
        <v>26</v>
      </c>
      <c r="D4532" s="2" t="s">
        <v>27</v>
      </c>
      <c r="E4532" s="5">
        <v>-28934</v>
      </c>
      <c r="F4532" s="3" t="s">
        <v>163</v>
      </c>
      <c r="G4532" s="3" t="s">
        <v>62</v>
      </c>
      <c r="H4532" s="2" t="s">
        <v>21</v>
      </c>
      <c r="I4532" s="2" t="s">
        <v>9041</v>
      </c>
      <c r="J4532" s="3" t="str">
        <f>HYPERLINK("https://www.boe.es/gazeta/dias/1820/10/11/pdfs/GGB-1820-105.pdf#page=3","Abrir facsímil")</f>
        <v>Abrir facsímil</v>
      </c>
      <c r="K4532" s="3" t="s">
        <v>23</v>
      </c>
    </row>
    <row r="4533" spans="1:11" ht="42" customHeight="1">
      <c r="A4533" s="2" t="s">
        <v>9042</v>
      </c>
      <c r="B4533" s="2" t="s">
        <v>9043</v>
      </c>
      <c r="C4533" s="2" t="s">
        <v>26</v>
      </c>
      <c r="D4533" s="2" t="s">
        <v>27</v>
      </c>
      <c r="E4533" s="5">
        <v>-28965</v>
      </c>
      <c r="F4533" s="3" t="s">
        <v>1520</v>
      </c>
      <c r="G4533" s="3" t="s">
        <v>62</v>
      </c>
      <c r="H4533" s="2" t="s">
        <v>30</v>
      </c>
      <c r="I4533" s="2" t="s">
        <v>9044</v>
      </c>
      <c r="J4533" s="3" t="str">
        <f>HYPERLINK("https://www.boe.es/gazeta/dias/1820/09/10/pdfs/GGB-1820-74.pdf#page=3","Abrir facsímil")</f>
        <v>Abrir facsímil</v>
      </c>
      <c r="K4533" s="3" t="s">
        <v>32</v>
      </c>
    </row>
    <row r="4534" spans="1:11" ht="42" customHeight="1">
      <c r="A4534" s="2" t="s">
        <v>9042</v>
      </c>
      <c r="B4534" s="2" t="s">
        <v>9043</v>
      </c>
      <c r="C4534" s="2" t="s">
        <v>293</v>
      </c>
      <c r="D4534" s="2" t="s">
        <v>18</v>
      </c>
      <c r="E4534" s="5">
        <v>-28959</v>
      </c>
      <c r="F4534" s="3" t="s">
        <v>37</v>
      </c>
      <c r="G4534" s="3" t="s">
        <v>20</v>
      </c>
      <c r="H4534" s="2" t="s">
        <v>30</v>
      </c>
      <c r="I4534" s="2" t="s">
        <v>9045</v>
      </c>
      <c r="J4534" s="3" t="str">
        <f>HYPERLINK("https://www.boe.es/gazeta/dias/1820/09/16/pdfs/GGB-1820-80.pdf#page=4","Abrir facsímil")</f>
        <v>Abrir facsímil</v>
      </c>
      <c r="K4534" s="3" t="s">
        <v>32</v>
      </c>
    </row>
    <row r="4535" spans="1:11" ht="42" customHeight="1">
      <c r="A4535" s="2" t="s">
        <v>9042</v>
      </c>
      <c r="B4535" s="2" t="s">
        <v>9043</v>
      </c>
      <c r="C4535" s="2" t="s">
        <v>111</v>
      </c>
      <c r="D4535" s="2" t="s">
        <v>18</v>
      </c>
      <c r="E4535" s="5">
        <v>-28950</v>
      </c>
      <c r="F4535" s="3" t="s">
        <v>1052</v>
      </c>
      <c r="G4535" s="3" t="s">
        <v>62</v>
      </c>
      <c r="H4535" s="2" t="s">
        <v>30</v>
      </c>
      <c r="I4535" s="2" t="s">
        <v>9046</v>
      </c>
      <c r="J4535" s="3" t="str">
        <f>HYPERLINK("https://www.boe.es/gazeta/dias/1820/09/25/pdfs/GGB-1820-89.pdf#page=3","Abrir facsímil")</f>
        <v>Abrir facsímil</v>
      </c>
      <c r="K4535" s="3" t="s">
        <v>32</v>
      </c>
    </row>
    <row r="4536" spans="1:11" ht="42" customHeight="1">
      <c r="A4536" s="2" t="s">
        <v>9047</v>
      </c>
      <c r="B4536" s="2" t="s">
        <v>9048</v>
      </c>
      <c r="C4536" s="2" t="s">
        <v>111</v>
      </c>
      <c r="D4536" s="2" t="s">
        <v>18</v>
      </c>
      <c r="E4536" s="5">
        <v>-28950</v>
      </c>
      <c r="F4536" s="3" t="s">
        <v>1052</v>
      </c>
      <c r="G4536" s="3" t="s">
        <v>20</v>
      </c>
      <c r="H4536" s="2" t="s">
        <v>21</v>
      </c>
      <c r="I4536" s="2" t="s">
        <v>9049</v>
      </c>
      <c r="J4536" s="3" t="str">
        <f>HYPERLINK("https://www.boe.es/gazeta/dias/1820/09/25/pdfs/GGB-1820-89.pdf#page=4","Abrir facsímil")</f>
        <v>Abrir facsímil</v>
      </c>
      <c r="K4536" s="3" t="s">
        <v>23</v>
      </c>
    </row>
    <row r="4537" spans="1:11" ht="42" customHeight="1">
      <c r="A4537" s="2" t="s">
        <v>9047</v>
      </c>
      <c r="B4537" s="2" t="s">
        <v>9048</v>
      </c>
      <c r="C4537" s="2" t="s">
        <v>74</v>
      </c>
      <c r="D4537" s="2" t="s">
        <v>18</v>
      </c>
      <c r="E4537" s="5">
        <v>-28949</v>
      </c>
      <c r="F4537" s="3" t="s">
        <v>178</v>
      </c>
      <c r="G4537" s="3" t="s">
        <v>62</v>
      </c>
      <c r="H4537" s="2" t="s">
        <v>21</v>
      </c>
      <c r="I4537" s="2" t="s">
        <v>9050</v>
      </c>
      <c r="J4537" s="3" t="str">
        <f>HYPERLINK("https://www.boe.es/gazeta/dias/1820/09/26/pdfs/GGB-1820-90.pdf#page=3","Abrir facsímil")</f>
        <v>Abrir facsímil</v>
      </c>
      <c r="K4537" s="3" t="s">
        <v>23</v>
      </c>
    </row>
    <row r="4538" spans="1:11" ht="42" customHeight="1">
      <c r="A4538" s="2" t="s">
        <v>9047</v>
      </c>
      <c r="B4538" s="2" t="s">
        <v>9048</v>
      </c>
      <c r="C4538" s="2" t="s">
        <v>74</v>
      </c>
      <c r="D4538" s="2" t="s">
        <v>18</v>
      </c>
      <c r="E4538" s="5">
        <v>-28949</v>
      </c>
      <c r="F4538" s="3" t="s">
        <v>178</v>
      </c>
      <c r="G4538" s="3" t="s">
        <v>20</v>
      </c>
      <c r="H4538" s="2" t="s">
        <v>21</v>
      </c>
      <c r="I4538" s="2" t="s">
        <v>9051</v>
      </c>
      <c r="J4538" s="3" t="str">
        <f>HYPERLINK("https://www.boe.es/gazeta/dias/1820/09/26/pdfs/GGB-1820-90.pdf#page=4","Abrir facsímil")</f>
        <v>Abrir facsímil</v>
      </c>
      <c r="K4538" s="3" t="s">
        <v>23</v>
      </c>
    </row>
    <row r="4539" spans="1:11" ht="42" customHeight="1">
      <c r="A4539" s="2" t="s">
        <v>9047</v>
      </c>
      <c r="B4539" s="2" t="s">
        <v>9048</v>
      </c>
      <c r="C4539" s="2" t="s">
        <v>26</v>
      </c>
      <c r="D4539" s="2" t="s">
        <v>27</v>
      </c>
      <c r="E4539" s="5">
        <v>-28939</v>
      </c>
      <c r="F4539" s="3" t="s">
        <v>992</v>
      </c>
      <c r="G4539" s="3" t="s">
        <v>62</v>
      </c>
      <c r="H4539" s="2" t="s">
        <v>21</v>
      </c>
      <c r="I4539" s="2" t="s">
        <v>9052</v>
      </c>
      <c r="J4539" s="3" t="str">
        <f>HYPERLINK("https://www.boe.es/gazeta/dias/1820/10/06/pdfs/GGB-1820-100.pdf#page=3","Abrir facsímil")</f>
        <v>Abrir facsímil</v>
      </c>
      <c r="K4539" s="3" t="s">
        <v>23</v>
      </c>
    </row>
    <row r="4540" spans="1:11" ht="42" customHeight="1">
      <c r="A4540" s="2" t="s">
        <v>9047</v>
      </c>
      <c r="B4540" s="2" t="s">
        <v>9048</v>
      </c>
      <c r="C4540" s="2" t="s">
        <v>35</v>
      </c>
      <c r="D4540" s="2" t="s">
        <v>36</v>
      </c>
      <c r="E4540" s="5">
        <v>-28937</v>
      </c>
      <c r="F4540" s="3" t="s">
        <v>4254</v>
      </c>
      <c r="G4540" s="3" t="s">
        <v>20</v>
      </c>
      <c r="H4540" s="2" t="s">
        <v>21</v>
      </c>
      <c r="I4540" s="2" t="s">
        <v>9053</v>
      </c>
      <c r="J4540" s="3" t="str">
        <f>HYPERLINK("https://www.boe.es/gazeta/dias/1820/10/08/pdfs/GGB-1820-102.pdf#page=4","Abrir facsímil")</f>
        <v>Abrir facsímil</v>
      </c>
      <c r="K4540" s="3" t="s">
        <v>23</v>
      </c>
    </row>
    <row r="4541" spans="1:11" ht="42" customHeight="1">
      <c r="A4541" s="2" t="s">
        <v>9047</v>
      </c>
      <c r="B4541" s="2" t="s">
        <v>9048</v>
      </c>
      <c r="C4541" s="2" t="s">
        <v>47</v>
      </c>
      <c r="D4541" s="2" t="s">
        <v>18</v>
      </c>
      <c r="E4541" s="5">
        <v>-28934</v>
      </c>
      <c r="F4541" s="3" t="s">
        <v>163</v>
      </c>
      <c r="G4541" s="3" t="s">
        <v>1539</v>
      </c>
      <c r="H4541" s="2" t="s">
        <v>21</v>
      </c>
      <c r="I4541" s="2" t="s">
        <v>9054</v>
      </c>
      <c r="J4541" s="3" t="str">
        <f>HYPERLINK("https://www.boe.es/gazeta/dias/1820/10/11/pdfs/GGB-1820-105.pdf#page=2","Abrir facsímil")</f>
        <v>Abrir facsímil</v>
      </c>
      <c r="K4541" s="3" t="s">
        <v>23</v>
      </c>
    </row>
    <row r="4542" spans="1:11" ht="42" customHeight="1">
      <c r="A4542" s="2" t="s">
        <v>9047</v>
      </c>
      <c r="B4542" s="2" t="s">
        <v>9048</v>
      </c>
      <c r="C4542" s="2" t="s">
        <v>293</v>
      </c>
      <c r="D4542" s="2" t="s">
        <v>18</v>
      </c>
      <c r="E4542" s="5">
        <v>-28925</v>
      </c>
      <c r="F4542" s="3" t="s">
        <v>228</v>
      </c>
      <c r="G4542" s="3" t="s">
        <v>62</v>
      </c>
      <c r="H4542" s="2" t="s">
        <v>21</v>
      </c>
      <c r="I4542" s="2" t="s">
        <v>9055</v>
      </c>
      <c r="J4542" s="3" t="str">
        <f>HYPERLINK("https://www.boe.es/gazeta/dias/1820/10/20/pdfs/GGB-1820-114.pdf#page=3","Abrir facsímil")</f>
        <v>Abrir facsímil</v>
      </c>
      <c r="K4542" s="3" t="s">
        <v>23</v>
      </c>
    </row>
    <row r="4543" spans="1:11" ht="42" customHeight="1">
      <c r="A4543" s="2" t="s">
        <v>9047</v>
      </c>
      <c r="B4543" s="2" t="s">
        <v>9048</v>
      </c>
      <c r="C4543" s="2" t="s">
        <v>293</v>
      </c>
      <c r="D4543" s="2" t="s">
        <v>18</v>
      </c>
      <c r="E4543" s="5">
        <v>-28918</v>
      </c>
      <c r="F4543" s="3" t="s">
        <v>160</v>
      </c>
      <c r="G4543" s="3" t="s">
        <v>20</v>
      </c>
      <c r="H4543" s="2" t="s">
        <v>21</v>
      </c>
      <c r="I4543" s="2" t="s">
        <v>9056</v>
      </c>
      <c r="J4543" s="3" t="str">
        <f>HYPERLINK("https://www.boe.es/gazeta/dias/1820/10/27/pdfs/GGB-1820-121.pdf#page=4","Abrir facsímil")</f>
        <v>Abrir facsímil</v>
      </c>
      <c r="K4543" s="3" t="s">
        <v>23</v>
      </c>
    </row>
    <row r="4544" spans="1:11" ht="42" customHeight="1">
      <c r="A4544" s="2" t="s">
        <v>9047</v>
      </c>
      <c r="B4544" s="2" t="s">
        <v>9048</v>
      </c>
      <c r="C4544" s="2" t="s">
        <v>26</v>
      </c>
      <c r="D4544" s="2" t="s">
        <v>27</v>
      </c>
      <c r="E4544" s="5">
        <v>-28916</v>
      </c>
      <c r="F4544" s="3" t="s">
        <v>2688</v>
      </c>
      <c r="G4544" s="3" t="s">
        <v>62</v>
      </c>
      <c r="H4544" s="2" t="s">
        <v>21</v>
      </c>
      <c r="I4544" s="2" t="s">
        <v>9057</v>
      </c>
      <c r="J4544" s="3" t="str">
        <f>HYPERLINK("https://www.boe.es/gazeta/dias/1820/10/29/pdfs/GGB-1820-123.pdf#page=3","Abrir facsímil")</f>
        <v>Abrir facsímil</v>
      </c>
      <c r="K4544" s="3" t="s">
        <v>23</v>
      </c>
    </row>
    <row r="4545" spans="1:11" ht="42" customHeight="1">
      <c r="A4545" s="2" t="s">
        <v>9058</v>
      </c>
      <c r="B4545" s="2" t="s">
        <v>9058</v>
      </c>
      <c r="C4545" s="2" t="s">
        <v>26</v>
      </c>
      <c r="D4545" s="2" t="s">
        <v>27</v>
      </c>
      <c r="E4545" s="5">
        <v>-29199</v>
      </c>
      <c r="F4545" s="3" t="s">
        <v>1178</v>
      </c>
      <c r="G4545" s="3" t="s">
        <v>62</v>
      </c>
      <c r="H4545" s="2" t="s">
        <v>21</v>
      </c>
      <c r="I4545" s="2" t="s">
        <v>9059</v>
      </c>
      <c r="J4545" s="3" t="str">
        <f>HYPERLINK("https://www.boe.es/gazeta/dias/1820/01/20/pdfs/GMD-1820-9.pdf#page=3","Abrir facsímil")</f>
        <v>Abrir facsímil</v>
      </c>
      <c r="K4545" s="3" t="s">
        <v>23</v>
      </c>
    </row>
    <row r="4546" spans="1:11" ht="42" customHeight="1">
      <c r="A4546" s="2" t="s">
        <v>9060</v>
      </c>
      <c r="B4546" s="2" t="s">
        <v>9061</v>
      </c>
      <c r="C4546" s="2" t="s">
        <v>35</v>
      </c>
      <c r="D4546" s="2" t="s">
        <v>36</v>
      </c>
      <c r="E4546" s="5">
        <v>-29025</v>
      </c>
      <c r="F4546" s="3" t="s">
        <v>902</v>
      </c>
      <c r="G4546" s="3" t="s">
        <v>20</v>
      </c>
      <c r="H4546" s="2" t="s">
        <v>21</v>
      </c>
      <c r="I4546" s="2" t="s">
        <v>9062</v>
      </c>
      <c r="J4546" s="3" t="str">
        <f>HYPERLINK("https://www.boe.es/gazeta/dias/1820/07/12/pdfs/GGB-1820-14.pdf#page=4","Abrir facsímil")</f>
        <v>Abrir facsímil</v>
      </c>
      <c r="K4546" s="3" t="s">
        <v>23</v>
      </c>
    </row>
    <row r="4547" spans="1:11" ht="42" customHeight="1">
      <c r="A4547" s="2" t="s">
        <v>9063</v>
      </c>
      <c r="B4547" s="2" t="s">
        <v>9063</v>
      </c>
      <c r="C4547" s="2" t="s">
        <v>35</v>
      </c>
      <c r="D4547" s="2" t="s">
        <v>36</v>
      </c>
      <c r="E4547" s="5">
        <v>-28988</v>
      </c>
      <c r="F4547" s="3" t="s">
        <v>618</v>
      </c>
      <c r="G4547" s="3" t="s">
        <v>677</v>
      </c>
      <c r="H4547" s="2" t="s">
        <v>21</v>
      </c>
      <c r="I4547" s="2" t="s">
        <v>9064</v>
      </c>
      <c r="J4547" s="3" t="str">
        <f>HYPERLINK("https://www.boe.es/gazeta/dias/1820/08/18/pdfs/GGB-1820-51.pdf#page=2","Abrir facsímil")</f>
        <v>Abrir facsímil</v>
      </c>
      <c r="K4547" s="3" t="s">
        <v>23</v>
      </c>
    </row>
    <row r="4548" spans="1:11" ht="42" customHeight="1">
      <c r="A4548" s="2" t="s">
        <v>9065</v>
      </c>
      <c r="B4548" s="2" t="s">
        <v>9065</v>
      </c>
      <c r="C4548" s="2" t="s">
        <v>26</v>
      </c>
      <c r="D4548" s="2" t="s">
        <v>27</v>
      </c>
      <c r="E4548" s="5">
        <v>-29185</v>
      </c>
      <c r="F4548" s="3" t="s">
        <v>772</v>
      </c>
      <c r="G4548" s="3" t="s">
        <v>128</v>
      </c>
      <c r="H4548" s="2" t="s">
        <v>21</v>
      </c>
      <c r="I4548" s="2" t="s">
        <v>9066</v>
      </c>
      <c r="J4548" s="3" t="str">
        <f>HYPERLINK("https://www.boe.es/gazeta/dias/1820/02/03/pdfs/GMD-1820-15.pdf#page=1","Abrir facsímil")</f>
        <v>Abrir facsímil</v>
      </c>
      <c r="K4548" s="3" t="s">
        <v>23</v>
      </c>
    </row>
    <row r="4549" spans="1:11" ht="42" customHeight="1">
      <c r="A4549" s="2" t="s">
        <v>9067</v>
      </c>
      <c r="B4549" s="2" t="s">
        <v>9068</v>
      </c>
      <c r="C4549" s="2" t="s">
        <v>17</v>
      </c>
      <c r="D4549" s="2" t="s">
        <v>18</v>
      </c>
      <c r="E4549" s="5">
        <v>-28865</v>
      </c>
      <c r="F4549" s="3" t="s">
        <v>136</v>
      </c>
      <c r="G4549" s="3" t="s">
        <v>137</v>
      </c>
      <c r="H4549" s="2" t="s">
        <v>21</v>
      </c>
      <c r="I4549" s="2" t="s">
        <v>9069</v>
      </c>
      <c r="J4549" s="3" t="str">
        <f>HYPERLINK("https://www.boe.es/gazeta/dias/1820/12/19/pdfs/GGB-1820-176.pdf#page=3","Abrir facsímil")</f>
        <v>Abrir facsímil</v>
      </c>
      <c r="K4549" s="3" t="s">
        <v>23</v>
      </c>
    </row>
    <row r="4550" spans="1:11" ht="42" customHeight="1">
      <c r="A4550" s="2" t="s">
        <v>9070</v>
      </c>
      <c r="B4550" s="2" t="s">
        <v>9070</v>
      </c>
      <c r="C4550" s="2" t="s">
        <v>26</v>
      </c>
      <c r="D4550" s="2" t="s">
        <v>27</v>
      </c>
      <c r="E4550" s="5">
        <v>-28862</v>
      </c>
      <c r="F4550" s="3" t="s">
        <v>1905</v>
      </c>
      <c r="G4550" s="3" t="s">
        <v>128</v>
      </c>
      <c r="H4550" s="2" t="s">
        <v>21</v>
      </c>
      <c r="I4550" s="2" t="s">
        <v>9071</v>
      </c>
      <c r="J4550" s="3" t="str">
        <f>HYPERLINK("https://www.boe.es/gazeta/dias/1820/12/22/pdfs/GGB-1820-179.pdf#page=1","Abrir facsímil")</f>
        <v>Abrir facsímil</v>
      </c>
      <c r="K4550" s="3" t="s">
        <v>23</v>
      </c>
    </row>
    <row r="4551" spans="1:11" ht="42" customHeight="1">
      <c r="A4551" s="2" t="s">
        <v>9072</v>
      </c>
      <c r="B4551" s="2" t="s">
        <v>9072</v>
      </c>
      <c r="C4551" s="2" t="s">
        <v>47</v>
      </c>
      <c r="D4551" s="2" t="s">
        <v>18</v>
      </c>
      <c r="E4551" s="5">
        <v>-29047</v>
      </c>
      <c r="F4551" s="3" t="s">
        <v>1033</v>
      </c>
      <c r="G4551" s="3" t="s">
        <v>62</v>
      </c>
      <c r="H4551" s="2" t="s">
        <v>21</v>
      </c>
      <c r="I4551" s="2" t="s">
        <v>9073</v>
      </c>
      <c r="J4551" s="3" t="str">
        <f>HYPERLINK("https://www.boe.es/gazeta/dias/1820/06/20/pdfs/GMD-1820-96.pdf#page=3","Abrir facsímil")</f>
        <v>Abrir facsímil</v>
      </c>
      <c r="K4551" s="3" t="s">
        <v>23</v>
      </c>
    </row>
    <row r="4552" spans="1:11" ht="42" customHeight="1">
      <c r="A4552" s="2" t="s">
        <v>9074</v>
      </c>
      <c r="B4552" s="2" t="s">
        <v>9075</v>
      </c>
      <c r="C4552" s="2" t="s">
        <v>26</v>
      </c>
      <c r="D4552" s="2" t="s">
        <v>27</v>
      </c>
      <c r="E4552" s="5">
        <v>-28896</v>
      </c>
      <c r="F4552" s="3" t="s">
        <v>1268</v>
      </c>
      <c r="G4552" s="3" t="s">
        <v>1269</v>
      </c>
      <c r="H4552" s="2" t="s">
        <v>21</v>
      </c>
      <c r="I4552" s="2" t="s">
        <v>9076</v>
      </c>
      <c r="J4552" s="3" t="str">
        <f>HYPERLINK("https://www.boe.es/gazeta/dias/1820/11/18/pdfs/GGB-1820-144.pdf#page=4","Abrir facsímil")</f>
        <v>Abrir facsímil</v>
      </c>
      <c r="K4552" s="3" t="s">
        <v>23</v>
      </c>
    </row>
    <row r="4553" spans="1:11" ht="42" customHeight="1">
      <c r="A4553" s="2" t="s">
        <v>9077</v>
      </c>
      <c r="B4553" s="2" t="s">
        <v>9077</v>
      </c>
      <c r="C4553" s="2" t="s">
        <v>26</v>
      </c>
      <c r="D4553" s="2" t="s">
        <v>27</v>
      </c>
      <c r="E4553" s="5">
        <v>-29138</v>
      </c>
      <c r="F4553" s="3" t="s">
        <v>200</v>
      </c>
      <c r="G4553" s="3" t="s">
        <v>201</v>
      </c>
      <c r="H4553" s="2" t="s">
        <v>21</v>
      </c>
      <c r="I4553" s="2" t="s">
        <v>9078</v>
      </c>
      <c r="J4553" s="3" t="str">
        <f>HYPERLINK("https://www.boe.es/gazeta/dias/1820/03/21/pdfs/GMD-1820-46.pdf#page=7","Abrir facsímil")</f>
        <v>Abrir facsímil</v>
      </c>
      <c r="K4553" s="3" t="s">
        <v>23</v>
      </c>
    </row>
    <row r="4554" spans="1:11" ht="42" customHeight="1">
      <c r="A4554" s="2" t="s">
        <v>9079</v>
      </c>
      <c r="B4554" s="2" t="s">
        <v>9080</v>
      </c>
      <c r="C4554" s="2" t="s">
        <v>26</v>
      </c>
      <c r="D4554" s="2" t="s">
        <v>27</v>
      </c>
      <c r="E4554" s="5">
        <v>-29138</v>
      </c>
      <c r="F4554" s="3" t="s">
        <v>200</v>
      </c>
      <c r="G4554" s="3" t="s">
        <v>201</v>
      </c>
      <c r="H4554" s="2" t="s">
        <v>30</v>
      </c>
      <c r="I4554" s="2" t="s">
        <v>9081</v>
      </c>
      <c r="J4554" s="3" t="str">
        <f>HYPERLINK("https://www.boe.es/gazeta/dias/1820/03/21/pdfs/GMD-1820-46.pdf#page=7","Abrir facsímil")</f>
        <v>Abrir facsímil</v>
      </c>
      <c r="K4554" s="3" t="s">
        <v>32</v>
      </c>
    </row>
    <row r="4555" spans="1:11" ht="42" customHeight="1">
      <c r="A4555" s="2" t="s">
        <v>9079</v>
      </c>
      <c r="B4555" s="2" t="s">
        <v>9080</v>
      </c>
      <c r="C4555" s="2" t="s">
        <v>26</v>
      </c>
      <c r="D4555" s="2" t="s">
        <v>310</v>
      </c>
      <c r="E4555" s="5">
        <v>-29138</v>
      </c>
      <c r="F4555" s="3" t="s">
        <v>4019</v>
      </c>
      <c r="G4555" s="3" t="s">
        <v>43</v>
      </c>
      <c r="H4555" s="2" t="s">
        <v>30</v>
      </c>
      <c r="I4555" s="2" t="s">
        <v>9082</v>
      </c>
      <c r="J4555" s="3" t="str">
        <f>HYPERLINK("https://www.boe.es/gazeta/dias/1820/03/21/pdfs/GMD-1820-49E.pdf#page=2","Abrir facsímil")</f>
        <v>Abrir facsímil</v>
      </c>
      <c r="K4555" s="3" t="s">
        <v>32</v>
      </c>
    </row>
    <row r="4556" spans="1:11" ht="42" customHeight="1">
      <c r="A4556" s="2" t="s">
        <v>9079</v>
      </c>
      <c r="B4556" s="2" t="s">
        <v>9080</v>
      </c>
      <c r="C4556" s="2" t="s">
        <v>26</v>
      </c>
      <c r="D4556" s="2" t="s">
        <v>27</v>
      </c>
      <c r="E4556" s="5">
        <v>-29129</v>
      </c>
      <c r="F4556" s="3" t="s">
        <v>269</v>
      </c>
      <c r="G4556" s="3" t="s">
        <v>295</v>
      </c>
      <c r="H4556" s="2" t="s">
        <v>30</v>
      </c>
      <c r="I4556" s="2" t="s">
        <v>9083</v>
      </c>
      <c r="J4556" s="3" t="str">
        <f>HYPERLINK("https://www.boe.es/gazeta/dias/1820/03/30/pdfs/GMD-1820-58.pdf#page=8","Abrir facsímil")</f>
        <v>Abrir facsímil</v>
      </c>
      <c r="K4556" s="3" t="s">
        <v>32</v>
      </c>
    </row>
    <row r="4557" spans="1:11" ht="42" customHeight="1">
      <c r="A4557" s="2" t="s">
        <v>9079</v>
      </c>
      <c r="B4557" s="2" t="s">
        <v>9080</v>
      </c>
      <c r="C4557" s="2" t="s">
        <v>26</v>
      </c>
      <c r="D4557" s="2" t="s">
        <v>27</v>
      </c>
      <c r="E4557" s="5">
        <v>-28907</v>
      </c>
      <c r="F4557" s="3" t="s">
        <v>374</v>
      </c>
      <c r="G4557" s="3" t="s">
        <v>43</v>
      </c>
      <c r="H4557" s="2" t="s">
        <v>30</v>
      </c>
      <c r="I4557" s="2" t="s">
        <v>9084</v>
      </c>
      <c r="J4557" s="3" t="str">
        <f>HYPERLINK("https://www.boe.es/gazeta/dias/1820/11/07/pdfs/GGB-1820-132.pdf#page=2","Abrir facsímil")</f>
        <v>Abrir facsímil</v>
      </c>
      <c r="K4557" s="3" t="s">
        <v>32</v>
      </c>
    </row>
    <row r="4558" spans="1:11" ht="42" customHeight="1">
      <c r="A4558" s="2" t="s">
        <v>9079</v>
      </c>
      <c r="B4558" s="2" t="s">
        <v>9080</v>
      </c>
      <c r="C4558" s="2" t="s">
        <v>74</v>
      </c>
      <c r="D4558" s="2" t="s">
        <v>18</v>
      </c>
      <c r="E4558" s="5">
        <v>-28906</v>
      </c>
      <c r="F4558" s="3" t="s">
        <v>232</v>
      </c>
      <c r="G4558" s="3" t="s">
        <v>43</v>
      </c>
      <c r="H4558" s="2" t="s">
        <v>30</v>
      </c>
      <c r="I4558" s="2" t="s">
        <v>9085</v>
      </c>
      <c r="J4558" s="3" t="str">
        <f>HYPERLINK("https://www.boe.es/gazeta/dias/1820/11/08/pdfs/GGB-1820-133.pdf#page=2","Abrir facsímil")</f>
        <v>Abrir facsímil</v>
      </c>
      <c r="K4558" s="3" t="s">
        <v>32</v>
      </c>
    </row>
    <row r="4559" spans="1:11" ht="42" customHeight="1">
      <c r="A4559" s="2" t="s">
        <v>9079</v>
      </c>
      <c r="B4559" s="2" t="s">
        <v>9080</v>
      </c>
      <c r="C4559" s="2" t="s">
        <v>293</v>
      </c>
      <c r="D4559" s="2" t="s">
        <v>18</v>
      </c>
      <c r="E4559" s="5">
        <v>-28904</v>
      </c>
      <c r="F4559" s="3" t="s">
        <v>541</v>
      </c>
      <c r="G4559" s="3" t="s">
        <v>43</v>
      </c>
      <c r="H4559" s="2" t="s">
        <v>30</v>
      </c>
      <c r="I4559" s="2" t="s">
        <v>9086</v>
      </c>
      <c r="J4559" s="3" t="str">
        <f>HYPERLINK("https://www.boe.es/gazeta/dias/1820/11/10/pdfs/GGB-1820-136.pdf#page=2","Abrir facsímil")</f>
        <v>Abrir facsímil</v>
      </c>
      <c r="K4559" s="3" t="s">
        <v>32</v>
      </c>
    </row>
    <row r="4560" spans="1:11" ht="42" customHeight="1">
      <c r="A4560" s="2" t="s">
        <v>9087</v>
      </c>
      <c r="B4560" s="2" t="s">
        <v>9088</v>
      </c>
      <c r="C4560" s="2" t="s">
        <v>26</v>
      </c>
      <c r="D4560" s="2" t="s">
        <v>27</v>
      </c>
      <c r="E4560" s="5">
        <v>-29129</v>
      </c>
      <c r="F4560" s="3" t="s">
        <v>269</v>
      </c>
      <c r="G4560" s="3" t="s">
        <v>553</v>
      </c>
      <c r="H4560" s="2" t="s">
        <v>21</v>
      </c>
      <c r="I4560" s="2" t="s">
        <v>9089</v>
      </c>
      <c r="J4560" s="3" t="str">
        <f>HYPERLINK("https://www.boe.es/gazeta/dias/1820/03/30/pdfs/GMD-1820-58.pdf#page=10","Abrir facsímil")</f>
        <v>Abrir facsímil</v>
      </c>
      <c r="K4560" s="3" t="s">
        <v>23</v>
      </c>
    </row>
    <row r="4561" spans="1:11" ht="42" customHeight="1">
      <c r="A4561" s="2" t="s">
        <v>9090</v>
      </c>
      <c r="B4561" s="2" t="s">
        <v>9091</v>
      </c>
      <c r="C4561" s="2" t="s">
        <v>26</v>
      </c>
      <c r="D4561" s="2" t="s">
        <v>27</v>
      </c>
      <c r="E4561" s="5">
        <v>-28973</v>
      </c>
      <c r="F4561" s="3" t="s">
        <v>151</v>
      </c>
      <c r="G4561" s="3" t="s">
        <v>20</v>
      </c>
      <c r="H4561" s="2" t="s">
        <v>21</v>
      </c>
      <c r="I4561" s="2" t="s">
        <v>9092</v>
      </c>
      <c r="J4561" s="3" t="str">
        <f>HYPERLINK("https://www.boe.es/gazeta/dias/1820/09/02/pdfs/GGB-1820-66.pdf#page=4","Abrir facsímil")</f>
        <v>Abrir facsímil</v>
      </c>
      <c r="K4561" s="3" t="s">
        <v>23</v>
      </c>
    </row>
    <row r="4562" spans="1:11" ht="42" customHeight="1">
      <c r="A4562" s="2" t="s">
        <v>9093</v>
      </c>
      <c r="B4562" s="2" t="s">
        <v>9093</v>
      </c>
      <c r="C4562" s="2" t="s">
        <v>35</v>
      </c>
      <c r="D4562" s="2" t="s">
        <v>36</v>
      </c>
      <c r="E4562" s="5">
        <v>-28957</v>
      </c>
      <c r="F4562" s="3" t="s">
        <v>361</v>
      </c>
      <c r="G4562" s="3" t="s">
        <v>62</v>
      </c>
      <c r="H4562" s="2" t="s">
        <v>21</v>
      </c>
      <c r="I4562" s="2" t="s">
        <v>9094</v>
      </c>
      <c r="J4562" s="3" t="str">
        <f>HYPERLINK("https://www.boe.es/gazeta/dias/1820/09/18/pdfs/GGB-1820-82.pdf#page=3","Abrir facsímil")</f>
        <v>Abrir facsímil</v>
      </c>
      <c r="K4562" s="3" t="s">
        <v>23</v>
      </c>
    </row>
    <row r="4563" spans="1:11" ht="42" customHeight="1">
      <c r="A4563" s="2" t="s">
        <v>9095</v>
      </c>
      <c r="B4563" s="2" t="s">
        <v>9096</v>
      </c>
      <c r="C4563" s="2" t="s">
        <v>26</v>
      </c>
      <c r="D4563" s="2" t="s">
        <v>27</v>
      </c>
      <c r="E4563" s="5">
        <v>-28953</v>
      </c>
      <c r="F4563" s="3" t="s">
        <v>367</v>
      </c>
      <c r="G4563" s="3" t="s">
        <v>2925</v>
      </c>
      <c r="H4563" s="2" t="s">
        <v>21</v>
      </c>
      <c r="I4563" s="2" t="s">
        <v>9097</v>
      </c>
      <c r="J4563" s="3" t="str">
        <f>HYPERLINK("https://www.boe.es/gazeta/dias/1820/09/22/pdfs/GGB-1820-86.pdf#page=2","Abrir facsímil")</f>
        <v>Abrir facsímil</v>
      </c>
      <c r="K4563" s="3" t="s">
        <v>23</v>
      </c>
    </row>
    <row r="4564" spans="1:11" ht="42" customHeight="1">
      <c r="A4564" s="2" t="s">
        <v>9098</v>
      </c>
      <c r="B4564" s="2" t="s">
        <v>9099</v>
      </c>
      <c r="C4564" s="2" t="s">
        <v>47</v>
      </c>
      <c r="D4564" s="2" t="s">
        <v>18</v>
      </c>
      <c r="E4564" s="5">
        <v>-29013</v>
      </c>
      <c r="F4564" s="3" t="s">
        <v>52</v>
      </c>
      <c r="G4564" s="3" t="s">
        <v>43</v>
      </c>
      <c r="H4564" s="2" t="s">
        <v>21</v>
      </c>
      <c r="I4564" s="2" t="s">
        <v>9100</v>
      </c>
      <c r="J4564" s="3" t="str">
        <f>HYPERLINK("https://www.boe.es/gazeta/dias/1820/07/24/pdfs/GGB-1820-26.pdf#page=2","Abrir facsímil")</f>
        <v>Abrir facsímil</v>
      </c>
      <c r="K4564" s="3" t="s">
        <v>23</v>
      </c>
    </row>
    <row r="4565" spans="1:11" ht="42" customHeight="1">
      <c r="A4565" s="2" t="s">
        <v>9101</v>
      </c>
      <c r="B4565" s="2" t="s">
        <v>9102</v>
      </c>
      <c r="C4565" s="2" t="s">
        <v>17</v>
      </c>
      <c r="D4565" s="2" t="s">
        <v>18</v>
      </c>
      <c r="E4565" s="5">
        <v>-28866</v>
      </c>
      <c r="F4565" s="3" t="s">
        <v>507</v>
      </c>
      <c r="G4565" s="3" t="s">
        <v>62</v>
      </c>
      <c r="H4565" s="2" t="s">
        <v>21</v>
      </c>
      <c r="I4565" s="2" t="s">
        <v>9103</v>
      </c>
      <c r="J4565" s="3" t="str">
        <f>HYPERLINK("https://www.boe.es/gazeta/dias/1820/12/18/pdfs/GGB-1820-175.pdf#page=3","Abrir facsímil")</f>
        <v>Abrir facsímil</v>
      </c>
      <c r="K4565" s="3" t="s">
        <v>23</v>
      </c>
    </row>
    <row r="4566" spans="1:11" ht="42" customHeight="1">
      <c r="A4566" s="2" t="s">
        <v>9104</v>
      </c>
      <c r="B4566" s="2" t="s">
        <v>9105</v>
      </c>
      <c r="C4566" s="2" t="s">
        <v>26</v>
      </c>
      <c r="D4566" s="2" t="s">
        <v>27</v>
      </c>
      <c r="E4566" s="5">
        <v>-28866</v>
      </c>
      <c r="F4566" s="3" t="s">
        <v>507</v>
      </c>
      <c r="G4566" s="3" t="s">
        <v>62</v>
      </c>
      <c r="H4566" s="2" t="s">
        <v>21</v>
      </c>
      <c r="I4566" s="2" t="s">
        <v>9106</v>
      </c>
      <c r="J4566" s="3" t="str">
        <f>HYPERLINK("https://www.boe.es/gazeta/dias/1820/12/18/pdfs/GGB-1820-175.pdf#page=3","Abrir facsímil")</f>
        <v>Abrir facsímil</v>
      </c>
      <c r="K4566" s="3" t="s">
        <v>23</v>
      </c>
    </row>
    <row r="4567" spans="1:11" ht="42" customHeight="1">
      <c r="A4567" s="2" t="s">
        <v>9107</v>
      </c>
      <c r="B4567" s="2" t="s">
        <v>9108</v>
      </c>
      <c r="C4567" s="2" t="s">
        <v>26</v>
      </c>
      <c r="D4567" s="2" t="s">
        <v>27</v>
      </c>
      <c r="E4567" s="5">
        <v>-29129</v>
      </c>
      <c r="F4567" s="3" t="s">
        <v>269</v>
      </c>
      <c r="G4567" s="3" t="s">
        <v>553</v>
      </c>
      <c r="H4567" s="2" t="s">
        <v>21</v>
      </c>
      <c r="I4567" s="2" t="s">
        <v>9109</v>
      </c>
      <c r="J4567" s="3" t="str">
        <f>HYPERLINK("https://www.boe.es/gazeta/dias/1820/03/30/pdfs/GMD-1820-58.pdf#page=10","Abrir facsímil")</f>
        <v>Abrir facsímil</v>
      </c>
      <c r="K4567" s="3" t="s">
        <v>23</v>
      </c>
    </row>
    <row r="4568" spans="1:11" ht="42" customHeight="1">
      <c r="A4568" s="2" t="s">
        <v>9110</v>
      </c>
      <c r="B4568" s="2" t="s">
        <v>9111</v>
      </c>
      <c r="C4568" s="2" t="s">
        <v>26</v>
      </c>
      <c r="D4568" s="2" t="s">
        <v>27</v>
      </c>
      <c r="E4568" s="5">
        <v>-29017</v>
      </c>
      <c r="F4568" s="3" t="s">
        <v>274</v>
      </c>
      <c r="G4568" s="3" t="s">
        <v>62</v>
      </c>
      <c r="H4568" s="2" t="s">
        <v>21</v>
      </c>
      <c r="I4568" s="2" t="s">
        <v>9112</v>
      </c>
      <c r="J4568" s="3" t="str">
        <f>HYPERLINK("https://www.boe.es/gazeta/dias/1820/07/20/pdfs/GGB-1820-22.pdf#page=3","Abrir facsímil")</f>
        <v>Abrir facsímil</v>
      </c>
      <c r="K4568" s="3" t="s">
        <v>23</v>
      </c>
    </row>
    <row r="4569" spans="1:11" ht="42" customHeight="1">
      <c r="A4569" s="2" t="s">
        <v>9113</v>
      </c>
      <c r="B4569" s="2" t="s">
        <v>9113</v>
      </c>
      <c r="C4569" s="2" t="s">
        <v>74</v>
      </c>
      <c r="D4569" s="2" t="s">
        <v>18</v>
      </c>
      <c r="E4569" s="5">
        <v>-29080</v>
      </c>
      <c r="F4569" s="3" t="s">
        <v>1031</v>
      </c>
      <c r="G4569" s="3" t="s">
        <v>256</v>
      </c>
      <c r="H4569" s="2" t="s">
        <v>21</v>
      </c>
      <c r="I4569" s="2" t="s">
        <v>9114</v>
      </c>
      <c r="J4569" s="3" t="str">
        <f>HYPERLINK("https://www.boe.es/gazeta/dias/1820/05/18/pdfs/GMD-1820-82.pdf#page=5","Abrir facsímil")</f>
        <v>Abrir facsímil</v>
      </c>
      <c r="K4569" s="3" t="s">
        <v>23</v>
      </c>
    </row>
    <row r="4570" spans="1:11" ht="42" customHeight="1">
      <c r="A4570" s="2" t="s">
        <v>9115</v>
      </c>
      <c r="B4570" s="2" t="s">
        <v>9115</v>
      </c>
      <c r="C4570" s="2" t="s">
        <v>35</v>
      </c>
      <c r="D4570" s="2" t="s">
        <v>36</v>
      </c>
      <c r="E4570" s="5">
        <v>-29024</v>
      </c>
      <c r="F4570" s="3" t="s">
        <v>1916</v>
      </c>
      <c r="G4570" s="3" t="s">
        <v>43</v>
      </c>
      <c r="H4570" s="2" t="s">
        <v>21</v>
      </c>
      <c r="I4570" s="2" t="s">
        <v>9116</v>
      </c>
      <c r="J4570" s="3" t="str">
        <f>HYPERLINK("https://www.boe.es/gazeta/dias/1820/07/13/pdfs/GGB-1820-15.pdf#page=2","Abrir facsímil")</f>
        <v>Abrir facsímil</v>
      </c>
      <c r="K4570" s="3" t="s">
        <v>23</v>
      </c>
    </row>
    <row r="4571" spans="1:11" ht="42" customHeight="1">
      <c r="A4571" s="2" t="s">
        <v>9117</v>
      </c>
      <c r="B4571" s="2" t="s">
        <v>9117</v>
      </c>
      <c r="C4571" s="2" t="s">
        <v>35</v>
      </c>
      <c r="D4571" s="2" t="s">
        <v>36</v>
      </c>
      <c r="E4571" s="5">
        <v>-28857</v>
      </c>
      <c r="F4571" s="3" t="s">
        <v>889</v>
      </c>
      <c r="G4571" s="3" t="s">
        <v>128</v>
      </c>
      <c r="H4571" s="2" t="s">
        <v>21</v>
      </c>
      <c r="I4571" s="2" t="s">
        <v>9118</v>
      </c>
      <c r="J4571" s="3" t="str">
        <f>HYPERLINK("https://www.boe.es/gazeta/dias/1820/12/27/pdfs/GGB-1820-184.pdf#page=1","Abrir facsímil")</f>
        <v>Abrir facsímil</v>
      </c>
      <c r="K4571" s="3" t="s">
        <v>23</v>
      </c>
    </row>
    <row r="4572" spans="1:11" ht="42" customHeight="1">
      <c r="A4572" s="2" t="s">
        <v>9119</v>
      </c>
      <c r="B4572" s="2" t="s">
        <v>9120</v>
      </c>
      <c r="C4572" s="2" t="s">
        <v>35</v>
      </c>
      <c r="D4572" s="2" t="s">
        <v>36</v>
      </c>
      <c r="E4572" s="5">
        <v>-29136</v>
      </c>
      <c r="F4572" s="3" t="s">
        <v>2972</v>
      </c>
      <c r="G4572" s="3" t="s">
        <v>295</v>
      </c>
      <c r="H4572" s="2" t="s">
        <v>21</v>
      </c>
      <c r="I4572" s="2" t="s">
        <v>9121</v>
      </c>
      <c r="J4572" s="3" t="str">
        <f>HYPERLINK("https://www.boe.es/gazeta/dias/1820/03/23/pdfs/GMD-1820-51.pdf#page=8","Abrir facsímil")</f>
        <v>Abrir facsímil</v>
      </c>
      <c r="K4572" s="3" t="s">
        <v>23</v>
      </c>
    </row>
    <row r="4573" spans="1:11" ht="42" customHeight="1">
      <c r="A4573" s="2" t="s">
        <v>9122</v>
      </c>
      <c r="B4573" s="2" t="s">
        <v>9122</v>
      </c>
      <c r="C4573" s="2" t="s">
        <v>1808</v>
      </c>
      <c r="D4573" s="2" t="s">
        <v>36</v>
      </c>
      <c r="E4573" s="5">
        <v>-28861</v>
      </c>
      <c r="F4573" s="3" t="s">
        <v>894</v>
      </c>
      <c r="G4573" s="3" t="s">
        <v>128</v>
      </c>
      <c r="H4573" s="2" t="s">
        <v>21</v>
      </c>
      <c r="I4573" s="2" t="s">
        <v>9123</v>
      </c>
      <c r="J4573" s="3" t="str">
        <f>HYPERLINK("https://www.boe.es/gazeta/dias/1820/12/23/pdfs/GGB-1820-180.pdf#page=1","Abrir facsímil")</f>
        <v>Abrir facsímil</v>
      </c>
      <c r="K4573" s="3" t="s">
        <v>23</v>
      </c>
    </row>
    <row r="4574" spans="1:11" ht="42" customHeight="1">
      <c r="A4574" s="2" t="s">
        <v>9124</v>
      </c>
      <c r="B4574" s="2" t="s">
        <v>9124</v>
      </c>
      <c r="C4574" s="2" t="s">
        <v>26</v>
      </c>
      <c r="D4574" s="2" t="s">
        <v>27</v>
      </c>
      <c r="E4574" s="5">
        <v>-29020</v>
      </c>
      <c r="F4574" s="3" t="s">
        <v>756</v>
      </c>
      <c r="G4574" s="3" t="s">
        <v>43</v>
      </c>
      <c r="H4574" s="2" t="s">
        <v>21</v>
      </c>
      <c r="I4574" s="2" t="s">
        <v>9125</v>
      </c>
      <c r="J4574" s="3" t="str">
        <f>HYPERLINK("https://www.boe.es/gazeta/dias/1820/07/17/pdfs/GGB-1820-19.pdf#page=2","Abrir facsímil")</f>
        <v>Abrir facsímil</v>
      </c>
      <c r="K4574" s="3" t="s">
        <v>23</v>
      </c>
    </row>
    <row r="4575" spans="1:11" ht="42" customHeight="1">
      <c r="A4575" s="2" t="s">
        <v>9124</v>
      </c>
      <c r="B4575" s="2" t="s">
        <v>9124</v>
      </c>
      <c r="C4575" s="2" t="s">
        <v>26</v>
      </c>
      <c r="D4575" s="2" t="s">
        <v>27</v>
      </c>
      <c r="E4575" s="5">
        <v>-28955</v>
      </c>
      <c r="F4575" s="3" t="s">
        <v>175</v>
      </c>
      <c r="G4575" s="3" t="s">
        <v>62</v>
      </c>
      <c r="H4575" s="2" t="s">
        <v>21</v>
      </c>
      <c r="I4575" s="2" t="s">
        <v>9126</v>
      </c>
      <c r="J4575" s="3" t="str">
        <f>HYPERLINK("https://www.boe.es/gazeta/dias/1820/09/20/pdfs/GGB-1820-84.pdf#page=3","Abrir facsímil")</f>
        <v>Abrir facsímil</v>
      </c>
      <c r="K4575" s="3" t="s">
        <v>23</v>
      </c>
    </row>
    <row r="4576" spans="1:11" ht="42" customHeight="1">
      <c r="A4576" s="2" t="s">
        <v>9124</v>
      </c>
      <c r="B4576" s="2" t="s">
        <v>9124</v>
      </c>
      <c r="C4576" s="2" t="s">
        <v>26</v>
      </c>
      <c r="D4576" s="2" t="s">
        <v>27</v>
      </c>
      <c r="E4576" s="5">
        <v>-28918</v>
      </c>
      <c r="F4576" s="3" t="s">
        <v>160</v>
      </c>
      <c r="G4576" s="3" t="s">
        <v>62</v>
      </c>
      <c r="H4576" s="2" t="s">
        <v>21</v>
      </c>
      <c r="I4576" s="2" t="s">
        <v>9127</v>
      </c>
      <c r="J4576" s="3" t="str">
        <f>HYPERLINK("https://www.boe.es/gazeta/dias/1820/10/27/pdfs/GGB-1820-121.pdf#page=3","Abrir facsímil")</f>
        <v>Abrir facsímil</v>
      </c>
      <c r="K4576" s="3" t="s">
        <v>23</v>
      </c>
    </row>
    <row r="4577" spans="1:11" ht="42" customHeight="1">
      <c r="A4577" s="2" t="s">
        <v>9128</v>
      </c>
      <c r="B4577" s="2" t="s">
        <v>9129</v>
      </c>
      <c r="C4577" s="2" t="s">
        <v>74</v>
      </c>
      <c r="D4577" s="2" t="s">
        <v>18</v>
      </c>
      <c r="E4577" s="5">
        <v>-28936</v>
      </c>
      <c r="F4577" s="3" t="s">
        <v>167</v>
      </c>
      <c r="G4577" s="3" t="s">
        <v>43</v>
      </c>
      <c r="H4577" s="2" t="s">
        <v>21</v>
      </c>
      <c r="I4577" s="2" t="s">
        <v>9130</v>
      </c>
      <c r="J4577" s="3" t="str">
        <f>HYPERLINK("https://www.boe.es/gazeta/dias/1820/10/09/pdfs/GGB-1820-103.pdf#page=2","Abrir facsímil")</f>
        <v>Abrir facsímil</v>
      </c>
      <c r="K4577" s="3" t="s">
        <v>23</v>
      </c>
    </row>
    <row r="4578" spans="1:11" ht="42" customHeight="1">
      <c r="A4578" s="2" t="s">
        <v>9131</v>
      </c>
      <c r="B4578" s="2" t="s">
        <v>9132</v>
      </c>
      <c r="C4578" s="2" t="s">
        <v>35</v>
      </c>
      <c r="D4578" s="2" t="s">
        <v>36</v>
      </c>
      <c r="E4578" s="5">
        <v>-28934</v>
      </c>
      <c r="F4578" s="3" t="s">
        <v>163</v>
      </c>
      <c r="G4578" s="3" t="s">
        <v>20</v>
      </c>
      <c r="H4578" s="2" t="s">
        <v>21</v>
      </c>
      <c r="I4578" s="2" t="s">
        <v>9133</v>
      </c>
      <c r="J4578" s="3" t="str">
        <f>HYPERLINK("https://www.boe.es/gazeta/dias/1820/10/11/pdfs/GGB-1820-105.pdf#page=4","Abrir facsímil")</f>
        <v>Abrir facsímil</v>
      </c>
      <c r="K4578" s="3" t="s">
        <v>23</v>
      </c>
    </row>
    <row r="4579" spans="1:11" ht="42" customHeight="1">
      <c r="A4579" s="2" t="s">
        <v>9134</v>
      </c>
      <c r="B4579" s="2" t="s">
        <v>9135</v>
      </c>
      <c r="C4579" s="2" t="s">
        <v>26</v>
      </c>
      <c r="D4579" s="2" t="s">
        <v>27</v>
      </c>
      <c r="E4579" s="5">
        <v>-29040</v>
      </c>
      <c r="F4579" s="3" t="s">
        <v>1125</v>
      </c>
      <c r="G4579" s="3" t="s">
        <v>201</v>
      </c>
      <c r="H4579" s="2" t="s">
        <v>21</v>
      </c>
      <c r="I4579" s="2" t="s">
        <v>9136</v>
      </c>
      <c r="J4579" s="3" t="str">
        <f>HYPERLINK("https://www.boe.es/gazeta/dias/1820/06/27/pdfs/GMD-1820-99.pdf#page=7","Abrir facsímil")</f>
        <v>Abrir facsímil</v>
      </c>
      <c r="K4579" s="3" t="s">
        <v>23</v>
      </c>
    </row>
    <row r="4580" spans="1:11" ht="42" customHeight="1">
      <c r="A4580" s="2" t="s">
        <v>9137</v>
      </c>
      <c r="B4580" s="2" t="s">
        <v>9138</v>
      </c>
      <c r="C4580" s="2" t="s">
        <v>35</v>
      </c>
      <c r="D4580" s="2" t="s">
        <v>36</v>
      </c>
      <c r="E4580" s="5">
        <v>-29015</v>
      </c>
      <c r="F4580" s="3" t="s">
        <v>359</v>
      </c>
      <c r="G4580" s="3" t="s">
        <v>20</v>
      </c>
      <c r="H4580" s="2" t="s">
        <v>30</v>
      </c>
      <c r="I4580" s="2" t="s">
        <v>9139</v>
      </c>
      <c r="J4580" s="3" t="str">
        <f>HYPERLINK("https://www.boe.es/gazeta/dias/1820/07/22/pdfs/GGB-1820-24.pdf#page=4","Abrir facsímil")</f>
        <v>Abrir facsímil</v>
      </c>
      <c r="K4580" s="3" t="s">
        <v>32</v>
      </c>
    </row>
    <row r="4581" spans="1:11" ht="42" customHeight="1">
      <c r="A4581" s="2" t="s">
        <v>9140</v>
      </c>
      <c r="B4581" s="2" t="s">
        <v>9141</v>
      </c>
      <c r="C4581" s="2" t="s">
        <v>74</v>
      </c>
      <c r="D4581" s="2" t="s">
        <v>18</v>
      </c>
      <c r="E4581" s="5">
        <v>-29007</v>
      </c>
      <c r="F4581" s="3" t="s">
        <v>251</v>
      </c>
      <c r="G4581" s="3" t="s">
        <v>20</v>
      </c>
      <c r="H4581" s="2" t="s">
        <v>21</v>
      </c>
      <c r="I4581" s="2" t="s">
        <v>9142</v>
      </c>
      <c r="J4581" s="3" t="str">
        <f>HYPERLINK("https://www.boe.es/gazeta/dias/1820/07/30/pdfs/GGB-1820-32.pdf#page=4","Abrir facsímil")</f>
        <v>Abrir facsímil</v>
      </c>
      <c r="K4581" s="3" t="s">
        <v>23</v>
      </c>
    </row>
    <row r="4582" spans="1:11" ht="42" customHeight="1">
      <c r="A4582" s="2" t="s">
        <v>9143</v>
      </c>
      <c r="B4582" s="2" t="s">
        <v>9144</v>
      </c>
      <c r="C4582" s="2" t="s">
        <v>74</v>
      </c>
      <c r="D4582" s="2" t="s">
        <v>18</v>
      </c>
      <c r="E4582" s="5">
        <v>-28972</v>
      </c>
      <c r="F4582" s="3" t="s">
        <v>522</v>
      </c>
      <c r="G4582" s="3" t="s">
        <v>62</v>
      </c>
      <c r="H4582" s="2" t="s">
        <v>21</v>
      </c>
      <c r="I4582" s="2" t="s">
        <v>9145</v>
      </c>
      <c r="J4582" s="3" t="str">
        <f>HYPERLINK("https://www.boe.es/gazeta/dias/1820/09/03/pdfs/GGB-1820-67.pdf#page=3","Abrir facsímil")</f>
        <v>Abrir facsímil</v>
      </c>
      <c r="K4582" s="3" t="s">
        <v>23</v>
      </c>
    </row>
    <row r="4583" spans="1:11" ht="42" customHeight="1">
      <c r="A4583" s="2" t="s">
        <v>9146</v>
      </c>
      <c r="B4583" s="2" t="s">
        <v>9147</v>
      </c>
      <c r="C4583" s="2" t="s">
        <v>111</v>
      </c>
      <c r="D4583" s="2" t="s">
        <v>18</v>
      </c>
      <c r="E4583" s="5">
        <v>-28985</v>
      </c>
      <c r="F4583" s="3" t="s">
        <v>905</v>
      </c>
      <c r="G4583" s="3" t="s">
        <v>43</v>
      </c>
      <c r="H4583" s="2" t="s">
        <v>21</v>
      </c>
      <c r="I4583" s="2" t="s">
        <v>9148</v>
      </c>
      <c r="J4583" s="3" t="str">
        <f>HYPERLINK("https://www.boe.es/gazeta/dias/1820/08/21/pdfs/GGB-1820-54.pdf#page=2","Abrir facsímil")</f>
        <v>Abrir facsímil</v>
      </c>
      <c r="K4583" s="3" t="s">
        <v>23</v>
      </c>
    </row>
    <row r="4584" spans="1:11" ht="42" customHeight="1">
      <c r="A4584" s="2" t="s">
        <v>9149</v>
      </c>
      <c r="B4584" s="2" t="s">
        <v>9150</v>
      </c>
      <c r="C4584" s="2" t="s">
        <v>17</v>
      </c>
      <c r="D4584" s="2" t="s">
        <v>18</v>
      </c>
      <c r="E4584" s="5">
        <v>-28881</v>
      </c>
      <c r="F4584" s="3" t="s">
        <v>57</v>
      </c>
      <c r="G4584" s="3" t="s">
        <v>20</v>
      </c>
      <c r="H4584" s="2" t="s">
        <v>21</v>
      </c>
      <c r="I4584" s="2" t="s">
        <v>9151</v>
      </c>
      <c r="J4584" s="3" t="str">
        <f>HYPERLINK("https://www.boe.es/gazeta/dias/1820/12/03/pdfs/GGB-1820-160.pdf#page=4","Abrir facsímil")</f>
        <v>Abrir facsímil</v>
      </c>
      <c r="K4584" s="3" t="s">
        <v>23</v>
      </c>
    </row>
    <row r="4585" spans="1:11" ht="42" customHeight="1">
      <c r="A4585" s="2" t="s">
        <v>9152</v>
      </c>
      <c r="B4585" s="2" t="s">
        <v>9152</v>
      </c>
      <c r="C4585" s="2" t="s">
        <v>74</v>
      </c>
      <c r="D4585" s="2" t="s">
        <v>18</v>
      </c>
      <c r="E4585" s="5">
        <v>-29000</v>
      </c>
      <c r="F4585" s="3" t="s">
        <v>670</v>
      </c>
      <c r="G4585" s="3" t="s">
        <v>62</v>
      </c>
      <c r="H4585" s="2" t="s">
        <v>21</v>
      </c>
      <c r="I4585" s="2" t="s">
        <v>9153</v>
      </c>
      <c r="J4585" s="3" t="str">
        <f>HYPERLINK("https://www.boe.es/gazeta/dias/1820/08/06/pdfs/GGB-1820-39.pdf#page=3","Abrir facsímil")</f>
        <v>Abrir facsímil</v>
      </c>
      <c r="K4585" s="3" t="s">
        <v>23</v>
      </c>
    </row>
    <row r="4586" spans="1:11" ht="42" customHeight="1">
      <c r="A4586" s="2" t="s">
        <v>9154</v>
      </c>
      <c r="B4586" s="2" t="s">
        <v>9154</v>
      </c>
      <c r="C4586" s="2" t="s">
        <v>35</v>
      </c>
      <c r="D4586" s="2" t="s">
        <v>36</v>
      </c>
      <c r="E4586" s="5">
        <v>-28948</v>
      </c>
      <c r="F4586" s="3" t="s">
        <v>1069</v>
      </c>
      <c r="G4586" s="3" t="s">
        <v>20</v>
      </c>
      <c r="H4586" s="2" t="s">
        <v>21</v>
      </c>
      <c r="I4586" s="2" t="s">
        <v>9155</v>
      </c>
      <c r="J4586" s="3" t="str">
        <f>HYPERLINK("https://www.boe.es/gazeta/dias/1820/09/27/pdfs/GGB-1820-91.pdf#page=4","Abrir facsímil")</f>
        <v>Abrir facsímil</v>
      </c>
      <c r="K4586" s="3" t="s">
        <v>23</v>
      </c>
    </row>
    <row r="4587" spans="1:11" ht="42" customHeight="1">
      <c r="A4587" s="2" t="s">
        <v>9156</v>
      </c>
      <c r="B4587" s="2" t="s">
        <v>9157</v>
      </c>
      <c r="C4587" s="2" t="s">
        <v>35</v>
      </c>
      <c r="D4587" s="2" t="s">
        <v>36</v>
      </c>
      <c r="E4587" s="5">
        <v>-28859</v>
      </c>
      <c r="F4587" s="3" t="s">
        <v>265</v>
      </c>
      <c r="G4587" s="3" t="s">
        <v>62</v>
      </c>
      <c r="H4587" s="2" t="s">
        <v>21</v>
      </c>
      <c r="I4587" s="2" t="s">
        <v>9158</v>
      </c>
      <c r="J4587" s="3" t="str">
        <f>HYPERLINK("https://www.boe.es/gazeta/dias/1820/12/25/pdfs/GGB-1820-182.pdf#page=3","Abrir facsímil")</f>
        <v>Abrir facsímil</v>
      </c>
      <c r="K4587" s="3" t="s">
        <v>23</v>
      </c>
    </row>
    <row r="4588" spans="1:11" ht="42" customHeight="1">
      <c r="A4588" s="2" t="s">
        <v>9159</v>
      </c>
      <c r="B4588" s="2" t="s">
        <v>9160</v>
      </c>
      <c r="C4588" s="2" t="s">
        <v>35</v>
      </c>
      <c r="D4588" s="2" t="s">
        <v>36</v>
      </c>
      <c r="E4588" s="5">
        <v>-28918</v>
      </c>
      <c r="F4588" s="3" t="s">
        <v>160</v>
      </c>
      <c r="G4588" s="3" t="s">
        <v>20</v>
      </c>
      <c r="H4588" s="2" t="s">
        <v>30</v>
      </c>
      <c r="I4588" s="2" t="s">
        <v>9161</v>
      </c>
      <c r="J4588" s="3" t="str">
        <f>HYPERLINK("https://www.boe.es/gazeta/dias/1820/10/27/pdfs/GGB-1820-121.pdf#page=4","Abrir facsímil")</f>
        <v>Abrir facsímil</v>
      </c>
      <c r="K4588" s="3" t="s">
        <v>32</v>
      </c>
    </row>
    <row r="4589" spans="1:11" ht="42" customHeight="1">
      <c r="A4589" s="2" t="s">
        <v>9162</v>
      </c>
      <c r="B4589" s="2" t="s">
        <v>9163</v>
      </c>
      <c r="C4589" s="2" t="s">
        <v>35</v>
      </c>
      <c r="D4589" s="2" t="s">
        <v>36</v>
      </c>
      <c r="E4589" s="5">
        <v>-29029</v>
      </c>
      <c r="F4589" s="3" t="s">
        <v>282</v>
      </c>
      <c r="G4589" s="3" t="s">
        <v>62</v>
      </c>
      <c r="H4589" s="2" t="s">
        <v>21</v>
      </c>
      <c r="I4589" s="2" t="s">
        <v>9164</v>
      </c>
      <c r="J4589" s="3" t="str">
        <f>HYPERLINK("https://www.boe.es/gazeta/dias/1820/07/08/pdfs/GGB-1820-9.pdf#page=3","Abrir facsímil")</f>
        <v>Abrir facsímil</v>
      </c>
      <c r="K4589" s="3" t="s">
        <v>23</v>
      </c>
    </row>
    <row r="4590" spans="1:11" ht="42" customHeight="1">
      <c r="A4590" s="2" t="s">
        <v>9165</v>
      </c>
      <c r="B4590" s="2" t="s">
        <v>9166</v>
      </c>
      <c r="C4590" s="2" t="s">
        <v>35</v>
      </c>
      <c r="D4590" s="2" t="s">
        <v>36</v>
      </c>
      <c r="E4590" s="5">
        <v>-28999</v>
      </c>
      <c r="F4590" s="3" t="s">
        <v>342</v>
      </c>
      <c r="G4590" s="3" t="s">
        <v>20</v>
      </c>
      <c r="H4590" s="2" t="s">
        <v>21</v>
      </c>
      <c r="I4590" s="2" t="s">
        <v>9167</v>
      </c>
      <c r="J4590" s="3" t="str">
        <f>HYPERLINK("https://www.boe.es/gazeta/dias/1820/08/07/pdfs/GGB-1820-40.pdf#page=4","Abrir facsímil")</f>
        <v>Abrir facsímil</v>
      </c>
      <c r="K4590" s="3" t="s">
        <v>23</v>
      </c>
    </row>
    <row r="4591" spans="1:11" ht="42" customHeight="1">
      <c r="A4591" s="2" t="s">
        <v>9168</v>
      </c>
      <c r="B4591" s="2" t="s">
        <v>9169</v>
      </c>
      <c r="C4591" s="2" t="s">
        <v>35</v>
      </c>
      <c r="D4591" s="2" t="s">
        <v>36</v>
      </c>
      <c r="E4591" s="5">
        <v>-28967</v>
      </c>
      <c r="F4591" s="3" t="s">
        <v>238</v>
      </c>
      <c r="G4591" s="3" t="s">
        <v>38</v>
      </c>
      <c r="H4591" s="2" t="s">
        <v>21</v>
      </c>
      <c r="I4591" s="2" t="s">
        <v>9170</v>
      </c>
      <c r="J4591" s="3" t="str">
        <f>HYPERLINK("https://www.boe.es/gazeta/dias/1820/09/08/pdfs/GGB-1820-72.pdf#page=6","Abrir facsímil")</f>
        <v>Abrir facsímil</v>
      </c>
      <c r="K4591" s="3" t="s">
        <v>23</v>
      </c>
    </row>
    <row r="4592" spans="1:11" ht="42" customHeight="1">
      <c r="A4592" s="2" t="s">
        <v>9165</v>
      </c>
      <c r="B4592" s="2" t="s">
        <v>9166</v>
      </c>
      <c r="C4592" s="2" t="s">
        <v>35</v>
      </c>
      <c r="D4592" s="2" t="s">
        <v>36</v>
      </c>
      <c r="E4592" s="5">
        <v>-28937</v>
      </c>
      <c r="F4592" s="3" t="s">
        <v>4254</v>
      </c>
      <c r="G4592" s="3" t="s">
        <v>20</v>
      </c>
      <c r="H4592" s="2" t="s">
        <v>21</v>
      </c>
      <c r="I4592" s="2" t="s">
        <v>9171</v>
      </c>
      <c r="J4592" s="3" t="str">
        <f>HYPERLINK("https://www.boe.es/gazeta/dias/1820/10/08/pdfs/GGB-1820-102.pdf#page=4","Abrir facsímil")</f>
        <v>Abrir facsímil</v>
      </c>
      <c r="K4592" s="3" t="s">
        <v>23</v>
      </c>
    </row>
    <row r="4593" spans="1:11" ht="42" customHeight="1">
      <c r="A4593" s="2" t="s">
        <v>9165</v>
      </c>
      <c r="B4593" s="2" t="s">
        <v>9166</v>
      </c>
      <c r="C4593" s="2" t="s">
        <v>35</v>
      </c>
      <c r="D4593" s="2" t="s">
        <v>36</v>
      </c>
      <c r="E4593" s="5">
        <v>-28909</v>
      </c>
      <c r="F4593" s="3" t="s">
        <v>278</v>
      </c>
      <c r="G4593" s="3" t="s">
        <v>20</v>
      </c>
      <c r="H4593" s="2" t="s">
        <v>21</v>
      </c>
      <c r="I4593" s="2" t="s">
        <v>9172</v>
      </c>
      <c r="J4593" s="3" t="str">
        <f>HYPERLINK("https://www.boe.es/gazeta/dias/1820/11/05/pdfs/GGB-1820-130.pdf#page=4","Abrir facsímil")</f>
        <v>Abrir facsímil</v>
      </c>
      <c r="K4593" s="3" t="s">
        <v>23</v>
      </c>
    </row>
    <row r="4594" spans="1:11" ht="42" customHeight="1">
      <c r="A4594" s="2" t="s">
        <v>9165</v>
      </c>
      <c r="B4594" s="2" t="s">
        <v>9166</v>
      </c>
      <c r="C4594" s="2" t="s">
        <v>35</v>
      </c>
      <c r="D4594" s="2" t="s">
        <v>36</v>
      </c>
      <c r="E4594" s="5">
        <v>-28881</v>
      </c>
      <c r="F4594" s="3" t="s">
        <v>57</v>
      </c>
      <c r="G4594" s="3" t="s">
        <v>20</v>
      </c>
      <c r="H4594" s="2" t="s">
        <v>21</v>
      </c>
      <c r="I4594" s="2" t="s">
        <v>9173</v>
      </c>
      <c r="J4594" s="3" t="str">
        <f>HYPERLINK("https://www.boe.es/gazeta/dias/1820/12/03/pdfs/GGB-1820-160.pdf#page=4","Abrir facsímil")</f>
        <v>Abrir facsímil</v>
      </c>
      <c r="K4594" s="3" t="s">
        <v>23</v>
      </c>
    </row>
    <row r="4595" spans="1:11" ht="42" customHeight="1">
      <c r="A4595" s="2" t="s">
        <v>9174</v>
      </c>
      <c r="B4595" s="2" t="s">
        <v>9175</v>
      </c>
      <c r="C4595" s="2" t="s">
        <v>17</v>
      </c>
      <c r="D4595" s="2" t="s">
        <v>18</v>
      </c>
      <c r="E4595" s="5">
        <v>-28967</v>
      </c>
      <c r="F4595" s="3" t="s">
        <v>238</v>
      </c>
      <c r="G4595" s="3" t="s">
        <v>38</v>
      </c>
      <c r="H4595" s="2" t="s">
        <v>21</v>
      </c>
      <c r="I4595" s="2" t="s">
        <v>9176</v>
      </c>
      <c r="J4595" s="3" t="str">
        <f>HYPERLINK("https://www.boe.es/gazeta/dias/1820/09/08/pdfs/GGB-1820-72.pdf#page=6","Abrir facsímil")</f>
        <v>Abrir facsímil</v>
      </c>
      <c r="K4595" s="3" t="s">
        <v>23</v>
      </c>
    </row>
    <row r="4596" spans="1:11" ht="42" customHeight="1">
      <c r="A4596" s="2" t="s">
        <v>9177</v>
      </c>
      <c r="B4596" s="2" t="s">
        <v>9178</v>
      </c>
      <c r="C4596" s="2" t="s">
        <v>74</v>
      </c>
      <c r="D4596" s="2" t="s">
        <v>18</v>
      </c>
      <c r="E4596" s="5">
        <v>-28967</v>
      </c>
      <c r="F4596" s="3" t="s">
        <v>238</v>
      </c>
      <c r="G4596" s="3" t="s">
        <v>38</v>
      </c>
      <c r="H4596" s="2" t="s">
        <v>21</v>
      </c>
      <c r="I4596" s="2" t="s">
        <v>9179</v>
      </c>
      <c r="J4596" s="3" t="str">
        <f>HYPERLINK("https://www.boe.es/gazeta/dias/1820/09/08/pdfs/GGB-1820-72.pdf#page=6","Abrir facsímil")</f>
        <v>Abrir facsímil</v>
      </c>
      <c r="K4596" s="3" t="s">
        <v>23</v>
      </c>
    </row>
    <row r="4597" spans="1:11" ht="42" customHeight="1">
      <c r="A4597" s="2" t="s">
        <v>9180</v>
      </c>
      <c r="B4597" s="2" t="s">
        <v>9181</v>
      </c>
      <c r="C4597" s="2" t="s">
        <v>35</v>
      </c>
      <c r="D4597" s="2" t="s">
        <v>36</v>
      </c>
      <c r="E4597" s="5">
        <v>-29054</v>
      </c>
      <c r="F4597" s="3" t="s">
        <v>481</v>
      </c>
      <c r="G4597" s="3" t="s">
        <v>553</v>
      </c>
      <c r="H4597" s="2" t="s">
        <v>21</v>
      </c>
      <c r="I4597" s="2" t="s">
        <v>9182</v>
      </c>
      <c r="J4597" s="3" t="str">
        <f>HYPERLINK("https://www.boe.es/gazeta/dias/1820/06/13/pdfs/GMD-1820-93.pdf#page=10","Abrir facsímil")</f>
        <v>Abrir facsímil</v>
      </c>
      <c r="K4597" s="3" t="s">
        <v>23</v>
      </c>
    </row>
    <row r="4598" spans="1:11" ht="42" customHeight="1">
      <c r="A4598" s="2" t="s">
        <v>9183</v>
      </c>
      <c r="B4598" s="2" t="s">
        <v>9184</v>
      </c>
      <c r="C4598" s="2" t="s">
        <v>107</v>
      </c>
      <c r="D4598" s="2" t="s">
        <v>18</v>
      </c>
      <c r="E4598" s="5">
        <v>-28908</v>
      </c>
      <c r="F4598" s="3" t="s">
        <v>1060</v>
      </c>
      <c r="G4598" s="3" t="s">
        <v>20</v>
      </c>
      <c r="H4598" s="2" t="s">
        <v>21</v>
      </c>
      <c r="I4598" s="2" t="s">
        <v>9185</v>
      </c>
      <c r="J4598" s="3" t="str">
        <f>HYPERLINK("https://www.boe.es/gazeta/dias/1820/11/06/pdfs/GGB-1820-131.pdf#page=4","Abrir facsímil")</f>
        <v>Abrir facsímil</v>
      </c>
      <c r="K4598" s="3" t="s">
        <v>23</v>
      </c>
    </row>
    <row r="4599" spans="1:11" ht="42" customHeight="1">
      <c r="A4599" s="2" t="s">
        <v>9186</v>
      </c>
      <c r="B4599" s="2" t="s">
        <v>9187</v>
      </c>
      <c r="C4599" s="2" t="s">
        <v>17</v>
      </c>
      <c r="D4599" s="2" t="s">
        <v>18</v>
      </c>
      <c r="E4599" s="5">
        <v>-29152</v>
      </c>
      <c r="F4599" s="3" t="s">
        <v>1293</v>
      </c>
      <c r="G4599" s="3" t="s">
        <v>295</v>
      </c>
      <c r="H4599" s="2" t="s">
        <v>21</v>
      </c>
      <c r="I4599" s="2" t="s">
        <v>9188</v>
      </c>
      <c r="J4599" s="3" t="str">
        <f>HYPERLINK("https://www.boe.es/gazeta/dias/1820/03/07/pdfs/GMD-1820-29.pdf#page=8","Abrir facsímil")</f>
        <v>Abrir facsímil</v>
      </c>
      <c r="K4599" s="3" t="s">
        <v>23</v>
      </c>
    </row>
    <row r="4600" spans="1:11" ht="42" customHeight="1">
      <c r="A4600" s="2" t="s">
        <v>9189</v>
      </c>
      <c r="B4600" s="2" t="s">
        <v>9190</v>
      </c>
      <c r="C4600" s="2" t="s">
        <v>111</v>
      </c>
      <c r="D4600" s="2" t="s">
        <v>18</v>
      </c>
      <c r="E4600" s="5">
        <v>-29035</v>
      </c>
      <c r="F4600" s="3" t="s">
        <v>2267</v>
      </c>
      <c r="G4600" s="3" t="s">
        <v>62</v>
      </c>
      <c r="H4600" s="2" t="s">
        <v>21</v>
      </c>
      <c r="I4600" s="2" t="s">
        <v>9191</v>
      </c>
      <c r="J4600" s="3" t="str">
        <f>HYPERLINK("https://www.boe.es/gazeta/dias/1820/07/02/pdfs/GGB-1820-2.pdf#page=3","Abrir facsímil")</f>
        <v>Abrir facsímil</v>
      </c>
      <c r="K4600" s="3" t="s">
        <v>23</v>
      </c>
    </row>
    <row r="4601" spans="1:11" ht="42" customHeight="1">
      <c r="A4601" s="2" t="s">
        <v>9192</v>
      </c>
      <c r="B4601" s="2" t="s">
        <v>9193</v>
      </c>
      <c r="C4601" s="2" t="s">
        <v>26</v>
      </c>
      <c r="D4601" s="2" t="s">
        <v>27</v>
      </c>
      <c r="E4601" s="5">
        <v>-28931</v>
      </c>
      <c r="F4601" s="3" t="s">
        <v>724</v>
      </c>
      <c r="G4601" s="3" t="s">
        <v>20</v>
      </c>
      <c r="H4601" s="2" t="s">
        <v>21</v>
      </c>
      <c r="I4601" s="2" t="s">
        <v>9194</v>
      </c>
      <c r="J4601" s="3" t="str">
        <f>HYPERLINK("https://www.boe.es/gazeta/dias/1820/10/14/pdfs/GGB-1820-108.pdf#page=4","Abrir facsímil")</f>
        <v>Abrir facsímil</v>
      </c>
      <c r="K4601" s="3" t="s">
        <v>23</v>
      </c>
    </row>
    <row r="4602" spans="1:11" ht="42" customHeight="1">
      <c r="A4602" s="2" t="s">
        <v>9195</v>
      </c>
      <c r="B4602" s="2" t="s">
        <v>9196</v>
      </c>
      <c r="C4602" s="2" t="s">
        <v>35</v>
      </c>
      <c r="D4602" s="2" t="s">
        <v>36</v>
      </c>
      <c r="E4602" s="5">
        <v>-28986</v>
      </c>
      <c r="F4602" s="3" t="s">
        <v>488</v>
      </c>
      <c r="G4602" s="3" t="s">
        <v>489</v>
      </c>
      <c r="H4602" s="2" t="s">
        <v>30</v>
      </c>
      <c r="I4602" s="2" t="s">
        <v>9197</v>
      </c>
      <c r="J4602" s="3" t="str">
        <f>HYPERLINK("https://www.boe.es/gazeta/dias/1820/08/20/pdfs/GGB-1820-53.pdf#page=2","Abrir facsímil")</f>
        <v>Abrir facsímil</v>
      </c>
      <c r="K4602" s="3" t="s">
        <v>32</v>
      </c>
    </row>
    <row r="4603" spans="1:11" ht="42" customHeight="1">
      <c r="A4603" s="2" t="s">
        <v>9198</v>
      </c>
      <c r="B4603" s="2" t="s">
        <v>9198</v>
      </c>
      <c r="C4603" s="2" t="s">
        <v>17</v>
      </c>
      <c r="D4603" s="2" t="s">
        <v>18</v>
      </c>
      <c r="E4603" s="5">
        <v>-28922</v>
      </c>
      <c r="F4603" s="3" t="s">
        <v>735</v>
      </c>
      <c r="G4603" s="3" t="s">
        <v>43</v>
      </c>
      <c r="H4603" s="2" t="s">
        <v>21</v>
      </c>
      <c r="I4603" s="2" t="s">
        <v>9199</v>
      </c>
      <c r="J4603" s="3" t="str">
        <f>HYPERLINK("https://www.boe.es/gazeta/dias/1820/10/23/pdfs/GGB-1820-117.pdf#page=2","Abrir facsímil")</f>
        <v>Abrir facsímil</v>
      </c>
      <c r="K4603" s="3" t="s">
        <v>23</v>
      </c>
    </row>
    <row r="4604" spans="1:11" ht="42" customHeight="1">
      <c r="A4604" s="2" t="s">
        <v>9200</v>
      </c>
      <c r="B4604" s="2" t="s">
        <v>9200</v>
      </c>
      <c r="C4604" s="2" t="s">
        <v>26</v>
      </c>
      <c r="D4604" s="2" t="s">
        <v>27</v>
      </c>
      <c r="E4604" s="5">
        <v>-29155</v>
      </c>
      <c r="F4604" s="3" t="s">
        <v>2095</v>
      </c>
      <c r="G4604" s="3" t="s">
        <v>20</v>
      </c>
      <c r="H4604" s="2" t="s">
        <v>21</v>
      </c>
      <c r="I4604" s="2" t="s">
        <v>9201</v>
      </c>
      <c r="J4604" s="3" t="str">
        <f>HYPERLINK("https://www.boe.es/gazeta/dias/1820/03/04/pdfs/GMD-1820-28.pdf#page=4","Abrir facsímil")</f>
        <v>Abrir facsímil</v>
      </c>
      <c r="K4604" s="3" t="s">
        <v>23</v>
      </c>
    </row>
    <row r="4605" spans="1:11" ht="42" customHeight="1">
      <c r="A4605" s="2" t="s">
        <v>9202</v>
      </c>
      <c r="B4605" s="2" t="s">
        <v>9203</v>
      </c>
      <c r="C4605" s="2" t="s">
        <v>17</v>
      </c>
      <c r="D4605" s="2" t="s">
        <v>18</v>
      </c>
      <c r="E4605" s="5">
        <v>-28866</v>
      </c>
      <c r="F4605" s="3" t="s">
        <v>507</v>
      </c>
      <c r="G4605" s="3" t="s">
        <v>62</v>
      </c>
      <c r="H4605" s="2" t="s">
        <v>30</v>
      </c>
      <c r="I4605" s="2" t="s">
        <v>9204</v>
      </c>
      <c r="J4605" s="3" t="str">
        <f>HYPERLINK("https://www.boe.es/gazeta/dias/1820/12/18/pdfs/GGB-1820-175.pdf#page=3","Abrir facsímil")</f>
        <v>Abrir facsímil</v>
      </c>
      <c r="K4605" s="3" t="s">
        <v>32</v>
      </c>
    </row>
    <row r="4606" spans="1:11" ht="42" customHeight="1">
      <c r="A4606" s="2" t="s">
        <v>9205</v>
      </c>
      <c r="B4606" s="2" t="s">
        <v>9206</v>
      </c>
      <c r="C4606" s="2" t="s">
        <v>35</v>
      </c>
      <c r="D4606" s="2" t="s">
        <v>36</v>
      </c>
      <c r="E4606" s="5">
        <v>-28944</v>
      </c>
      <c r="F4606" s="3" t="s">
        <v>990</v>
      </c>
      <c r="G4606" s="3" t="s">
        <v>1548</v>
      </c>
      <c r="H4606" s="2" t="s">
        <v>30</v>
      </c>
      <c r="I4606" s="2" t="s">
        <v>9207</v>
      </c>
      <c r="J4606" s="3" t="str">
        <f>HYPERLINK("https://www.boe.es/gazeta/dias/1820/10/01/pdfs/GGB-1820-95.pdf#page=2","Abrir facsímil")</f>
        <v>Abrir facsímil</v>
      </c>
      <c r="K4606" s="3" t="s">
        <v>32</v>
      </c>
    </row>
    <row r="4607" spans="1:11" ht="42" customHeight="1">
      <c r="A4607" s="2" t="s">
        <v>9208</v>
      </c>
      <c r="B4607" s="2" t="s">
        <v>9209</v>
      </c>
      <c r="C4607" s="2" t="s">
        <v>17</v>
      </c>
      <c r="D4607" s="2" t="s">
        <v>18</v>
      </c>
      <c r="E4607" s="5">
        <v>-28931</v>
      </c>
      <c r="F4607" s="3" t="s">
        <v>724</v>
      </c>
      <c r="G4607" s="3" t="s">
        <v>20</v>
      </c>
      <c r="H4607" s="2" t="s">
        <v>21</v>
      </c>
      <c r="I4607" s="2" t="s">
        <v>9210</v>
      </c>
      <c r="J4607" s="3" t="str">
        <f>HYPERLINK("https://www.boe.es/gazeta/dias/1820/10/14/pdfs/GGB-1820-108.pdf#page=4","Abrir facsímil")</f>
        <v>Abrir facsímil</v>
      </c>
      <c r="K4607" s="3" t="s">
        <v>23</v>
      </c>
    </row>
    <row r="4608" spans="1:11" ht="42" customHeight="1">
      <c r="A4608" s="2" t="s">
        <v>9211</v>
      </c>
      <c r="B4608" s="2" t="s">
        <v>9212</v>
      </c>
      <c r="C4608" s="2" t="s">
        <v>26</v>
      </c>
      <c r="D4608" s="2" t="s">
        <v>27</v>
      </c>
      <c r="E4608" s="5">
        <v>-28971</v>
      </c>
      <c r="F4608" s="3" t="s">
        <v>691</v>
      </c>
      <c r="G4608" s="3" t="s">
        <v>43</v>
      </c>
      <c r="H4608" s="2" t="s">
        <v>21</v>
      </c>
      <c r="I4608" s="2" t="s">
        <v>9213</v>
      </c>
      <c r="J4608" s="3" t="str">
        <f>HYPERLINK("https://www.boe.es/gazeta/dias/1820/09/04/pdfs/GGB-1820-68.pdf#page=2","Abrir facsímil")</f>
        <v>Abrir facsímil</v>
      </c>
      <c r="K4608" s="3" t="s">
        <v>23</v>
      </c>
    </row>
    <row r="4609" spans="1:11" ht="42" customHeight="1">
      <c r="A4609" s="2" t="s">
        <v>9214</v>
      </c>
      <c r="B4609" s="2" t="s">
        <v>9215</v>
      </c>
      <c r="C4609" s="2" t="s">
        <v>26</v>
      </c>
      <c r="D4609" s="2" t="s">
        <v>27</v>
      </c>
      <c r="E4609" s="5">
        <v>-29002</v>
      </c>
      <c r="F4609" s="3" t="s">
        <v>124</v>
      </c>
      <c r="G4609" s="3" t="s">
        <v>43</v>
      </c>
      <c r="H4609" s="2" t="s">
        <v>21</v>
      </c>
      <c r="I4609" s="2" t="s">
        <v>9216</v>
      </c>
      <c r="J4609" s="3" t="str">
        <f>HYPERLINK("https://www.boe.es/gazeta/dias/1820/08/04/pdfs/GGB-1820-37.pdf#page=2","Abrir facsímil")</f>
        <v>Abrir facsímil</v>
      </c>
      <c r="K4609" s="3" t="s">
        <v>23</v>
      </c>
    </row>
    <row r="4610" spans="1:11" ht="42" customHeight="1">
      <c r="A4610" s="2" t="s">
        <v>9217</v>
      </c>
      <c r="B4610" s="2" t="s">
        <v>9218</v>
      </c>
      <c r="C4610" s="2" t="s">
        <v>17</v>
      </c>
      <c r="D4610" s="2" t="s">
        <v>18</v>
      </c>
      <c r="E4610" s="5">
        <v>-28976</v>
      </c>
      <c r="F4610" s="3" t="s">
        <v>689</v>
      </c>
      <c r="G4610" s="3" t="s">
        <v>43</v>
      </c>
      <c r="H4610" s="2" t="s">
        <v>30</v>
      </c>
      <c r="I4610" s="2" t="s">
        <v>9219</v>
      </c>
      <c r="J4610" s="3" t="str">
        <f>HYPERLINK("https://www.boe.es/gazeta/dias/1820/08/30/pdfs/GGB-1820-63.pdf#page=2","Abrir facsímil")</f>
        <v>Abrir facsímil</v>
      </c>
      <c r="K4610" s="3" t="s">
        <v>32</v>
      </c>
    </row>
    <row r="4611" spans="1:11" ht="42" customHeight="1">
      <c r="A4611" s="2" t="s">
        <v>9220</v>
      </c>
      <c r="B4611" s="2" t="s">
        <v>9221</v>
      </c>
      <c r="C4611" s="2" t="s">
        <v>26</v>
      </c>
      <c r="D4611" s="2" t="s">
        <v>27</v>
      </c>
      <c r="E4611" s="5">
        <v>-29134</v>
      </c>
      <c r="F4611" s="3" t="s">
        <v>255</v>
      </c>
      <c r="G4611" s="3" t="s">
        <v>295</v>
      </c>
      <c r="H4611" s="2" t="s">
        <v>21</v>
      </c>
      <c r="I4611" s="2" t="s">
        <v>9222</v>
      </c>
      <c r="J4611" s="3" t="str">
        <f>HYPERLINK("https://www.boe.es/gazeta/dias/1820/03/25/pdfs/GMD-1820-53.pdf#page=8","Abrir facsímil")</f>
        <v>Abrir facsímil</v>
      </c>
      <c r="K4611" s="3" t="s">
        <v>23</v>
      </c>
    </row>
    <row r="4612" spans="1:11" ht="42" customHeight="1">
      <c r="A4612" s="2" t="s">
        <v>9223</v>
      </c>
      <c r="B4612" s="2" t="s">
        <v>9224</v>
      </c>
      <c r="C4612" s="2" t="s">
        <v>35</v>
      </c>
      <c r="D4612" s="2" t="s">
        <v>36</v>
      </c>
      <c r="E4612" s="5">
        <v>-28911</v>
      </c>
      <c r="F4612" s="3" t="s">
        <v>82</v>
      </c>
      <c r="G4612" s="3" t="s">
        <v>62</v>
      </c>
      <c r="H4612" s="2" t="s">
        <v>21</v>
      </c>
      <c r="I4612" s="2" t="s">
        <v>9225</v>
      </c>
      <c r="J4612" s="3" t="str">
        <f>HYPERLINK("https://www.boe.es/gazeta/dias/1820/11/03/pdfs/GGB-1820-128.pdf#page=3","Abrir facsímil")</f>
        <v>Abrir facsímil</v>
      </c>
      <c r="K4612" s="3" t="s">
        <v>23</v>
      </c>
    </row>
    <row r="4613" spans="1:11" ht="42" customHeight="1">
      <c r="A4613" s="2" t="s">
        <v>9226</v>
      </c>
      <c r="B4613" s="2" t="s">
        <v>9227</v>
      </c>
      <c r="C4613" s="2" t="s">
        <v>26</v>
      </c>
      <c r="D4613" s="2" t="s">
        <v>27</v>
      </c>
      <c r="E4613" s="5">
        <v>-29138</v>
      </c>
      <c r="F4613" s="3" t="s">
        <v>200</v>
      </c>
      <c r="G4613" s="3" t="s">
        <v>201</v>
      </c>
      <c r="H4613" s="2" t="s">
        <v>21</v>
      </c>
      <c r="I4613" s="2" t="s">
        <v>9228</v>
      </c>
      <c r="J4613" s="3" t="str">
        <f>HYPERLINK("https://www.boe.es/gazeta/dias/1820/03/21/pdfs/GMD-1820-46.pdf#page=7","Abrir facsímil")</f>
        <v>Abrir facsímil</v>
      </c>
      <c r="K4613" s="3" t="s">
        <v>23</v>
      </c>
    </row>
    <row r="4614" spans="1:11" ht="42" customHeight="1">
      <c r="A4614" s="2" t="s">
        <v>9229</v>
      </c>
      <c r="B4614" s="2" t="s">
        <v>9230</v>
      </c>
      <c r="C4614" s="2" t="s">
        <v>26</v>
      </c>
      <c r="D4614" s="2" t="s">
        <v>27</v>
      </c>
      <c r="E4614" s="5">
        <v>-29024</v>
      </c>
      <c r="F4614" s="3" t="s">
        <v>1916</v>
      </c>
      <c r="G4614" s="3" t="s">
        <v>62</v>
      </c>
      <c r="H4614" s="2" t="s">
        <v>21</v>
      </c>
      <c r="I4614" s="2" t="s">
        <v>9231</v>
      </c>
      <c r="J4614" s="3" t="str">
        <f>HYPERLINK("https://www.boe.es/gazeta/dias/1820/07/13/pdfs/GGB-1820-15.pdf#page=3","Abrir facsímil")</f>
        <v>Abrir facsímil</v>
      </c>
      <c r="K4614" s="3" t="s">
        <v>23</v>
      </c>
    </row>
    <row r="4615" spans="1:11" ht="42" customHeight="1">
      <c r="A4615" s="2" t="s">
        <v>9232</v>
      </c>
      <c r="B4615" s="2" t="s">
        <v>9232</v>
      </c>
      <c r="C4615" s="2" t="s">
        <v>35</v>
      </c>
      <c r="D4615" s="2" t="s">
        <v>36</v>
      </c>
      <c r="E4615" s="5">
        <v>-28878</v>
      </c>
      <c r="F4615" s="3" t="s">
        <v>866</v>
      </c>
      <c r="G4615" s="3" t="s">
        <v>128</v>
      </c>
      <c r="H4615" s="2" t="s">
        <v>21</v>
      </c>
      <c r="I4615" s="2" t="s">
        <v>9233</v>
      </c>
      <c r="J4615" s="3" t="str">
        <f>HYPERLINK("https://www.boe.es/gazeta/dias/1820/12/06/pdfs/GGB-1820-163.pdf#page=1","Abrir facsímil")</f>
        <v>Abrir facsímil</v>
      </c>
      <c r="K4615" s="3" t="s">
        <v>23</v>
      </c>
    </row>
    <row r="4616" spans="1:11" ht="42" customHeight="1">
      <c r="A4616" s="2" t="s">
        <v>9234</v>
      </c>
      <c r="B4616" s="2" t="s">
        <v>9234</v>
      </c>
      <c r="C4616" s="2" t="s">
        <v>293</v>
      </c>
      <c r="D4616" s="2" t="s">
        <v>18</v>
      </c>
      <c r="E4616" s="5">
        <v>-29122</v>
      </c>
      <c r="F4616" s="3" t="s">
        <v>844</v>
      </c>
      <c r="G4616" s="3" t="s">
        <v>62</v>
      </c>
      <c r="H4616" s="2" t="s">
        <v>21</v>
      </c>
      <c r="I4616" s="2" t="s">
        <v>9235</v>
      </c>
      <c r="J4616" s="3" t="str">
        <f>HYPERLINK("https://www.boe.es/gazeta/dias/1820/04/06/pdfs/GMD-1820-62.pdf#page=3","Abrir facsímil")</f>
        <v>Abrir facsímil</v>
      </c>
      <c r="K4616" s="3" t="s">
        <v>23</v>
      </c>
    </row>
    <row r="4617" spans="1:11" ht="42" customHeight="1">
      <c r="A4617" s="2" t="s">
        <v>9236</v>
      </c>
      <c r="B4617" s="2" t="s">
        <v>9237</v>
      </c>
      <c r="C4617" s="2" t="s">
        <v>74</v>
      </c>
      <c r="D4617" s="2" t="s">
        <v>18</v>
      </c>
      <c r="E4617" s="5">
        <v>-28905</v>
      </c>
      <c r="F4617" s="3" t="s">
        <v>749</v>
      </c>
      <c r="G4617" s="3" t="s">
        <v>43</v>
      </c>
      <c r="H4617" s="2" t="s">
        <v>30</v>
      </c>
      <c r="I4617" s="2" t="s">
        <v>9238</v>
      </c>
      <c r="J4617" s="3" t="str">
        <f>HYPERLINK("https://www.boe.es/gazeta/dias/1820/11/09/pdfs/GGB-1820-134.pdf#page=2","Abrir facsímil")</f>
        <v>Abrir facsímil</v>
      </c>
      <c r="K4617" s="3" t="s">
        <v>32</v>
      </c>
    </row>
    <row r="4618" spans="1:11" ht="42" customHeight="1">
      <c r="A4618" s="2" t="s">
        <v>9239</v>
      </c>
      <c r="B4618" s="2" t="s">
        <v>9240</v>
      </c>
      <c r="C4618" s="2" t="s">
        <v>17</v>
      </c>
      <c r="D4618" s="2" t="s">
        <v>18</v>
      </c>
      <c r="E4618" s="5">
        <v>-29138</v>
      </c>
      <c r="F4618" s="3" t="s">
        <v>200</v>
      </c>
      <c r="G4618" s="3" t="s">
        <v>201</v>
      </c>
      <c r="H4618" s="2" t="s">
        <v>21</v>
      </c>
      <c r="I4618" s="2" t="s">
        <v>9241</v>
      </c>
      <c r="J4618" s="3" t="str">
        <f>HYPERLINK("https://www.boe.es/gazeta/dias/1820/03/21/pdfs/GMD-1820-46.pdf#page=7","Abrir facsímil")</f>
        <v>Abrir facsímil</v>
      </c>
      <c r="K4618" s="3" t="s">
        <v>23</v>
      </c>
    </row>
    <row r="4619" spans="1:11" ht="42" customHeight="1">
      <c r="A4619" s="2" t="s">
        <v>9242</v>
      </c>
      <c r="B4619" s="2" t="s">
        <v>9243</v>
      </c>
      <c r="C4619" s="2" t="s">
        <v>26</v>
      </c>
      <c r="D4619" s="2" t="s">
        <v>27</v>
      </c>
      <c r="E4619" s="5">
        <v>-28984</v>
      </c>
      <c r="F4619" s="3" t="s">
        <v>520</v>
      </c>
      <c r="G4619" s="3" t="s">
        <v>43</v>
      </c>
      <c r="H4619" s="2" t="s">
        <v>21</v>
      </c>
      <c r="I4619" s="2" t="s">
        <v>9244</v>
      </c>
      <c r="J4619" s="3" t="str">
        <f>HYPERLINK("https://www.boe.es/gazeta/dias/1820/08/22/pdfs/GGB-1820-55.pdf#page=2","Abrir facsímil")</f>
        <v>Abrir facsímil</v>
      </c>
      <c r="K4619" s="3" t="s">
        <v>23</v>
      </c>
    </row>
    <row r="4620" spans="1:11" ht="42" customHeight="1">
      <c r="A4620" s="2" t="s">
        <v>9245</v>
      </c>
      <c r="B4620" s="2" t="s">
        <v>9245</v>
      </c>
      <c r="C4620" s="2" t="s">
        <v>47</v>
      </c>
      <c r="D4620" s="2" t="s">
        <v>18</v>
      </c>
      <c r="E4620" s="5">
        <v>-28936</v>
      </c>
      <c r="F4620" s="3" t="s">
        <v>167</v>
      </c>
      <c r="G4620" s="3" t="s">
        <v>43</v>
      </c>
      <c r="H4620" s="2" t="s">
        <v>21</v>
      </c>
      <c r="I4620" s="2" t="s">
        <v>9246</v>
      </c>
      <c r="J4620" s="3" t="str">
        <f>HYPERLINK("https://www.boe.es/gazeta/dias/1820/10/09/pdfs/GGB-1820-103.pdf#page=2","Abrir facsímil")</f>
        <v>Abrir facsímil</v>
      </c>
      <c r="K4620" s="3" t="s">
        <v>23</v>
      </c>
    </row>
    <row r="4621" spans="1:11" ht="42" customHeight="1">
      <c r="A4621" s="2" t="s">
        <v>9247</v>
      </c>
      <c r="B4621" s="2" t="s">
        <v>9247</v>
      </c>
      <c r="C4621" s="2" t="s">
        <v>35</v>
      </c>
      <c r="D4621" s="2" t="s">
        <v>36</v>
      </c>
      <c r="E4621" s="5">
        <v>-29019</v>
      </c>
      <c r="F4621" s="3" t="s">
        <v>655</v>
      </c>
      <c r="G4621" s="3" t="s">
        <v>62</v>
      </c>
      <c r="H4621" s="2" t="s">
        <v>21</v>
      </c>
      <c r="I4621" s="2" t="s">
        <v>9248</v>
      </c>
      <c r="J4621" s="3" t="str">
        <f>HYPERLINK("https://www.boe.es/gazeta/dias/1820/07/18/pdfs/GGB-1820-20.pdf#page=3","Abrir facsímil")</f>
        <v>Abrir facsímil</v>
      </c>
      <c r="K4621" s="3" t="s">
        <v>23</v>
      </c>
    </row>
    <row r="4622" spans="1:11" ht="42" customHeight="1">
      <c r="A4622" s="2" t="s">
        <v>9247</v>
      </c>
      <c r="B4622" s="2" t="s">
        <v>9247</v>
      </c>
      <c r="C4622" s="2" t="s">
        <v>35</v>
      </c>
      <c r="D4622" s="2" t="s">
        <v>36</v>
      </c>
      <c r="E4622" s="5">
        <v>-28914</v>
      </c>
      <c r="F4622" s="3" t="s">
        <v>434</v>
      </c>
      <c r="G4622" s="3" t="s">
        <v>128</v>
      </c>
      <c r="H4622" s="2" t="s">
        <v>21</v>
      </c>
      <c r="I4622" s="2" t="s">
        <v>9249</v>
      </c>
      <c r="J4622" s="3" t="str">
        <f>HYPERLINK("https://www.boe.es/gazeta/dias/1820/10/31/pdfs/GGB-1820-125.pdf#page=1","Abrir facsímil")</f>
        <v>Abrir facsímil</v>
      </c>
      <c r="K4622" s="3" t="s">
        <v>23</v>
      </c>
    </row>
    <row r="4623" spans="1:11" ht="42" customHeight="1">
      <c r="A4623" s="2" t="s">
        <v>9247</v>
      </c>
      <c r="B4623" s="2" t="s">
        <v>9247</v>
      </c>
      <c r="C4623" s="2" t="s">
        <v>35</v>
      </c>
      <c r="D4623" s="2" t="s">
        <v>36</v>
      </c>
      <c r="E4623" s="5">
        <v>-28914</v>
      </c>
      <c r="F4623" s="3" t="s">
        <v>434</v>
      </c>
      <c r="G4623" s="3" t="s">
        <v>43</v>
      </c>
      <c r="H4623" s="2" t="s">
        <v>21</v>
      </c>
      <c r="I4623" s="2" t="s">
        <v>9250</v>
      </c>
      <c r="J4623" s="3" t="str">
        <f>HYPERLINK("https://www.boe.es/gazeta/dias/1820/10/31/pdfs/GGB-1820-125.pdf#page=2","Abrir facsímil")</f>
        <v>Abrir facsímil</v>
      </c>
      <c r="K4623" s="3" t="s">
        <v>23</v>
      </c>
    </row>
    <row r="4624" spans="1:11" ht="42" customHeight="1">
      <c r="A4624" s="2" t="s">
        <v>9247</v>
      </c>
      <c r="B4624" s="2" t="s">
        <v>9247</v>
      </c>
      <c r="C4624" s="2" t="s">
        <v>17</v>
      </c>
      <c r="D4624" s="2" t="s">
        <v>18</v>
      </c>
      <c r="E4624" s="5">
        <v>-28910</v>
      </c>
      <c r="F4624" s="3" t="s">
        <v>746</v>
      </c>
      <c r="G4624" s="3" t="s">
        <v>62</v>
      </c>
      <c r="H4624" s="2" t="s">
        <v>21</v>
      </c>
      <c r="I4624" s="2" t="s">
        <v>9251</v>
      </c>
      <c r="J4624" s="3" t="str">
        <f>HYPERLINK("https://www.boe.es/gazeta/dias/1820/11/04/pdfs/GGB-1820-129.pdf#page=3","Abrir facsímil")</f>
        <v>Abrir facsímil</v>
      </c>
      <c r="K4624" s="3" t="s">
        <v>23</v>
      </c>
    </row>
    <row r="4625" spans="1:11" ht="42" customHeight="1">
      <c r="A4625" s="2" t="s">
        <v>9252</v>
      </c>
      <c r="B4625" s="2" t="s">
        <v>9253</v>
      </c>
      <c r="C4625" s="2" t="s">
        <v>17</v>
      </c>
      <c r="D4625" s="2" t="s">
        <v>18</v>
      </c>
      <c r="E4625" s="5">
        <v>-29171</v>
      </c>
      <c r="F4625" s="3" t="s">
        <v>764</v>
      </c>
      <c r="G4625" s="3" t="s">
        <v>295</v>
      </c>
      <c r="H4625" s="2" t="s">
        <v>21</v>
      </c>
      <c r="I4625" s="2" t="s">
        <v>9254</v>
      </c>
      <c r="J4625" s="3" t="str">
        <f>HYPERLINK("https://www.boe.es/gazeta/dias/1820/02/17/pdfs/GMD-1820-21.pdf#page=8","Abrir facsímil")</f>
        <v>Abrir facsímil</v>
      </c>
      <c r="K4625" s="3" t="s">
        <v>23</v>
      </c>
    </row>
    <row r="4626" spans="1:11" ht="42" customHeight="1">
      <c r="A4626" s="2" t="s">
        <v>9255</v>
      </c>
      <c r="B4626" s="2" t="s">
        <v>9256</v>
      </c>
      <c r="C4626" s="2" t="s">
        <v>26</v>
      </c>
      <c r="D4626" s="2" t="s">
        <v>27</v>
      </c>
      <c r="E4626" s="5">
        <v>-29159</v>
      </c>
      <c r="F4626" s="3" t="s">
        <v>1022</v>
      </c>
      <c r="G4626" s="3" t="s">
        <v>38</v>
      </c>
      <c r="H4626" s="2" t="s">
        <v>21</v>
      </c>
      <c r="I4626" s="2" t="s">
        <v>9257</v>
      </c>
      <c r="J4626" s="3" t="str">
        <f>HYPERLINK("https://www.boe.es/gazeta/dias/1820/02/29/pdfs/GMD-1820-26.pdf#page=6","Abrir facsímil")</f>
        <v>Abrir facsímil</v>
      </c>
      <c r="K4626" s="3" t="s">
        <v>23</v>
      </c>
    </row>
    <row r="4627" spans="1:11" ht="42" customHeight="1">
      <c r="A4627" s="2" t="s">
        <v>9258</v>
      </c>
      <c r="B4627" s="2" t="s">
        <v>9258</v>
      </c>
      <c r="C4627" s="2" t="s">
        <v>26</v>
      </c>
      <c r="D4627" s="2" t="s">
        <v>27</v>
      </c>
      <c r="E4627" s="5">
        <v>-29010</v>
      </c>
      <c r="F4627" s="3" t="s">
        <v>664</v>
      </c>
      <c r="G4627" s="3" t="s">
        <v>62</v>
      </c>
      <c r="H4627" s="2" t="s">
        <v>21</v>
      </c>
      <c r="I4627" s="2" t="s">
        <v>9259</v>
      </c>
      <c r="J4627" s="3" t="str">
        <f>HYPERLINK("https://www.boe.es/gazeta/dias/1820/07/27/pdfs/GGB-1820-29.pdf#page=3","Abrir facsímil")</f>
        <v>Abrir facsímil</v>
      </c>
      <c r="K4627" s="3" t="s">
        <v>23</v>
      </c>
    </row>
    <row r="4628" spans="1:11" ht="42" customHeight="1">
      <c r="A4628" s="2" t="s">
        <v>9260</v>
      </c>
      <c r="B4628" s="2" t="s">
        <v>9261</v>
      </c>
      <c r="C4628" s="2" t="s">
        <v>74</v>
      </c>
      <c r="D4628" s="2" t="s">
        <v>18</v>
      </c>
      <c r="E4628" s="5">
        <v>-29002</v>
      </c>
      <c r="F4628" s="3" t="s">
        <v>124</v>
      </c>
      <c r="G4628" s="3" t="s">
        <v>62</v>
      </c>
      <c r="H4628" s="2" t="s">
        <v>21</v>
      </c>
      <c r="I4628" s="2" t="s">
        <v>9262</v>
      </c>
      <c r="J4628" s="3" t="str">
        <f>HYPERLINK("https://www.boe.es/gazeta/dias/1820/08/04/pdfs/GGB-1820-37.pdf#page=3","Abrir facsímil")</f>
        <v>Abrir facsímil</v>
      </c>
      <c r="K4628" s="3" t="s">
        <v>23</v>
      </c>
    </row>
    <row r="4629" spans="1:11" ht="42" customHeight="1">
      <c r="A4629" s="2" t="s">
        <v>9263</v>
      </c>
      <c r="B4629" s="2" t="s">
        <v>9263</v>
      </c>
      <c r="C4629" s="2" t="s">
        <v>17</v>
      </c>
      <c r="D4629" s="2" t="s">
        <v>18</v>
      </c>
      <c r="E4629" s="5">
        <v>-28882</v>
      </c>
      <c r="F4629" s="3" t="s">
        <v>1245</v>
      </c>
      <c r="G4629" s="3" t="s">
        <v>20</v>
      </c>
      <c r="H4629" s="2" t="s">
        <v>21</v>
      </c>
      <c r="I4629" s="2" t="s">
        <v>9264</v>
      </c>
      <c r="J4629" s="3" t="str">
        <f>HYPERLINK("https://www.boe.es/gazeta/dias/1820/12/02/pdfs/GGB-1820-159.pdf#page=4","Abrir facsímil")</f>
        <v>Abrir facsímil</v>
      </c>
      <c r="K4629" s="3" t="s">
        <v>23</v>
      </c>
    </row>
    <row r="4630" spans="1:11" ht="42" customHeight="1">
      <c r="A4630" s="2" t="s">
        <v>9265</v>
      </c>
      <c r="B4630" s="2" t="s">
        <v>9266</v>
      </c>
      <c r="C4630" s="2" t="s">
        <v>74</v>
      </c>
      <c r="D4630" s="2" t="s">
        <v>18</v>
      </c>
      <c r="E4630" s="5">
        <v>-28898</v>
      </c>
      <c r="F4630" s="3" t="s">
        <v>1405</v>
      </c>
      <c r="G4630" s="3" t="s">
        <v>1588</v>
      </c>
      <c r="H4630" s="2" t="s">
        <v>30</v>
      </c>
      <c r="I4630" s="2" t="s">
        <v>9267</v>
      </c>
      <c r="J4630" s="3" t="str">
        <f>HYPERLINK("https://www.boe.es/gazeta/dias/1820/11/16/pdfs/GGB-1820-142.pdf#page=2","Abrir facsímil")</f>
        <v>Abrir facsímil</v>
      </c>
      <c r="K4630" s="3" t="s">
        <v>32</v>
      </c>
    </row>
    <row r="4631" spans="1:11" ht="42" customHeight="1">
      <c r="A4631" s="2" t="s">
        <v>9268</v>
      </c>
      <c r="B4631" s="2" t="s">
        <v>9269</v>
      </c>
      <c r="C4631" s="2" t="s">
        <v>17</v>
      </c>
      <c r="D4631" s="2" t="s">
        <v>18</v>
      </c>
      <c r="E4631" s="5">
        <v>-28990</v>
      </c>
      <c r="F4631" s="3" t="s">
        <v>61</v>
      </c>
      <c r="G4631" s="3" t="s">
        <v>62</v>
      </c>
      <c r="H4631" s="2" t="s">
        <v>21</v>
      </c>
      <c r="I4631" s="2" t="s">
        <v>9270</v>
      </c>
      <c r="J4631" s="3" t="str">
        <f>HYPERLINK("https://www.boe.es/gazeta/dias/1820/08/16/pdfs/GGB-1820-49.pdf#page=3","Abrir facsímil")</f>
        <v>Abrir facsímil</v>
      </c>
      <c r="K4631" s="3" t="s">
        <v>23</v>
      </c>
    </row>
    <row r="4632" spans="1:11" ht="42" customHeight="1">
      <c r="A4632" s="2" t="s">
        <v>9271</v>
      </c>
      <c r="B4632" s="2" t="s">
        <v>9272</v>
      </c>
      <c r="C4632" s="2" t="s">
        <v>111</v>
      </c>
      <c r="D4632" s="2" t="s">
        <v>18</v>
      </c>
      <c r="E4632" s="5">
        <v>-29094</v>
      </c>
      <c r="F4632" s="3" t="s">
        <v>560</v>
      </c>
      <c r="G4632" s="3" t="s">
        <v>295</v>
      </c>
      <c r="H4632" s="2" t="s">
        <v>21</v>
      </c>
      <c r="I4632" s="2" t="s">
        <v>9273</v>
      </c>
      <c r="J4632" s="3" t="str">
        <f>HYPERLINK("https://www.boe.es/gazeta/dias/1820/05/04/pdfs/GMD-1820-75.pdf#page=8","Abrir facsímil")</f>
        <v>Abrir facsímil</v>
      </c>
      <c r="K4632" s="3" t="s">
        <v>23</v>
      </c>
    </row>
    <row r="4633" spans="1:11" ht="42" customHeight="1">
      <c r="A4633" s="2" t="s">
        <v>9271</v>
      </c>
      <c r="B4633" s="2" t="s">
        <v>9272</v>
      </c>
      <c r="C4633" s="2" t="s">
        <v>35</v>
      </c>
      <c r="D4633" s="2" t="s">
        <v>36</v>
      </c>
      <c r="E4633" s="5">
        <v>-28949</v>
      </c>
      <c r="F4633" s="3" t="s">
        <v>178</v>
      </c>
      <c r="G4633" s="3" t="s">
        <v>43</v>
      </c>
      <c r="H4633" s="2" t="s">
        <v>21</v>
      </c>
      <c r="I4633" s="2" t="s">
        <v>9274</v>
      </c>
      <c r="J4633" s="3" t="str">
        <f>HYPERLINK("https://www.boe.es/gazeta/dias/1820/09/26/pdfs/GGB-1820-90.pdf#page=2","Abrir facsímil")</f>
        <v>Abrir facsímil</v>
      </c>
      <c r="K4633" s="3" t="s">
        <v>23</v>
      </c>
    </row>
    <row r="4634" spans="1:11" ht="42" customHeight="1">
      <c r="A4634" s="2" t="s">
        <v>9275</v>
      </c>
      <c r="B4634" s="2" t="s">
        <v>9275</v>
      </c>
      <c r="C4634" s="2" t="s">
        <v>26</v>
      </c>
      <c r="D4634" s="2" t="s">
        <v>27</v>
      </c>
      <c r="E4634" s="5">
        <v>-28995</v>
      </c>
      <c r="F4634" s="3" t="s">
        <v>672</v>
      </c>
      <c r="G4634" s="3" t="s">
        <v>1557</v>
      </c>
      <c r="H4634" s="2" t="s">
        <v>21</v>
      </c>
      <c r="I4634" s="2" t="s">
        <v>9276</v>
      </c>
      <c r="J4634" s="3" t="str">
        <f>HYPERLINK("https://www.boe.es/gazeta/dias/1820/08/11/pdfs/GGB-1820-44.pdf#page=2","Abrir facsímil")</f>
        <v>Abrir facsímil</v>
      </c>
      <c r="K4634" s="3" t="s">
        <v>23</v>
      </c>
    </row>
    <row r="4635" spans="1:11" ht="42" customHeight="1">
      <c r="A4635" s="2" t="s">
        <v>9277</v>
      </c>
      <c r="B4635" s="2" t="s">
        <v>9277</v>
      </c>
      <c r="C4635" s="2" t="s">
        <v>74</v>
      </c>
      <c r="D4635" s="2" t="s">
        <v>18</v>
      </c>
      <c r="E4635" s="5">
        <v>-28961</v>
      </c>
      <c r="F4635" s="3" t="s">
        <v>242</v>
      </c>
      <c r="G4635" s="3" t="s">
        <v>62</v>
      </c>
      <c r="H4635" s="2" t="s">
        <v>21</v>
      </c>
      <c r="I4635" s="2" t="s">
        <v>9278</v>
      </c>
      <c r="J4635" s="3" t="str">
        <f>HYPERLINK("https://www.boe.es/gazeta/dias/1820/09/14/pdfs/GGB-1820-78.pdf#page=3","Abrir facsímil")</f>
        <v>Abrir facsímil</v>
      </c>
      <c r="K4635" s="3" t="s">
        <v>23</v>
      </c>
    </row>
    <row r="4636" spans="1:11" ht="42" customHeight="1">
      <c r="A4636" s="2" t="s">
        <v>9277</v>
      </c>
      <c r="B4636" s="2" t="s">
        <v>9277</v>
      </c>
      <c r="C4636" s="2" t="s">
        <v>35</v>
      </c>
      <c r="D4636" s="2" t="s">
        <v>36</v>
      </c>
      <c r="E4636" s="5">
        <v>-28927</v>
      </c>
      <c r="F4636" s="3" t="s">
        <v>345</v>
      </c>
      <c r="G4636" s="3" t="s">
        <v>43</v>
      </c>
      <c r="H4636" s="2" t="s">
        <v>21</v>
      </c>
      <c r="I4636" s="2" t="s">
        <v>9279</v>
      </c>
      <c r="J4636" s="3" t="str">
        <f>HYPERLINK("https://www.boe.es/gazeta/dias/1820/10/18/pdfs/GGB-1820-112.pdf#page=2","Abrir facsímil")</f>
        <v>Abrir facsímil</v>
      </c>
      <c r="K4636" s="3" t="s">
        <v>23</v>
      </c>
    </row>
    <row r="4637" spans="1:11" ht="42" customHeight="1">
      <c r="A4637" s="2" t="s">
        <v>9280</v>
      </c>
      <c r="B4637" s="2" t="s">
        <v>9280</v>
      </c>
      <c r="C4637" s="2" t="s">
        <v>293</v>
      </c>
      <c r="D4637" s="2" t="s">
        <v>18</v>
      </c>
      <c r="E4637" s="5">
        <v>-28925</v>
      </c>
      <c r="F4637" s="3" t="s">
        <v>228</v>
      </c>
      <c r="G4637" s="3" t="s">
        <v>62</v>
      </c>
      <c r="H4637" s="2" t="s">
        <v>21</v>
      </c>
      <c r="I4637" s="2" t="s">
        <v>9281</v>
      </c>
      <c r="J4637" s="3" t="str">
        <f>HYPERLINK("https://www.boe.es/gazeta/dias/1820/10/20/pdfs/GGB-1820-114.pdf#page=3","Abrir facsímil")</f>
        <v>Abrir facsímil</v>
      </c>
      <c r="K4637" s="3" t="s">
        <v>23</v>
      </c>
    </row>
    <row r="4638" spans="1:11" ht="42" customHeight="1">
      <c r="A4638" s="2" t="s">
        <v>9282</v>
      </c>
      <c r="B4638" s="2" t="s">
        <v>9282</v>
      </c>
      <c r="C4638" s="2" t="s">
        <v>35</v>
      </c>
      <c r="D4638" s="2" t="s">
        <v>36</v>
      </c>
      <c r="E4638" s="5">
        <v>-28913</v>
      </c>
      <c r="F4638" s="3" t="s">
        <v>230</v>
      </c>
      <c r="G4638" s="3" t="s">
        <v>43</v>
      </c>
      <c r="H4638" s="2" t="s">
        <v>21</v>
      </c>
      <c r="I4638" s="2" t="s">
        <v>9283</v>
      </c>
      <c r="J4638" s="3" t="str">
        <f>HYPERLINK("https://www.boe.es/gazeta/dias/1820/11/01/pdfs/GGB-1820-126.pdf#page=2","Abrir facsímil")</f>
        <v>Abrir facsímil</v>
      </c>
      <c r="K4638" s="3" t="s">
        <v>23</v>
      </c>
    </row>
    <row r="4639" spans="1:11" ht="42" customHeight="1">
      <c r="A4639" s="2" t="s">
        <v>9282</v>
      </c>
      <c r="B4639" s="2" t="s">
        <v>9282</v>
      </c>
      <c r="C4639" s="2" t="s">
        <v>35</v>
      </c>
      <c r="D4639" s="2" t="s">
        <v>36</v>
      </c>
      <c r="E4639" s="5">
        <v>-28906</v>
      </c>
      <c r="F4639" s="3" t="s">
        <v>232</v>
      </c>
      <c r="G4639" s="3" t="s">
        <v>43</v>
      </c>
      <c r="H4639" s="2" t="s">
        <v>21</v>
      </c>
      <c r="I4639" s="2" t="s">
        <v>9284</v>
      </c>
      <c r="J4639" s="3" t="str">
        <f>HYPERLINK("https://www.boe.es/gazeta/dias/1820/11/08/pdfs/GGB-1820-133.pdf#page=2","Abrir facsímil")</f>
        <v>Abrir facsímil</v>
      </c>
      <c r="K4639" s="3" t="s">
        <v>23</v>
      </c>
    </row>
    <row r="4640" spans="1:11" ht="42" customHeight="1">
      <c r="A4640" s="2" t="s">
        <v>9285</v>
      </c>
      <c r="B4640" s="2" t="s">
        <v>9286</v>
      </c>
      <c r="C4640" s="2" t="s">
        <v>26</v>
      </c>
      <c r="D4640" s="2" t="s">
        <v>27</v>
      </c>
      <c r="E4640" s="5">
        <v>-28995</v>
      </c>
      <c r="F4640" s="3" t="s">
        <v>672</v>
      </c>
      <c r="G4640" s="3" t="s">
        <v>20</v>
      </c>
      <c r="H4640" s="2" t="s">
        <v>21</v>
      </c>
      <c r="I4640" s="2" t="s">
        <v>9287</v>
      </c>
      <c r="J4640" s="3" t="str">
        <f>HYPERLINK("https://www.boe.es/gazeta/dias/1820/08/11/pdfs/GGB-1820-44.pdf#page=4","Abrir facsímil")</f>
        <v>Abrir facsímil</v>
      </c>
      <c r="K4640" s="3" t="s">
        <v>23</v>
      </c>
    </row>
    <row r="4641" spans="1:11" ht="42" customHeight="1">
      <c r="A4641" s="2" t="s">
        <v>9288</v>
      </c>
      <c r="B4641" s="2" t="s">
        <v>9289</v>
      </c>
      <c r="C4641" s="2" t="s">
        <v>35</v>
      </c>
      <c r="D4641" s="2" t="s">
        <v>36</v>
      </c>
      <c r="E4641" s="5">
        <v>-28996</v>
      </c>
      <c r="F4641" s="3" t="s">
        <v>636</v>
      </c>
      <c r="G4641" s="3" t="s">
        <v>1039</v>
      </c>
      <c r="H4641" s="2" t="s">
        <v>21</v>
      </c>
      <c r="I4641" s="2" t="s">
        <v>9290</v>
      </c>
      <c r="J4641" s="3" t="str">
        <f>HYPERLINK("https://www.boe.es/gazeta/dias/1820/08/10/pdfs/GGB-1820-43.pdf#page=2","Abrir facsímil")</f>
        <v>Abrir facsímil</v>
      </c>
      <c r="K4641" s="3" t="s">
        <v>23</v>
      </c>
    </row>
    <row r="4642" spans="1:11" ht="42" customHeight="1">
      <c r="A4642" s="2" t="s">
        <v>9288</v>
      </c>
      <c r="B4642" s="2" t="s">
        <v>9289</v>
      </c>
      <c r="C4642" s="2" t="s">
        <v>35</v>
      </c>
      <c r="D4642" s="2" t="s">
        <v>36</v>
      </c>
      <c r="E4642" s="5">
        <v>-28995</v>
      </c>
      <c r="F4642" s="3" t="s">
        <v>672</v>
      </c>
      <c r="G4642" s="3" t="s">
        <v>1557</v>
      </c>
      <c r="H4642" s="2" t="s">
        <v>21</v>
      </c>
      <c r="I4642" s="2" t="s">
        <v>9291</v>
      </c>
      <c r="J4642" s="3" t="str">
        <f>HYPERLINK("https://www.boe.es/gazeta/dias/1820/08/11/pdfs/GGB-1820-44.pdf#page=2","Abrir facsímil")</f>
        <v>Abrir facsímil</v>
      </c>
      <c r="K4642" s="3" t="s">
        <v>23</v>
      </c>
    </row>
    <row r="4643" spans="1:11" ht="42" customHeight="1">
      <c r="A4643" s="2" t="s">
        <v>9292</v>
      </c>
      <c r="B4643" s="2" t="s">
        <v>9293</v>
      </c>
      <c r="C4643" s="2" t="s">
        <v>35</v>
      </c>
      <c r="D4643" s="2" t="s">
        <v>36</v>
      </c>
      <c r="E4643" s="5">
        <v>-28994</v>
      </c>
      <c r="F4643" s="3" t="s">
        <v>1612</v>
      </c>
      <c r="G4643" s="3" t="s">
        <v>43</v>
      </c>
      <c r="H4643" s="2" t="s">
        <v>21</v>
      </c>
      <c r="I4643" s="2" t="s">
        <v>9294</v>
      </c>
      <c r="J4643" s="3" t="str">
        <f>HYPERLINK("https://www.boe.es/gazeta/dias/1820/08/12/pdfs/GGB-1820-45.pdf#page=2","Abrir facsímil")</f>
        <v>Abrir facsímil</v>
      </c>
      <c r="K4643" s="3" t="s">
        <v>23</v>
      </c>
    </row>
    <row r="4644" spans="1:11" ht="42" customHeight="1">
      <c r="A4644" s="2" t="s">
        <v>9292</v>
      </c>
      <c r="B4644" s="2" t="s">
        <v>9293</v>
      </c>
      <c r="C4644" s="2" t="s">
        <v>74</v>
      </c>
      <c r="D4644" s="2" t="s">
        <v>18</v>
      </c>
      <c r="E4644" s="5">
        <v>-28989</v>
      </c>
      <c r="F4644" s="3" t="s">
        <v>809</v>
      </c>
      <c r="G4644" s="3" t="s">
        <v>62</v>
      </c>
      <c r="H4644" s="2" t="s">
        <v>21</v>
      </c>
      <c r="I4644" s="2" t="s">
        <v>9295</v>
      </c>
      <c r="J4644" s="3" t="str">
        <f>HYPERLINK("https://www.boe.es/gazeta/dias/1820/08/17/pdfs/GGB-1820-50.pdf#page=3","Abrir facsímil")</f>
        <v>Abrir facsímil</v>
      </c>
      <c r="K4644" s="3" t="s">
        <v>23</v>
      </c>
    </row>
    <row r="4645" spans="1:11" ht="42" customHeight="1">
      <c r="A4645" s="2" t="s">
        <v>9292</v>
      </c>
      <c r="B4645" s="2" t="s">
        <v>9293</v>
      </c>
      <c r="C4645" s="2" t="s">
        <v>74</v>
      </c>
      <c r="D4645" s="2" t="s">
        <v>18</v>
      </c>
      <c r="E4645" s="5">
        <v>-28957</v>
      </c>
      <c r="F4645" s="3" t="s">
        <v>361</v>
      </c>
      <c r="G4645" s="3" t="s">
        <v>62</v>
      </c>
      <c r="H4645" s="2" t="s">
        <v>21</v>
      </c>
      <c r="I4645" s="2" t="s">
        <v>9296</v>
      </c>
      <c r="J4645" s="3" t="str">
        <f>HYPERLINK("https://www.boe.es/gazeta/dias/1820/09/18/pdfs/GGB-1820-82.pdf#page=3","Abrir facsímil")</f>
        <v>Abrir facsímil</v>
      </c>
      <c r="K4645" s="3" t="s">
        <v>23</v>
      </c>
    </row>
    <row r="4646" spans="1:11" ht="42" customHeight="1">
      <c r="A4646" s="2" t="s">
        <v>9288</v>
      </c>
      <c r="B4646" s="2" t="s">
        <v>9289</v>
      </c>
      <c r="C4646" s="2" t="s">
        <v>17</v>
      </c>
      <c r="D4646" s="2" t="s">
        <v>18</v>
      </c>
      <c r="E4646" s="5">
        <v>-28943</v>
      </c>
      <c r="F4646" s="3" t="s">
        <v>1403</v>
      </c>
      <c r="G4646" s="3" t="s">
        <v>62</v>
      </c>
      <c r="H4646" s="2" t="s">
        <v>21</v>
      </c>
      <c r="I4646" s="2" t="s">
        <v>9297</v>
      </c>
      <c r="J4646" s="3" t="str">
        <f>HYPERLINK("https://www.boe.es/gazeta/dias/1820/10/02/pdfs/GGB-1820-96.pdf#page=3","Abrir facsímil")</f>
        <v>Abrir facsímil</v>
      </c>
      <c r="K4646" s="3" t="s">
        <v>23</v>
      </c>
    </row>
    <row r="4647" spans="1:11" ht="42" customHeight="1">
      <c r="A4647" s="2" t="s">
        <v>9292</v>
      </c>
      <c r="B4647" s="2" t="s">
        <v>9293</v>
      </c>
      <c r="C4647" s="2" t="s">
        <v>17</v>
      </c>
      <c r="D4647" s="2" t="s">
        <v>18</v>
      </c>
      <c r="E4647" s="5">
        <v>-28940</v>
      </c>
      <c r="F4647" s="3" t="s">
        <v>141</v>
      </c>
      <c r="G4647" s="3" t="s">
        <v>43</v>
      </c>
      <c r="H4647" s="2" t="s">
        <v>21</v>
      </c>
      <c r="I4647" s="2" t="s">
        <v>9298</v>
      </c>
      <c r="J4647" s="3" t="str">
        <f>HYPERLINK("https://www.boe.es/gazeta/dias/1820/10/05/pdfs/GGB-1820-99.pdf#page=2","Abrir facsímil")</f>
        <v>Abrir facsímil</v>
      </c>
      <c r="K4647" s="3" t="s">
        <v>23</v>
      </c>
    </row>
    <row r="4648" spans="1:11" ht="42" customHeight="1">
      <c r="A4648" s="2" t="s">
        <v>9288</v>
      </c>
      <c r="B4648" s="2" t="s">
        <v>9289</v>
      </c>
      <c r="C4648" s="2" t="s">
        <v>17</v>
      </c>
      <c r="D4648" s="2" t="s">
        <v>18</v>
      </c>
      <c r="E4648" s="5">
        <v>-28938</v>
      </c>
      <c r="F4648" s="3" t="s">
        <v>716</v>
      </c>
      <c r="G4648" s="3" t="s">
        <v>717</v>
      </c>
      <c r="H4648" s="2" t="s">
        <v>21</v>
      </c>
      <c r="I4648" s="2" t="s">
        <v>9299</v>
      </c>
      <c r="J4648" s="3" t="str">
        <f>HYPERLINK("https://www.boe.es/gazeta/dias/1820/10/07/pdfs/GGB-1820-101.pdf#page=2","Abrir facsímil")</f>
        <v>Abrir facsímil</v>
      </c>
      <c r="K4648" s="3" t="s">
        <v>23</v>
      </c>
    </row>
    <row r="4649" spans="1:11" ht="42" customHeight="1">
      <c r="A4649" s="2" t="s">
        <v>9292</v>
      </c>
      <c r="B4649" s="2" t="s">
        <v>9293</v>
      </c>
      <c r="C4649" s="2" t="s">
        <v>35</v>
      </c>
      <c r="D4649" s="2" t="s">
        <v>36</v>
      </c>
      <c r="E4649" s="5">
        <v>-28938</v>
      </c>
      <c r="F4649" s="3" t="s">
        <v>716</v>
      </c>
      <c r="G4649" s="3" t="s">
        <v>62</v>
      </c>
      <c r="H4649" s="2" t="s">
        <v>21</v>
      </c>
      <c r="I4649" s="2" t="s">
        <v>9300</v>
      </c>
      <c r="J4649" s="3" t="str">
        <f>HYPERLINK("https://www.boe.es/gazeta/dias/1820/10/07/pdfs/GGB-1820-101.pdf#page=3","Abrir facsímil")</f>
        <v>Abrir facsímil</v>
      </c>
      <c r="K4649" s="3" t="s">
        <v>23</v>
      </c>
    </row>
    <row r="4650" spans="1:11" ht="42" customHeight="1">
      <c r="A4650" s="2" t="s">
        <v>9292</v>
      </c>
      <c r="B4650" s="2" t="s">
        <v>9293</v>
      </c>
      <c r="C4650" s="2" t="s">
        <v>35</v>
      </c>
      <c r="D4650" s="2" t="s">
        <v>36</v>
      </c>
      <c r="E4650" s="5">
        <v>-28937</v>
      </c>
      <c r="F4650" s="3" t="s">
        <v>4254</v>
      </c>
      <c r="G4650" s="3" t="s">
        <v>6960</v>
      </c>
      <c r="H4650" s="2" t="s">
        <v>21</v>
      </c>
      <c r="I4650" s="2" t="s">
        <v>9301</v>
      </c>
      <c r="J4650" s="3" t="str">
        <f>HYPERLINK("https://www.boe.es/gazeta/dias/1820/10/08/pdfs/GGB-1820-102.pdf#page=2","Abrir facsímil")</f>
        <v>Abrir facsímil</v>
      </c>
      <c r="K4650" s="3" t="s">
        <v>23</v>
      </c>
    </row>
    <row r="4651" spans="1:11" ht="42" customHeight="1">
      <c r="A4651" s="2" t="s">
        <v>9292</v>
      </c>
      <c r="B4651" s="2" t="s">
        <v>9293</v>
      </c>
      <c r="C4651" s="2" t="s">
        <v>17</v>
      </c>
      <c r="D4651" s="2" t="s">
        <v>18</v>
      </c>
      <c r="E4651" s="5">
        <v>-28937</v>
      </c>
      <c r="F4651" s="3" t="s">
        <v>4254</v>
      </c>
      <c r="G4651" s="3" t="s">
        <v>20</v>
      </c>
      <c r="H4651" s="2" t="s">
        <v>21</v>
      </c>
      <c r="I4651" s="2" t="s">
        <v>9302</v>
      </c>
      <c r="J4651" s="3" t="str">
        <f>HYPERLINK("https://www.boe.es/gazeta/dias/1820/10/08/pdfs/GGB-1820-102.pdf#page=4","Abrir facsímil")</f>
        <v>Abrir facsímil</v>
      </c>
      <c r="K4651" s="3" t="s">
        <v>23</v>
      </c>
    </row>
    <row r="4652" spans="1:11" ht="42" customHeight="1">
      <c r="A4652" s="2" t="s">
        <v>9292</v>
      </c>
      <c r="B4652" s="2" t="s">
        <v>9293</v>
      </c>
      <c r="C4652" s="2" t="s">
        <v>17</v>
      </c>
      <c r="D4652" s="2" t="s">
        <v>18</v>
      </c>
      <c r="E4652" s="5">
        <v>-28935</v>
      </c>
      <c r="F4652" s="3" t="s">
        <v>2464</v>
      </c>
      <c r="G4652" s="3" t="s">
        <v>62</v>
      </c>
      <c r="H4652" s="2" t="s">
        <v>21</v>
      </c>
      <c r="I4652" s="2" t="s">
        <v>9303</v>
      </c>
      <c r="J4652" s="3" t="str">
        <f>HYPERLINK("https://www.boe.es/gazeta/dias/1820/10/10/pdfs/GGB-1820-104.pdf#page=3","Abrir facsímil")</f>
        <v>Abrir facsímil</v>
      </c>
      <c r="K4652" s="3" t="s">
        <v>23</v>
      </c>
    </row>
    <row r="4653" spans="1:11" ht="42" customHeight="1">
      <c r="A4653" s="2" t="s">
        <v>9288</v>
      </c>
      <c r="B4653" s="2" t="s">
        <v>9289</v>
      </c>
      <c r="C4653" s="2" t="s">
        <v>107</v>
      </c>
      <c r="D4653" s="2" t="s">
        <v>18</v>
      </c>
      <c r="E4653" s="5">
        <v>-28935</v>
      </c>
      <c r="F4653" s="3" t="s">
        <v>2464</v>
      </c>
      <c r="G4653" s="3" t="s">
        <v>20</v>
      </c>
      <c r="H4653" s="2" t="s">
        <v>21</v>
      </c>
      <c r="I4653" s="2" t="s">
        <v>9304</v>
      </c>
      <c r="J4653" s="3" t="str">
        <f>HYPERLINK("https://www.boe.es/gazeta/dias/1820/10/10/pdfs/GGB-1820-104.pdf#page=4","Abrir facsímil")</f>
        <v>Abrir facsímil</v>
      </c>
      <c r="K4653" s="3" t="s">
        <v>23</v>
      </c>
    </row>
    <row r="4654" spans="1:11" ht="42" customHeight="1">
      <c r="A4654" s="2" t="s">
        <v>9288</v>
      </c>
      <c r="B4654" s="2" t="s">
        <v>9289</v>
      </c>
      <c r="C4654" s="2" t="s">
        <v>26</v>
      </c>
      <c r="D4654" s="2" t="s">
        <v>27</v>
      </c>
      <c r="E4654" s="5">
        <v>-28934</v>
      </c>
      <c r="F4654" s="3" t="s">
        <v>163</v>
      </c>
      <c r="G4654" s="3" t="s">
        <v>62</v>
      </c>
      <c r="H4654" s="2" t="s">
        <v>21</v>
      </c>
      <c r="I4654" s="2" t="s">
        <v>9305</v>
      </c>
      <c r="J4654" s="3" t="str">
        <f>HYPERLINK("https://www.boe.es/gazeta/dias/1820/10/11/pdfs/GGB-1820-105.pdf#page=3","Abrir facsímil")</f>
        <v>Abrir facsímil</v>
      </c>
      <c r="K4654" s="3" t="s">
        <v>23</v>
      </c>
    </row>
    <row r="4655" spans="1:11" ht="42" customHeight="1">
      <c r="A4655" s="2" t="s">
        <v>9288</v>
      </c>
      <c r="B4655" s="2" t="s">
        <v>9289</v>
      </c>
      <c r="C4655" s="2" t="s">
        <v>17</v>
      </c>
      <c r="D4655" s="2" t="s">
        <v>18</v>
      </c>
      <c r="E4655" s="5">
        <v>-28934</v>
      </c>
      <c r="F4655" s="3" t="s">
        <v>163</v>
      </c>
      <c r="G4655" s="3" t="s">
        <v>20</v>
      </c>
      <c r="H4655" s="2" t="s">
        <v>21</v>
      </c>
      <c r="I4655" s="2" t="s">
        <v>9306</v>
      </c>
      <c r="J4655" s="3" t="str">
        <f>HYPERLINK("https://www.boe.es/gazeta/dias/1820/10/11/pdfs/GGB-1820-105.pdf#page=4","Abrir facsímil")</f>
        <v>Abrir facsímil</v>
      </c>
      <c r="K4655" s="3" t="s">
        <v>23</v>
      </c>
    </row>
    <row r="4656" spans="1:11" ht="42" customHeight="1">
      <c r="A4656" s="2" t="s">
        <v>9292</v>
      </c>
      <c r="B4656" s="2" t="s">
        <v>9293</v>
      </c>
      <c r="C4656" s="2" t="s">
        <v>35</v>
      </c>
      <c r="D4656" s="2" t="s">
        <v>36</v>
      </c>
      <c r="E4656" s="5">
        <v>-28928</v>
      </c>
      <c r="F4656" s="3" t="s">
        <v>86</v>
      </c>
      <c r="G4656" s="3" t="s">
        <v>43</v>
      </c>
      <c r="H4656" s="2" t="s">
        <v>21</v>
      </c>
      <c r="I4656" s="2" t="s">
        <v>9307</v>
      </c>
      <c r="J4656" s="3" t="str">
        <f>HYPERLINK("https://www.boe.es/gazeta/dias/1820/10/17/pdfs/GGB-1820-111.pdf#page=2","Abrir facsímil")</f>
        <v>Abrir facsímil</v>
      </c>
      <c r="K4656" s="3" t="s">
        <v>23</v>
      </c>
    </row>
    <row r="4657" spans="1:11" ht="42" customHeight="1">
      <c r="A4657" s="2" t="s">
        <v>9292</v>
      </c>
      <c r="B4657" s="2" t="s">
        <v>9293</v>
      </c>
      <c r="C4657" s="2" t="s">
        <v>47</v>
      </c>
      <c r="D4657" s="2" t="s">
        <v>18</v>
      </c>
      <c r="E4657" s="5">
        <v>-28928</v>
      </c>
      <c r="F4657" s="3" t="s">
        <v>86</v>
      </c>
      <c r="G4657" s="3" t="s">
        <v>20</v>
      </c>
      <c r="H4657" s="2" t="s">
        <v>21</v>
      </c>
      <c r="I4657" s="2" t="s">
        <v>9308</v>
      </c>
      <c r="J4657" s="3" t="str">
        <f>HYPERLINK("https://www.boe.es/gazeta/dias/1820/10/17/pdfs/GGB-1820-111.pdf#page=4","Abrir facsímil")</f>
        <v>Abrir facsímil</v>
      </c>
      <c r="K4657" s="3" t="s">
        <v>23</v>
      </c>
    </row>
    <row r="4658" spans="1:11" ht="42" customHeight="1">
      <c r="A4658" s="2" t="s">
        <v>9292</v>
      </c>
      <c r="B4658" s="2" t="s">
        <v>9293</v>
      </c>
      <c r="C4658" s="2" t="s">
        <v>35</v>
      </c>
      <c r="D4658" s="2" t="s">
        <v>36</v>
      </c>
      <c r="E4658" s="5">
        <v>-28925</v>
      </c>
      <c r="F4658" s="3" t="s">
        <v>228</v>
      </c>
      <c r="G4658" s="3" t="s">
        <v>128</v>
      </c>
      <c r="H4658" s="2" t="s">
        <v>21</v>
      </c>
      <c r="I4658" s="2" t="s">
        <v>9309</v>
      </c>
      <c r="J4658" s="3" t="str">
        <f>HYPERLINK("https://www.boe.es/gazeta/dias/1820/10/20/pdfs/GGB-1820-114.pdf#page=1","Abrir facsímil")</f>
        <v>Abrir facsímil</v>
      </c>
      <c r="K4658" s="3" t="s">
        <v>23</v>
      </c>
    </row>
    <row r="4659" spans="1:11" ht="42" customHeight="1">
      <c r="A4659" s="2" t="s">
        <v>9288</v>
      </c>
      <c r="B4659" s="2" t="s">
        <v>9289</v>
      </c>
      <c r="C4659" s="2" t="s">
        <v>35</v>
      </c>
      <c r="D4659" s="2" t="s">
        <v>36</v>
      </c>
      <c r="E4659" s="5">
        <v>-28923</v>
      </c>
      <c r="F4659" s="3" t="s">
        <v>648</v>
      </c>
      <c r="G4659" s="3" t="s">
        <v>62</v>
      </c>
      <c r="H4659" s="2" t="s">
        <v>21</v>
      </c>
      <c r="I4659" s="2" t="s">
        <v>9310</v>
      </c>
      <c r="J4659" s="3" t="str">
        <f>HYPERLINK("https://www.boe.es/gazeta/dias/1820/10/22/pdfs/GGB-1820-116.pdf#page=3","Abrir facsímil")</f>
        <v>Abrir facsímil</v>
      </c>
      <c r="K4659" s="3" t="s">
        <v>23</v>
      </c>
    </row>
    <row r="4660" spans="1:11" ht="42" customHeight="1">
      <c r="A4660" s="2" t="s">
        <v>9292</v>
      </c>
      <c r="B4660" s="2" t="s">
        <v>9293</v>
      </c>
      <c r="C4660" s="2" t="s">
        <v>47</v>
      </c>
      <c r="D4660" s="2" t="s">
        <v>18</v>
      </c>
      <c r="E4660" s="5">
        <v>-28918</v>
      </c>
      <c r="F4660" s="3" t="s">
        <v>160</v>
      </c>
      <c r="G4660" s="3" t="s">
        <v>62</v>
      </c>
      <c r="H4660" s="2" t="s">
        <v>21</v>
      </c>
      <c r="I4660" s="2" t="s">
        <v>9311</v>
      </c>
      <c r="J4660" s="3" t="str">
        <f>HYPERLINK("https://www.boe.es/gazeta/dias/1820/10/27/pdfs/GGB-1820-121.pdf#page=3","Abrir facsímil")</f>
        <v>Abrir facsímil</v>
      </c>
      <c r="K4660" s="3" t="s">
        <v>23</v>
      </c>
    </row>
    <row r="4661" spans="1:11" ht="42" customHeight="1">
      <c r="A4661" s="2" t="s">
        <v>9292</v>
      </c>
      <c r="B4661" s="2" t="s">
        <v>9293</v>
      </c>
      <c r="C4661" s="2" t="s">
        <v>293</v>
      </c>
      <c r="D4661" s="2" t="s">
        <v>18</v>
      </c>
      <c r="E4661" s="5">
        <v>-28918</v>
      </c>
      <c r="F4661" s="3" t="s">
        <v>160</v>
      </c>
      <c r="G4661" s="3" t="s">
        <v>20</v>
      </c>
      <c r="H4661" s="2" t="s">
        <v>21</v>
      </c>
      <c r="I4661" s="2" t="s">
        <v>9312</v>
      </c>
      <c r="J4661" s="3" t="str">
        <f>HYPERLINK("https://www.boe.es/gazeta/dias/1820/10/27/pdfs/GGB-1820-121.pdf#page=4","Abrir facsímil")</f>
        <v>Abrir facsímil</v>
      </c>
      <c r="K4661" s="3" t="s">
        <v>23</v>
      </c>
    </row>
    <row r="4662" spans="1:11" ht="42" customHeight="1">
      <c r="A4662" s="2" t="s">
        <v>9292</v>
      </c>
      <c r="B4662" s="2" t="s">
        <v>9293</v>
      </c>
      <c r="C4662" s="2" t="s">
        <v>26</v>
      </c>
      <c r="D4662" s="2" t="s">
        <v>27</v>
      </c>
      <c r="E4662" s="5">
        <v>-28913</v>
      </c>
      <c r="F4662" s="3" t="s">
        <v>230</v>
      </c>
      <c r="G4662" s="3" t="s">
        <v>43</v>
      </c>
      <c r="H4662" s="2" t="s">
        <v>21</v>
      </c>
      <c r="I4662" s="2" t="s">
        <v>9313</v>
      </c>
      <c r="J4662" s="3" t="str">
        <f>HYPERLINK("https://www.boe.es/gazeta/dias/1820/11/01/pdfs/GGB-1820-126.pdf#page=2","Abrir facsímil")</f>
        <v>Abrir facsímil</v>
      </c>
      <c r="K4662" s="3" t="s">
        <v>23</v>
      </c>
    </row>
    <row r="4663" spans="1:11" ht="42" customHeight="1">
      <c r="A4663" s="2" t="s">
        <v>9288</v>
      </c>
      <c r="B4663" s="2" t="s">
        <v>9289</v>
      </c>
      <c r="C4663" s="2" t="s">
        <v>74</v>
      </c>
      <c r="D4663" s="2" t="s">
        <v>18</v>
      </c>
      <c r="E4663" s="5">
        <v>-28912</v>
      </c>
      <c r="F4663" s="3" t="s">
        <v>1329</v>
      </c>
      <c r="G4663" s="3" t="s">
        <v>1080</v>
      </c>
      <c r="H4663" s="2" t="s">
        <v>21</v>
      </c>
      <c r="I4663" s="2" t="s">
        <v>9314</v>
      </c>
      <c r="J4663" s="3" t="str">
        <f>HYPERLINK("https://www.boe.es/gazeta/dias/1820/11/02/pdfs/GGB-1820-127.pdf#page=2","Abrir facsímil")</f>
        <v>Abrir facsímil</v>
      </c>
      <c r="K4663" s="3" t="s">
        <v>23</v>
      </c>
    </row>
    <row r="4664" spans="1:11" ht="42" customHeight="1">
      <c r="A4664" s="2" t="s">
        <v>9292</v>
      </c>
      <c r="B4664" s="2" t="s">
        <v>9293</v>
      </c>
      <c r="C4664" s="2" t="s">
        <v>35</v>
      </c>
      <c r="D4664" s="2" t="s">
        <v>36</v>
      </c>
      <c r="E4664" s="5">
        <v>-28911</v>
      </c>
      <c r="F4664" s="3" t="s">
        <v>82</v>
      </c>
      <c r="G4664" s="3" t="s">
        <v>43</v>
      </c>
      <c r="H4664" s="2" t="s">
        <v>21</v>
      </c>
      <c r="I4664" s="2" t="s">
        <v>9315</v>
      </c>
      <c r="J4664" s="3" t="str">
        <f>HYPERLINK("https://www.boe.es/gazeta/dias/1820/11/03/pdfs/GGB-1820-128.pdf#page=2","Abrir facsímil")</f>
        <v>Abrir facsímil</v>
      </c>
      <c r="K4664" s="3" t="s">
        <v>23</v>
      </c>
    </row>
    <row r="4665" spans="1:11" ht="42" customHeight="1">
      <c r="A4665" s="2" t="s">
        <v>9288</v>
      </c>
      <c r="B4665" s="2" t="s">
        <v>9289</v>
      </c>
      <c r="C4665" s="2" t="s">
        <v>74</v>
      </c>
      <c r="D4665" s="2" t="s">
        <v>18</v>
      </c>
      <c r="E4665" s="5">
        <v>-28906</v>
      </c>
      <c r="F4665" s="3" t="s">
        <v>232</v>
      </c>
      <c r="G4665" s="3" t="s">
        <v>43</v>
      </c>
      <c r="H4665" s="2" t="s">
        <v>21</v>
      </c>
      <c r="I4665" s="2" t="s">
        <v>9316</v>
      </c>
      <c r="J4665" s="3" t="str">
        <f>HYPERLINK("https://www.boe.es/gazeta/dias/1820/11/08/pdfs/GGB-1820-133.pdf#page=2","Abrir facsímil")</f>
        <v>Abrir facsímil</v>
      </c>
      <c r="K4665" s="3" t="s">
        <v>23</v>
      </c>
    </row>
    <row r="4666" spans="1:11" ht="42" customHeight="1">
      <c r="A4666" s="2" t="s">
        <v>9288</v>
      </c>
      <c r="B4666" s="2" t="s">
        <v>9289</v>
      </c>
      <c r="C4666" s="2" t="s">
        <v>17</v>
      </c>
      <c r="D4666" s="2" t="s">
        <v>18</v>
      </c>
      <c r="E4666" s="5">
        <v>-28906</v>
      </c>
      <c r="F4666" s="3" t="s">
        <v>232</v>
      </c>
      <c r="G4666" s="3" t="s">
        <v>62</v>
      </c>
      <c r="H4666" s="2" t="s">
        <v>21</v>
      </c>
      <c r="I4666" s="2" t="s">
        <v>9317</v>
      </c>
      <c r="J4666" s="3" t="str">
        <f>HYPERLINK("https://www.boe.es/gazeta/dias/1820/11/08/pdfs/GGB-1820-133.pdf#page=3","Abrir facsímil")</f>
        <v>Abrir facsímil</v>
      </c>
      <c r="K4666" s="3" t="s">
        <v>23</v>
      </c>
    </row>
    <row r="4667" spans="1:11" ht="42" customHeight="1">
      <c r="A4667" s="2" t="s">
        <v>9292</v>
      </c>
      <c r="B4667" s="2" t="s">
        <v>9293</v>
      </c>
      <c r="C4667" s="2" t="s">
        <v>35</v>
      </c>
      <c r="D4667" s="2" t="s">
        <v>36</v>
      </c>
      <c r="E4667" s="5">
        <v>-28904</v>
      </c>
      <c r="F4667" s="3" t="s">
        <v>541</v>
      </c>
      <c r="G4667" s="3" t="s">
        <v>43</v>
      </c>
      <c r="H4667" s="2" t="s">
        <v>21</v>
      </c>
      <c r="I4667" s="2" t="s">
        <v>9318</v>
      </c>
      <c r="J4667" s="3" t="str">
        <f>HYPERLINK("https://www.boe.es/gazeta/dias/1820/11/10/pdfs/GGB-1820-136.pdf#page=2","Abrir facsímil")</f>
        <v>Abrir facsímil</v>
      </c>
      <c r="K4667" s="3" t="s">
        <v>23</v>
      </c>
    </row>
    <row r="4668" spans="1:11" ht="42" customHeight="1">
      <c r="A4668" s="2" t="s">
        <v>9319</v>
      </c>
      <c r="B4668" s="2" t="s">
        <v>9320</v>
      </c>
      <c r="C4668" s="2" t="s">
        <v>35</v>
      </c>
      <c r="D4668" s="2" t="s">
        <v>36</v>
      </c>
      <c r="E4668" s="5">
        <v>-29000</v>
      </c>
      <c r="F4668" s="3" t="s">
        <v>670</v>
      </c>
      <c r="G4668" s="3" t="s">
        <v>62</v>
      </c>
      <c r="H4668" s="2" t="s">
        <v>21</v>
      </c>
      <c r="I4668" s="2" t="s">
        <v>9321</v>
      </c>
      <c r="J4668" s="3" t="str">
        <f>HYPERLINK("https://www.boe.es/gazeta/dias/1820/08/06/pdfs/GGB-1820-39.pdf#page=3","Abrir facsímil")</f>
        <v>Abrir facsímil</v>
      </c>
      <c r="K4668" s="3" t="s">
        <v>23</v>
      </c>
    </row>
    <row r="4669" spans="1:11" ht="42" customHeight="1">
      <c r="A4669" s="2" t="s">
        <v>9322</v>
      </c>
      <c r="B4669" s="2" t="s">
        <v>9322</v>
      </c>
      <c r="C4669" s="2" t="s">
        <v>35</v>
      </c>
      <c r="D4669" s="2" t="s">
        <v>36</v>
      </c>
      <c r="E4669" s="5">
        <v>-28906</v>
      </c>
      <c r="F4669" s="3" t="s">
        <v>232</v>
      </c>
      <c r="G4669" s="3" t="s">
        <v>43</v>
      </c>
      <c r="H4669" s="2" t="s">
        <v>21</v>
      </c>
      <c r="I4669" s="2" t="s">
        <v>9323</v>
      </c>
      <c r="J4669" s="3" t="str">
        <f>HYPERLINK("https://www.boe.es/gazeta/dias/1820/11/08/pdfs/GGB-1820-133.pdf#page=2","Abrir facsímil")</f>
        <v>Abrir facsímil</v>
      </c>
      <c r="K4669" s="3" t="s">
        <v>23</v>
      </c>
    </row>
    <row r="4670" spans="1:11" ht="42" customHeight="1">
      <c r="A4670" s="2" t="s">
        <v>9324</v>
      </c>
      <c r="B4670" s="2" t="s">
        <v>9325</v>
      </c>
      <c r="C4670" s="2" t="s">
        <v>35</v>
      </c>
      <c r="D4670" s="2" t="s">
        <v>36</v>
      </c>
      <c r="E4670" s="5">
        <v>-29197</v>
      </c>
      <c r="F4670" s="3" t="s">
        <v>48</v>
      </c>
      <c r="G4670" s="3" t="s">
        <v>201</v>
      </c>
      <c r="H4670" s="2" t="s">
        <v>21</v>
      </c>
      <c r="I4670" s="2" t="s">
        <v>9326</v>
      </c>
      <c r="J4670" s="3" t="str">
        <f>HYPERLINK("https://www.boe.es/gazeta/dias/1820/01/22/pdfs/GMD-1820-10.pdf#page=7","Abrir facsímil")</f>
        <v>Abrir facsímil</v>
      </c>
      <c r="K4670" s="3" t="s">
        <v>23</v>
      </c>
    </row>
    <row r="4671" spans="1:11" ht="42" customHeight="1">
      <c r="A4671" s="2" t="s">
        <v>9327</v>
      </c>
      <c r="B4671" s="2" t="s">
        <v>9327</v>
      </c>
      <c r="C4671" s="2" t="s">
        <v>17</v>
      </c>
      <c r="D4671" s="2" t="s">
        <v>18</v>
      </c>
      <c r="E4671" s="5">
        <v>-28883</v>
      </c>
      <c r="F4671" s="3" t="s">
        <v>306</v>
      </c>
      <c r="G4671" s="3" t="s">
        <v>62</v>
      </c>
      <c r="H4671" s="2" t="s">
        <v>21</v>
      </c>
      <c r="I4671" s="2" t="s">
        <v>9328</v>
      </c>
      <c r="J4671" s="3" t="str">
        <f>HYPERLINK("https://www.boe.es/gazeta/dias/1820/12/01/pdfs/GGB-1820-158.pdf#page=3","Abrir facsímil")</f>
        <v>Abrir facsímil</v>
      </c>
      <c r="K4671" s="3" t="s">
        <v>23</v>
      </c>
    </row>
    <row r="4672" spans="1:11" ht="42" customHeight="1">
      <c r="A4672" s="2" t="s">
        <v>9329</v>
      </c>
      <c r="B4672" s="2" t="s">
        <v>9330</v>
      </c>
      <c r="C4672" s="2" t="s">
        <v>26</v>
      </c>
      <c r="D4672" s="2" t="s">
        <v>27</v>
      </c>
      <c r="E4672" s="5">
        <v>-29017</v>
      </c>
      <c r="F4672" s="3" t="s">
        <v>274</v>
      </c>
      <c r="G4672" s="3" t="s">
        <v>62</v>
      </c>
      <c r="H4672" s="2" t="s">
        <v>21</v>
      </c>
      <c r="I4672" s="2" t="s">
        <v>9331</v>
      </c>
      <c r="J4672" s="3" t="str">
        <f>HYPERLINK("https://www.boe.es/gazeta/dias/1820/07/20/pdfs/GGB-1820-22.pdf#page=3","Abrir facsímil")</f>
        <v>Abrir facsímil</v>
      </c>
      <c r="K4672" s="3" t="s">
        <v>23</v>
      </c>
    </row>
    <row r="4673" spans="1:11" ht="42" customHeight="1">
      <c r="A4673" s="2" t="s">
        <v>9332</v>
      </c>
      <c r="B4673" s="2" t="s">
        <v>9333</v>
      </c>
      <c r="C4673" s="2" t="s">
        <v>26</v>
      </c>
      <c r="D4673" s="2" t="s">
        <v>27</v>
      </c>
      <c r="E4673" s="5">
        <v>-29014</v>
      </c>
      <c r="F4673" s="3" t="s">
        <v>70</v>
      </c>
      <c r="G4673" s="3" t="s">
        <v>62</v>
      </c>
      <c r="H4673" s="2" t="s">
        <v>21</v>
      </c>
      <c r="I4673" s="2" t="s">
        <v>9334</v>
      </c>
      <c r="J4673" s="3" t="str">
        <f>HYPERLINK("https://www.boe.es/gazeta/dias/1820/07/23/pdfs/GGB-1820-25.pdf#page=3","Abrir facsímil")</f>
        <v>Abrir facsímil</v>
      </c>
      <c r="K4673" s="3" t="s">
        <v>23</v>
      </c>
    </row>
    <row r="4674" spans="1:11" ht="42" customHeight="1">
      <c r="A4674" s="2" t="s">
        <v>9332</v>
      </c>
      <c r="B4674" s="2" t="s">
        <v>9333</v>
      </c>
      <c r="C4674" s="2" t="s">
        <v>17</v>
      </c>
      <c r="D4674" s="2" t="s">
        <v>18</v>
      </c>
      <c r="E4674" s="5">
        <v>-29010</v>
      </c>
      <c r="F4674" s="3" t="s">
        <v>664</v>
      </c>
      <c r="G4674" s="3" t="s">
        <v>62</v>
      </c>
      <c r="H4674" s="2" t="s">
        <v>21</v>
      </c>
      <c r="I4674" s="2" t="s">
        <v>9335</v>
      </c>
      <c r="J4674" s="3" t="str">
        <f>HYPERLINK("https://www.boe.es/gazeta/dias/1820/07/27/pdfs/GGB-1820-29.pdf#page=3","Abrir facsímil")</f>
        <v>Abrir facsímil</v>
      </c>
      <c r="K4674" s="3" t="s">
        <v>23</v>
      </c>
    </row>
    <row r="4675" spans="1:11" ht="42" customHeight="1">
      <c r="A4675" s="2" t="s">
        <v>9329</v>
      </c>
      <c r="B4675" s="2" t="s">
        <v>9330</v>
      </c>
      <c r="C4675" s="2" t="s">
        <v>17</v>
      </c>
      <c r="D4675" s="2" t="s">
        <v>18</v>
      </c>
      <c r="E4675" s="5">
        <v>-28995</v>
      </c>
      <c r="F4675" s="3" t="s">
        <v>672</v>
      </c>
      <c r="G4675" s="3" t="s">
        <v>1557</v>
      </c>
      <c r="H4675" s="2" t="s">
        <v>21</v>
      </c>
      <c r="I4675" s="2" t="s">
        <v>9336</v>
      </c>
      <c r="J4675" s="3" t="str">
        <f>HYPERLINK("https://www.boe.es/gazeta/dias/1820/08/11/pdfs/GGB-1820-44.pdf#page=2","Abrir facsímil")</f>
        <v>Abrir facsímil</v>
      </c>
      <c r="K4675" s="3" t="s">
        <v>23</v>
      </c>
    </row>
    <row r="4676" spans="1:11" ht="42" customHeight="1">
      <c r="A4676" s="2" t="s">
        <v>9332</v>
      </c>
      <c r="B4676" s="2" t="s">
        <v>9333</v>
      </c>
      <c r="C4676" s="2" t="s">
        <v>17</v>
      </c>
      <c r="D4676" s="2" t="s">
        <v>18</v>
      </c>
      <c r="E4676" s="5">
        <v>-28995</v>
      </c>
      <c r="F4676" s="3" t="s">
        <v>672</v>
      </c>
      <c r="G4676" s="3" t="s">
        <v>62</v>
      </c>
      <c r="H4676" s="2" t="s">
        <v>21</v>
      </c>
      <c r="I4676" s="2" t="s">
        <v>9337</v>
      </c>
      <c r="J4676" s="3" t="str">
        <f>HYPERLINK("https://www.boe.es/gazeta/dias/1820/08/11/pdfs/GGB-1820-44.pdf#page=3","Abrir facsímil")</f>
        <v>Abrir facsímil</v>
      </c>
      <c r="K4676" s="3" t="s">
        <v>23</v>
      </c>
    </row>
    <row r="4677" spans="1:11" ht="42" customHeight="1">
      <c r="A4677" s="2" t="s">
        <v>9329</v>
      </c>
      <c r="B4677" s="2" t="s">
        <v>9330</v>
      </c>
      <c r="C4677" s="2" t="s">
        <v>74</v>
      </c>
      <c r="D4677" s="2" t="s">
        <v>18</v>
      </c>
      <c r="E4677" s="5">
        <v>-28994</v>
      </c>
      <c r="F4677" s="3" t="s">
        <v>1612</v>
      </c>
      <c r="G4677" s="3" t="s">
        <v>20</v>
      </c>
      <c r="H4677" s="2" t="s">
        <v>21</v>
      </c>
      <c r="I4677" s="2" t="s">
        <v>9338</v>
      </c>
      <c r="J4677" s="3" t="str">
        <f>HYPERLINK("https://www.boe.es/gazeta/dias/1820/08/12/pdfs/GGB-1820-45.pdf#page=4","Abrir facsímil")</f>
        <v>Abrir facsímil</v>
      </c>
      <c r="K4677" s="3" t="s">
        <v>23</v>
      </c>
    </row>
    <row r="4678" spans="1:11" ht="42" customHeight="1">
      <c r="A4678" s="2" t="s">
        <v>9332</v>
      </c>
      <c r="B4678" s="2" t="s">
        <v>9333</v>
      </c>
      <c r="C4678" s="2" t="s">
        <v>111</v>
      </c>
      <c r="D4678" s="2" t="s">
        <v>18</v>
      </c>
      <c r="E4678" s="5">
        <v>-28988</v>
      </c>
      <c r="F4678" s="3" t="s">
        <v>618</v>
      </c>
      <c r="G4678" s="3" t="s">
        <v>20</v>
      </c>
      <c r="H4678" s="2" t="s">
        <v>21</v>
      </c>
      <c r="I4678" s="2" t="s">
        <v>9339</v>
      </c>
      <c r="J4678" s="3" t="str">
        <f>HYPERLINK("https://www.boe.es/gazeta/dias/1820/08/18/pdfs/GGB-1820-51.pdf#page=4","Abrir facsímil")</f>
        <v>Abrir facsímil</v>
      </c>
      <c r="K4678" s="3" t="s">
        <v>23</v>
      </c>
    </row>
    <row r="4679" spans="1:11" ht="42" customHeight="1">
      <c r="A4679" s="2" t="s">
        <v>9332</v>
      </c>
      <c r="B4679" s="2" t="s">
        <v>9333</v>
      </c>
      <c r="C4679" s="2" t="s">
        <v>293</v>
      </c>
      <c r="D4679" s="2" t="s">
        <v>18</v>
      </c>
      <c r="E4679" s="5">
        <v>-28985</v>
      </c>
      <c r="F4679" s="3" t="s">
        <v>905</v>
      </c>
      <c r="G4679" s="3" t="s">
        <v>928</v>
      </c>
      <c r="H4679" s="2" t="s">
        <v>21</v>
      </c>
      <c r="I4679" s="2" t="s">
        <v>9340</v>
      </c>
      <c r="J4679" s="3" t="str">
        <f>HYPERLINK("https://www.boe.es/gazeta/dias/1820/08/21/pdfs/GGB-1820-54.pdf#page=4","Abrir facsímil")</f>
        <v>Abrir facsímil</v>
      </c>
      <c r="K4679" s="3" t="s">
        <v>23</v>
      </c>
    </row>
    <row r="4680" spans="1:11" ht="42" customHeight="1">
      <c r="A4680" s="2" t="s">
        <v>9332</v>
      </c>
      <c r="B4680" s="2" t="s">
        <v>9333</v>
      </c>
      <c r="C4680" s="2" t="s">
        <v>74</v>
      </c>
      <c r="D4680" s="2" t="s">
        <v>18</v>
      </c>
      <c r="E4680" s="5">
        <v>-28984</v>
      </c>
      <c r="F4680" s="3" t="s">
        <v>520</v>
      </c>
      <c r="G4680" s="3" t="s">
        <v>62</v>
      </c>
      <c r="H4680" s="2" t="s">
        <v>21</v>
      </c>
      <c r="I4680" s="2" t="s">
        <v>9341</v>
      </c>
      <c r="J4680" s="3" t="str">
        <f>HYPERLINK("https://www.boe.es/gazeta/dias/1820/08/22/pdfs/GGB-1820-55.pdf#page=3","Abrir facsímil")</f>
        <v>Abrir facsímil</v>
      </c>
      <c r="K4680" s="3" t="s">
        <v>23</v>
      </c>
    </row>
    <row r="4681" spans="1:11" ht="42" customHeight="1">
      <c r="A4681" s="2" t="s">
        <v>9332</v>
      </c>
      <c r="B4681" s="2" t="s">
        <v>9333</v>
      </c>
      <c r="C4681" s="2" t="s">
        <v>26</v>
      </c>
      <c r="D4681" s="2" t="s">
        <v>27</v>
      </c>
      <c r="E4681" s="5">
        <v>-28984</v>
      </c>
      <c r="F4681" s="3" t="s">
        <v>520</v>
      </c>
      <c r="G4681" s="3" t="s">
        <v>20</v>
      </c>
      <c r="H4681" s="2" t="s">
        <v>21</v>
      </c>
      <c r="I4681" s="2" t="s">
        <v>9342</v>
      </c>
      <c r="J4681" s="3" t="str">
        <f>HYPERLINK("https://www.boe.es/gazeta/dias/1820/08/22/pdfs/GGB-1820-55.pdf#page=4","Abrir facsímil")</f>
        <v>Abrir facsímil</v>
      </c>
      <c r="K4681" s="3" t="s">
        <v>23</v>
      </c>
    </row>
    <row r="4682" spans="1:11" ht="42" customHeight="1">
      <c r="A4682" s="2" t="s">
        <v>9332</v>
      </c>
      <c r="B4682" s="2" t="s">
        <v>9333</v>
      </c>
      <c r="C4682" s="2" t="s">
        <v>26</v>
      </c>
      <c r="D4682" s="2" t="s">
        <v>27</v>
      </c>
      <c r="E4682" s="5">
        <v>-28982</v>
      </c>
      <c r="F4682" s="3" t="s">
        <v>173</v>
      </c>
      <c r="G4682" s="3" t="s">
        <v>62</v>
      </c>
      <c r="H4682" s="2" t="s">
        <v>21</v>
      </c>
      <c r="I4682" s="2" t="s">
        <v>9343</v>
      </c>
      <c r="J4682" s="3" t="str">
        <f>HYPERLINK("https://www.boe.es/gazeta/dias/1820/08/24/pdfs/GGB-1820-57.pdf#page=3","Abrir facsímil")</f>
        <v>Abrir facsímil</v>
      </c>
      <c r="K4682" s="3" t="s">
        <v>23</v>
      </c>
    </row>
    <row r="4683" spans="1:11" ht="42" customHeight="1">
      <c r="A4683" s="2" t="s">
        <v>9344</v>
      </c>
      <c r="B4683" s="2" t="s">
        <v>9345</v>
      </c>
      <c r="C4683" s="2" t="s">
        <v>26</v>
      </c>
      <c r="D4683" s="2" t="s">
        <v>27</v>
      </c>
      <c r="E4683" s="5">
        <v>-28976</v>
      </c>
      <c r="F4683" s="3" t="s">
        <v>689</v>
      </c>
      <c r="G4683" s="3" t="s">
        <v>62</v>
      </c>
      <c r="H4683" s="2" t="s">
        <v>21</v>
      </c>
      <c r="I4683" s="2" t="s">
        <v>9346</v>
      </c>
      <c r="J4683" s="3" t="str">
        <f>HYPERLINK("https://www.boe.es/gazeta/dias/1820/08/30/pdfs/GGB-1820-63.pdf#page=3","Abrir facsímil")</f>
        <v>Abrir facsímil</v>
      </c>
      <c r="K4683" s="3" t="s">
        <v>23</v>
      </c>
    </row>
    <row r="4684" spans="1:11" ht="42" customHeight="1">
      <c r="A4684" s="2" t="s">
        <v>9332</v>
      </c>
      <c r="B4684" s="2" t="s">
        <v>9333</v>
      </c>
      <c r="C4684" s="2" t="s">
        <v>26</v>
      </c>
      <c r="D4684" s="2" t="s">
        <v>27</v>
      </c>
      <c r="E4684" s="5">
        <v>-28973</v>
      </c>
      <c r="F4684" s="3" t="s">
        <v>151</v>
      </c>
      <c r="G4684" s="3" t="s">
        <v>62</v>
      </c>
      <c r="H4684" s="2" t="s">
        <v>21</v>
      </c>
      <c r="I4684" s="2" t="s">
        <v>9347</v>
      </c>
      <c r="J4684" s="3" t="str">
        <f>HYPERLINK("https://www.boe.es/gazeta/dias/1820/09/02/pdfs/GGB-1820-66.pdf#page=3","Abrir facsímil")</f>
        <v>Abrir facsímil</v>
      </c>
      <c r="K4684" s="3" t="s">
        <v>23</v>
      </c>
    </row>
    <row r="4685" spans="1:11" ht="42" customHeight="1">
      <c r="A4685" s="2" t="s">
        <v>9329</v>
      </c>
      <c r="B4685" s="2" t="s">
        <v>9330</v>
      </c>
      <c r="C4685" s="2" t="s">
        <v>26</v>
      </c>
      <c r="D4685" s="2" t="s">
        <v>27</v>
      </c>
      <c r="E4685" s="5">
        <v>-28961</v>
      </c>
      <c r="F4685" s="3" t="s">
        <v>242</v>
      </c>
      <c r="G4685" s="3" t="s">
        <v>43</v>
      </c>
      <c r="H4685" s="2" t="s">
        <v>21</v>
      </c>
      <c r="I4685" s="2" t="s">
        <v>9348</v>
      </c>
      <c r="J4685" s="3" t="str">
        <f>HYPERLINK("https://www.boe.es/gazeta/dias/1820/09/14/pdfs/GGB-1820-78.pdf#page=2","Abrir facsímil")</f>
        <v>Abrir facsímil</v>
      </c>
      <c r="K4685" s="3" t="s">
        <v>23</v>
      </c>
    </row>
    <row r="4686" spans="1:11" ht="42" customHeight="1">
      <c r="A4686" s="2" t="s">
        <v>9329</v>
      </c>
      <c r="B4686" s="2" t="s">
        <v>9330</v>
      </c>
      <c r="C4686" s="2" t="s">
        <v>74</v>
      </c>
      <c r="D4686" s="2" t="s">
        <v>18</v>
      </c>
      <c r="E4686" s="5">
        <v>-28959</v>
      </c>
      <c r="F4686" s="3" t="s">
        <v>37</v>
      </c>
      <c r="G4686" s="3" t="s">
        <v>20</v>
      </c>
      <c r="H4686" s="2" t="s">
        <v>21</v>
      </c>
      <c r="I4686" s="2" t="s">
        <v>9349</v>
      </c>
      <c r="J4686" s="3" t="str">
        <f>HYPERLINK("https://www.boe.es/gazeta/dias/1820/09/16/pdfs/GGB-1820-80.pdf#page=4","Abrir facsímil")</f>
        <v>Abrir facsímil</v>
      </c>
      <c r="K4686" s="3" t="s">
        <v>23</v>
      </c>
    </row>
    <row r="4687" spans="1:11" ht="42" customHeight="1">
      <c r="A4687" s="2" t="s">
        <v>9332</v>
      </c>
      <c r="B4687" s="2" t="s">
        <v>9333</v>
      </c>
      <c r="C4687" s="2" t="s">
        <v>17</v>
      </c>
      <c r="D4687" s="2" t="s">
        <v>18</v>
      </c>
      <c r="E4687" s="5">
        <v>-28958</v>
      </c>
      <c r="F4687" s="3" t="s">
        <v>706</v>
      </c>
      <c r="G4687" s="3" t="s">
        <v>20</v>
      </c>
      <c r="H4687" s="2" t="s">
        <v>21</v>
      </c>
      <c r="I4687" s="2" t="s">
        <v>9350</v>
      </c>
      <c r="J4687" s="3" t="str">
        <f>HYPERLINK("https://www.boe.es/gazeta/dias/1820/09/17/pdfs/GGB-1820-81.pdf#page=4","Abrir facsímil")</f>
        <v>Abrir facsímil</v>
      </c>
      <c r="K4687" s="3" t="s">
        <v>23</v>
      </c>
    </row>
    <row r="4688" spans="1:11" ht="42" customHeight="1">
      <c r="A4688" s="2" t="s">
        <v>9332</v>
      </c>
      <c r="B4688" s="2" t="s">
        <v>9333</v>
      </c>
      <c r="C4688" s="2" t="s">
        <v>74</v>
      </c>
      <c r="D4688" s="2" t="s">
        <v>18</v>
      </c>
      <c r="E4688" s="5">
        <v>-28942</v>
      </c>
      <c r="F4688" s="3" t="s">
        <v>244</v>
      </c>
      <c r="G4688" s="3" t="s">
        <v>43</v>
      </c>
      <c r="H4688" s="2" t="s">
        <v>21</v>
      </c>
      <c r="I4688" s="2" t="s">
        <v>9351</v>
      </c>
      <c r="J4688" s="3" t="str">
        <f>HYPERLINK("https://www.boe.es/gazeta/dias/1820/10/03/pdfs/GGB-1820-97.pdf#page=2","Abrir facsímil")</f>
        <v>Abrir facsímil</v>
      </c>
      <c r="K4688" s="3" t="s">
        <v>23</v>
      </c>
    </row>
    <row r="4689" spans="1:11" ht="42" customHeight="1">
      <c r="A4689" s="2" t="s">
        <v>9332</v>
      </c>
      <c r="B4689" s="2" t="s">
        <v>9333</v>
      </c>
      <c r="C4689" s="2" t="s">
        <v>74</v>
      </c>
      <c r="D4689" s="2" t="s">
        <v>18</v>
      </c>
      <c r="E4689" s="5">
        <v>-28936</v>
      </c>
      <c r="F4689" s="3" t="s">
        <v>167</v>
      </c>
      <c r="G4689" s="3" t="s">
        <v>43</v>
      </c>
      <c r="H4689" s="2" t="s">
        <v>21</v>
      </c>
      <c r="I4689" s="2" t="s">
        <v>9352</v>
      </c>
      <c r="J4689" s="3" t="str">
        <f>HYPERLINK("https://www.boe.es/gazeta/dias/1820/10/09/pdfs/GGB-1820-103.pdf#page=2","Abrir facsímil")</f>
        <v>Abrir facsímil</v>
      </c>
      <c r="K4689" s="3" t="s">
        <v>23</v>
      </c>
    </row>
    <row r="4690" spans="1:11" ht="42" customHeight="1">
      <c r="A4690" s="2" t="s">
        <v>9329</v>
      </c>
      <c r="B4690" s="2" t="s">
        <v>9330</v>
      </c>
      <c r="C4690" s="2" t="s">
        <v>17</v>
      </c>
      <c r="D4690" s="2" t="s">
        <v>18</v>
      </c>
      <c r="E4690" s="5">
        <v>-28932</v>
      </c>
      <c r="F4690" s="3" t="s">
        <v>407</v>
      </c>
      <c r="G4690" s="3" t="s">
        <v>20</v>
      </c>
      <c r="H4690" s="2" t="s">
        <v>21</v>
      </c>
      <c r="I4690" s="2" t="s">
        <v>9353</v>
      </c>
      <c r="J4690" s="3" t="str">
        <f>HYPERLINK("https://www.boe.es/gazeta/dias/1820/10/13/pdfs/GGB-1820-107.pdf#page=4","Abrir facsímil")</f>
        <v>Abrir facsímil</v>
      </c>
      <c r="K4690" s="3" t="s">
        <v>23</v>
      </c>
    </row>
    <row r="4691" spans="1:11" ht="42" customHeight="1">
      <c r="A4691" s="2" t="s">
        <v>9332</v>
      </c>
      <c r="B4691" s="2" t="s">
        <v>9333</v>
      </c>
      <c r="C4691" s="2" t="s">
        <v>35</v>
      </c>
      <c r="D4691" s="2" t="s">
        <v>36</v>
      </c>
      <c r="E4691" s="5">
        <v>-28926</v>
      </c>
      <c r="F4691" s="3" t="s">
        <v>597</v>
      </c>
      <c r="G4691" s="3" t="s">
        <v>62</v>
      </c>
      <c r="H4691" s="2" t="s">
        <v>21</v>
      </c>
      <c r="I4691" s="2" t="s">
        <v>9354</v>
      </c>
      <c r="J4691" s="3" t="str">
        <f>HYPERLINK("https://www.boe.es/gazeta/dias/1820/10/19/pdfs/GGB-1820-113.pdf#page=3","Abrir facsímil")</f>
        <v>Abrir facsímil</v>
      </c>
      <c r="K4691" s="3" t="s">
        <v>23</v>
      </c>
    </row>
    <row r="4692" spans="1:11" ht="42" customHeight="1">
      <c r="A4692" s="2" t="s">
        <v>9329</v>
      </c>
      <c r="B4692" s="2" t="s">
        <v>9330</v>
      </c>
      <c r="C4692" s="2" t="s">
        <v>26</v>
      </c>
      <c r="D4692" s="2" t="s">
        <v>27</v>
      </c>
      <c r="E4692" s="5">
        <v>-28923</v>
      </c>
      <c r="F4692" s="3" t="s">
        <v>648</v>
      </c>
      <c r="G4692" s="3" t="s">
        <v>62</v>
      </c>
      <c r="H4692" s="2" t="s">
        <v>21</v>
      </c>
      <c r="I4692" s="2" t="s">
        <v>9355</v>
      </c>
      <c r="J4692" s="3" t="str">
        <f>HYPERLINK("https://www.boe.es/gazeta/dias/1820/10/22/pdfs/GGB-1820-116.pdf#page=3","Abrir facsímil")</f>
        <v>Abrir facsímil</v>
      </c>
      <c r="K4692" s="3" t="s">
        <v>23</v>
      </c>
    </row>
    <row r="4693" spans="1:11" ht="42" customHeight="1">
      <c r="A4693" s="2" t="s">
        <v>9356</v>
      </c>
      <c r="B4693" s="2" t="s">
        <v>9357</v>
      </c>
      <c r="C4693" s="2" t="s">
        <v>17</v>
      </c>
      <c r="D4693" s="2" t="s">
        <v>18</v>
      </c>
      <c r="E4693" s="5">
        <v>-28951</v>
      </c>
      <c r="F4693" s="3" t="s">
        <v>622</v>
      </c>
      <c r="G4693" s="3" t="s">
        <v>62</v>
      </c>
      <c r="H4693" s="2" t="s">
        <v>21</v>
      </c>
      <c r="I4693" s="2" t="s">
        <v>9358</v>
      </c>
      <c r="J4693" s="3" t="str">
        <f>HYPERLINK("https://www.boe.es/gazeta/dias/1820/09/24/pdfs/GGB-1820-88.pdf#page=3","Abrir facsímil")</f>
        <v>Abrir facsímil</v>
      </c>
      <c r="K4693" s="3" t="s">
        <v>23</v>
      </c>
    </row>
    <row r="4694" spans="1:11" ht="42" customHeight="1">
      <c r="A4694" s="2" t="s">
        <v>9356</v>
      </c>
      <c r="B4694" s="2" t="s">
        <v>9357</v>
      </c>
      <c r="C4694" s="2" t="s">
        <v>111</v>
      </c>
      <c r="D4694" s="2" t="s">
        <v>18</v>
      </c>
      <c r="E4694" s="5">
        <v>-28928</v>
      </c>
      <c r="F4694" s="3" t="s">
        <v>86</v>
      </c>
      <c r="G4694" s="3" t="s">
        <v>62</v>
      </c>
      <c r="H4694" s="2" t="s">
        <v>21</v>
      </c>
      <c r="I4694" s="2" t="s">
        <v>9359</v>
      </c>
      <c r="J4694" s="3" t="str">
        <f>HYPERLINK("https://www.boe.es/gazeta/dias/1820/10/17/pdfs/GGB-1820-111.pdf#page=3","Abrir facsímil")</f>
        <v>Abrir facsímil</v>
      </c>
      <c r="K4694" s="3" t="s">
        <v>23</v>
      </c>
    </row>
    <row r="4695" spans="1:11" ht="42" customHeight="1">
      <c r="A4695" s="2" t="s">
        <v>9356</v>
      </c>
      <c r="B4695" s="2" t="s">
        <v>9357</v>
      </c>
      <c r="C4695" s="2" t="s">
        <v>293</v>
      </c>
      <c r="D4695" s="2" t="s">
        <v>18</v>
      </c>
      <c r="E4695" s="5">
        <v>-28925</v>
      </c>
      <c r="F4695" s="3" t="s">
        <v>228</v>
      </c>
      <c r="G4695" s="3" t="s">
        <v>62</v>
      </c>
      <c r="H4695" s="2" t="s">
        <v>21</v>
      </c>
      <c r="I4695" s="2" t="s">
        <v>9360</v>
      </c>
      <c r="J4695" s="3" t="str">
        <f>HYPERLINK("https://www.boe.es/gazeta/dias/1820/10/20/pdfs/GGB-1820-114.pdf#page=3","Abrir facsímil")</f>
        <v>Abrir facsímil</v>
      </c>
      <c r="K4695" s="3" t="s">
        <v>23</v>
      </c>
    </row>
    <row r="4696" spans="1:11" ht="42" customHeight="1">
      <c r="A4696" s="2" t="s">
        <v>9361</v>
      </c>
      <c r="B4696" s="2" t="s">
        <v>9362</v>
      </c>
      <c r="C4696" s="2" t="s">
        <v>293</v>
      </c>
      <c r="D4696" s="2" t="s">
        <v>18</v>
      </c>
      <c r="E4696" s="5">
        <v>-28923</v>
      </c>
      <c r="F4696" s="3" t="s">
        <v>648</v>
      </c>
      <c r="G4696" s="3" t="s">
        <v>20</v>
      </c>
      <c r="H4696" s="2" t="s">
        <v>21</v>
      </c>
      <c r="I4696" s="2" t="s">
        <v>9363</v>
      </c>
      <c r="J4696" s="3" t="str">
        <f>HYPERLINK("https://www.boe.es/gazeta/dias/1820/10/22/pdfs/GGB-1820-116.pdf#page=4","Abrir facsímil")</f>
        <v>Abrir facsímil</v>
      </c>
      <c r="K4696" s="3" t="s">
        <v>23</v>
      </c>
    </row>
    <row r="4697" spans="1:11" ht="42" customHeight="1">
      <c r="A4697" s="2" t="s">
        <v>9356</v>
      </c>
      <c r="B4697" s="2" t="s">
        <v>9357</v>
      </c>
      <c r="C4697" s="2" t="s">
        <v>26</v>
      </c>
      <c r="D4697" s="2" t="s">
        <v>27</v>
      </c>
      <c r="E4697" s="5">
        <v>-28904</v>
      </c>
      <c r="F4697" s="3" t="s">
        <v>541</v>
      </c>
      <c r="G4697" s="3" t="s">
        <v>20</v>
      </c>
      <c r="H4697" s="2" t="s">
        <v>21</v>
      </c>
      <c r="I4697" s="2" t="s">
        <v>9364</v>
      </c>
      <c r="J4697" s="3" t="str">
        <f>HYPERLINK("https://www.boe.es/gazeta/dias/1820/11/10/pdfs/GGB-1820-136.pdf#page=4","Abrir facsímil")</f>
        <v>Abrir facsímil</v>
      </c>
      <c r="K4697" s="3" t="s">
        <v>23</v>
      </c>
    </row>
    <row r="4698" spans="1:11" ht="42" customHeight="1">
      <c r="A4698" s="2" t="s">
        <v>9365</v>
      </c>
      <c r="B4698" s="2" t="s">
        <v>9366</v>
      </c>
      <c r="C4698" s="2" t="s">
        <v>26</v>
      </c>
      <c r="D4698" s="2" t="s">
        <v>27</v>
      </c>
      <c r="E4698" s="5">
        <v>-28895</v>
      </c>
      <c r="F4698" s="3" t="s">
        <v>347</v>
      </c>
      <c r="G4698" s="3" t="s">
        <v>20</v>
      </c>
      <c r="H4698" s="2" t="s">
        <v>21</v>
      </c>
      <c r="I4698" s="2" t="s">
        <v>9367</v>
      </c>
      <c r="J4698" s="3" t="str">
        <f>HYPERLINK("https://www.boe.es/gazeta/dias/1820/11/19/pdfs/GGB-1820-146.pdf#page=4","Abrir facsímil")</f>
        <v>Abrir facsímil</v>
      </c>
      <c r="K4698" s="3" t="s">
        <v>23</v>
      </c>
    </row>
    <row r="4699" spans="1:11" ht="42" customHeight="1">
      <c r="A4699" s="2" t="s">
        <v>9368</v>
      </c>
      <c r="B4699" s="2" t="s">
        <v>9369</v>
      </c>
      <c r="C4699" s="2" t="s">
        <v>35</v>
      </c>
      <c r="D4699" s="2" t="s">
        <v>36</v>
      </c>
      <c r="E4699" s="5">
        <v>-29012</v>
      </c>
      <c r="F4699" s="3" t="s">
        <v>72</v>
      </c>
      <c r="G4699" s="3" t="s">
        <v>661</v>
      </c>
      <c r="H4699" s="2" t="s">
        <v>21</v>
      </c>
      <c r="I4699" s="2" t="s">
        <v>9370</v>
      </c>
      <c r="J4699" s="3" t="str">
        <f>HYPERLINK("https://www.boe.es/gazeta/dias/1820/07/25/pdfs/GGB-1820-27.pdf#page=2","Abrir facsímil")</f>
        <v>Abrir facsímil</v>
      </c>
      <c r="K4699" s="3" t="s">
        <v>23</v>
      </c>
    </row>
    <row r="4700" spans="1:11" ht="42" customHeight="1">
      <c r="A4700" s="2" t="s">
        <v>9371</v>
      </c>
      <c r="B4700" s="2" t="s">
        <v>9372</v>
      </c>
      <c r="C4700" s="2" t="s">
        <v>26</v>
      </c>
      <c r="D4700" s="2" t="s">
        <v>27</v>
      </c>
      <c r="E4700" s="5">
        <v>-29029</v>
      </c>
      <c r="F4700" s="3" t="s">
        <v>282</v>
      </c>
      <c r="G4700" s="3" t="s">
        <v>20</v>
      </c>
      <c r="H4700" s="2" t="s">
        <v>21</v>
      </c>
      <c r="I4700" s="2" t="s">
        <v>9373</v>
      </c>
      <c r="J4700" s="3" t="str">
        <f>HYPERLINK("https://www.boe.es/gazeta/dias/1820/07/08/pdfs/GGB-1820-9.pdf#page=4","Abrir facsímil")</f>
        <v>Abrir facsímil</v>
      </c>
      <c r="K4700" s="3" t="s">
        <v>23</v>
      </c>
    </row>
    <row r="4701" spans="1:11" ht="42" customHeight="1">
      <c r="A4701" s="2" t="s">
        <v>9374</v>
      </c>
      <c r="B4701" s="2" t="s">
        <v>9375</v>
      </c>
      <c r="C4701" s="2" t="s">
        <v>17</v>
      </c>
      <c r="D4701" s="2" t="s">
        <v>18</v>
      </c>
      <c r="E4701" s="5">
        <v>-28931</v>
      </c>
      <c r="F4701" s="3" t="s">
        <v>724</v>
      </c>
      <c r="G4701" s="3" t="s">
        <v>20</v>
      </c>
      <c r="H4701" s="2" t="s">
        <v>21</v>
      </c>
      <c r="I4701" s="2" t="s">
        <v>9376</v>
      </c>
      <c r="J4701" s="3" t="str">
        <f>HYPERLINK("https://www.boe.es/gazeta/dias/1820/10/14/pdfs/GGB-1820-108.pdf#page=4","Abrir facsímil")</f>
        <v>Abrir facsímil</v>
      </c>
      <c r="K4701" s="3" t="s">
        <v>23</v>
      </c>
    </row>
    <row r="4702" spans="1:11" ht="42" customHeight="1">
      <c r="A4702" s="2" t="s">
        <v>9377</v>
      </c>
      <c r="B4702" s="2" t="s">
        <v>9378</v>
      </c>
      <c r="C4702" s="2" t="s">
        <v>111</v>
      </c>
      <c r="D4702" s="2" t="s">
        <v>18</v>
      </c>
      <c r="E4702" s="5">
        <v>-28931</v>
      </c>
      <c r="F4702" s="3" t="s">
        <v>724</v>
      </c>
      <c r="G4702" s="3" t="s">
        <v>20</v>
      </c>
      <c r="H4702" s="2" t="s">
        <v>21</v>
      </c>
      <c r="I4702" s="2" t="s">
        <v>9379</v>
      </c>
      <c r="J4702" s="3" t="str">
        <f>HYPERLINK("https://www.boe.es/gazeta/dias/1820/10/14/pdfs/GGB-1820-108.pdf#page=4","Abrir facsímil")</f>
        <v>Abrir facsímil</v>
      </c>
      <c r="K4702" s="3" t="s">
        <v>23</v>
      </c>
    </row>
    <row r="4703" spans="1:11" ht="42" customHeight="1">
      <c r="A4703" s="2" t="s">
        <v>9380</v>
      </c>
      <c r="B4703" s="2" t="s">
        <v>9381</v>
      </c>
      <c r="C4703" s="2" t="s">
        <v>35</v>
      </c>
      <c r="D4703" s="2" t="s">
        <v>36</v>
      </c>
      <c r="E4703" s="5">
        <v>-29094</v>
      </c>
      <c r="F4703" s="3" t="s">
        <v>560</v>
      </c>
      <c r="G4703" s="3" t="s">
        <v>295</v>
      </c>
      <c r="H4703" s="2" t="s">
        <v>21</v>
      </c>
      <c r="I4703" s="2" t="s">
        <v>9382</v>
      </c>
      <c r="J4703" s="3" t="str">
        <f>HYPERLINK("https://www.boe.es/gazeta/dias/1820/05/04/pdfs/GMD-1820-75.pdf#page=8","Abrir facsímil")</f>
        <v>Abrir facsímil</v>
      </c>
      <c r="K4703" s="3" t="s">
        <v>23</v>
      </c>
    </row>
    <row r="4704" spans="1:11" ht="42" customHeight="1">
      <c r="A4704" s="2" t="s">
        <v>9383</v>
      </c>
      <c r="B4704" s="2" t="s">
        <v>9383</v>
      </c>
      <c r="C4704" s="2" t="s">
        <v>26</v>
      </c>
      <c r="D4704" s="2" t="s">
        <v>27</v>
      </c>
      <c r="E4704" s="5">
        <v>-29003</v>
      </c>
      <c r="F4704" s="3" t="s">
        <v>340</v>
      </c>
      <c r="G4704" s="3" t="s">
        <v>62</v>
      </c>
      <c r="H4704" s="2" t="s">
        <v>21</v>
      </c>
      <c r="I4704" s="2" t="s">
        <v>9384</v>
      </c>
      <c r="J4704" s="3" t="str">
        <f>HYPERLINK("https://www.boe.es/gazeta/dias/1820/08/03/pdfs/GGB-1820-36.pdf#page=3","Abrir facsímil")</f>
        <v>Abrir facsímil</v>
      </c>
      <c r="K4704" s="3" t="s">
        <v>23</v>
      </c>
    </row>
    <row r="4705" spans="1:11" ht="42" customHeight="1">
      <c r="A4705" s="2" t="s">
        <v>9385</v>
      </c>
      <c r="B4705" s="2" t="s">
        <v>9386</v>
      </c>
      <c r="C4705" s="2" t="s">
        <v>107</v>
      </c>
      <c r="D4705" s="2" t="s">
        <v>18</v>
      </c>
      <c r="E4705" s="5">
        <v>-29043</v>
      </c>
      <c r="F4705" s="3" t="s">
        <v>5696</v>
      </c>
      <c r="G4705" s="3" t="s">
        <v>295</v>
      </c>
      <c r="H4705" s="2" t="s">
        <v>21</v>
      </c>
      <c r="I4705" s="2" t="s">
        <v>9387</v>
      </c>
      <c r="J4705" s="3" t="str">
        <f>HYPERLINK("https://www.boe.es/gazeta/dias/1820/06/24/pdfs/GMD-1820-98.pdf#page=8","Abrir facsímil")</f>
        <v>Abrir facsímil</v>
      </c>
      <c r="K4705" s="3" t="s">
        <v>23</v>
      </c>
    </row>
    <row r="4706" spans="1:11" ht="42" customHeight="1">
      <c r="A4706" s="2" t="s">
        <v>9388</v>
      </c>
      <c r="B4706" s="2" t="s">
        <v>9389</v>
      </c>
      <c r="C4706" s="2" t="s">
        <v>26</v>
      </c>
      <c r="D4706" s="2" t="s">
        <v>27</v>
      </c>
      <c r="E4706" s="5">
        <v>-29087</v>
      </c>
      <c r="F4706" s="3" t="s">
        <v>1018</v>
      </c>
      <c r="G4706" s="3" t="s">
        <v>295</v>
      </c>
      <c r="H4706" s="2" t="s">
        <v>21</v>
      </c>
      <c r="I4706" s="2" t="s">
        <v>9390</v>
      </c>
      <c r="J4706" s="3" t="str">
        <f>HYPERLINK("https://www.boe.es/gazeta/dias/1820/05/11/pdfs/GMD-1820-78.pdf#page=8","Abrir facsímil")</f>
        <v>Abrir facsímil</v>
      </c>
      <c r="K4706" s="3" t="s">
        <v>23</v>
      </c>
    </row>
    <row r="4707" spans="1:11" ht="42" customHeight="1">
      <c r="A4707" s="2" t="s">
        <v>9391</v>
      </c>
      <c r="B4707" s="2" t="s">
        <v>9391</v>
      </c>
      <c r="C4707" s="2" t="s">
        <v>26</v>
      </c>
      <c r="D4707" s="2" t="s">
        <v>27</v>
      </c>
      <c r="E4707" s="5">
        <v>-29010</v>
      </c>
      <c r="F4707" s="3" t="s">
        <v>664</v>
      </c>
      <c r="G4707" s="3" t="s">
        <v>62</v>
      </c>
      <c r="H4707" s="2" t="s">
        <v>21</v>
      </c>
      <c r="I4707" s="2" t="s">
        <v>9392</v>
      </c>
      <c r="J4707" s="3" t="str">
        <f>HYPERLINK("https://www.boe.es/gazeta/dias/1820/07/27/pdfs/GGB-1820-29.pdf#page=3","Abrir facsímil")</f>
        <v>Abrir facsímil</v>
      </c>
      <c r="K4707" s="3" t="s">
        <v>23</v>
      </c>
    </row>
    <row r="4708" spans="1:11" ht="42" customHeight="1">
      <c r="A4708" s="2" t="s">
        <v>9393</v>
      </c>
      <c r="B4708" s="2" t="s">
        <v>9393</v>
      </c>
      <c r="C4708" s="2" t="s">
        <v>26</v>
      </c>
      <c r="D4708" s="2" t="s">
        <v>27</v>
      </c>
      <c r="E4708" s="5">
        <v>-29026</v>
      </c>
      <c r="F4708" s="3" t="s">
        <v>1197</v>
      </c>
      <c r="G4708" s="3" t="s">
        <v>62</v>
      </c>
      <c r="H4708" s="2" t="s">
        <v>21</v>
      </c>
      <c r="I4708" s="2" t="s">
        <v>9394</v>
      </c>
      <c r="J4708" s="3" t="str">
        <f>HYPERLINK("https://www.boe.es/gazeta/dias/1820/07/11/pdfs/GGB-1820-13.pdf#page=3","Abrir facsímil")</f>
        <v>Abrir facsímil</v>
      </c>
      <c r="K4708" s="3" t="s">
        <v>23</v>
      </c>
    </row>
    <row r="4709" spans="1:11" ht="42" customHeight="1">
      <c r="A4709" s="2" t="s">
        <v>9393</v>
      </c>
      <c r="B4709" s="2" t="s">
        <v>9393</v>
      </c>
      <c r="C4709" s="2" t="s">
        <v>26</v>
      </c>
      <c r="D4709" s="2" t="s">
        <v>27</v>
      </c>
      <c r="E4709" s="5">
        <v>-29001</v>
      </c>
      <c r="F4709" s="3" t="s">
        <v>633</v>
      </c>
      <c r="G4709" s="3" t="s">
        <v>43</v>
      </c>
      <c r="H4709" s="2" t="s">
        <v>21</v>
      </c>
      <c r="I4709" s="2" t="s">
        <v>9395</v>
      </c>
      <c r="J4709" s="3" t="str">
        <f>HYPERLINK("https://www.boe.es/gazeta/dias/1820/08/05/pdfs/GGB-1820-38.pdf#page=2","Abrir facsímil")</f>
        <v>Abrir facsímil</v>
      </c>
      <c r="K4709" s="3" t="s">
        <v>23</v>
      </c>
    </row>
    <row r="4710" spans="1:11" ht="42" customHeight="1">
      <c r="A4710" s="2" t="s">
        <v>9393</v>
      </c>
      <c r="B4710" s="2" t="s">
        <v>9393</v>
      </c>
      <c r="C4710" s="2" t="s">
        <v>26</v>
      </c>
      <c r="D4710" s="2" t="s">
        <v>27</v>
      </c>
      <c r="E4710" s="5">
        <v>-28995</v>
      </c>
      <c r="F4710" s="3" t="s">
        <v>672</v>
      </c>
      <c r="G4710" s="3" t="s">
        <v>20</v>
      </c>
      <c r="H4710" s="2" t="s">
        <v>21</v>
      </c>
      <c r="I4710" s="2" t="s">
        <v>9396</v>
      </c>
      <c r="J4710" s="3" t="str">
        <f>HYPERLINK("https://www.boe.es/gazeta/dias/1820/08/11/pdfs/GGB-1820-44.pdf#page=4","Abrir facsímil")</f>
        <v>Abrir facsímil</v>
      </c>
      <c r="K4710" s="3" t="s">
        <v>23</v>
      </c>
    </row>
    <row r="4711" spans="1:11" ht="42" customHeight="1">
      <c r="A4711" s="2" t="s">
        <v>9393</v>
      </c>
      <c r="B4711" s="2" t="s">
        <v>9393</v>
      </c>
      <c r="C4711" s="2" t="s">
        <v>26</v>
      </c>
      <c r="D4711" s="2" t="s">
        <v>27</v>
      </c>
      <c r="E4711" s="5">
        <v>-28975</v>
      </c>
      <c r="F4711" s="3" t="s">
        <v>182</v>
      </c>
      <c r="G4711" s="3" t="s">
        <v>62</v>
      </c>
      <c r="H4711" s="2" t="s">
        <v>21</v>
      </c>
      <c r="I4711" s="2" t="s">
        <v>9397</v>
      </c>
      <c r="J4711" s="3" t="str">
        <f>HYPERLINK("https://www.boe.es/gazeta/dias/1820/08/31/pdfs/GGB-1820-64.pdf#page=3","Abrir facsímil")</f>
        <v>Abrir facsímil</v>
      </c>
      <c r="K4711" s="3" t="s">
        <v>23</v>
      </c>
    </row>
    <row r="4712" spans="1:11" ht="42" customHeight="1">
      <c r="A4712" s="2" t="s">
        <v>9393</v>
      </c>
      <c r="B4712" s="2" t="s">
        <v>9393</v>
      </c>
      <c r="C4712" s="2" t="s">
        <v>26</v>
      </c>
      <c r="D4712" s="2" t="s">
        <v>27</v>
      </c>
      <c r="E4712" s="5">
        <v>-28940</v>
      </c>
      <c r="F4712" s="3" t="s">
        <v>141</v>
      </c>
      <c r="G4712" s="3" t="s">
        <v>43</v>
      </c>
      <c r="H4712" s="2" t="s">
        <v>21</v>
      </c>
      <c r="I4712" s="2" t="s">
        <v>9398</v>
      </c>
      <c r="J4712" s="3" t="str">
        <f>HYPERLINK("https://www.boe.es/gazeta/dias/1820/10/05/pdfs/GGB-1820-99.pdf#page=2","Abrir facsímil")</f>
        <v>Abrir facsímil</v>
      </c>
      <c r="K4712" s="3" t="s">
        <v>23</v>
      </c>
    </row>
    <row r="4713" spans="1:11" ht="42" customHeight="1">
      <c r="A4713" s="2" t="s">
        <v>9393</v>
      </c>
      <c r="B4713" s="2" t="s">
        <v>9393</v>
      </c>
      <c r="C4713" s="2" t="s">
        <v>26</v>
      </c>
      <c r="D4713" s="2" t="s">
        <v>27</v>
      </c>
      <c r="E4713" s="5">
        <v>-28929</v>
      </c>
      <c r="F4713" s="3" t="s">
        <v>728</v>
      </c>
      <c r="G4713" s="3" t="s">
        <v>43</v>
      </c>
      <c r="H4713" s="2" t="s">
        <v>21</v>
      </c>
      <c r="I4713" s="2" t="s">
        <v>9399</v>
      </c>
      <c r="J4713" s="3" t="str">
        <f>HYPERLINK("https://www.boe.es/gazeta/dias/1820/10/16/pdfs/GGB-1820-110.pdf#page=2","Abrir facsímil")</f>
        <v>Abrir facsímil</v>
      </c>
      <c r="K4713" s="3" t="s">
        <v>23</v>
      </c>
    </row>
    <row r="4714" spans="1:11" ht="42" customHeight="1">
      <c r="A4714" s="2" t="s">
        <v>9393</v>
      </c>
      <c r="B4714" s="2" t="s">
        <v>9393</v>
      </c>
      <c r="C4714" s="2" t="s">
        <v>35</v>
      </c>
      <c r="D4714" s="2" t="s">
        <v>36</v>
      </c>
      <c r="E4714" s="5">
        <v>-28878</v>
      </c>
      <c r="F4714" s="3" t="s">
        <v>866</v>
      </c>
      <c r="G4714" s="3" t="s">
        <v>128</v>
      </c>
      <c r="H4714" s="2" t="s">
        <v>21</v>
      </c>
      <c r="I4714" s="2" t="s">
        <v>9400</v>
      </c>
      <c r="J4714" s="3" t="str">
        <f>HYPERLINK("https://www.boe.es/gazeta/dias/1820/12/06/pdfs/GGB-1820-163.pdf#page=1","Abrir facsímil")</f>
        <v>Abrir facsímil</v>
      </c>
      <c r="K4714" s="3" t="s">
        <v>23</v>
      </c>
    </row>
    <row r="4715" spans="1:11" ht="42" customHeight="1">
      <c r="A4715" s="2" t="s">
        <v>9401</v>
      </c>
      <c r="B4715" s="2" t="s">
        <v>9402</v>
      </c>
      <c r="C4715" s="2" t="s">
        <v>26</v>
      </c>
      <c r="D4715" s="2" t="s">
        <v>27</v>
      </c>
      <c r="E4715" s="5">
        <v>-29206</v>
      </c>
      <c r="F4715" s="3" t="s">
        <v>897</v>
      </c>
      <c r="G4715" s="3" t="s">
        <v>201</v>
      </c>
      <c r="H4715" s="2" t="s">
        <v>21</v>
      </c>
      <c r="I4715" s="2" t="s">
        <v>9403</v>
      </c>
      <c r="J4715" s="3" t="str">
        <f>HYPERLINK("https://www.boe.es/gazeta/dias/1820/01/13/pdfs/GMD-1820-6.pdf#page=7","Abrir facsímil")</f>
        <v>Abrir facsímil</v>
      </c>
      <c r="K4715" s="3" t="s">
        <v>23</v>
      </c>
    </row>
    <row r="4716" spans="1:11" ht="42" customHeight="1">
      <c r="A4716" s="2" t="s">
        <v>9404</v>
      </c>
      <c r="B4716" s="2" t="s">
        <v>9405</v>
      </c>
      <c r="C4716" s="2" t="s">
        <v>17</v>
      </c>
      <c r="D4716" s="2" t="s">
        <v>18</v>
      </c>
      <c r="E4716" s="5">
        <v>-28901</v>
      </c>
      <c r="F4716" s="3" t="s">
        <v>1492</v>
      </c>
      <c r="G4716" s="3" t="s">
        <v>20</v>
      </c>
      <c r="H4716" s="2" t="s">
        <v>21</v>
      </c>
      <c r="I4716" s="2" t="s">
        <v>9406</v>
      </c>
      <c r="J4716" s="3" t="str">
        <f>HYPERLINK("https://www.boe.es/gazeta/dias/1820/11/13/pdfs/GGB-1820-139.pdf#page=4","Abrir facsímil")</f>
        <v>Abrir facsímil</v>
      </c>
      <c r="K4716" s="3" t="s">
        <v>23</v>
      </c>
    </row>
    <row r="4717" spans="1:11" ht="42" customHeight="1">
      <c r="A4717" s="2" t="s">
        <v>9407</v>
      </c>
      <c r="B4717" s="2" t="s">
        <v>9408</v>
      </c>
      <c r="C4717" s="2" t="s">
        <v>74</v>
      </c>
      <c r="D4717" s="2" t="s">
        <v>18</v>
      </c>
      <c r="E4717" s="5">
        <v>-28967</v>
      </c>
      <c r="F4717" s="3" t="s">
        <v>238</v>
      </c>
      <c r="G4717" s="3" t="s">
        <v>38</v>
      </c>
      <c r="H4717" s="2" t="s">
        <v>21</v>
      </c>
      <c r="I4717" s="2" t="s">
        <v>9409</v>
      </c>
      <c r="J4717" s="3" t="str">
        <f>HYPERLINK("https://www.boe.es/gazeta/dias/1820/09/08/pdfs/GGB-1820-72.pdf#page=6","Abrir facsímil")</f>
        <v>Abrir facsímil</v>
      </c>
      <c r="K4717" s="3" t="s">
        <v>23</v>
      </c>
    </row>
    <row r="4718" spans="1:11" ht="42" customHeight="1">
      <c r="A4718" s="2" t="s">
        <v>9410</v>
      </c>
      <c r="B4718" s="2" t="s">
        <v>9411</v>
      </c>
      <c r="C4718" s="2" t="s">
        <v>26</v>
      </c>
      <c r="D4718" s="2" t="s">
        <v>27</v>
      </c>
      <c r="E4718" s="5">
        <v>-28987</v>
      </c>
      <c r="F4718" s="3" t="s">
        <v>680</v>
      </c>
      <c r="G4718" s="3" t="s">
        <v>20</v>
      </c>
      <c r="H4718" s="2" t="s">
        <v>30</v>
      </c>
      <c r="I4718" s="2" t="s">
        <v>9412</v>
      </c>
      <c r="J4718" s="3" t="str">
        <f>HYPERLINK("https://www.boe.es/gazeta/dias/1820/08/19/pdfs/GGB-1820-52.pdf#page=4","Abrir facsímil")</f>
        <v>Abrir facsímil</v>
      </c>
      <c r="K4718" s="3" t="s">
        <v>32</v>
      </c>
    </row>
    <row r="4719" spans="1:11" ht="42" customHeight="1">
      <c r="A4719" s="2" t="s">
        <v>9413</v>
      </c>
      <c r="B4719" s="2" t="s">
        <v>9414</v>
      </c>
      <c r="C4719" s="2" t="s">
        <v>17</v>
      </c>
      <c r="D4719" s="2" t="s">
        <v>18</v>
      </c>
      <c r="E4719" s="5">
        <v>-28950</v>
      </c>
      <c r="F4719" s="3" t="s">
        <v>1052</v>
      </c>
      <c r="G4719" s="3" t="s">
        <v>1372</v>
      </c>
      <c r="H4719" s="2" t="s">
        <v>21</v>
      </c>
      <c r="I4719" s="2" t="s">
        <v>9415</v>
      </c>
      <c r="J4719" s="3" t="str">
        <f>HYPERLINK("https://www.boe.es/gazeta/dias/1820/09/25/pdfs/GGB-1820-89.pdf#page=2","Abrir facsímil")</f>
        <v>Abrir facsímil</v>
      </c>
      <c r="K4719" s="3" t="s">
        <v>23</v>
      </c>
    </row>
    <row r="4720" spans="1:11" ht="42" customHeight="1">
      <c r="A4720" s="2" t="s">
        <v>9416</v>
      </c>
      <c r="B4720" s="2" t="s">
        <v>9417</v>
      </c>
      <c r="C4720" s="2" t="s">
        <v>35</v>
      </c>
      <c r="D4720" s="2" t="s">
        <v>36</v>
      </c>
      <c r="E4720" s="5">
        <v>-29145</v>
      </c>
      <c r="F4720" s="3" t="s">
        <v>3537</v>
      </c>
      <c r="G4720" s="3" t="s">
        <v>295</v>
      </c>
      <c r="H4720" s="2" t="s">
        <v>30</v>
      </c>
      <c r="I4720" s="2" t="s">
        <v>9418</v>
      </c>
      <c r="J4720" s="3" t="str">
        <f>HYPERLINK("https://www.boe.es/gazeta/dias/1820/03/14/pdfs/GMD-1820-39.pdf#page=8","Abrir facsímil")</f>
        <v>Abrir facsímil</v>
      </c>
      <c r="K4720" s="3" t="s">
        <v>32</v>
      </c>
    </row>
    <row r="4721" spans="1:11" ht="42" customHeight="1">
      <c r="A4721" s="2" t="s">
        <v>9419</v>
      </c>
      <c r="B4721" s="2" t="s">
        <v>9420</v>
      </c>
      <c r="C4721" s="2" t="s">
        <v>74</v>
      </c>
      <c r="D4721" s="2" t="s">
        <v>18</v>
      </c>
      <c r="E4721" s="5">
        <v>-29171</v>
      </c>
      <c r="F4721" s="3" t="s">
        <v>764</v>
      </c>
      <c r="G4721" s="3" t="s">
        <v>295</v>
      </c>
      <c r="H4721" s="2" t="s">
        <v>21</v>
      </c>
      <c r="I4721" s="2" t="s">
        <v>9421</v>
      </c>
      <c r="J4721" s="3" t="str">
        <f>HYPERLINK("https://www.boe.es/gazeta/dias/1820/02/17/pdfs/GMD-1820-21.pdf#page=8","Abrir facsímil")</f>
        <v>Abrir facsímil</v>
      </c>
      <c r="K4721" s="3" t="s">
        <v>23</v>
      </c>
    </row>
    <row r="4722" spans="1:11" ht="42" customHeight="1">
      <c r="A4722" s="2" t="s">
        <v>9422</v>
      </c>
      <c r="B4722" s="2" t="s">
        <v>9423</v>
      </c>
      <c r="C4722" s="2" t="s">
        <v>26</v>
      </c>
      <c r="D4722" s="2" t="s">
        <v>27</v>
      </c>
      <c r="E4722" s="5">
        <v>-29068</v>
      </c>
      <c r="F4722" s="3" t="s">
        <v>943</v>
      </c>
      <c r="G4722" s="3" t="s">
        <v>38</v>
      </c>
      <c r="H4722" s="2" t="s">
        <v>21</v>
      </c>
      <c r="I4722" s="2" t="s">
        <v>9424</v>
      </c>
      <c r="J4722" s="3" t="str">
        <f>HYPERLINK("https://www.boe.es/gazeta/dias/1820/05/30/pdfs/GMD-1820-87.pdf#page=6","Abrir facsímil")</f>
        <v>Abrir facsímil</v>
      </c>
      <c r="K4722" s="3" t="s">
        <v>23</v>
      </c>
    </row>
    <row r="4723" spans="1:11" ht="42" customHeight="1">
      <c r="A4723" s="2" t="s">
        <v>9425</v>
      </c>
      <c r="B4723" s="2" t="s">
        <v>9425</v>
      </c>
      <c r="C4723" s="2" t="s">
        <v>47</v>
      </c>
      <c r="D4723" s="2" t="s">
        <v>18</v>
      </c>
      <c r="E4723" s="5">
        <v>-28861</v>
      </c>
      <c r="F4723" s="3" t="s">
        <v>894</v>
      </c>
      <c r="G4723" s="3" t="s">
        <v>20</v>
      </c>
      <c r="H4723" s="2" t="s">
        <v>21</v>
      </c>
      <c r="I4723" s="2" t="s">
        <v>9426</v>
      </c>
      <c r="J4723" s="3" t="str">
        <f>HYPERLINK("https://www.boe.es/gazeta/dias/1820/12/23/pdfs/GGB-1820-180.pdf#page=4","Abrir facsímil")</f>
        <v>Abrir facsímil</v>
      </c>
      <c r="K4723" s="3" t="s">
        <v>23</v>
      </c>
    </row>
    <row r="4724" spans="1:11" ht="42" customHeight="1">
      <c r="A4724" s="2" t="s">
        <v>9427</v>
      </c>
      <c r="B4724" s="2" t="s">
        <v>9428</v>
      </c>
      <c r="C4724" s="2" t="s">
        <v>26</v>
      </c>
      <c r="D4724" s="2" t="s">
        <v>27</v>
      </c>
      <c r="E4724" s="5">
        <v>-29028</v>
      </c>
      <c r="F4724" s="3" t="s">
        <v>132</v>
      </c>
      <c r="G4724" s="3" t="s">
        <v>20</v>
      </c>
      <c r="H4724" s="2" t="s">
        <v>21</v>
      </c>
      <c r="I4724" s="2" t="s">
        <v>9429</v>
      </c>
      <c r="J4724" s="3" t="str">
        <f>HYPERLINK("https://www.boe.es/gazeta/dias/1820/07/09/pdfs/GGB-1820-10.pdf#page=4","Abrir facsímil")</f>
        <v>Abrir facsímil</v>
      </c>
      <c r="K4724" s="3" t="s">
        <v>23</v>
      </c>
    </row>
    <row r="4725" spans="1:11" ht="42" customHeight="1">
      <c r="A4725" s="2" t="s">
        <v>9430</v>
      </c>
      <c r="B4725" s="2" t="s">
        <v>9431</v>
      </c>
      <c r="C4725" s="2" t="s">
        <v>17</v>
      </c>
      <c r="D4725" s="2" t="s">
        <v>18</v>
      </c>
      <c r="E4725" s="5">
        <v>-28858</v>
      </c>
      <c r="F4725" s="3" t="s">
        <v>117</v>
      </c>
      <c r="G4725" s="3" t="s">
        <v>20</v>
      </c>
      <c r="H4725" s="2" t="s">
        <v>21</v>
      </c>
      <c r="I4725" s="2" t="s">
        <v>9432</v>
      </c>
      <c r="J4725" s="3" t="str">
        <f>HYPERLINK("https://www.boe.es/gazeta/dias/1820/12/26/pdfs/GGB-1820-183.pdf#page=4","Abrir facsímil")</f>
        <v>Abrir facsímil</v>
      </c>
      <c r="K4725" s="3" t="s">
        <v>23</v>
      </c>
    </row>
    <row r="4726" spans="1:11" ht="42" customHeight="1">
      <c r="A4726" s="2" t="s">
        <v>9433</v>
      </c>
      <c r="B4726" s="2" t="s">
        <v>9433</v>
      </c>
      <c r="C4726" s="2" t="s">
        <v>26</v>
      </c>
      <c r="D4726" s="2" t="s">
        <v>27</v>
      </c>
      <c r="E4726" s="5">
        <v>-29007</v>
      </c>
      <c r="F4726" s="3" t="s">
        <v>251</v>
      </c>
      <c r="G4726" s="3" t="s">
        <v>43</v>
      </c>
      <c r="H4726" s="2" t="s">
        <v>21</v>
      </c>
      <c r="I4726" s="2" t="s">
        <v>9434</v>
      </c>
      <c r="J4726" s="3" t="str">
        <f>HYPERLINK("https://www.boe.es/gazeta/dias/1820/07/30/pdfs/GGB-1820-32.pdf#page=2","Abrir facsímil")</f>
        <v>Abrir facsímil</v>
      </c>
      <c r="K4726" s="3" t="s">
        <v>23</v>
      </c>
    </row>
    <row r="4727" spans="1:11" ht="42" customHeight="1">
      <c r="A4727" s="2" t="s">
        <v>9433</v>
      </c>
      <c r="B4727" s="2" t="s">
        <v>9433</v>
      </c>
      <c r="C4727" s="2" t="s">
        <v>26</v>
      </c>
      <c r="D4727" s="2" t="s">
        <v>27</v>
      </c>
      <c r="E4727" s="5">
        <v>-28890</v>
      </c>
      <c r="F4727" s="3" t="s">
        <v>248</v>
      </c>
      <c r="G4727" s="3" t="s">
        <v>20</v>
      </c>
      <c r="H4727" s="2" t="s">
        <v>21</v>
      </c>
      <c r="I4727" s="2" t="s">
        <v>9435</v>
      </c>
      <c r="J4727" s="3" t="str">
        <f>HYPERLINK("https://www.boe.es/gazeta/dias/1820/11/24/pdfs/GGB-1820-151.pdf#page=4","Abrir facsímil")</f>
        <v>Abrir facsímil</v>
      </c>
      <c r="K4727" s="3" t="s">
        <v>23</v>
      </c>
    </row>
    <row r="4728" spans="1:11" ht="42" customHeight="1">
      <c r="A4728" s="2" t="s">
        <v>9433</v>
      </c>
      <c r="B4728" s="2" t="s">
        <v>9433</v>
      </c>
      <c r="C4728" s="2" t="s">
        <v>26</v>
      </c>
      <c r="D4728" s="2" t="s">
        <v>27</v>
      </c>
      <c r="E4728" s="5">
        <v>-28883</v>
      </c>
      <c r="F4728" s="3" t="s">
        <v>306</v>
      </c>
      <c r="G4728" s="3" t="s">
        <v>62</v>
      </c>
      <c r="H4728" s="2" t="s">
        <v>21</v>
      </c>
      <c r="I4728" s="2" t="s">
        <v>9436</v>
      </c>
      <c r="J4728" s="3" t="str">
        <f>HYPERLINK("https://www.boe.es/gazeta/dias/1820/12/01/pdfs/GGB-1820-158.pdf#page=3","Abrir facsímil")</f>
        <v>Abrir facsímil</v>
      </c>
      <c r="K4728" s="3" t="s">
        <v>23</v>
      </c>
    </row>
    <row r="4729" spans="1:11" ht="42" customHeight="1">
      <c r="A4729" s="2" t="s">
        <v>9433</v>
      </c>
      <c r="B4729" s="2" t="s">
        <v>9433</v>
      </c>
      <c r="C4729" s="2" t="s">
        <v>26</v>
      </c>
      <c r="D4729" s="2" t="s">
        <v>27</v>
      </c>
      <c r="E4729" s="5">
        <v>-28877</v>
      </c>
      <c r="F4729" s="3" t="s">
        <v>5611</v>
      </c>
      <c r="G4729" s="3" t="s">
        <v>62</v>
      </c>
      <c r="H4729" s="2" t="s">
        <v>21</v>
      </c>
      <c r="I4729" s="2" t="s">
        <v>9437</v>
      </c>
      <c r="J4729" s="3" t="str">
        <f>HYPERLINK("https://www.boe.es/gazeta/dias/1820/12/07/pdfs/GGB-1820-164.pdf#page=3","Abrir facsímil")</f>
        <v>Abrir facsímil</v>
      </c>
      <c r="K4729" s="3" t="s">
        <v>23</v>
      </c>
    </row>
    <row r="4730" spans="1:11" ht="42" customHeight="1">
      <c r="A4730" s="2" t="s">
        <v>9438</v>
      </c>
      <c r="B4730" s="2" t="s">
        <v>9439</v>
      </c>
      <c r="C4730" s="2" t="s">
        <v>26</v>
      </c>
      <c r="D4730" s="2" t="s">
        <v>27</v>
      </c>
      <c r="E4730" s="5">
        <v>-29206</v>
      </c>
      <c r="F4730" s="3" t="s">
        <v>897</v>
      </c>
      <c r="G4730" s="3" t="s">
        <v>1156</v>
      </c>
      <c r="H4730" s="2" t="s">
        <v>21</v>
      </c>
      <c r="I4730" s="2" t="s">
        <v>9440</v>
      </c>
      <c r="J4730" s="3" t="str">
        <f>HYPERLINK("https://www.boe.es/gazeta/dias/1820/01/13/pdfs/GMD-1820-6.pdf#page=5","Abrir facsímil")</f>
        <v>Abrir facsímil</v>
      </c>
      <c r="K4730" s="3" t="s">
        <v>23</v>
      </c>
    </row>
    <row r="4731" spans="1:11" ht="42" customHeight="1">
      <c r="A4731" s="2" t="s">
        <v>9438</v>
      </c>
      <c r="B4731" s="2" t="s">
        <v>9439</v>
      </c>
      <c r="C4731" s="2" t="s">
        <v>26</v>
      </c>
      <c r="D4731" s="2" t="s">
        <v>27</v>
      </c>
      <c r="E4731" s="5">
        <v>-29206</v>
      </c>
      <c r="F4731" s="3" t="s">
        <v>897</v>
      </c>
      <c r="G4731" s="3" t="s">
        <v>20</v>
      </c>
      <c r="H4731" s="2" t="s">
        <v>21</v>
      </c>
      <c r="I4731" s="2" t="s">
        <v>9441</v>
      </c>
      <c r="J4731" s="3" t="str">
        <f>HYPERLINK("https://www.boe.es/gazeta/dias/1820/01/13/pdfs/GMD-1820-6.pdf#page=4","Abrir facsímil")</f>
        <v>Abrir facsímil</v>
      </c>
      <c r="K4731" s="3" t="s">
        <v>23</v>
      </c>
    </row>
    <row r="4732" spans="1:11" ht="42" customHeight="1">
      <c r="A4732" s="2" t="s">
        <v>9438</v>
      </c>
      <c r="B4732" s="2" t="s">
        <v>9439</v>
      </c>
      <c r="C4732" s="2" t="s">
        <v>26</v>
      </c>
      <c r="D4732" s="2" t="s">
        <v>27</v>
      </c>
      <c r="E4732" s="5">
        <v>-29023</v>
      </c>
      <c r="F4732" s="3" t="s">
        <v>1662</v>
      </c>
      <c r="G4732" s="3" t="s">
        <v>3662</v>
      </c>
      <c r="H4732" s="2" t="s">
        <v>21</v>
      </c>
      <c r="I4732" s="2" t="s">
        <v>9442</v>
      </c>
      <c r="J4732" s="3" t="str">
        <f>HYPERLINK("https://www.boe.es/gazeta/dias/1820/07/14/pdfs/GGB-1820-16.pdf#page=2","Abrir facsímil")</f>
        <v>Abrir facsímil</v>
      </c>
      <c r="K4732" s="3" t="s">
        <v>23</v>
      </c>
    </row>
    <row r="4733" spans="1:11" ht="42" customHeight="1">
      <c r="A4733" s="2" t="s">
        <v>9438</v>
      </c>
      <c r="B4733" s="2" t="s">
        <v>9439</v>
      </c>
      <c r="C4733" s="2" t="s">
        <v>26</v>
      </c>
      <c r="D4733" s="2" t="s">
        <v>27</v>
      </c>
      <c r="E4733" s="5">
        <v>-28968</v>
      </c>
      <c r="F4733" s="3" t="s">
        <v>66</v>
      </c>
      <c r="G4733" s="3" t="s">
        <v>6322</v>
      </c>
      <c r="H4733" s="2" t="s">
        <v>21</v>
      </c>
      <c r="I4733" s="2" t="s">
        <v>9443</v>
      </c>
      <c r="J4733" s="3" t="str">
        <f>HYPERLINK("https://www.boe.es/gazeta/dias/1820/09/07/pdfs/GGB-1820-71.pdf#page=2","Abrir facsímil")</f>
        <v>Abrir facsímil</v>
      </c>
      <c r="K4733" s="3" t="s">
        <v>23</v>
      </c>
    </row>
    <row r="4734" spans="1:11" ht="42" customHeight="1">
      <c r="A4734" s="2" t="s">
        <v>9438</v>
      </c>
      <c r="B4734" s="2" t="s">
        <v>9439</v>
      </c>
      <c r="C4734" s="2" t="s">
        <v>26</v>
      </c>
      <c r="D4734" s="2" t="s">
        <v>27</v>
      </c>
      <c r="E4734" s="5">
        <v>-28882</v>
      </c>
      <c r="F4734" s="3" t="s">
        <v>1245</v>
      </c>
      <c r="G4734" s="3" t="s">
        <v>1246</v>
      </c>
      <c r="H4734" s="2" t="s">
        <v>21</v>
      </c>
      <c r="I4734" s="2" t="s">
        <v>9444</v>
      </c>
      <c r="J4734" s="3" t="str">
        <f>HYPERLINK("https://www.boe.es/gazeta/dias/1820/12/02/pdfs/GGB-1820-159.pdf#page=3","Abrir facsímil")</f>
        <v>Abrir facsímil</v>
      </c>
      <c r="K4734" s="3" t="s">
        <v>23</v>
      </c>
    </row>
    <row r="4735" spans="1:11" ht="42" customHeight="1">
      <c r="A4735" s="2" t="s">
        <v>9445</v>
      </c>
      <c r="B4735" s="2" t="s">
        <v>9445</v>
      </c>
      <c r="C4735" s="2" t="s">
        <v>35</v>
      </c>
      <c r="D4735" s="2" t="s">
        <v>36</v>
      </c>
      <c r="E4735" s="5">
        <v>-28996</v>
      </c>
      <c r="F4735" s="3" t="s">
        <v>636</v>
      </c>
      <c r="G4735" s="3" t="s">
        <v>128</v>
      </c>
      <c r="H4735" s="2" t="s">
        <v>21</v>
      </c>
      <c r="I4735" s="2" t="s">
        <v>9446</v>
      </c>
      <c r="J4735" s="3" t="str">
        <f>HYPERLINK("https://www.boe.es/gazeta/dias/1820/08/10/pdfs/GGB-1820-43.pdf#page=1","Abrir facsímil")</f>
        <v>Abrir facsímil</v>
      </c>
      <c r="K4735" s="3" t="s">
        <v>23</v>
      </c>
    </row>
    <row r="4736" spans="1:11" ht="42" customHeight="1">
      <c r="A4736" s="2" t="s">
        <v>9447</v>
      </c>
      <c r="B4736" s="2" t="s">
        <v>9448</v>
      </c>
      <c r="C4736" s="2" t="s">
        <v>17</v>
      </c>
      <c r="D4736" s="2" t="s">
        <v>18</v>
      </c>
      <c r="E4736" s="5">
        <v>-28872</v>
      </c>
      <c r="F4736" s="3" t="s">
        <v>1939</v>
      </c>
      <c r="G4736" s="3" t="s">
        <v>43</v>
      </c>
      <c r="H4736" s="2" t="s">
        <v>21</v>
      </c>
      <c r="I4736" s="2" t="s">
        <v>9449</v>
      </c>
      <c r="J4736" s="3" t="str">
        <f>HYPERLINK("https://www.boe.es/gazeta/dias/1820/12/12/pdfs/GGB-1820-169.pdf#page=2","Abrir facsímil")</f>
        <v>Abrir facsímil</v>
      </c>
      <c r="K4736" s="3" t="s">
        <v>23</v>
      </c>
    </row>
    <row r="4737" spans="1:11" ht="42" customHeight="1">
      <c r="A4737" s="2" t="s">
        <v>9450</v>
      </c>
      <c r="B4737" s="2" t="s">
        <v>9451</v>
      </c>
      <c r="C4737" s="2" t="s">
        <v>17</v>
      </c>
      <c r="D4737" s="2" t="s">
        <v>18</v>
      </c>
      <c r="E4737" s="5">
        <v>-28966</v>
      </c>
      <c r="F4737" s="3" t="s">
        <v>701</v>
      </c>
      <c r="G4737" s="3" t="s">
        <v>20</v>
      </c>
      <c r="H4737" s="2" t="s">
        <v>21</v>
      </c>
      <c r="I4737" s="2" t="s">
        <v>9452</v>
      </c>
      <c r="J4737" s="3" t="str">
        <f>HYPERLINK("https://www.boe.es/gazeta/dias/1820/09/09/pdfs/GGB-1820-73.pdf#page=4","Abrir facsímil")</f>
        <v>Abrir facsímil</v>
      </c>
      <c r="K4737" s="3" t="s">
        <v>23</v>
      </c>
    </row>
    <row r="4738" spans="1:11" ht="42" customHeight="1">
      <c r="A4738" s="2" t="s">
        <v>9453</v>
      </c>
      <c r="B4738" s="2" t="s">
        <v>9454</v>
      </c>
      <c r="C4738" s="2" t="s">
        <v>47</v>
      </c>
      <c r="D4738" s="2" t="s">
        <v>18</v>
      </c>
      <c r="E4738" s="5">
        <v>-28859</v>
      </c>
      <c r="F4738" s="3" t="s">
        <v>265</v>
      </c>
      <c r="G4738" s="3" t="s">
        <v>62</v>
      </c>
      <c r="H4738" s="2" t="s">
        <v>21</v>
      </c>
      <c r="I4738" s="2" t="s">
        <v>9455</v>
      </c>
      <c r="J4738" s="3" t="str">
        <f>HYPERLINK("https://www.boe.es/gazeta/dias/1820/12/25/pdfs/GGB-1820-182.pdf#page=3","Abrir facsímil")</f>
        <v>Abrir facsímil</v>
      </c>
      <c r="K4738" s="3" t="s">
        <v>23</v>
      </c>
    </row>
    <row r="4739" spans="1:11" ht="42" customHeight="1">
      <c r="A4739" s="2" t="s">
        <v>9456</v>
      </c>
      <c r="B4739" s="2" t="s">
        <v>9456</v>
      </c>
      <c r="C4739" s="2" t="s">
        <v>293</v>
      </c>
      <c r="D4739" s="2" t="s">
        <v>18</v>
      </c>
      <c r="E4739" s="5">
        <v>-29025</v>
      </c>
      <c r="F4739" s="3" t="s">
        <v>902</v>
      </c>
      <c r="G4739" s="3" t="s">
        <v>20</v>
      </c>
      <c r="H4739" s="2" t="s">
        <v>21</v>
      </c>
      <c r="I4739" s="2" t="s">
        <v>9457</v>
      </c>
      <c r="J4739" s="3" t="str">
        <f>HYPERLINK("https://www.boe.es/gazeta/dias/1820/07/12/pdfs/GGB-1820-14.pdf#page=4","Abrir facsímil")</f>
        <v>Abrir facsímil</v>
      </c>
      <c r="K4739" s="3" t="s">
        <v>23</v>
      </c>
    </row>
    <row r="4740" spans="1:11" ht="42" customHeight="1">
      <c r="A4740" s="2" t="s">
        <v>9458</v>
      </c>
      <c r="B4740" s="2" t="s">
        <v>9458</v>
      </c>
      <c r="C4740" s="2" t="s">
        <v>35</v>
      </c>
      <c r="D4740" s="2" t="s">
        <v>36</v>
      </c>
      <c r="E4740" s="5">
        <v>-28970</v>
      </c>
      <c r="F4740" s="3" t="s">
        <v>693</v>
      </c>
      <c r="G4740" s="3" t="s">
        <v>62</v>
      </c>
      <c r="H4740" s="2" t="s">
        <v>21</v>
      </c>
      <c r="I4740" s="2" t="s">
        <v>9459</v>
      </c>
      <c r="J4740" s="3" t="str">
        <f>HYPERLINK("https://www.boe.es/gazeta/dias/1820/09/05/pdfs/GGB-1820-69.pdf#page=3","Abrir facsímil")</f>
        <v>Abrir facsímil</v>
      </c>
      <c r="K4740" s="3" t="s">
        <v>23</v>
      </c>
    </row>
    <row r="4741" spans="1:11" ht="42" customHeight="1">
      <c r="A4741" s="2" t="s">
        <v>9458</v>
      </c>
      <c r="B4741" s="2" t="s">
        <v>9458</v>
      </c>
      <c r="C4741" s="2" t="s">
        <v>74</v>
      </c>
      <c r="D4741" s="2" t="s">
        <v>18</v>
      </c>
      <c r="E4741" s="5">
        <v>-28957</v>
      </c>
      <c r="F4741" s="3" t="s">
        <v>361</v>
      </c>
      <c r="G4741" s="3" t="s">
        <v>708</v>
      </c>
      <c r="H4741" s="2" t="s">
        <v>21</v>
      </c>
      <c r="I4741" s="2" t="s">
        <v>9460</v>
      </c>
      <c r="J4741" s="3" t="str">
        <f>HYPERLINK("https://www.boe.es/gazeta/dias/1820/09/18/pdfs/GGB-1820-82.pdf#page=4","Abrir facsímil")</f>
        <v>Abrir facsímil</v>
      </c>
      <c r="K4741" s="3" t="s">
        <v>23</v>
      </c>
    </row>
    <row r="4742" spans="1:11" ht="42" customHeight="1">
      <c r="A4742" s="2" t="s">
        <v>9461</v>
      </c>
      <c r="B4742" s="2" t="s">
        <v>9461</v>
      </c>
      <c r="C4742" s="2" t="s">
        <v>35</v>
      </c>
      <c r="D4742" s="2" t="s">
        <v>36</v>
      </c>
      <c r="E4742" s="5">
        <v>-29020</v>
      </c>
      <c r="F4742" s="3" t="s">
        <v>756</v>
      </c>
      <c r="G4742" s="3" t="s">
        <v>62</v>
      </c>
      <c r="H4742" s="2" t="s">
        <v>21</v>
      </c>
      <c r="I4742" s="2" t="s">
        <v>9462</v>
      </c>
      <c r="J4742" s="3" t="str">
        <f>HYPERLINK("https://www.boe.es/gazeta/dias/1820/07/17/pdfs/GGB-1820-19.pdf#page=3","Abrir facsímil")</f>
        <v>Abrir facsímil</v>
      </c>
      <c r="K4742" s="3" t="s">
        <v>23</v>
      </c>
    </row>
    <row r="4743" spans="1:11" ht="42" customHeight="1">
      <c r="A4743" s="2" t="s">
        <v>9461</v>
      </c>
      <c r="B4743" s="2" t="s">
        <v>9461</v>
      </c>
      <c r="C4743" s="2" t="s">
        <v>17</v>
      </c>
      <c r="D4743" s="2" t="s">
        <v>18</v>
      </c>
      <c r="E4743" s="5">
        <v>-28967</v>
      </c>
      <c r="F4743" s="3" t="s">
        <v>238</v>
      </c>
      <c r="G4743" s="3" t="s">
        <v>256</v>
      </c>
      <c r="H4743" s="2" t="s">
        <v>21</v>
      </c>
      <c r="I4743" s="2" t="s">
        <v>9463</v>
      </c>
      <c r="J4743" s="3" t="str">
        <f>HYPERLINK("https://www.boe.es/gazeta/dias/1820/09/08/pdfs/GGB-1820-72.pdf#page=5","Abrir facsímil")</f>
        <v>Abrir facsímil</v>
      </c>
      <c r="K4743" s="3" t="s">
        <v>23</v>
      </c>
    </row>
    <row r="4744" spans="1:11" ht="42" customHeight="1">
      <c r="A4744" s="2" t="s">
        <v>9464</v>
      </c>
      <c r="B4744" s="2" t="s">
        <v>9465</v>
      </c>
      <c r="C4744" s="2" t="s">
        <v>35</v>
      </c>
      <c r="D4744" s="2" t="s">
        <v>36</v>
      </c>
      <c r="E4744" s="5">
        <v>-28908</v>
      </c>
      <c r="F4744" s="3" t="s">
        <v>1060</v>
      </c>
      <c r="G4744" s="3" t="s">
        <v>20</v>
      </c>
      <c r="H4744" s="2" t="s">
        <v>21</v>
      </c>
      <c r="I4744" s="2" t="s">
        <v>9466</v>
      </c>
      <c r="J4744" s="3" t="str">
        <f>HYPERLINK("https://www.boe.es/gazeta/dias/1820/11/06/pdfs/GGB-1820-131.pdf#page=4","Abrir facsímil")</f>
        <v>Abrir facsímil</v>
      </c>
      <c r="K4744" s="3" t="s">
        <v>23</v>
      </c>
    </row>
    <row r="4745" spans="1:11" ht="42" customHeight="1">
      <c r="A4745" s="2" t="s">
        <v>9467</v>
      </c>
      <c r="B4745" s="2" t="s">
        <v>9468</v>
      </c>
      <c r="C4745" s="2" t="s">
        <v>35</v>
      </c>
      <c r="D4745" s="2" t="s">
        <v>36</v>
      </c>
      <c r="E4745" s="5">
        <v>-28870</v>
      </c>
      <c r="F4745" s="3" t="s">
        <v>1014</v>
      </c>
      <c r="G4745" s="3" t="s">
        <v>20</v>
      </c>
      <c r="H4745" s="2" t="s">
        <v>21</v>
      </c>
      <c r="I4745" s="2" t="s">
        <v>9469</v>
      </c>
      <c r="J4745" s="3" t="str">
        <f>HYPERLINK("https://www.boe.es/gazeta/dias/1820/12/14/pdfs/GGB-1820-171.pdf#page=4","Abrir facsímil")</f>
        <v>Abrir facsímil</v>
      </c>
      <c r="K4745" s="3" t="s">
        <v>23</v>
      </c>
    </row>
    <row r="4746" spans="1:11" ht="42" customHeight="1">
      <c r="A4746" s="2" t="s">
        <v>9470</v>
      </c>
      <c r="B4746" s="2" t="s">
        <v>9470</v>
      </c>
      <c r="C4746" s="2" t="s">
        <v>26</v>
      </c>
      <c r="D4746" s="2" t="s">
        <v>27</v>
      </c>
      <c r="E4746" s="5">
        <v>-28983</v>
      </c>
      <c r="F4746" s="3" t="s">
        <v>682</v>
      </c>
      <c r="G4746" s="3" t="s">
        <v>20</v>
      </c>
      <c r="H4746" s="2" t="s">
        <v>21</v>
      </c>
      <c r="I4746" s="2" t="s">
        <v>9471</v>
      </c>
      <c r="J4746" s="3" t="str">
        <f>HYPERLINK("https://www.boe.es/gazeta/dias/1820/08/23/pdfs/GGB-1820-56.pdf#page=4","Abrir facsímil")</f>
        <v>Abrir facsímil</v>
      </c>
      <c r="K4746" s="3" t="s">
        <v>23</v>
      </c>
    </row>
    <row r="4747" spans="1:11" ht="42" customHeight="1">
      <c r="A4747" s="2" t="s">
        <v>9472</v>
      </c>
      <c r="B4747" s="2" t="s">
        <v>9472</v>
      </c>
      <c r="C4747" s="2" t="s">
        <v>35</v>
      </c>
      <c r="D4747" s="2" t="s">
        <v>36</v>
      </c>
      <c r="E4747" s="5">
        <v>-29025</v>
      </c>
      <c r="F4747" s="3" t="s">
        <v>902</v>
      </c>
      <c r="G4747" s="3" t="s">
        <v>62</v>
      </c>
      <c r="H4747" s="2" t="s">
        <v>21</v>
      </c>
      <c r="I4747" s="2" t="s">
        <v>9473</v>
      </c>
      <c r="J4747" s="3" t="str">
        <f>HYPERLINK("https://www.boe.es/gazeta/dias/1820/07/12/pdfs/GGB-1820-14.pdf#page=3","Abrir facsímil")</f>
        <v>Abrir facsímil</v>
      </c>
      <c r="K4747" s="3" t="s">
        <v>23</v>
      </c>
    </row>
    <row r="4748" spans="1:11" ht="42" customHeight="1">
      <c r="A4748" s="2" t="s">
        <v>9472</v>
      </c>
      <c r="B4748" s="2" t="s">
        <v>9472</v>
      </c>
      <c r="C4748" s="2" t="s">
        <v>74</v>
      </c>
      <c r="D4748" s="2" t="s">
        <v>18</v>
      </c>
      <c r="E4748" s="5">
        <v>-29021</v>
      </c>
      <c r="F4748" s="3" t="s">
        <v>377</v>
      </c>
      <c r="G4748" s="3" t="s">
        <v>62</v>
      </c>
      <c r="H4748" s="2" t="s">
        <v>21</v>
      </c>
      <c r="I4748" s="2" t="s">
        <v>9474</v>
      </c>
      <c r="J4748" s="3" t="str">
        <f>HYPERLINK("https://www.boe.es/gazeta/dias/1820/07/16/pdfs/GGB-1820-18.pdf#page=3","Abrir facsímil")</f>
        <v>Abrir facsímil</v>
      </c>
      <c r="K4748" s="3" t="s">
        <v>23</v>
      </c>
    </row>
    <row r="4749" spans="1:11" ht="42" customHeight="1">
      <c r="A4749" s="2" t="s">
        <v>9472</v>
      </c>
      <c r="B4749" s="2" t="s">
        <v>9472</v>
      </c>
      <c r="C4749" s="2" t="s">
        <v>17</v>
      </c>
      <c r="D4749" s="2" t="s">
        <v>18</v>
      </c>
      <c r="E4749" s="5">
        <v>-29019</v>
      </c>
      <c r="F4749" s="3" t="s">
        <v>655</v>
      </c>
      <c r="G4749" s="3" t="s">
        <v>945</v>
      </c>
      <c r="H4749" s="2" t="s">
        <v>21</v>
      </c>
      <c r="I4749" s="2" t="s">
        <v>9475</v>
      </c>
      <c r="J4749" s="3" t="str">
        <f>HYPERLINK("https://www.boe.es/gazeta/dias/1820/07/18/pdfs/GGB-1820-20.pdf#page=2","Abrir facsímil")</f>
        <v>Abrir facsímil</v>
      </c>
      <c r="K4749" s="3" t="s">
        <v>23</v>
      </c>
    </row>
    <row r="4750" spans="1:11" ht="42" customHeight="1">
      <c r="A4750" s="2" t="s">
        <v>9472</v>
      </c>
      <c r="B4750" s="2" t="s">
        <v>9472</v>
      </c>
      <c r="C4750" s="2" t="s">
        <v>35</v>
      </c>
      <c r="D4750" s="2" t="s">
        <v>36</v>
      </c>
      <c r="E4750" s="5">
        <v>-29015</v>
      </c>
      <c r="F4750" s="3" t="s">
        <v>359</v>
      </c>
      <c r="G4750" s="3" t="s">
        <v>62</v>
      </c>
      <c r="H4750" s="2" t="s">
        <v>21</v>
      </c>
      <c r="I4750" s="2" t="s">
        <v>9476</v>
      </c>
      <c r="J4750" s="3" t="str">
        <f>HYPERLINK("https://www.boe.es/gazeta/dias/1820/07/22/pdfs/GGB-1820-24.pdf#page=3","Abrir facsímil")</f>
        <v>Abrir facsímil</v>
      </c>
      <c r="K4750" s="3" t="s">
        <v>23</v>
      </c>
    </row>
    <row r="4751" spans="1:11" ht="42" customHeight="1">
      <c r="A4751" s="2" t="s">
        <v>9472</v>
      </c>
      <c r="B4751" s="2" t="s">
        <v>9472</v>
      </c>
      <c r="C4751" s="2" t="s">
        <v>74</v>
      </c>
      <c r="D4751" s="2" t="s">
        <v>18</v>
      </c>
      <c r="E4751" s="5">
        <v>-29009</v>
      </c>
      <c r="F4751" s="3" t="s">
        <v>605</v>
      </c>
      <c r="G4751" s="3" t="s">
        <v>43</v>
      </c>
      <c r="H4751" s="2" t="s">
        <v>21</v>
      </c>
      <c r="I4751" s="2" t="s">
        <v>9477</v>
      </c>
      <c r="J4751" s="3" t="str">
        <f>HYPERLINK("https://www.boe.es/gazeta/dias/1820/07/28/pdfs/GGB-1820-30.pdf#page=2","Abrir facsímil")</f>
        <v>Abrir facsímil</v>
      </c>
      <c r="K4751" s="3" t="s">
        <v>23</v>
      </c>
    </row>
    <row r="4752" spans="1:11" ht="42" customHeight="1">
      <c r="A4752" s="2" t="s">
        <v>9472</v>
      </c>
      <c r="B4752" s="2" t="s">
        <v>9472</v>
      </c>
      <c r="C4752" s="2" t="s">
        <v>47</v>
      </c>
      <c r="D4752" s="2" t="s">
        <v>18</v>
      </c>
      <c r="E4752" s="5">
        <v>-29009</v>
      </c>
      <c r="F4752" s="3" t="s">
        <v>605</v>
      </c>
      <c r="G4752" s="3" t="s">
        <v>62</v>
      </c>
      <c r="H4752" s="2" t="s">
        <v>21</v>
      </c>
      <c r="I4752" s="2" t="s">
        <v>9478</v>
      </c>
      <c r="J4752" s="3" t="str">
        <f>HYPERLINK("https://www.boe.es/gazeta/dias/1820/07/28/pdfs/GGB-1820-30.pdf#page=3","Abrir facsímil")</f>
        <v>Abrir facsímil</v>
      </c>
      <c r="K4752" s="3" t="s">
        <v>23</v>
      </c>
    </row>
    <row r="4753" spans="1:11" ht="42" customHeight="1">
      <c r="A4753" s="2" t="s">
        <v>9472</v>
      </c>
      <c r="B4753" s="2" t="s">
        <v>9472</v>
      </c>
      <c r="C4753" s="2" t="s">
        <v>35</v>
      </c>
      <c r="D4753" s="2" t="s">
        <v>36</v>
      </c>
      <c r="E4753" s="5">
        <v>-29008</v>
      </c>
      <c r="F4753" s="3" t="s">
        <v>2250</v>
      </c>
      <c r="G4753" s="3" t="s">
        <v>20</v>
      </c>
      <c r="H4753" s="2" t="s">
        <v>21</v>
      </c>
      <c r="I4753" s="2" t="s">
        <v>9479</v>
      </c>
      <c r="J4753" s="3" t="str">
        <f>HYPERLINK("https://www.boe.es/gazeta/dias/1820/07/29/pdfs/GGB-1820-31.pdf#page=4","Abrir facsímil")</f>
        <v>Abrir facsímil</v>
      </c>
      <c r="K4753" s="3" t="s">
        <v>23</v>
      </c>
    </row>
    <row r="4754" spans="1:11" ht="42" customHeight="1">
      <c r="A4754" s="2" t="s">
        <v>9472</v>
      </c>
      <c r="B4754" s="2" t="s">
        <v>9472</v>
      </c>
      <c r="C4754" s="2" t="s">
        <v>26</v>
      </c>
      <c r="D4754" s="2" t="s">
        <v>27</v>
      </c>
      <c r="E4754" s="5">
        <v>-29001</v>
      </c>
      <c r="F4754" s="3" t="s">
        <v>633</v>
      </c>
      <c r="G4754" s="3" t="s">
        <v>43</v>
      </c>
      <c r="H4754" s="2" t="s">
        <v>21</v>
      </c>
      <c r="I4754" s="2" t="s">
        <v>9480</v>
      </c>
      <c r="J4754" s="3" t="str">
        <f>HYPERLINK("https://www.boe.es/gazeta/dias/1820/08/05/pdfs/GGB-1820-38.pdf#page=2","Abrir facsímil")</f>
        <v>Abrir facsímil</v>
      </c>
      <c r="K4754" s="3" t="s">
        <v>23</v>
      </c>
    </row>
    <row r="4755" spans="1:11" ht="42" customHeight="1">
      <c r="A4755" s="2" t="s">
        <v>9472</v>
      </c>
      <c r="B4755" s="2" t="s">
        <v>9472</v>
      </c>
      <c r="C4755" s="2" t="s">
        <v>17</v>
      </c>
      <c r="D4755" s="2" t="s">
        <v>18</v>
      </c>
      <c r="E4755" s="5">
        <v>-28996</v>
      </c>
      <c r="F4755" s="3" t="s">
        <v>636</v>
      </c>
      <c r="G4755" s="3" t="s">
        <v>1039</v>
      </c>
      <c r="H4755" s="2" t="s">
        <v>21</v>
      </c>
      <c r="I4755" s="2" t="s">
        <v>9481</v>
      </c>
      <c r="J4755" s="3" t="str">
        <f>HYPERLINK("https://www.boe.es/gazeta/dias/1820/08/10/pdfs/GGB-1820-43.pdf#page=2","Abrir facsímil")</f>
        <v>Abrir facsímil</v>
      </c>
      <c r="K4755" s="3" t="s">
        <v>23</v>
      </c>
    </row>
    <row r="4756" spans="1:11" ht="42" customHeight="1">
      <c r="A4756" s="2" t="s">
        <v>9472</v>
      </c>
      <c r="B4756" s="2" t="s">
        <v>9472</v>
      </c>
      <c r="C4756" s="2" t="s">
        <v>74</v>
      </c>
      <c r="D4756" s="2" t="s">
        <v>18</v>
      </c>
      <c r="E4756" s="5">
        <v>-28996</v>
      </c>
      <c r="F4756" s="3" t="s">
        <v>636</v>
      </c>
      <c r="G4756" s="3" t="s">
        <v>637</v>
      </c>
      <c r="H4756" s="2" t="s">
        <v>21</v>
      </c>
      <c r="I4756" s="2" t="s">
        <v>9482</v>
      </c>
      <c r="J4756" s="3" t="str">
        <f>HYPERLINK("https://www.boe.es/gazeta/dias/1820/08/10/pdfs/GGB-1820-43.pdf#page=3","Abrir facsímil")</f>
        <v>Abrir facsímil</v>
      </c>
      <c r="K4756" s="3" t="s">
        <v>23</v>
      </c>
    </row>
    <row r="4757" spans="1:11" ht="42" customHeight="1">
      <c r="A4757" s="2" t="s">
        <v>9472</v>
      </c>
      <c r="B4757" s="2" t="s">
        <v>9472</v>
      </c>
      <c r="C4757" s="2" t="s">
        <v>17</v>
      </c>
      <c r="D4757" s="2" t="s">
        <v>18</v>
      </c>
      <c r="E4757" s="5">
        <v>-28994</v>
      </c>
      <c r="F4757" s="3" t="s">
        <v>1612</v>
      </c>
      <c r="G4757" s="3" t="s">
        <v>62</v>
      </c>
      <c r="H4757" s="2" t="s">
        <v>21</v>
      </c>
      <c r="I4757" s="2" t="s">
        <v>9483</v>
      </c>
      <c r="J4757" s="3" t="str">
        <f>HYPERLINK("https://www.boe.es/gazeta/dias/1820/08/12/pdfs/GGB-1820-45.pdf#page=3","Abrir facsímil")</f>
        <v>Abrir facsímil</v>
      </c>
      <c r="K4757" s="3" t="s">
        <v>23</v>
      </c>
    </row>
    <row r="4758" spans="1:11" ht="42" customHeight="1">
      <c r="A4758" s="2" t="s">
        <v>9472</v>
      </c>
      <c r="B4758" s="2" t="s">
        <v>9472</v>
      </c>
      <c r="C4758" s="2" t="s">
        <v>17</v>
      </c>
      <c r="D4758" s="2" t="s">
        <v>18</v>
      </c>
      <c r="E4758" s="5">
        <v>-28993</v>
      </c>
      <c r="F4758" s="3" t="s">
        <v>465</v>
      </c>
      <c r="G4758" s="3" t="s">
        <v>62</v>
      </c>
      <c r="H4758" s="2" t="s">
        <v>21</v>
      </c>
      <c r="I4758" s="2" t="s">
        <v>9484</v>
      </c>
      <c r="J4758" s="3" t="str">
        <f>HYPERLINK("https://www.boe.es/gazeta/dias/1820/08/13/pdfs/GGB-1820-46.pdf#page=3","Abrir facsímil")</f>
        <v>Abrir facsímil</v>
      </c>
      <c r="K4758" s="3" t="s">
        <v>23</v>
      </c>
    </row>
    <row r="4759" spans="1:11" ht="42" customHeight="1">
      <c r="A4759" s="2" t="s">
        <v>9472</v>
      </c>
      <c r="B4759" s="2" t="s">
        <v>9472</v>
      </c>
      <c r="C4759" s="2" t="s">
        <v>26</v>
      </c>
      <c r="D4759" s="2" t="s">
        <v>27</v>
      </c>
      <c r="E4759" s="5">
        <v>-28989</v>
      </c>
      <c r="F4759" s="3" t="s">
        <v>809</v>
      </c>
      <c r="G4759" s="3" t="s">
        <v>43</v>
      </c>
      <c r="H4759" s="2" t="s">
        <v>21</v>
      </c>
      <c r="I4759" s="2" t="s">
        <v>9485</v>
      </c>
      <c r="J4759" s="3" t="str">
        <f>HYPERLINK("https://www.boe.es/gazeta/dias/1820/08/17/pdfs/GGB-1820-50.pdf#page=2","Abrir facsímil")</f>
        <v>Abrir facsímil</v>
      </c>
      <c r="K4759" s="3" t="s">
        <v>23</v>
      </c>
    </row>
    <row r="4760" spans="1:11" ht="42" customHeight="1">
      <c r="A4760" s="2" t="s">
        <v>9472</v>
      </c>
      <c r="B4760" s="2" t="s">
        <v>9472</v>
      </c>
      <c r="C4760" s="2" t="s">
        <v>26</v>
      </c>
      <c r="D4760" s="2" t="s">
        <v>27</v>
      </c>
      <c r="E4760" s="5">
        <v>-28975</v>
      </c>
      <c r="F4760" s="3" t="s">
        <v>182</v>
      </c>
      <c r="G4760" s="3" t="s">
        <v>62</v>
      </c>
      <c r="H4760" s="2" t="s">
        <v>21</v>
      </c>
      <c r="I4760" s="2" t="s">
        <v>9486</v>
      </c>
      <c r="J4760" s="3" t="str">
        <f>HYPERLINK("https://www.boe.es/gazeta/dias/1820/08/31/pdfs/GGB-1820-64.pdf#page=3","Abrir facsímil")</f>
        <v>Abrir facsímil</v>
      </c>
      <c r="K4760" s="3" t="s">
        <v>23</v>
      </c>
    </row>
    <row r="4761" spans="1:11" ht="42" customHeight="1">
      <c r="A4761" s="2" t="s">
        <v>9472</v>
      </c>
      <c r="B4761" s="2" t="s">
        <v>9472</v>
      </c>
      <c r="C4761" s="2" t="s">
        <v>47</v>
      </c>
      <c r="D4761" s="2" t="s">
        <v>18</v>
      </c>
      <c r="E4761" s="5">
        <v>-28973</v>
      </c>
      <c r="F4761" s="3" t="s">
        <v>151</v>
      </c>
      <c r="G4761" s="3" t="s">
        <v>43</v>
      </c>
      <c r="H4761" s="2" t="s">
        <v>21</v>
      </c>
      <c r="I4761" s="2" t="s">
        <v>9487</v>
      </c>
      <c r="J4761" s="3" t="str">
        <f>HYPERLINK("https://www.boe.es/gazeta/dias/1820/09/02/pdfs/GGB-1820-66.pdf#page=2","Abrir facsímil")</f>
        <v>Abrir facsímil</v>
      </c>
      <c r="K4761" s="3" t="s">
        <v>23</v>
      </c>
    </row>
    <row r="4762" spans="1:11" ht="42" customHeight="1">
      <c r="A4762" s="2" t="s">
        <v>9472</v>
      </c>
      <c r="B4762" s="2" t="s">
        <v>9472</v>
      </c>
      <c r="C4762" s="2" t="s">
        <v>17</v>
      </c>
      <c r="D4762" s="2" t="s">
        <v>18</v>
      </c>
      <c r="E4762" s="5">
        <v>-28970</v>
      </c>
      <c r="F4762" s="3" t="s">
        <v>693</v>
      </c>
      <c r="G4762" s="3" t="s">
        <v>1678</v>
      </c>
      <c r="H4762" s="2" t="s">
        <v>21</v>
      </c>
      <c r="I4762" s="2" t="s">
        <v>9488</v>
      </c>
      <c r="J4762" s="3" t="str">
        <f>HYPERLINK("https://www.boe.es/gazeta/dias/1820/09/05/pdfs/GGB-1820-69.pdf#page=4","Abrir facsímil")</f>
        <v>Abrir facsímil</v>
      </c>
      <c r="K4762" s="3" t="s">
        <v>23</v>
      </c>
    </row>
    <row r="4763" spans="1:11" ht="42" customHeight="1">
      <c r="A4763" s="2" t="s">
        <v>9472</v>
      </c>
      <c r="B4763" s="2" t="s">
        <v>9472</v>
      </c>
      <c r="C4763" s="2" t="s">
        <v>17</v>
      </c>
      <c r="D4763" s="2" t="s">
        <v>18</v>
      </c>
      <c r="E4763" s="5">
        <v>-28970</v>
      </c>
      <c r="F4763" s="3" t="s">
        <v>693</v>
      </c>
      <c r="G4763" s="3" t="s">
        <v>43</v>
      </c>
      <c r="H4763" s="2" t="s">
        <v>21</v>
      </c>
      <c r="I4763" s="2" t="s">
        <v>9489</v>
      </c>
      <c r="J4763" s="3" t="str">
        <f>HYPERLINK("https://www.boe.es/gazeta/dias/1820/09/05/pdfs/GGB-1820-69.pdf#page=2","Abrir facsímil")</f>
        <v>Abrir facsímil</v>
      </c>
      <c r="K4763" s="3" t="s">
        <v>23</v>
      </c>
    </row>
    <row r="4764" spans="1:11" ht="42" customHeight="1">
      <c r="A4764" s="2" t="s">
        <v>9472</v>
      </c>
      <c r="B4764" s="2" t="s">
        <v>9472</v>
      </c>
      <c r="C4764" s="2" t="s">
        <v>17</v>
      </c>
      <c r="D4764" s="2" t="s">
        <v>18</v>
      </c>
      <c r="E4764" s="5">
        <v>-28970</v>
      </c>
      <c r="F4764" s="3" t="s">
        <v>693</v>
      </c>
      <c r="G4764" s="3" t="s">
        <v>62</v>
      </c>
      <c r="H4764" s="2" t="s">
        <v>21</v>
      </c>
      <c r="I4764" s="2" t="s">
        <v>9490</v>
      </c>
      <c r="J4764" s="3" t="str">
        <f>HYPERLINK("https://www.boe.es/gazeta/dias/1820/09/05/pdfs/GGB-1820-69.pdf#page=3","Abrir facsímil")</f>
        <v>Abrir facsímil</v>
      </c>
      <c r="K4764" s="3" t="s">
        <v>23</v>
      </c>
    </row>
    <row r="4765" spans="1:11" ht="42" customHeight="1">
      <c r="A4765" s="2" t="s">
        <v>9472</v>
      </c>
      <c r="B4765" s="2" t="s">
        <v>9472</v>
      </c>
      <c r="C4765" s="2" t="s">
        <v>74</v>
      </c>
      <c r="D4765" s="2" t="s">
        <v>18</v>
      </c>
      <c r="E4765" s="5">
        <v>-28967</v>
      </c>
      <c r="F4765" s="3" t="s">
        <v>238</v>
      </c>
      <c r="G4765" s="3" t="s">
        <v>38</v>
      </c>
      <c r="H4765" s="2" t="s">
        <v>21</v>
      </c>
      <c r="I4765" s="2" t="s">
        <v>9491</v>
      </c>
      <c r="J4765" s="3" t="str">
        <f>HYPERLINK("https://www.boe.es/gazeta/dias/1820/09/08/pdfs/GGB-1820-72.pdf#page=6","Abrir facsímil")</f>
        <v>Abrir facsímil</v>
      </c>
      <c r="K4765" s="3" t="s">
        <v>23</v>
      </c>
    </row>
    <row r="4766" spans="1:11" ht="42" customHeight="1">
      <c r="A4766" s="2" t="s">
        <v>9472</v>
      </c>
      <c r="B4766" s="2" t="s">
        <v>9472</v>
      </c>
      <c r="C4766" s="2" t="s">
        <v>17</v>
      </c>
      <c r="D4766" s="2" t="s">
        <v>18</v>
      </c>
      <c r="E4766" s="5">
        <v>-28959</v>
      </c>
      <c r="F4766" s="3" t="s">
        <v>37</v>
      </c>
      <c r="G4766" s="3" t="s">
        <v>256</v>
      </c>
      <c r="H4766" s="2" t="s">
        <v>21</v>
      </c>
      <c r="I4766" s="2" t="s">
        <v>9492</v>
      </c>
      <c r="J4766" s="3" t="str">
        <f>HYPERLINK("https://www.boe.es/gazeta/dias/1820/09/16/pdfs/GGB-1820-80.pdf#page=5","Abrir facsímil")</f>
        <v>Abrir facsímil</v>
      </c>
      <c r="K4766" s="3" t="s">
        <v>23</v>
      </c>
    </row>
    <row r="4767" spans="1:11" ht="42" customHeight="1">
      <c r="A4767" s="2" t="s">
        <v>9472</v>
      </c>
      <c r="B4767" s="2" t="s">
        <v>9472</v>
      </c>
      <c r="C4767" s="2" t="s">
        <v>17</v>
      </c>
      <c r="D4767" s="2" t="s">
        <v>18</v>
      </c>
      <c r="E4767" s="5">
        <v>-28956</v>
      </c>
      <c r="F4767" s="3" t="s">
        <v>190</v>
      </c>
      <c r="G4767" s="3" t="s">
        <v>62</v>
      </c>
      <c r="H4767" s="2" t="s">
        <v>21</v>
      </c>
      <c r="I4767" s="2" t="s">
        <v>9493</v>
      </c>
      <c r="J4767" s="3" t="str">
        <f>HYPERLINK("https://www.boe.es/gazeta/dias/1820/09/19/pdfs/GGB-1820-83.pdf#page=3","Abrir facsímil")</f>
        <v>Abrir facsímil</v>
      </c>
      <c r="K4767" s="3" t="s">
        <v>23</v>
      </c>
    </row>
    <row r="4768" spans="1:11" ht="42" customHeight="1">
      <c r="A4768" s="2" t="s">
        <v>9472</v>
      </c>
      <c r="B4768" s="2" t="s">
        <v>9472</v>
      </c>
      <c r="C4768" s="2" t="s">
        <v>26</v>
      </c>
      <c r="D4768" s="2" t="s">
        <v>27</v>
      </c>
      <c r="E4768" s="5">
        <v>-28956</v>
      </c>
      <c r="F4768" s="3" t="s">
        <v>190</v>
      </c>
      <c r="G4768" s="3" t="s">
        <v>20</v>
      </c>
      <c r="H4768" s="2" t="s">
        <v>21</v>
      </c>
      <c r="I4768" s="2" t="s">
        <v>9494</v>
      </c>
      <c r="J4768" s="3" t="str">
        <f>HYPERLINK("https://www.boe.es/gazeta/dias/1820/09/19/pdfs/GGB-1820-83.pdf#page=4","Abrir facsímil")</f>
        <v>Abrir facsímil</v>
      </c>
      <c r="K4768" s="3" t="s">
        <v>23</v>
      </c>
    </row>
    <row r="4769" spans="1:11" ht="42" customHeight="1">
      <c r="A4769" s="2" t="s">
        <v>9472</v>
      </c>
      <c r="B4769" s="2" t="s">
        <v>9472</v>
      </c>
      <c r="C4769" s="2" t="s">
        <v>26</v>
      </c>
      <c r="D4769" s="2" t="s">
        <v>27</v>
      </c>
      <c r="E4769" s="5">
        <v>-28955</v>
      </c>
      <c r="F4769" s="3" t="s">
        <v>175</v>
      </c>
      <c r="G4769" s="3" t="s">
        <v>43</v>
      </c>
      <c r="H4769" s="2" t="s">
        <v>21</v>
      </c>
      <c r="I4769" s="2" t="s">
        <v>9495</v>
      </c>
      <c r="J4769" s="3" t="str">
        <f>HYPERLINK("https://www.boe.es/gazeta/dias/1820/09/20/pdfs/GGB-1820-84.pdf#page=2","Abrir facsímil")</f>
        <v>Abrir facsímil</v>
      </c>
      <c r="K4769" s="3" t="s">
        <v>23</v>
      </c>
    </row>
    <row r="4770" spans="1:11" ht="42" customHeight="1">
      <c r="A4770" s="2" t="s">
        <v>9472</v>
      </c>
      <c r="B4770" s="2" t="s">
        <v>9472</v>
      </c>
      <c r="C4770" s="2" t="s">
        <v>35</v>
      </c>
      <c r="D4770" s="2" t="s">
        <v>36</v>
      </c>
      <c r="E4770" s="5">
        <v>-28948</v>
      </c>
      <c r="F4770" s="3" t="s">
        <v>1069</v>
      </c>
      <c r="G4770" s="3" t="s">
        <v>62</v>
      </c>
      <c r="H4770" s="2" t="s">
        <v>21</v>
      </c>
      <c r="I4770" s="2" t="s">
        <v>9496</v>
      </c>
      <c r="J4770" s="3" t="str">
        <f>HYPERLINK("https://www.boe.es/gazeta/dias/1820/09/27/pdfs/GGB-1820-91.pdf#page=3","Abrir facsímil")</f>
        <v>Abrir facsímil</v>
      </c>
      <c r="K4770" s="3" t="s">
        <v>23</v>
      </c>
    </row>
    <row r="4771" spans="1:11" ht="42" customHeight="1">
      <c r="A4771" s="2" t="s">
        <v>9472</v>
      </c>
      <c r="B4771" s="2" t="s">
        <v>9472</v>
      </c>
      <c r="C4771" s="2" t="s">
        <v>26</v>
      </c>
      <c r="D4771" s="2" t="s">
        <v>27</v>
      </c>
      <c r="E4771" s="5">
        <v>-28946</v>
      </c>
      <c r="F4771" s="3" t="s">
        <v>1055</v>
      </c>
      <c r="G4771" s="3" t="s">
        <v>4558</v>
      </c>
      <c r="H4771" s="2" t="s">
        <v>21</v>
      </c>
      <c r="I4771" s="2" t="s">
        <v>9497</v>
      </c>
      <c r="J4771" s="3" t="str">
        <f>HYPERLINK("https://www.boe.es/gazeta/dias/1820/09/29/pdfs/GGB-1820-93.pdf#page=3","Abrir facsímil")</f>
        <v>Abrir facsímil</v>
      </c>
      <c r="K4771" s="3" t="s">
        <v>23</v>
      </c>
    </row>
    <row r="4772" spans="1:11" ht="42" customHeight="1">
      <c r="A4772" s="2" t="s">
        <v>9472</v>
      </c>
      <c r="B4772" s="2" t="s">
        <v>9472</v>
      </c>
      <c r="C4772" s="2" t="s">
        <v>74</v>
      </c>
      <c r="D4772" s="2" t="s">
        <v>18</v>
      </c>
      <c r="E4772" s="5">
        <v>-28945</v>
      </c>
      <c r="F4772" s="3" t="s">
        <v>99</v>
      </c>
      <c r="G4772" s="3" t="s">
        <v>20</v>
      </c>
      <c r="H4772" s="2" t="s">
        <v>21</v>
      </c>
      <c r="I4772" s="2" t="s">
        <v>9498</v>
      </c>
      <c r="J4772" s="3" t="str">
        <f>HYPERLINK("https://www.boe.es/gazeta/dias/1820/09/30/pdfs/GGB-1820-94.pdf#page=4","Abrir facsímil")</f>
        <v>Abrir facsímil</v>
      </c>
      <c r="K4772" s="3" t="s">
        <v>23</v>
      </c>
    </row>
    <row r="4773" spans="1:11" ht="42" customHeight="1">
      <c r="A4773" s="2" t="s">
        <v>9472</v>
      </c>
      <c r="B4773" s="2" t="s">
        <v>9472</v>
      </c>
      <c r="C4773" s="2" t="s">
        <v>26</v>
      </c>
      <c r="D4773" s="2" t="s">
        <v>27</v>
      </c>
      <c r="E4773" s="5">
        <v>-28944</v>
      </c>
      <c r="F4773" s="3" t="s">
        <v>990</v>
      </c>
      <c r="G4773" s="3" t="s">
        <v>62</v>
      </c>
      <c r="H4773" s="2" t="s">
        <v>21</v>
      </c>
      <c r="I4773" s="2" t="s">
        <v>9499</v>
      </c>
      <c r="J4773" s="3" t="str">
        <f>HYPERLINK("https://www.boe.es/gazeta/dias/1820/10/01/pdfs/GGB-1820-95.pdf#page=3","Abrir facsímil")</f>
        <v>Abrir facsímil</v>
      </c>
      <c r="K4773" s="3" t="s">
        <v>23</v>
      </c>
    </row>
    <row r="4774" spans="1:11" ht="42" customHeight="1">
      <c r="A4774" s="2" t="s">
        <v>9472</v>
      </c>
      <c r="B4774" s="2" t="s">
        <v>9472</v>
      </c>
      <c r="C4774" s="2" t="s">
        <v>35</v>
      </c>
      <c r="D4774" s="2" t="s">
        <v>36</v>
      </c>
      <c r="E4774" s="5">
        <v>-28941</v>
      </c>
      <c r="F4774" s="3" t="s">
        <v>1727</v>
      </c>
      <c r="G4774" s="3" t="s">
        <v>62</v>
      </c>
      <c r="H4774" s="2" t="s">
        <v>21</v>
      </c>
      <c r="I4774" s="2" t="s">
        <v>9500</v>
      </c>
      <c r="J4774" s="3" t="str">
        <f>HYPERLINK("https://www.boe.es/gazeta/dias/1820/10/04/pdfs/GGB-1820-98.pdf#page=3","Abrir facsímil")</f>
        <v>Abrir facsímil</v>
      </c>
      <c r="K4774" s="3" t="s">
        <v>23</v>
      </c>
    </row>
    <row r="4775" spans="1:11" ht="42" customHeight="1">
      <c r="A4775" s="2" t="s">
        <v>9501</v>
      </c>
      <c r="B4775" s="2" t="s">
        <v>9501</v>
      </c>
      <c r="C4775" s="2" t="s">
        <v>35</v>
      </c>
      <c r="D4775" s="2" t="s">
        <v>36</v>
      </c>
      <c r="E4775" s="5">
        <v>-28936</v>
      </c>
      <c r="F4775" s="3" t="s">
        <v>167</v>
      </c>
      <c r="G4775" s="3" t="s">
        <v>62</v>
      </c>
      <c r="H4775" s="2" t="s">
        <v>21</v>
      </c>
      <c r="I4775" s="2" t="s">
        <v>9502</v>
      </c>
      <c r="J4775" s="3" t="str">
        <f>HYPERLINK("https://www.boe.es/gazeta/dias/1820/10/09/pdfs/GGB-1820-103.pdf#page=3","Abrir facsímil")</f>
        <v>Abrir facsímil</v>
      </c>
      <c r="K4775" s="3" t="s">
        <v>23</v>
      </c>
    </row>
    <row r="4776" spans="1:11" ht="42" customHeight="1">
      <c r="A4776" s="2" t="s">
        <v>9472</v>
      </c>
      <c r="B4776" s="2" t="s">
        <v>9472</v>
      </c>
      <c r="C4776" s="2" t="s">
        <v>293</v>
      </c>
      <c r="D4776" s="2" t="s">
        <v>18</v>
      </c>
      <c r="E4776" s="5">
        <v>-28934</v>
      </c>
      <c r="F4776" s="3" t="s">
        <v>163</v>
      </c>
      <c r="G4776" s="3" t="s">
        <v>62</v>
      </c>
      <c r="H4776" s="2" t="s">
        <v>21</v>
      </c>
      <c r="I4776" s="2" t="s">
        <v>9503</v>
      </c>
      <c r="J4776" s="3" t="str">
        <f>HYPERLINK("https://www.boe.es/gazeta/dias/1820/10/11/pdfs/GGB-1820-105.pdf#page=3","Abrir facsímil")</f>
        <v>Abrir facsímil</v>
      </c>
      <c r="K4776" s="3" t="s">
        <v>23</v>
      </c>
    </row>
    <row r="4777" spans="1:11" ht="42" customHeight="1">
      <c r="A4777" s="2" t="s">
        <v>9472</v>
      </c>
      <c r="B4777" s="2" t="s">
        <v>9472</v>
      </c>
      <c r="C4777" s="2" t="s">
        <v>74</v>
      </c>
      <c r="D4777" s="2" t="s">
        <v>18</v>
      </c>
      <c r="E4777" s="5">
        <v>-28933</v>
      </c>
      <c r="F4777" s="3" t="s">
        <v>720</v>
      </c>
      <c r="G4777" s="3" t="s">
        <v>20</v>
      </c>
      <c r="H4777" s="2" t="s">
        <v>21</v>
      </c>
      <c r="I4777" s="2" t="s">
        <v>9504</v>
      </c>
      <c r="J4777" s="3" t="str">
        <f>HYPERLINK("https://www.boe.es/gazeta/dias/1820/10/12/pdfs/GGB-1820-106.pdf#page=4","Abrir facsímil")</f>
        <v>Abrir facsímil</v>
      </c>
      <c r="K4777" s="3" t="s">
        <v>23</v>
      </c>
    </row>
    <row r="4778" spans="1:11" ht="42" customHeight="1">
      <c r="A4778" s="2" t="s">
        <v>9472</v>
      </c>
      <c r="B4778" s="2" t="s">
        <v>9472</v>
      </c>
      <c r="C4778" s="2" t="s">
        <v>293</v>
      </c>
      <c r="D4778" s="2" t="s">
        <v>18</v>
      </c>
      <c r="E4778" s="5">
        <v>-28919</v>
      </c>
      <c r="F4778" s="3" t="s">
        <v>516</v>
      </c>
      <c r="G4778" s="3" t="s">
        <v>20</v>
      </c>
      <c r="H4778" s="2" t="s">
        <v>21</v>
      </c>
      <c r="I4778" s="2" t="s">
        <v>9505</v>
      </c>
      <c r="J4778" s="3" t="str">
        <f>HYPERLINK("https://www.boe.es/gazeta/dias/1820/10/26/pdfs/GGB-1820-120.pdf#page=4","Abrir facsímil")</f>
        <v>Abrir facsímil</v>
      </c>
      <c r="K4778" s="3" t="s">
        <v>23</v>
      </c>
    </row>
    <row r="4779" spans="1:11" ht="42" customHeight="1">
      <c r="A4779" s="2" t="s">
        <v>9472</v>
      </c>
      <c r="B4779" s="2" t="s">
        <v>9472</v>
      </c>
      <c r="C4779" s="2" t="s">
        <v>17</v>
      </c>
      <c r="D4779" s="2" t="s">
        <v>18</v>
      </c>
      <c r="E4779" s="5">
        <v>-28916</v>
      </c>
      <c r="F4779" s="3" t="s">
        <v>2688</v>
      </c>
      <c r="G4779" s="3" t="s">
        <v>43</v>
      </c>
      <c r="H4779" s="2" t="s">
        <v>21</v>
      </c>
      <c r="I4779" s="2" t="s">
        <v>9506</v>
      </c>
      <c r="J4779" s="3" t="str">
        <f>HYPERLINK("https://www.boe.es/gazeta/dias/1820/10/29/pdfs/GGB-1820-123.pdf#page=2","Abrir facsímil")</f>
        <v>Abrir facsímil</v>
      </c>
      <c r="K4779" s="3" t="s">
        <v>23</v>
      </c>
    </row>
    <row r="4780" spans="1:11" ht="42" customHeight="1">
      <c r="A4780" s="2" t="s">
        <v>9472</v>
      </c>
      <c r="B4780" s="2" t="s">
        <v>9472</v>
      </c>
      <c r="C4780" s="2" t="s">
        <v>74</v>
      </c>
      <c r="D4780" s="2" t="s">
        <v>18</v>
      </c>
      <c r="E4780" s="5">
        <v>-28911</v>
      </c>
      <c r="F4780" s="3" t="s">
        <v>82</v>
      </c>
      <c r="G4780" s="3" t="s">
        <v>43</v>
      </c>
      <c r="H4780" s="2" t="s">
        <v>21</v>
      </c>
      <c r="I4780" s="2" t="s">
        <v>9507</v>
      </c>
      <c r="J4780" s="3" t="str">
        <f>HYPERLINK("https://www.boe.es/gazeta/dias/1820/11/03/pdfs/GGB-1820-128.pdf#page=2","Abrir facsímil")</f>
        <v>Abrir facsímil</v>
      </c>
      <c r="K4780" s="3" t="s">
        <v>23</v>
      </c>
    </row>
    <row r="4781" spans="1:11" ht="42" customHeight="1">
      <c r="A4781" s="2" t="s">
        <v>9472</v>
      </c>
      <c r="B4781" s="2" t="s">
        <v>9472</v>
      </c>
      <c r="C4781" s="2" t="s">
        <v>26</v>
      </c>
      <c r="D4781" s="2" t="s">
        <v>27</v>
      </c>
      <c r="E4781" s="5">
        <v>-28909</v>
      </c>
      <c r="F4781" s="3" t="s">
        <v>278</v>
      </c>
      <c r="G4781" s="3" t="s">
        <v>43</v>
      </c>
      <c r="H4781" s="2" t="s">
        <v>21</v>
      </c>
      <c r="I4781" s="2" t="s">
        <v>9508</v>
      </c>
      <c r="J4781" s="3" t="str">
        <f>HYPERLINK("https://www.boe.es/gazeta/dias/1820/11/05/pdfs/GGB-1820-130.pdf#page=2","Abrir facsímil")</f>
        <v>Abrir facsímil</v>
      </c>
      <c r="K4781" s="3" t="s">
        <v>23</v>
      </c>
    </row>
    <row r="4782" spans="1:11" ht="42" customHeight="1">
      <c r="A4782" s="2" t="s">
        <v>9472</v>
      </c>
      <c r="B4782" s="2" t="s">
        <v>9472</v>
      </c>
      <c r="C4782" s="2" t="s">
        <v>26</v>
      </c>
      <c r="D4782" s="2" t="s">
        <v>27</v>
      </c>
      <c r="E4782" s="5">
        <v>-28909</v>
      </c>
      <c r="F4782" s="3" t="s">
        <v>278</v>
      </c>
      <c r="G4782" s="3" t="s">
        <v>62</v>
      </c>
      <c r="H4782" s="2" t="s">
        <v>21</v>
      </c>
      <c r="I4782" s="2" t="s">
        <v>9509</v>
      </c>
      <c r="J4782" s="3" t="str">
        <f>HYPERLINK("https://www.boe.es/gazeta/dias/1820/11/05/pdfs/GGB-1820-130.pdf#page=3","Abrir facsímil")</f>
        <v>Abrir facsímil</v>
      </c>
      <c r="K4782" s="3" t="s">
        <v>23</v>
      </c>
    </row>
    <row r="4783" spans="1:11" ht="42" customHeight="1">
      <c r="A4783" s="2" t="s">
        <v>9510</v>
      </c>
      <c r="B4783" s="2" t="s">
        <v>9511</v>
      </c>
      <c r="C4783" s="2" t="s">
        <v>35</v>
      </c>
      <c r="D4783" s="2" t="s">
        <v>36</v>
      </c>
      <c r="E4783" s="5">
        <v>-28899</v>
      </c>
      <c r="F4783" s="3" t="s">
        <v>285</v>
      </c>
      <c r="G4783" s="3" t="s">
        <v>20</v>
      </c>
      <c r="H4783" s="2" t="s">
        <v>21</v>
      </c>
      <c r="I4783" s="2" t="s">
        <v>9512</v>
      </c>
      <c r="J4783" s="3" t="str">
        <f>HYPERLINK("https://www.boe.es/gazeta/dias/1820/11/15/pdfs/GGB-1820-141.pdf#page=4","Abrir facsímil")</f>
        <v>Abrir facsímil</v>
      </c>
      <c r="K4783" s="3" t="s">
        <v>23</v>
      </c>
    </row>
    <row r="4784" spans="1:11" ht="42" customHeight="1">
      <c r="A4784" s="2" t="s">
        <v>9513</v>
      </c>
      <c r="B4784" s="2" t="s">
        <v>9514</v>
      </c>
      <c r="C4784" s="2" t="s">
        <v>35</v>
      </c>
      <c r="D4784" s="2" t="s">
        <v>36</v>
      </c>
      <c r="E4784" s="5">
        <v>-29066</v>
      </c>
      <c r="F4784" s="3" t="s">
        <v>1966</v>
      </c>
      <c r="G4784" s="3" t="s">
        <v>201</v>
      </c>
      <c r="H4784" s="2" t="s">
        <v>21</v>
      </c>
      <c r="I4784" s="2" t="s">
        <v>9515</v>
      </c>
      <c r="J4784" s="3" t="str">
        <f>HYPERLINK("https://www.boe.es/gazeta/dias/1820/06/01/pdfs/GMD-1820-88.pdf#page=7","Abrir facsímil")</f>
        <v>Abrir facsímil</v>
      </c>
      <c r="K4784" s="3" t="s">
        <v>23</v>
      </c>
    </row>
    <row r="4785" spans="1:11" ht="42" customHeight="1">
      <c r="A4785" s="2" t="s">
        <v>9516</v>
      </c>
      <c r="B4785" s="2" t="s">
        <v>9517</v>
      </c>
      <c r="C4785" s="2" t="s">
        <v>26</v>
      </c>
      <c r="D4785" s="2" t="s">
        <v>27</v>
      </c>
      <c r="E4785" s="5">
        <v>-29145</v>
      </c>
      <c r="F4785" s="3" t="s">
        <v>3537</v>
      </c>
      <c r="G4785" s="3" t="s">
        <v>38</v>
      </c>
      <c r="H4785" s="2" t="s">
        <v>21</v>
      </c>
      <c r="I4785" s="2" t="s">
        <v>9518</v>
      </c>
      <c r="J4785" s="3" t="str">
        <f>HYPERLINK("https://www.boe.es/gazeta/dias/1820/03/14/pdfs/GMD-1820-39.pdf#page=6","Abrir facsímil")</f>
        <v>Abrir facsímil</v>
      </c>
      <c r="K4785" s="3" t="s">
        <v>23</v>
      </c>
    </row>
    <row r="4786" spans="1:11" ht="42" customHeight="1">
      <c r="A4786" s="2" t="s">
        <v>9519</v>
      </c>
      <c r="B4786" s="2" t="s">
        <v>9520</v>
      </c>
      <c r="C4786" s="2" t="s">
        <v>35</v>
      </c>
      <c r="D4786" s="2" t="s">
        <v>36</v>
      </c>
      <c r="E4786" s="5">
        <v>-29136</v>
      </c>
      <c r="F4786" s="3" t="s">
        <v>2972</v>
      </c>
      <c r="G4786" s="3" t="s">
        <v>201</v>
      </c>
      <c r="H4786" s="2" t="s">
        <v>21</v>
      </c>
      <c r="I4786" s="2" t="s">
        <v>9521</v>
      </c>
      <c r="J4786" s="3" t="str">
        <f>HYPERLINK("https://www.boe.es/gazeta/dias/1820/03/23/pdfs/GMD-1820-51.pdf#page=7","Abrir facsímil")</f>
        <v>Abrir facsímil</v>
      </c>
      <c r="K4786" s="3" t="s">
        <v>23</v>
      </c>
    </row>
    <row r="4787" spans="1:11" ht="42" customHeight="1">
      <c r="A4787" s="2" t="s">
        <v>9522</v>
      </c>
      <c r="B4787" s="2" t="s">
        <v>9523</v>
      </c>
      <c r="C4787" s="2" t="s">
        <v>17</v>
      </c>
      <c r="D4787" s="2" t="s">
        <v>18</v>
      </c>
      <c r="E4787" s="5">
        <v>-29129</v>
      </c>
      <c r="F4787" s="3" t="s">
        <v>269</v>
      </c>
      <c r="G4787" s="3" t="s">
        <v>5428</v>
      </c>
      <c r="H4787" s="2" t="s">
        <v>21</v>
      </c>
      <c r="I4787" s="2" t="s">
        <v>9524</v>
      </c>
      <c r="J4787" s="3" t="str">
        <f>HYPERLINK("https://www.boe.es/gazeta/dias/1820/03/30/pdfs/GMD-1820-58.pdf#page=12","Abrir facsímil")</f>
        <v>Abrir facsímil</v>
      </c>
      <c r="K4787" s="3" t="s">
        <v>23</v>
      </c>
    </row>
    <row r="4788" spans="1:11" ht="42" customHeight="1">
      <c r="A4788" s="2" t="s">
        <v>9516</v>
      </c>
      <c r="B4788" s="2" t="s">
        <v>9517</v>
      </c>
      <c r="C4788" s="2" t="s">
        <v>26</v>
      </c>
      <c r="D4788" s="2" t="s">
        <v>27</v>
      </c>
      <c r="E4788" s="5">
        <v>-29115</v>
      </c>
      <c r="F4788" s="3" t="s">
        <v>289</v>
      </c>
      <c r="G4788" s="3" t="s">
        <v>142</v>
      </c>
      <c r="H4788" s="2" t="s">
        <v>21</v>
      </c>
      <c r="I4788" s="2" t="s">
        <v>9525</v>
      </c>
      <c r="J4788" s="3" t="str">
        <f>HYPERLINK("https://www.boe.es/gazeta/dias/1820/04/13/pdfs/GMD-1820-65.pdf#page=8","Abrir facsímil")</f>
        <v>Abrir facsímil</v>
      </c>
      <c r="K4788" s="3" t="s">
        <v>23</v>
      </c>
    </row>
    <row r="4789" spans="1:11" ht="42" customHeight="1">
      <c r="A4789" s="2" t="s">
        <v>9516</v>
      </c>
      <c r="B4789" s="2" t="s">
        <v>9517</v>
      </c>
      <c r="C4789" s="2" t="s">
        <v>35</v>
      </c>
      <c r="D4789" s="2" t="s">
        <v>36</v>
      </c>
      <c r="E4789" s="5">
        <v>-29099</v>
      </c>
      <c r="F4789" s="3" t="s">
        <v>871</v>
      </c>
      <c r="G4789" s="3" t="s">
        <v>295</v>
      </c>
      <c r="H4789" s="2" t="s">
        <v>21</v>
      </c>
      <c r="I4789" s="2" t="s">
        <v>9526</v>
      </c>
      <c r="J4789" s="3" t="str">
        <f>HYPERLINK("https://www.boe.es/gazeta/dias/1820/04/29/pdfs/GMD-1820-73.pdf#page=8","Abrir facsímil")</f>
        <v>Abrir facsímil</v>
      </c>
      <c r="K4789" s="3" t="s">
        <v>23</v>
      </c>
    </row>
    <row r="4790" spans="1:11" ht="42" customHeight="1">
      <c r="A4790" s="2" t="s">
        <v>9516</v>
      </c>
      <c r="B4790" s="2" t="s">
        <v>9517</v>
      </c>
      <c r="C4790" s="2" t="s">
        <v>35</v>
      </c>
      <c r="D4790" s="2" t="s">
        <v>36</v>
      </c>
      <c r="E4790" s="5">
        <v>-29080</v>
      </c>
      <c r="F4790" s="3" t="s">
        <v>1031</v>
      </c>
      <c r="G4790" s="3" t="s">
        <v>1080</v>
      </c>
      <c r="H4790" s="2" t="s">
        <v>21</v>
      </c>
      <c r="I4790" s="2" t="s">
        <v>9527</v>
      </c>
      <c r="J4790" s="3" t="str">
        <f>HYPERLINK("https://www.boe.es/gazeta/dias/1820/05/18/pdfs/GMD-1820-82.pdf#page=8","Abrir facsímil")</f>
        <v>Abrir facsímil</v>
      </c>
      <c r="K4790" s="3" t="s">
        <v>23</v>
      </c>
    </row>
    <row r="4791" spans="1:11" ht="42" customHeight="1">
      <c r="A4791" s="2" t="s">
        <v>9516</v>
      </c>
      <c r="B4791" s="2" t="s">
        <v>9517</v>
      </c>
      <c r="C4791" s="2" t="s">
        <v>35</v>
      </c>
      <c r="D4791" s="2" t="s">
        <v>36</v>
      </c>
      <c r="E4791" s="5">
        <v>-29026</v>
      </c>
      <c r="F4791" s="3" t="s">
        <v>1197</v>
      </c>
      <c r="G4791" s="3" t="s">
        <v>1198</v>
      </c>
      <c r="H4791" s="2" t="s">
        <v>21</v>
      </c>
      <c r="I4791" s="2" t="s">
        <v>9528</v>
      </c>
      <c r="J4791" s="3" t="str">
        <f>HYPERLINK("https://www.boe.es/gazeta/dias/1820/07/11/pdfs/GGB-1820-13.pdf#page=4","Abrir facsímil")</f>
        <v>Abrir facsímil</v>
      </c>
      <c r="K4791" s="3" t="s">
        <v>23</v>
      </c>
    </row>
    <row r="4792" spans="1:11" ht="42" customHeight="1">
      <c r="A4792" s="2" t="s">
        <v>9516</v>
      </c>
      <c r="B4792" s="2" t="s">
        <v>9517</v>
      </c>
      <c r="C4792" s="2" t="s">
        <v>35</v>
      </c>
      <c r="D4792" s="2" t="s">
        <v>36</v>
      </c>
      <c r="E4792" s="5">
        <v>-28990</v>
      </c>
      <c r="F4792" s="3" t="s">
        <v>61</v>
      </c>
      <c r="G4792" s="3" t="s">
        <v>1438</v>
      </c>
      <c r="H4792" s="2" t="s">
        <v>21</v>
      </c>
      <c r="I4792" s="2" t="s">
        <v>9529</v>
      </c>
      <c r="J4792" s="3" t="str">
        <f>HYPERLINK("https://www.boe.es/gazeta/dias/1820/08/16/pdfs/GGB-1820-49.pdf#page=4","Abrir facsímil")</f>
        <v>Abrir facsímil</v>
      </c>
      <c r="K4792" s="3" t="s">
        <v>23</v>
      </c>
    </row>
    <row r="4793" spans="1:11" ht="42" customHeight="1">
      <c r="A4793" s="2" t="s">
        <v>9530</v>
      </c>
      <c r="B4793" s="2" t="s">
        <v>9531</v>
      </c>
      <c r="C4793" s="2" t="s">
        <v>35</v>
      </c>
      <c r="D4793" s="2" t="s">
        <v>36</v>
      </c>
      <c r="E4793" s="5">
        <v>-28987</v>
      </c>
      <c r="F4793" s="3" t="s">
        <v>680</v>
      </c>
      <c r="G4793" s="3" t="s">
        <v>20</v>
      </c>
      <c r="H4793" s="2" t="s">
        <v>21</v>
      </c>
      <c r="I4793" s="2" t="s">
        <v>9532</v>
      </c>
      <c r="J4793" s="3" t="str">
        <f>HYPERLINK("https://www.boe.es/gazeta/dias/1820/08/19/pdfs/GGB-1820-52.pdf#page=4","Abrir facsímil")</f>
        <v>Abrir facsímil</v>
      </c>
      <c r="K4793" s="3" t="s">
        <v>23</v>
      </c>
    </row>
    <row r="4794" spans="1:11" ht="42" customHeight="1">
      <c r="A4794" s="2" t="s">
        <v>9516</v>
      </c>
      <c r="B4794" s="2" t="s">
        <v>9517</v>
      </c>
      <c r="C4794" s="2" t="s">
        <v>26</v>
      </c>
      <c r="D4794" s="2" t="s">
        <v>27</v>
      </c>
      <c r="E4794" s="5">
        <v>-28937</v>
      </c>
      <c r="F4794" s="3" t="s">
        <v>4254</v>
      </c>
      <c r="G4794" s="3" t="s">
        <v>20</v>
      </c>
      <c r="H4794" s="2" t="s">
        <v>21</v>
      </c>
      <c r="I4794" s="2" t="s">
        <v>9533</v>
      </c>
      <c r="J4794" s="3" t="str">
        <f>HYPERLINK("https://www.boe.es/gazeta/dias/1820/10/08/pdfs/GGB-1820-102.pdf#page=4","Abrir facsímil")</f>
        <v>Abrir facsímil</v>
      </c>
      <c r="K4794" s="3" t="s">
        <v>23</v>
      </c>
    </row>
    <row r="4795" spans="1:11" ht="42" customHeight="1">
      <c r="A4795" s="2" t="s">
        <v>9516</v>
      </c>
      <c r="B4795" s="2" t="s">
        <v>9517</v>
      </c>
      <c r="C4795" s="2" t="s">
        <v>35</v>
      </c>
      <c r="D4795" s="2" t="s">
        <v>36</v>
      </c>
      <c r="E4795" s="5">
        <v>-28902</v>
      </c>
      <c r="F4795" s="3" t="s">
        <v>440</v>
      </c>
      <c r="G4795" s="3" t="s">
        <v>20</v>
      </c>
      <c r="H4795" s="2" t="s">
        <v>21</v>
      </c>
      <c r="I4795" s="2" t="s">
        <v>9534</v>
      </c>
      <c r="J4795" s="3" t="str">
        <f>HYPERLINK("https://www.boe.es/gazeta/dias/1820/11/12/pdfs/GGB-1820-138.pdf#page=4","Abrir facsímil")</f>
        <v>Abrir facsímil</v>
      </c>
      <c r="K4795" s="3" t="s">
        <v>23</v>
      </c>
    </row>
    <row r="4796" spans="1:11" ht="42" customHeight="1">
      <c r="A4796" s="2" t="s">
        <v>9516</v>
      </c>
      <c r="B4796" s="2" t="s">
        <v>9517</v>
      </c>
      <c r="C4796" s="2" t="s">
        <v>35</v>
      </c>
      <c r="D4796" s="2" t="s">
        <v>36</v>
      </c>
      <c r="E4796" s="5">
        <v>-28863</v>
      </c>
      <c r="F4796" s="3" t="s">
        <v>3630</v>
      </c>
      <c r="G4796" s="3" t="s">
        <v>20</v>
      </c>
      <c r="H4796" s="2" t="s">
        <v>21</v>
      </c>
      <c r="I4796" s="2" t="s">
        <v>9535</v>
      </c>
      <c r="J4796" s="3" t="str">
        <f>HYPERLINK("https://www.boe.es/gazeta/dias/1820/12/21/pdfs/GGB-1820-178.pdf#page=4","Abrir facsímil")</f>
        <v>Abrir facsímil</v>
      </c>
      <c r="K4796" s="3" t="s">
        <v>23</v>
      </c>
    </row>
    <row r="4797" spans="1:11" ht="42" customHeight="1">
      <c r="A4797" s="2" t="s">
        <v>9516</v>
      </c>
      <c r="B4797" s="2" t="s">
        <v>9517</v>
      </c>
      <c r="C4797" s="2" t="s">
        <v>35</v>
      </c>
      <c r="D4797" s="2" t="s">
        <v>36</v>
      </c>
      <c r="E4797" s="5">
        <v>-28861</v>
      </c>
      <c r="F4797" s="3" t="s">
        <v>894</v>
      </c>
      <c r="G4797" s="3" t="s">
        <v>20</v>
      </c>
      <c r="H4797" s="2" t="s">
        <v>21</v>
      </c>
      <c r="I4797" s="2" t="s">
        <v>9536</v>
      </c>
      <c r="J4797" s="3" t="str">
        <f>HYPERLINK("https://www.boe.es/gazeta/dias/1820/12/23/pdfs/GGB-1820-180.pdf#page=4","Abrir facsímil")</f>
        <v>Abrir facsímil</v>
      </c>
      <c r="K4797" s="3" t="s">
        <v>23</v>
      </c>
    </row>
    <row r="4798" spans="1:11" ht="42" customHeight="1">
      <c r="A4798" s="2" t="s">
        <v>9537</v>
      </c>
      <c r="B4798" s="2" t="s">
        <v>9538</v>
      </c>
      <c r="C4798" s="2" t="s">
        <v>35</v>
      </c>
      <c r="D4798" s="2" t="s">
        <v>36</v>
      </c>
      <c r="E4798" s="5">
        <v>-28934</v>
      </c>
      <c r="F4798" s="3" t="s">
        <v>163</v>
      </c>
      <c r="G4798" s="3" t="s">
        <v>20</v>
      </c>
      <c r="H4798" s="2" t="s">
        <v>21</v>
      </c>
      <c r="I4798" s="2" t="s">
        <v>9539</v>
      </c>
      <c r="J4798" s="3" t="str">
        <f>HYPERLINK("https://www.boe.es/gazeta/dias/1820/10/11/pdfs/GGB-1820-105.pdf#page=4","Abrir facsímil")</f>
        <v>Abrir facsímil</v>
      </c>
      <c r="K4798" s="3" t="s">
        <v>23</v>
      </c>
    </row>
    <row r="4799" spans="1:11" ht="42" customHeight="1">
      <c r="A4799" s="2" t="s">
        <v>9540</v>
      </c>
      <c r="B4799" s="2" t="s">
        <v>9541</v>
      </c>
      <c r="C4799" s="2" t="s">
        <v>35</v>
      </c>
      <c r="D4799" s="2" t="s">
        <v>36</v>
      </c>
      <c r="E4799" s="5">
        <v>-28995</v>
      </c>
      <c r="F4799" s="3" t="s">
        <v>672</v>
      </c>
      <c r="G4799" s="3" t="s">
        <v>1557</v>
      </c>
      <c r="H4799" s="2" t="s">
        <v>21</v>
      </c>
      <c r="I4799" s="2" t="s">
        <v>9542</v>
      </c>
      <c r="J4799" s="3" t="str">
        <f>HYPERLINK("https://www.boe.es/gazeta/dias/1820/08/11/pdfs/GGB-1820-44.pdf#page=2","Abrir facsímil")</f>
        <v>Abrir facsímil</v>
      </c>
      <c r="K4799" s="3" t="s">
        <v>23</v>
      </c>
    </row>
    <row r="4800" spans="1:11" ht="42" customHeight="1">
      <c r="A4800" s="2" t="s">
        <v>9543</v>
      </c>
      <c r="B4800" s="2" t="s">
        <v>9544</v>
      </c>
      <c r="C4800" s="2" t="s">
        <v>35</v>
      </c>
      <c r="D4800" s="2" t="s">
        <v>36</v>
      </c>
      <c r="E4800" s="5">
        <v>-29078</v>
      </c>
      <c r="F4800" s="3" t="s">
        <v>260</v>
      </c>
      <c r="G4800" s="3" t="s">
        <v>479</v>
      </c>
      <c r="H4800" s="2" t="s">
        <v>21</v>
      </c>
      <c r="I4800" s="2" t="s">
        <v>9545</v>
      </c>
      <c r="J4800" s="3" t="str">
        <f>HYPERLINK("https://www.boe.es/gazeta/dias/1820/05/20/pdfs/GMD-1820-83.pdf#page=12","Abrir facsímil")</f>
        <v>Abrir facsímil</v>
      </c>
      <c r="K4800" s="3" t="s">
        <v>23</v>
      </c>
    </row>
    <row r="4801" spans="1:11" ht="42" customHeight="1">
      <c r="A4801" s="2" t="s">
        <v>9546</v>
      </c>
      <c r="B4801" s="2" t="s">
        <v>9547</v>
      </c>
      <c r="C4801" s="2" t="s">
        <v>35</v>
      </c>
      <c r="D4801" s="2" t="s">
        <v>36</v>
      </c>
      <c r="E4801" s="5">
        <v>-28903</v>
      </c>
      <c r="F4801" s="3" t="s">
        <v>2163</v>
      </c>
      <c r="G4801" s="3" t="s">
        <v>20</v>
      </c>
      <c r="H4801" s="2" t="s">
        <v>21</v>
      </c>
      <c r="I4801" s="2" t="s">
        <v>9548</v>
      </c>
      <c r="J4801" s="3" t="str">
        <f>HYPERLINK("https://www.boe.es/gazeta/dias/1820/11/11/pdfs/GGB-1820-137.pdf#page=4","Abrir facsímil")</f>
        <v>Abrir facsímil</v>
      </c>
      <c r="K4801" s="3" t="s">
        <v>23</v>
      </c>
    </row>
    <row r="4802" spans="1:11" ht="42" customHeight="1">
      <c r="A4802" s="2" t="s">
        <v>9549</v>
      </c>
      <c r="B4802" s="2" t="s">
        <v>9550</v>
      </c>
      <c r="C4802" s="2" t="s">
        <v>26</v>
      </c>
      <c r="D4802" s="2" t="s">
        <v>27</v>
      </c>
      <c r="E4802" s="5">
        <v>-28966</v>
      </c>
      <c r="F4802" s="3" t="s">
        <v>701</v>
      </c>
      <c r="G4802" s="3" t="s">
        <v>20</v>
      </c>
      <c r="H4802" s="2" t="s">
        <v>21</v>
      </c>
      <c r="I4802" s="2" t="s">
        <v>9551</v>
      </c>
      <c r="J4802" s="3" t="str">
        <f>HYPERLINK("https://www.boe.es/gazeta/dias/1820/09/09/pdfs/GGB-1820-73.pdf#page=4","Abrir facsímil")</f>
        <v>Abrir facsímil</v>
      </c>
      <c r="K4802" s="3" t="s">
        <v>23</v>
      </c>
    </row>
    <row r="4803" spans="1:11" ht="42" customHeight="1">
      <c r="A4803" s="2" t="s">
        <v>9552</v>
      </c>
      <c r="B4803" s="2" t="s">
        <v>9553</v>
      </c>
      <c r="C4803" s="2" t="s">
        <v>26</v>
      </c>
      <c r="D4803" s="2" t="s">
        <v>27</v>
      </c>
      <c r="E4803" s="5">
        <v>-29021</v>
      </c>
      <c r="F4803" s="3" t="s">
        <v>377</v>
      </c>
      <c r="G4803" s="3" t="s">
        <v>43</v>
      </c>
      <c r="H4803" s="2" t="s">
        <v>21</v>
      </c>
      <c r="I4803" s="2" t="s">
        <v>9554</v>
      </c>
      <c r="J4803" s="3" t="str">
        <f>HYPERLINK("https://www.boe.es/gazeta/dias/1820/07/16/pdfs/GGB-1820-18.pdf#page=2","Abrir facsímil")</f>
        <v>Abrir facsímil</v>
      </c>
      <c r="K4803" s="3" t="s">
        <v>23</v>
      </c>
    </row>
    <row r="4804" spans="1:11" ht="42" customHeight="1">
      <c r="A4804" s="2" t="s">
        <v>9555</v>
      </c>
      <c r="B4804" s="2" t="s">
        <v>9556</v>
      </c>
      <c r="C4804" s="2" t="s">
        <v>111</v>
      </c>
      <c r="D4804" s="2" t="s">
        <v>18</v>
      </c>
      <c r="E4804" s="5">
        <v>-28900</v>
      </c>
      <c r="F4804" s="3" t="s">
        <v>878</v>
      </c>
      <c r="G4804" s="3" t="s">
        <v>20</v>
      </c>
      <c r="H4804" s="2" t="s">
        <v>21</v>
      </c>
      <c r="I4804" s="2" t="s">
        <v>9557</v>
      </c>
      <c r="J4804" s="3" t="str">
        <f>HYPERLINK("https://www.boe.es/gazeta/dias/1820/11/14/pdfs/GGB-1820-140.pdf#page=4","Abrir facsímil")</f>
        <v>Abrir facsímil</v>
      </c>
      <c r="K4804" s="3" t="s">
        <v>23</v>
      </c>
    </row>
    <row r="4805" spans="1:11" ht="42" customHeight="1">
      <c r="A4805" s="2" t="s">
        <v>9558</v>
      </c>
      <c r="B4805" s="2" t="s">
        <v>9558</v>
      </c>
      <c r="C4805" s="2" t="s">
        <v>26</v>
      </c>
      <c r="D4805" s="2" t="s">
        <v>27</v>
      </c>
      <c r="E4805" s="5">
        <v>-29124</v>
      </c>
      <c r="F4805" s="3" t="s">
        <v>4097</v>
      </c>
      <c r="G4805" s="3" t="s">
        <v>62</v>
      </c>
      <c r="H4805" s="2" t="s">
        <v>21</v>
      </c>
      <c r="I4805" s="2" t="s">
        <v>9559</v>
      </c>
      <c r="J4805" s="3" t="str">
        <f>HYPERLINK("https://www.boe.es/gazeta/dias/1820/04/04/pdfs/GMD-1820-60.pdf#page=3","Abrir facsímil")</f>
        <v>Abrir facsímil</v>
      </c>
      <c r="K4805" s="3" t="s">
        <v>23</v>
      </c>
    </row>
    <row r="4806" spans="1:11" ht="42" customHeight="1">
      <c r="A4806" s="2" t="s">
        <v>9560</v>
      </c>
      <c r="B4806" s="2" t="s">
        <v>9561</v>
      </c>
      <c r="C4806" s="2" t="s">
        <v>26</v>
      </c>
      <c r="D4806" s="2" t="s">
        <v>27</v>
      </c>
      <c r="E4806" s="5">
        <v>-29176</v>
      </c>
      <c r="F4806" s="3" t="s">
        <v>797</v>
      </c>
      <c r="G4806" s="3" t="s">
        <v>256</v>
      </c>
      <c r="H4806" s="2" t="s">
        <v>21</v>
      </c>
      <c r="I4806" s="2" t="s">
        <v>9562</v>
      </c>
      <c r="J4806" s="3" t="str">
        <f>HYPERLINK("https://www.boe.es/gazeta/dias/1820/02/12/pdfs/GMD-1820-19.pdf#page=5","Abrir facsímil")</f>
        <v>Abrir facsímil</v>
      </c>
      <c r="K4806" s="3" t="s">
        <v>23</v>
      </c>
    </row>
    <row r="4807" spans="1:11" ht="42" customHeight="1">
      <c r="A4807" s="2" t="s">
        <v>9563</v>
      </c>
      <c r="B4807" s="2" t="s">
        <v>9564</v>
      </c>
      <c r="C4807" s="2" t="s">
        <v>26</v>
      </c>
      <c r="D4807" s="2" t="s">
        <v>27</v>
      </c>
      <c r="E4807" s="5">
        <v>-29183</v>
      </c>
      <c r="F4807" s="3" t="s">
        <v>476</v>
      </c>
      <c r="G4807" s="3" t="s">
        <v>256</v>
      </c>
      <c r="H4807" s="2" t="s">
        <v>21</v>
      </c>
      <c r="I4807" s="2" t="s">
        <v>9565</v>
      </c>
      <c r="J4807" s="3" t="str">
        <f>HYPERLINK("https://www.boe.es/gazeta/dias/1820/02/05/pdfs/GMD-1820-16.pdf#page=5","Abrir facsímil")</f>
        <v>Abrir facsímil</v>
      </c>
      <c r="K4807" s="3" t="s">
        <v>23</v>
      </c>
    </row>
    <row r="4808" spans="1:11" ht="42" customHeight="1">
      <c r="A4808" s="2" t="s">
        <v>9563</v>
      </c>
      <c r="B4808" s="2" t="s">
        <v>9564</v>
      </c>
      <c r="C4808" s="2" t="s">
        <v>26</v>
      </c>
      <c r="D4808" s="2" t="s">
        <v>27</v>
      </c>
      <c r="E4808" s="5">
        <v>-29183</v>
      </c>
      <c r="F4808" s="3" t="s">
        <v>476</v>
      </c>
      <c r="G4808" s="3" t="s">
        <v>201</v>
      </c>
      <c r="H4808" s="2" t="s">
        <v>21</v>
      </c>
      <c r="I4808" s="2" t="s">
        <v>9566</v>
      </c>
      <c r="J4808" s="3" t="str">
        <f>HYPERLINK("https://www.boe.es/gazeta/dias/1820/02/05/pdfs/GMD-1820-16.pdf#page=7","Abrir facsímil")</f>
        <v>Abrir facsímil</v>
      </c>
      <c r="K4808" s="3" t="s">
        <v>23</v>
      </c>
    </row>
    <row r="4809" spans="1:11" ht="42" customHeight="1">
      <c r="A4809" s="2" t="s">
        <v>9567</v>
      </c>
      <c r="B4809" s="2" t="s">
        <v>9568</v>
      </c>
      <c r="C4809" s="2" t="s">
        <v>26</v>
      </c>
      <c r="D4809" s="2" t="s">
        <v>27</v>
      </c>
      <c r="E4809" s="5">
        <v>-29176</v>
      </c>
      <c r="F4809" s="3" t="s">
        <v>797</v>
      </c>
      <c r="G4809" s="3" t="s">
        <v>20</v>
      </c>
      <c r="H4809" s="2" t="s">
        <v>21</v>
      </c>
      <c r="I4809" s="2" t="s">
        <v>9569</v>
      </c>
      <c r="J4809" s="3" t="str">
        <f>HYPERLINK("https://www.boe.es/gazeta/dias/1820/02/12/pdfs/GMD-1820-19.pdf#page=4","Abrir facsímil")</f>
        <v>Abrir facsímil</v>
      </c>
      <c r="K4809" s="3" t="s">
        <v>23</v>
      </c>
    </row>
    <row r="4810" spans="1:11" ht="42" customHeight="1">
      <c r="A4810" s="2" t="s">
        <v>9567</v>
      </c>
      <c r="B4810" s="2" t="s">
        <v>9568</v>
      </c>
      <c r="C4810" s="2" t="s">
        <v>26</v>
      </c>
      <c r="D4810" s="2" t="s">
        <v>27</v>
      </c>
      <c r="E4810" s="5">
        <v>-29164</v>
      </c>
      <c r="F4810" s="3" t="s">
        <v>2516</v>
      </c>
      <c r="G4810" s="3" t="s">
        <v>256</v>
      </c>
      <c r="H4810" s="2" t="s">
        <v>21</v>
      </c>
      <c r="I4810" s="2" t="s">
        <v>9570</v>
      </c>
      <c r="J4810" s="3" t="str">
        <f>HYPERLINK("https://www.boe.es/gazeta/dias/1820/02/24/pdfs/GMD-1820-24.pdf#page=5","Abrir facsímil")</f>
        <v>Abrir facsímil</v>
      </c>
      <c r="K4810" s="3" t="s">
        <v>23</v>
      </c>
    </row>
    <row r="4811" spans="1:11" ht="42" customHeight="1">
      <c r="A4811" s="2" t="s">
        <v>9571</v>
      </c>
      <c r="B4811" s="2" t="s">
        <v>9571</v>
      </c>
      <c r="C4811" s="2" t="s">
        <v>17</v>
      </c>
      <c r="D4811" s="2" t="s">
        <v>18</v>
      </c>
      <c r="E4811" s="5">
        <v>-29002</v>
      </c>
      <c r="F4811" s="3" t="s">
        <v>124</v>
      </c>
      <c r="G4811" s="3" t="s">
        <v>20</v>
      </c>
      <c r="H4811" s="2" t="s">
        <v>21</v>
      </c>
      <c r="I4811" s="2" t="s">
        <v>9572</v>
      </c>
      <c r="J4811" s="3" t="str">
        <f>HYPERLINK("https://www.boe.es/gazeta/dias/1820/08/04/pdfs/GGB-1820-37.pdf#page=4","Abrir facsímil")</f>
        <v>Abrir facsímil</v>
      </c>
      <c r="K4811" s="3" t="s">
        <v>23</v>
      </c>
    </row>
    <row r="4812" spans="1:11" ht="42" customHeight="1">
      <c r="A4812" s="2" t="s">
        <v>9571</v>
      </c>
      <c r="B4812" s="2" t="s">
        <v>9571</v>
      </c>
      <c r="C4812" s="2" t="s">
        <v>74</v>
      </c>
      <c r="D4812" s="2" t="s">
        <v>18</v>
      </c>
      <c r="E4812" s="5">
        <v>-29000</v>
      </c>
      <c r="F4812" s="3" t="s">
        <v>670</v>
      </c>
      <c r="G4812" s="3" t="s">
        <v>62</v>
      </c>
      <c r="H4812" s="2" t="s">
        <v>21</v>
      </c>
      <c r="I4812" s="2" t="s">
        <v>9573</v>
      </c>
      <c r="J4812" s="3" t="str">
        <f>HYPERLINK("https://www.boe.es/gazeta/dias/1820/08/06/pdfs/GGB-1820-39.pdf#page=3","Abrir facsímil")</f>
        <v>Abrir facsímil</v>
      </c>
      <c r="K4812" s="3" t="s">
        <v>23</v>
      </c>
    </row>
    <row r="4813" spans="1:11" ht="42" customHeight="1">
      <c r="A4813" s="2" t="s">
        <v>9571</v>
      </c>
      <c r="B4813" s="2" t="s">
        <v>9571</v>
      </c>
      <c r="C4813" s="2" t="s">
        <v>26</v>
      </c>
      <c r="D4813" s="2" t="s">
        <v>27</v>
      </c>
      <c r="E4813" s="5">
        <v>-28989</v>
      </c>
      <c r="F4813" s="3" t="s">
        <v>809</v>
      </c>
      <c r="G4813" s="3" t="s">
        <v>43</v>
      </c>
      <c r="H4813" s="2" t="s">
        <v>21</v>
      </c>
      <c r="I4813" s="2" t="s">
        <v>9574</v>
      </c>
      <c r="J4813" s="3" t="str">
        <f>HYPERLINK("https://www.boe.es/gazeta/dias/1820/08/17/pdfs/GGB-1820-50.pdf#page=2","Abrir facsímil")</f>
        <v>Abrir facsímil</v>
      </c>
      <c r="K4813" s="3" t="s">
        <v>23</v>
      </c>
    </row>
    <row r="4814" spans="1:11" ht="42" customHeight="1">
      <c r="A4814" s="2" t="s">
        <v>9571</v>
      </c>
      <c r="B4814" s="2" t="s">
        <v>9571</v>
      </c>
      <c r="C4814" s="2" t="s">
        <v>35</v>
      </c>
      <c r="D4814" s="2" t="s">
        <v>36</v>
      </c>
      <c r="E4814" s="5">
        <v>-28981</v>
      </c>
      <c r="F4814" s="3" t="s">
        <v>42</v>
      </c>
      <c r="G4814" s="3" t="s">
        <v>62</v>
      </c>
      <c r="H4814" s="2" t="s">
        <v>21</v>
      </c>
      <c r="I4814" s="2" t="s">
        <v>9575</v>
      </c>
      <c r="J4814" s="3" t="str">
        <f>HYPERLINK("https://www.boe.es/gazeta/dias/1820/08/25/pdfs/GGB-1820-58.pdf#page=3","Abrir facsímil")</f>
        <v>Abrir facsímil</v>
      </c>
      <c r="K4814" s="3" t="s">
        <v>23</v>
      </c>
    </row>
    <row r="4815" spans="1:11" ht="42" customHeight="1">
      <c r="A4815" s="2" t="s">
        <v>9571</v>
      </c>
      <c r="B4815" s="2" t="s">
        <v>9571</v>
      </c>
      <c r="C4815" s="2" t="s">
        <v>35</v>
      </c>
      <c r="D4815" s="2" t="s">
        <v>36</v>
      </c>
      <c r="E4815" s="5">
        <v>-28931</v>
      </c>
      <c r="F4815" s="3" t="s">
        <v>724</v>
      </c>
      <c r="G4815" s="3" t="s">
        <v>43</v>
      </c>
      <c r="H4815" s="2" t="s">
        <v>21</v>
      </c>
      <c r="I4815" s="2" t="s">
        <v>9576</v>
      </c>
      <c r="J4815" s="3" t="str">
        <f>HYPERLINK("https://www.boe.es/gazeta/dias/1820/10/14/pdfs/GGB-1820-108.pdf#page=2","Abrir facsímil")</f>
        <v>Abrir facsímil</v>
      </c>
      <c r="K4815" s="3" t="s">
        <v>23</v>
      </c>
    </row>
    <row r="4816" spans="1:11" ht="42" customHeight="1">
      <c r="A4816" s="2" t="s">
        <v>9571</v>
      </c>
      <c r="B4816" s="2" t="s">
        <v>9571</v>
      </c>
      <c r="C4816" s="2" t="s">
        <v>47</v>
      </c>
      <c r="D4816" s="2" t="s">
        <v>18</v>
      </c>
      <c r="E4816" s="5">
        <v>-28907</v>
      </c>
      <c r="F4816" s="3" t="s">
        <v>374</v>
      </c>
      <c r="G4816" s="3" t="s">
        <v>43</v>
      </c>
      <c r="H4816" s="2" t="s">
        <v>21</v>
      </c>
      <c r="I4816" s="2" t="s">
        <v>9577</v>
      </c>
      <c r="J4816" s="3" t="str">
        <f>HYPERLINK("https://www.boe.es/gazeta/dias/1820/11/07/pdfs/GGB-1820-132.pdf#page=2","Abrir facsímil")</f>
        <v>Abrir facsímil</v>
      </c>
      <c r="K4816" s="3" t="s">
        <v>23</v>
      </c>
    </row>
    <row r="4817" spans="1:11" ht="42" customHeight="1">
      <c r="A4817" s="2" t="s">
        <v>9578</v>
      </c>
      <c r="B4817" s="2" t="s">
        <v>9579</v>
      </c>
      <c r="C4817" s="2" t="s">
        <v>35</v>
      </c>
      <c r="D4817" s="2" t="s">
        <v>36</v>
      </c>
      <c r="E4817" s="5">
        <v>-28904</v>
      </c>
      <c r="F4817" s="3" t="s">
        <v>541</v>
      </c>
      <c r="G4817" s="3" t="s">
        <v>43</v>
      </c>
      <c r="H4817" s="2" t="s">
        <v>21</v>
      </c>
      <c r="I4817" s="2" t="s">
        <v>9580</v>
      </c>
      <c r="J4817" s="3" t="str">
        <f>HYPERLINK("https://www.boe.es/gazeta/dias/1820/11/10/pdfs/GGB-1820-136.pdf#page=2","Abrir facsímil")</f>
        <v>Abrir facsímil</v>
      </c>
      <c r="K4817" s="3" t="s">
        <v>23</v>
      </c>
    </row>
    <row r="4818" spans="1:11" ht="42" customHeight="1">
      <c r="A4818" s="2" t="s">
        <v>9581</v>
      </c>
      <c r="B4818" s="2" t="s">
        <v>9582</v>
      </c>
      <c r="C4818" s="2" t="s">
        <v>35</v>
      </c>
      <c r="D4818" s="2" t="s">
        <v>36</v>
      </c>
      <c r="E4818" s="5">
        <v>-29159</v>
      </c>
      <c r="F4818" s="3" t="s">
        <v>1022</v>
      </c>
      <c r="G4818" s="3" t="s">
        <v>3766</v>
      </c>
      <c r="H4818" s="2" t="s">
        <v>21</v>
      </c>
      <c r="I4818" s="2" t="s">
        <v>9583</v>
      </c>
      <c r="J4818" s="3" t="str">
        <f>HYPERLINK("https://www.boe.es/gazeta/dias/1820/02/29/pdfs/GMD-1820-26.pdf#page=8","Abrir facsímil")</f>
        <v>Abrir facsímil</v>
      </c>
      <c r="K4818" s="3" t="s">
        <v>23</v>
      </c>
    </row>
    <row r="4819" spans="1:11" ht="42" customHeight="1">
      <c r="A4819" s="2" t="s">
        <v>9584</v>
      </c>
      <c r="B4819" s="2" t="s">
        <v>9585</v>
      </c>
      <c r="C4819" s="2" t="s">
        <v>35</v>
      </c>
      <c r="D4819" s="2" t="s">
        <v>36</v>
      </c>
      <c r="E4819" s="5">
        <v>-28929</v>
      </c>
      <c r="F4819" s="3" t="s">
        <v>728</v>
      </c>
      <c r="G4819" s="3" t="s">
        <v>20</v>
      </c>
      <c r="H4819" s="2" t="s">
        <v>21</v>
      </c>
      <c r="I4819" s="2" t="s">
        <v>9586</v>
      </c>
      <c r="J4819" s="3" t="str">
        <f>HYPERLINK("https://www.boe.es/gazeta/dias/1820/10/16/pdfs/GGB-1820-110.pdf#page=4","Abrir facsímil")</f>
        <v>Abrir facsímil</v>
      </c>
      <c r="K4819" s="3" t="s">
        <v>23</v>
      </c>
    </row>
    <row r="4820" spans="1:11" ht="42" customHeight="1">
      <c r="A4820" s="2" t="s">
        <v>9584</v>
      </c>
      <c r="B4820" s="2" t="s">
        <v>9585</v>
      </c>
      <c r="C4820" s="2" t="s">
        <v>35</v>
      </c>
      <c r="D4820" s="2" t="s">
        <v>36</v>
      </c>
      <c r="E4820" s="5">
        <v>-28901</v>
      </c>
      <c r="F4820" s="3" t="s">
        <v>1492</v>
      </c>
      <c r="G4820" s="3" t="s">
        <v>20</v>
      </c>
      <c r="H4820" s="2" t="s">
        <v>21</v>
      </c>
      <c r="I4820" s="2" t="s">
        <v>9587</v>
      </c>
      <c r="J4820" s="3" t="str">
        <f>HYPERLINK("https://www.boe.es/gazeta/dias/1820/11/13/pdfs/GGB-1820-139.pdf#page=4","Abrir facsímil")</f>
        <v>Abrir facsímil</v>
      </c>
      <c r="K4820" s="3" t="s">
        <v>23</v>
      </c>
    </row>
    <row r="4821" spans="1:11" ht="42" customHeight="1">
      <c r="A4821" s="2" t="s">
        <v>9588</v>
      </c>
      <c r="B4821" s="2" t="s">
        <v>9589</v>
      </c>
      <c r="C4821" s="2" t="s">
        <v>35</v>
      </c>
      <c r="D4821" s="2" t="s">
        <v>36</v>
      </c>
      <c r="E4821" s="5">
        <v>-29150</v>
      </c>
      <c r="F4821" s="3" t="s">
        <v>299</v>
      </c>
      <c r="G4821" s="3" t="s">
        <v>300</v>
      </c>
      <c r="H4821" s="2" t="s">
        <v>21</v>
      </c>
      <c r="I4821" s="2" t="s">
        <v>9590</v>
      </c>
      <c r="J4821" s="3" t="str">
        <f>HYPERLINK("https://www.boe.es/gazeta/dias/1820/03/09/pdfs/GMD-1820-32.pdf#page=8","Abrir facsímil")</f>
        <v>Abrir facsímil</v>
      </c>
      <c r="K4821" s="3" t="s">
        <v>23</v>
      </c>
    </row>
    <row r="4822" spans="1:11" ht="42" customHeight="1">
      <c r="A4822" s="2" t="s">
        <v>9591</v>
      </c>
      <c r="B4822" s="2" t="s">
        <v>9591</v>
      </c>
      <c r="C4822" s="2" t="s">
        <v>26</v>
      </c>
      <c r="D4822" s="2" t="s">
        <v>27</v>
      </c>
      <c r="E4822" s="5">
        <v>-29021</v>
      </c>
      <c r="F4822" s="3" t="s">
        <v>377</v>
      </c>
      <c r="G4822" s="3" t="s">
        <v>43</v>
      </c>
      <c r="H4822" s="2" t="s">
        <v>21</v>
      </c>
      <c r="I4822" s="2" t="s">
        <v>9592</v>
      </c>
      <c r="J4822" s="3" t="str">
        <f>HYPERLINK("https://www.boe.es/gazeta/dias/1820/07/16/pdfs/GGB-1820-18.pdf#page=2","Abrir facsímil")</f>
        <v>Abrir facsímil</v>
      </c>
      <c r="K4822" s="3" t="s">
        <v>23</v>
      </c>
    </row>
    <row r="4823" spans="1:11" ht="42" customHeight="1">
      <c r="A4823" s="2" t="s">
        <v>9593</v>
      </c>
      <c r="B4823" s="2" t="s">
        <v>9593</v>
      </c>
      <c r="C4823" s="2" t="s">
        <v>111</v>
      </c>
      <c r="D4823" s="2" t="s">
        <v>18</v>
      </c>
      <c r="E4823" s="5">
        <v>-29192</v>
      </c>
      <c r="F4823" s="3" t="s">
        <v>497</v>
      </c>
      <c r="G4823" s="3" t="s">
        <v>256</v>
      </c>
      <c r="H4823" s="2" t="s">
        <v>21</v>
      </c>
      <c r="I4823" s="2" t="s">
        <v>9594</v>
      </c>
      <c r="J4823" s="3" t="str">
        <f>HYPERLINK("https://www.boe.es/gazeta/dias/1820/01/27/pdfs/GMD-1820-12.pdf#page=5","Abrir facsímil")</f>
        <v>Abrir facsímil</v>
      </c>
      <c r="K4823" s="3" t="s">
        <v>23</v>
      </c>
    </row>
    <row r="4824" spans="1:11" ht="42" customHeight="1">
      <c r="A4824" s="2" t="s">
        <v>9593</v>
      </c>
      <c r="B4824" s="2" t="s">
        <v>9593</v>
      </c>
      <c r="C4824" s="2" t="s">
        <v>26</v>
      </c>
      <c r="D4824" s="2" t="s">
        <v>27</v>
      </c>
      <c r="E4824" s="5">
        <v>-29162</v>
      </c>
      <c r="F4824" s="3" t="s">
        <v>2134</v>
      </c>
      <c r="G4824" s="3" t="s">
        <v>128</v>
      </c>
      <c r="H4824" s="2" t="s">
        <v>21</v>
      </c>
      <c r="I4824" s="2" t="s">
        <v>9595</v>
      </c>
      <c r="J4824" s="3" t="str">
        <f>HYPERLINK("https://www.boe.es/gazeta/dias/1820/02/26/pdfs/GMD-1820-25.pdf#page=1","Abrir facsímil")</f>
        <v>Abrir facsímil</v>
      </c>
      <c r="K4824" s="3" t="s">
        <v>23</v>
      </c>
    </row>
    <row r="4825" spans="1:11" ht="42" customHeight="1">
      <c r="A4825" s="2" t="s">
        <v>9593</v>
      </c>
      <c r="B4825" s="2" t="s">
        <v>9593</v>
      </c>
      <c r="C4825" s="2" t="s">
        <v>35</v>
      </c>
      <c r="D4825" s="2" t="s">
        <v>36</v>
      </c>
      <c r="E4825" s="5">
        <v>-29136</v>
      </c>
      <c r="F4825" s="3" t="s">
        <v>2972</v>
      </c>
      <c r="G4825" s="3" t="s">
        <v>62</v>
      </c>
      <c r="H4825" s="2" t="s">
        <v>21</v>
      </c>
      <c r="I4825" s="2" t="s">
        <v>9596</v>
      </c>
      <c r="J4825" s="3" t="str">
        <f>HYPERLINK("https://www.boe.es/gazeta/dias/1820/03/23/pdfs/GMD-1820-51.pdf#page=3","Abrir facsímil")</f>
        <v>Abrir facsímil</v>
      </c>
      <c r="K4825" s="3" t="s">
        <v>23</v>
      </c>
    </row>
    <row r="4826" spans="1:11" ht="42" customHeight="1">
      <c r="A4826" s="2" t="s">
        <v>9593</v>
      </c>
      <c r="B4826" s="2" t="s">
        <v>9593</v>
      </c>
      <c r="C4826" s="2" t="s">
        <v>35</v>
      </c>
      <c r="D4826" s="2" t="s">
        <v>36</v>
      </c>
      <c r="E4826" s="5">
        <v>-29113</v>
      </c>
      <c r="F4826" s="3" t="s">
        <v>501</v>
      </c>
      <c r="G4826" s="3" t="s">
        <v>62</v>
      </c>
      <c r="H4826" s="2" t="s">
        <v>21</v>
      </c>
      <c r="I4826" s="2" t="s">
        <v>9597</v>
      </c>
      <c r="J4826" s="3" t="str">
        <f>HYPERLINK("https://www.boe.es/gazeta/dias/1820/04/15/pdfs/GMD-1820-66.pdf#page=3","Abrir facsímil")</f>
        <v>Abrir facsímil</v>
      </c>
      <c r="K4826" s="3" t="s">
        <v>23</v>
      </c>
    </row>
    <row r="4827" spans="1:11" ht="42" customHeight="1">
      <c r="A4827" s="2" t="s">
        <v>9593</v>
      </c>
      <c r="B4827" s="2" t="s">
        <v>9593</v>
      </c>
      <c r="C4827" s="2" t="s">
        <v>35</v>
      </c>
      <c r="D4827" s="2" t="s">
        <v>36</v>
      </c>
      <c r="E4827" s="5">
        <v>-29036</v>
      </c>
      <c r="F4827" s="3" t="s">
        <v>1167</v>
      </c>
      <c r="G4827" s="3" t="s">
        <v>43</v>
      </c>
      <c r="H4827" s="2" t="s">
        <v>21</v>
      </c>
      <c r="I4827" s="2" t="s">
        <v>9598</v>
      </c>
      <c r="J4827" s="3" t="str">
        <f>HYPERLINK("https://www.boe.es/gazeta/dias/1820/07/01/pdfs/GGB-1820-1.pdf#page=2","Abrir facsímil")</f>
        <v>Abrir facsímil</v>
      </c>
      <c r="K4827" s="3" t="s">
        <v>23</v>
      </c>
    </row>
    <row r="4828" spans="1:11" ht="42" customHeight="1">
      <c r="A4828" s="2" t="s">
        <v>9593</v>
      </c>
      <c r="B4828" s="2" t="s">
        <v>9593</v>
      </c>
      <c r="C4828" s="2" t="s">
        <v>26</v>
      </c>
      <c r="D4828" s="2" t="s">
        <v>27</v>
      </c>
      <c r="E4828" s="5">
        <v>-29020</v>
      </c>
      <c r="F4828" s="3" t="s">
        <v>756</v>
      </c>
      <c r="G4828" s="3" t="s">
        <v>128</v>
      </c>
      <c r="H4828" s="2" t="s">
        <v>21</v>
      </c>
      <c r="I4828" s="2" t="s">
        <v>9599</v>
      </c>
      <c r="J4828" s="3" t="str">
        <f>HYPERLINK("https://www.boe.es/gazeta/dias/1820/07/17/pdfs/GGB-1820-19.pdf#page=1","Abrir facsímil")</f>
        <v>Abrir facsímil</v>
      </c>
      <c r="K4828" s="3" t="s">
        <v>23</v>
      </c>
    </row>
    <row r="4829" spans="1:11" ht="42" customHeight="1">
      <c r="A4829" s="2" t="s">
        <v>9593</v>
      </c>
      <c r="B4829" s="2" t="s">
        <v>9593</v>
      </c>
      <c r="C4829" s="2" t="s">
        <v>74</v>
      </c>
      <c r="D4829" s="2" t="s">
        <v>18</v>
      </c>
      <c r="E4829" s="5">
        <v>-29013</v>
      </c>
      <c r="F4829" s="3" t="s">
        <v>52</v>
      </c>
      <c r="G4829" s="3" t="s">
        <v>128</v>
      </c>
      <c r="H4829" s="2" t="s">
        <v>21</v>
      </c>
      <c r="I4829" s="2" t="s">
        <v>9600</v>
      </c>
      <c r="J4829" s="3" t="str">
        <f>HYPERLINK("https://www.boe.es/gazeta/dias/1820/07/24/pdfs/GGB-1820-26.pdf#page=1","Abrir facsímil")</f>
        <v>Abrir facsímil</v>
      </c>
      <c r="K4829" s="3" t="s">
        <v>23</v>
      </c>
    </row>
    <row r="4830" spans="1:11" ht="42" customHeight="1">
      <c r="A4830" s="2" t="s">
        <v>9593</v>
      </c>
      <c r="B4830" s="2" t="s">
        <v>9593</v>
      </c>
      <c r="C4830" s="2" t="s">
        <v>26</v>
      </c>
      <c r="D4830" s="2" t="s">
        <v>27</v>
      </c>
      <c r="E4830" s="5">
        <v>-29012</v>
      </c>
      <c r="F4830" s="3" t="s">
        <v>72</v>
      </c>
      <c r="G4830" s="3" t="s">
        <v>128</v>
      </c>
      <c r="H4830" s="2" t="s">
        <v>21</v>
      </c>
      <c r="I4830" s="2" t="s">
        <v>9601</v>
      </c>
      <c r="J4830" s="3" t="str">
        <f>HYPERLINK("https://www.boe.es/gazeta/dias/1820/07/25/pdfs/GGB-1820-27.pdf#page=1","Abrir facsímil")</f>
        <v>Abrir facsímil</v>
      </c>
      <c r="K4830" s="3" t="s">
        <v>23</v>
      </c>
    </row>
    <row r="4831" spans="1:11" ht="42" customHeight="1">
      <c r="A4831" s="2" t="s">
        <v>9593</v>
      </c>
      <c r="B4831" s="2" t="s">
        <v>9593</v>
      </c>
      <c r="C4831" s="2" t="s">
        <v>17</v>
      </c>
      <c r="D4831" s="2" t="s">
        <v>18</v>
      </c>
      <c r="E4831" s="5">
        <v>-28917</v>
      </c>
      <c r="F4831" s="3" t="s">
        <v>19</v>
      </c>
      <c r="G4831" s="3" t="s">
        <v>43</v>
      </c>
      <c r="H4831" s="2" t="s">
        <v>21</v>
      </c>
      <c r="I4831" s="2" t="s">
        <v>9602</v>
      </c>
      <c r="J4831" s="3" t="str">
        <f>HYPERLINK("https://www.boe.es/gazeta/dias/1820/10/28/pdfs/GGB-1820-122.pdf#page=2","Abrir facsímil")</f>
        <v>Abrir facsímil</v>
      </c>
      <c r="K4831" s="3" t="s">
        <v>23</v>
      </c>
    </row>
    <row r="4832" spans="1:11" ht="42" customHeight="1">
      <c r="A4832" s="2" t="s">
        <v>9603</v>
      </c>
      <c r="B4832" s="2" t="s">
        <v>9604</v>
      </c>
      <c r="C4832" s="2" t="s">
        <v>107</v>
      </c>
      <c r="D4832" s="2" t="s">
        <v>18</v>
      </c>
      <c r="E4832" s="5">
        <v>-28869</v>
      </c>
      <c r="F4832" s="3" t="s">
        <v>449</v>
      </c>
      <c r="G4832" s="3" t="s">
        <v>450</v>
      </c>
      <c r="H4832" s="2" t="s">
        <v>21</v>
      </c>
      <c r="I4832" s="2" t="s">
        <v>9605</v>
      </c>
      <c r="J4832" s="3" t="str">
        <f>HYPERLINK("https://www.boe.es/gazeta/dias/1820/12/15/pdfs/GGB-1820-172.pdf#page=4","Abrir facsímil")</f>
        <v>Abrir facsímil</v>
      </c>
      <c r="K4832" s="3" t="s">
        <v>23</v>
      </c>
    </row>
    <row r="4833" spans="1:11" ht="42" customHeight="1">
      <c r="A4833" s="2" t="s">
        <v>9606</v>
      </c>
      <c r="B4833" s="2" t="s">
        <v>9607</v>
      </c>
      <c r="C4833" s="2" t="s">
        <v>26</v>
      </c>
      <c r="D4833" s="2" t="s">
        <v>27</v>
      </c>
      <c r="E4833" s="5">
        <v>-29008</v>
      </c>
      <c r="F4833" s="3" t="s">
        <v>2250</v>
      </c>
      <c r="G4833" s="3" t="s">
        <v>128</v>
      </c>
      <c r="H4833" s="2" t="s">
        <v>21</v>
      </c>
      <c r="I4833" s="2" t="s">
        <v>9608</v>
      </c>
      <c r="J4833" s="3" t="str">
        <f>HYPERLINK("https://www.boe.es/gazeta/dias/1820/07/29/pdfs/GGB-1820-31.pdf#page=1","Abrir facsímil")</f>
        <v>Abrir facsímil</v>
      </c>
      <c r="K4833" s="3" t="s">
        <v>23</v>
      </c>
    </row>
    <row r="4834" spans="1:11" ht="42" customHeight="1">
      <c r="A4834" s="2" t="s">
        <v>9609</v>
      </c>
      <c r="B4834" s="2" t="s">
        <v>9610</v>
      </c>
      <c r="C4834" s="2" t="s">
        <v>17</v>
      </c>
      <c r="D4834" s="2" t="s">
        <v>18</v>
      </c>
      <c r="E4834" s="5">
        <v>-29004</v>
      </c>
      <c r="F4834" s="3" t="s">
        <v>75</v>
      </c>
      <c r="G4834" s="3" t="s">
        <v>128</v>
      </c>
      <c r="H4834" s="2" t="s">
        <v>30</v>
      </c>
      <c r="I4834" s="2" t="s">
        <v>9611</v>
      </c>
      <c r="J4834" s="3" t="str">
        <f>HYPERLINK("https://www.boe.es/gazeta/dias/1820/08/02/pdfs/GGB-1820-35.pdf#page=1","Abrir facsímil")</f>
        <v>Abrir facsímil</v>
      </c>
      <c r="K4834" s="3" t="s">
        <v>32</v>
      </c>
    </row>
    <row r="4835" spans="1:11" ht="42" customHeight="1">
      <c r="A4835" s="2" t="s">
        <v>9612</v>
      </c>
      <c r="B4835" s="2" t="s">
        <v>9613</v>
      </c>
      <c r="C4835" s="2" t="s">
        <v>35</v>
      </c>
      <c r="D4835" s="2" t="s">
        <v>36</v>
      </c>
      <c r="E4835" s="5">
        <v>-28867</v>
      </c>
      <c r="F4835" s="3" t="s">
        <v>590</v>
      </c>
      <c r="G4835" s="3" t="s">
        <v>43</v>
      </c>
      <c r="H4835" s="2" t="s">
        <v>30</v>
      </c>
      <c r="I4835" s="2" t="s">
        <v>9614</v>
      </c>
      <c r="J4835" s="3" t="str">
        <f>HYPERLINK("https://www.boe.es/gazeta/dias/1820/12/17/pdfs/GGB-1820-174.pdf#page=2","Abrir facsímil")</f>
        <v>Abrir facsímil</v>
      </c>
      <c r="K4835" s="3" t="s">
        <v>32</v>
      </c>
    </row>
    <row r="4836" spans="1:11" ht="42" customHeight="1">
      <c r="A4836" s="2" t="s">
        <v>9615</v>
      </c>
      <c r="B4836" s="2" t="s">
        <v>9616</v>
      </c>
      <c r="C4836" s="2" t="s">
        <v>17</v>
      </c>
      <c r="D4836" s="2" t="s">
        <v>18</v>
      </c>
      <c r="E4836" s="5">
        <v>-28855</v>
      </c>
      <c r="F4836" s="3" t="s">
        <v>2055</v>
      </c>
      <c r="G4836" s="3" t="s">
        <v>62</v>
      </c>
      <c r="H4836" s="2" t="s">
        <v>21</v>
      </c>
      <c r="I4836" s="2" t="s">
        <v>9617</v>
      </c>
      <c r="J4836" s="3" t="str">
        <f>HYPERLINK("https://www.boe.es/gazeta/dias/1820/12/29/pdfs/GGB-1820-186.pdf#page=3","Abrir facsímil")</f>
        <v>Abrir facsímil</v>
      </c>
      <c r="K4836" s="3" t="s">
        <v>23</v>
      </c>
    </row>
    <row r="4837" spans="1:11" ht="42" customHeight="1">
      <c r="A4837" s="2" t="s">
        <v>9618</v>
      </c>
      <c r="B4837" s="2" t="s">
        <v>9619</v>
      </c>
      <c r="C4837" s="2" t="s">
        <v>35</v>
      </c>
      <c r="D4837" s="2" t="s">
        <v>36</v>
      </c>
      <c r="E4837" s="5">
        <v>-29004</v>
      </c>
      <c r="F4837" s="3" t="s">
        <v>75</v>
      </c>
      <c r="G4837" s="3" t="s">
        <v>128</v>
      </c>
      <c r="H4837" s="2" t="s">
        <v>30</v>
      </c>
      <c r="I4837" s="2" t="s">
        <v>9620</v>
      </c>
      <c r="J4837" s="3" t="str">
        <f>HYPERLINK("https://www.boe.es/gazeta/dias/1820/08/02/pdfs/GGB-1820-35.pdf#page=1","Abrir facsímil")</f>
        <v>Abrir facsímil</v>
      </c>
      <c r="K4837" s="3" t="s">
        <v>32</v>
      </c>
    </row>
    <row r="4838" spans="1:11" ht="42" customHeight="1">
      <c r="A4838" s="2" t="s">
        <v>9621</v>
      </c>
      <c r="B4838" s="2" t="s">
        <v>9622</v>
      </c>
      <c r="C4838" s="2" t="s">
        <v>26</v>
      </c>
      <c r="D4838" s="2" t="s">
        <v>27</v>
      </c>
      <c r="E4838" s="5">
        <v>-28906</v>
      </c>
      <c r="F4838" s="3" t="s">
        <v>232</v>
      </c>
      <c r="G4838" s="3" t="s">
        <v>128</v>
      </c>
      <c r="H4838" s="2" t="s">
        <v>30</v>
      </c>
      <c r="I4838" s="2" t="s">
        <v>9623</v>
      </c>
      <c r="J4838" s="3" t="str">
        <f>HYPERLINK("https://www.boe.es/gazeta/dias/1820/11/08/pdfs/GGB-1820-133.pdf#page=1","Abrir facsímil")</f>
        <v>Abrir facsímil</v>
      </c>
      <c r="K4838" s="3" t="s">
        <v>32</v>
      </c>
    </row>
    <row r="4839" spans="1:11" ht="42" customHeight="1">
      <c r="A4839" s="2" t="s">
        <v>9624</v>
      </c>
      <c r="B4839" s="2" t="s">
        <v>9625</v>
      </c>
      <c r="C4839" s="2" t="s">
        <v>26</v>
      </c>
      <c r="D4839" s="2" t="s">
        <v>27</v>
      </c>
      <c r="E4839" s="5">
        <v>-29008</v>
      </c>
      <c r="F4839" s="3" t="s">
        <v>2250</v>
      </c>
      <c r="G4839" s="3" t="s">
        <v>43</v>
      </c>
      <c r="H4839" s="2" t="s">
        <v>21</v>
      </c>
      <c r="I4839" s="2" t="s">
        <v>9626</v>
      </c>
      <c r="J4839" s="3" t="str">
        <f>HYPERLINK("https://www.boe.es/gazeta/dias/1820/07/29/pdfs/GGB-1820-31.pdf#page=2","Abrir facsímil")</f>
        <v>Abrir facsímil</v>
      </c>
      <c r="K4839" s="3" t="s">
        <v>23</v>
      </c>
    </row>
    <row r="4840" spans="1:11" ht="42" customHeight="1">
      <c r="A4840" s="2" t="s">
        <v>9627</v>
      </c>
      <c r="B4840" s="2" t="s">
        <v>9628</v>
      </c>
      <c r="C4840" s="2" t="s">
        <v>26</v>
      </c>
      <c r="D4840" s="2" t="s">
        <v>27</v>
      </c>
      <c r="E4840" s="5">
        <v>-29124</v>
      </c>
      <c r="F4840" s="3" t="s">
        <v>4097</v>
      </c>
      <c r="G4840" s="3" t="s">
        <v>43</v>
      </c>
      <c r="H4840" s="2" t="s">
        <v>30</v>
      </c>
      <c r="I4840" s="2" t="s">
        <v>9629</v>
      </c>
      <c r="J4840" s="3" t="str">
        <f>HYPERLINK("https://www.boe.es/gazeta/dias/1820/04/04/pdfs/GMD-1820-60.pdf#page=2","Abrir facsímil")</f>
        <v>Abrir facsímil</v>
      </c>
      <c r="K4840" s="3" t="s">
        <v>32</v>
      </c>
    </row>
    <row r="4841" spans="1:11" ht="42" customHeight="1">
      <c r="A4841" s="2" t="s">
        <v>9630</v>
      </c>
      <c r="B4841" s="2" t="s">
        <v>9630</v>
      </c>
      <c r="C4841" s="2" t="s">
        <v>17</v>
      </c>
      <c r="D4841" s="2" t="s">
        <v>18</v>
      </c>
      <c r="E4841" s="5">
        <v>-28949</v>
      </c>
      <c r="F4841" s="3" t="s">
        <v>178</v>
      </c>
      <c r="G4841" s="3" t="s">
        <v>62</v>
      </c>
      <c r="H4841" s="2" t="s">
        <v>21</v>
      </c>
      <c r="I4841" s="2" t="s">
        <v>9631</v>
      </c>
      <c r="J4841" s="3" t="str">
        <f>HYPERLINK("https://www.boe.es/gazeta/dias/1820/09/26/pdfs/GGB-1820-90.pdf#page=3","Abrir facsímil")</f>
        <v>Abrir facsímil</v>
      </c>
      <c r="K4841" s="3" t="s">
        <v>23</v>
      </c>
    </row>
    <row r="4842" spans="1:11" ht="42" customHeight="1">
      <c r="A4842" s="2" t="s">
        <v>9632</v>
      </c>
      <c r="B4842" s="2" t="s">
        <v>9632</v>
      </c>
      <c r="C4842" s="2" t="s">
        <v>26</v>
      </c>
      <c r="D4842" s="2" t="s">
        <v>27</v>
      </c>
      <c r="E4842" s="5">
        <v>-29008</v>
      </c>
      <c r="F4842" s="3" t="s">
        <v>2250</v>
      </c>
      <c r="G4842" s="3" t="s">
        <v>62</v>
      </c>
      <c r="H4842" s="2" t="s">
        <v>21</v>
      </c>
      <c r="I4842" s="2" t="s">
        <v>9633</v>
      </c>
      <c r="J4842" s="3" t="str">
        <f>HYPERLINK("https://www.boe.es/gazeta/dias/1820/07/29/pdfs/GGB-1820-31.pdf#page=3","Abrir facsímil")</f>
        <v>Abrir facsímil</v>
      </c>
      <c r="K4842" s="3" t="s">
        <v>23</v>
      </c>
    </row>
    <row r="4843" spans="1:11" ht="42" customHeight="1">
      <c r="A4843" s="2" t="s">
        <v>9632</v>
      </c>
      <c r="B4843" s="2" t="s">
        <v>9632</v>
      </c>
      <c r="C4843" s="2" t="s">
        <v>35</v>
      </c>
      <c r="D4843" s="2" t="s">
        <v>36</v>
      </c>
      <c r="E4843" s="5">
        <v>-28982</v>
      </c>
      <c r="F4843" s="3" t="s">
        <v>173</v>
      </c>
      <c r="G4843" s="3" t="s">
        <v>529</v>
      </c>
      <c r="H4843" s="2" t="s">
        <v>21</v>
      </c>
      <c r="I4843" s="2" t="s">
        <v>9634</v>
      </c>
      <c r="J4843" s="3" t="str">
        <f>HYPERLINK("https://www.boe.es/gazeta/dias/1820/08/24/pdfs/GGB-1820-57.pdf#page=4","Abrir facsímil")</f>
        <v>Abrir facsímil</v>
      </c>
      <c r="K4843" s="3" t="s">
        <v>23</v>
      </c>
    </row>
    <row r="4844" spans="1:11" ht="42" customHeight="1">
      <c r="A4844" s="2" t="s">
        <v>9632</v>
      </c>
      <c r="B4844" s="2" t="s">
        <v>9632</v>
      </c>
      <c r="C4844" s="2" t="s">
        <v>74</v>
      </c>
      <c r="D4844" s="2" t="s">
        <v>18</v>
      </c>
      <c r="E4844" s="5">
        <v>-28952</v>
      </c>
      <c r="F4844" s="3" t="s">
        <v>370</v>
      </c>
      <c r="G4844" s="3" t="s">
        <v>62</v>
      </c>
      <c r="H4844" s="2" t="s">
        <v>21</v>
      </c>
      <c r="I4844" s="2" t="s">
        <v>9635</v>
      </c>
      <c r="J4844" s="3" t="str">
        <f>HYPERLINK("https://www.boe.es/gazeta/dias/1820/09/23/pdfs/GGB-1820-87.pdf#page=3","Abrir facsímil")</f>
        <v>Abrir facsímil</v>
      </c>
      <c r="K4844" s="3" t="s">
        <v>23</v>
      </c>
    </row>
    <row r="4845" spans="1:11" ht="42" customHeight="1">
      <c r="A4845" s="2" t="s">
        <v>9636</v>
      </c>
      <c r="B4845" s="2" t="s">
        <v>9636</v>
      </c>
      <c r="C4845" s="2" t="s">
        <v>26</v>
      </c>
      <c r="D4845" s="2" t="s">
        <v>27</v>
      </c>
      <c r="E4845" s="5">
        <v>-29001</v>
      </c>
      <c r="F4845" s="3" t="s">
        <v>633</v>
      </c>
      <c r="G4845" s="3" t="s">
        <v>128</v>
      </c>
      <c r="H4845" s="2" t="s">
        <v>21</v>
      </c>
      <c r="I4845" s="2" t="s">
        <v>9637</v>
      </c>
      <c r="J4845" s="3" t="str">
        <f>HYPERLINK("https://www.boe.es/gazeta/dias/1820/08/05/pdfs/GGB-1820-38.pdf#page=1","Abrir facsímil")</f>
        <v>Abrir facsímil</v>
      </c>
      <c r="K4845" s="3" t="s">
        <v>23</v>
      </c>
    </row>
    <row r="4846" spans="1:11" ht="42" customHeight="1">
      <c r="A4846" s="2" t="s">
        <v>9638</v>
      </c>
      <c r="B4846" s="2" t="s">
        <v>9639</v>
      </c>
      <c r="C4846" s="2" t="s">
        <v>293</v>
      </c>
      <c r="D4846" s="2" t="s">
        <v>18</v>
      </c>
      <c r="E4846" s="5">
        <v>-28934</v>
      </c>
      <c r="F4846" s="3" t="s">
        <v>163</v>
      </c>
      <c r="G4846" s="3" t="s">
        <v>62</v>
      </c>
      <c r="H4846" s="2" t="s">
        <v>30</v>
      </c>
      <c r="I4846" s="2" t="s">
        <v>9640</v>
      </c>
      <c r="J4846" s="3" t="str">
        <f>HYPERLINK("https://www.boe.es/gazeta/dias/1820/10/11/pdfs/GGB-1820-105.pdf#page=3","Abrir facsímil")</f>
        <v>Abrir facsímil</v>
      </c>
      <c r="K4846" s="3" t="s">
        <v>32</v>
      </c>
    </row>
    <row r="4847" spans="1:11" ht="42" customHeight="1">
      <c r="A4847" s="2" t="s">
        <v>9641</v>
      </c>
      <c r="B4847" s="2" t="s">
        <v>9641</v>
      </c>
      <c r="C4847" s="2" t="s">
        <v>26</v>
      </c>
      <c r="D4847" s="2" t="s">
        <v>27</v>
      </c>
      <c r="E4847" s="5">
        <v>-29078</v>
      </c>
      <c r="F4847" s="3" t="s">
        <v>260</v>
      </c>
      <c r="G4847" s="3" t="s">
        <v>62</v>
      </c>
      <c r="H4847" s="2" t="s">
        <v>21</v>
      </c>
      <c r="I4847" s="2" t="s">
        <v>9642</v>
      </c>
      <c r="J4847" s="3" t="str">
        <f>HYPERLINK("https://www.boe.es/gazeta/dias/1820/05/20/pdfs/GMD-1820-83.pdf#page=3","Abrir facsímil")</f>
        <v>Abrir facsímil</v>
      </c>
      <c r="K4847" s="3" t="s">
        <v>23</v>
      </c>
    </row>
    <row r="4848" spans="1:11" ht="42" customHeight="1">
      <c r="A4848" s="2" t="s">
        <v>9643</v>
      </c>
      <c r="B4848" s="2" t="s">
        <v>9644</v>
      </c>
      <c r="C4848" s="2" t="s">
        <v>26</v>
      </c>
      <c r="D4848" s="2" t="s">
        <v>27</v>
      </c>
      <c r="E4848" s="5">
        <v>-29029</v>
      </c>
      <c r="F4848" s="3" t="s">
        <v>282</v>
      </c>
      <c r="G4848" s="3" t="s">
        <v>62</v>
      </c>
      <c r="H4848" s="2" t="s">
        <v>21</v>
      </c>
      <c r="I4848" s="2" t="s">
        <v>9645</v>
      </c>
      <c r="J4848" s="3" t="str">
        <f>HYPERLINK("https://www.boe.es/gazeta/dias/1820/07/08/pdfs/GGB-1820-9.pdf#page=3","Abrir facsímil")</f>
        <v>Abrir facsímil</v>
      </c>
      <c r="K4848" s="3" t="s">
        <v>23</v>
      </c>
    </row>
    <row r="4849" spans="1:11" ht="42" customHeight="1">
      <c r="A4849" s="2" t="s">
        <v>9646</v>
      </c>
      <c r="B4849" s="2" t="s">
        <v>9647</v>
      </c>
      <c r="C4849" s="2" t="s">
        <v>26</v>
      </c>
      <c r="D4849" s="2" t="s">
        <v>27</v>
      </c>
      <c r="E4849" s="5">
        <v>-29029</v>
      </c>
      <c r="F4849" s="3" t="s">
        <v>282</v>
      </c>
      <c r="G4849" s="3" t="s">
        <v>20</v>
      </c>
      <c r="H4849" s="2" t="s">
        <v>21</v>
      </c>
      <c r="I4849" s="2" t="s">
        <v>9648</v>
      </c>
      <c r="J4849" s="3" t="str">
        <f>HYPERLINK("https://www.boe.es/gazeta/dias/1820/07/08/pdfs/GGB-1820-9.pdf#page=4","Abrir facsímil")</f>
        <v>Abrir facsímil</v>
      </c>
      <c r="K4849" s="3" t="s">
        <v>23</v>
      </c>
    </row>
    <row r="4850" spans="1:11" ht="42" customHeight="1">
      <c r="A4850" s="2" t="s">
        <v>9649</v>
      </c>
      <c r="B4850" s="2" t="s">
        <v>9650</v>
      </c>
      <c r="C4850" s="2" t="s">
        <v>107</v>
      </c>
      <c r="D4850" s="2" t="s">
        <v>18</v>
      </c>
      <c r="E4850" s="5">
        <v>-28865</v>
      </c>
      <c r="F4850" s="3" t="s">
        <v>136</v>
      </c>
      <c r="G4850" s="3" t="s">
        <v>137</v>
      </c>
      <c r="H4850" s="2" t="s">
        <v>21</v>
      </c>
      <c r="I4850" s="2" t="s">
        <v>9651</v>
      </c>
      <c r="J4850" s="3" t="str">
        <f>HYPERLINK("https://www.boe.es/gazeta/dias/1820/12/19/pdfs/GGB-1820-176.pdf#page=3","Abrir facsímil")</f>
        <v>Abrir facsímil</v>
      </c>
      <c r="K4850" s="3" t="s">
        <v>23</v>
      </c>
    </row>
    <row r="4851" spans="1:11" ht="42" customHeight="1">
      <c r="A4851" s="2" t="s">
        <v>9652</v>
      </c>
      <c r="B4851" s="2" t="s">
        <v>9653</v>
      </c>
      <c r="C4851" s="2" t="s">
        <v>111</v>
      </c>
      <c r="D4851" s="2" t="s">
        <v>18</v>
      </c>
      <c r="E4851" s="5">
        <v>-28947</v>
      </c>
      <c r="F4851" s="3" t="s">
        <v>127</v>
      </c>
      <c r="G4851" s="3" t="s">
        <v>20</v>
      </c>
      <c r="H4851" s="2" t="s">
        <v>21</v>
      </c>
      <c r="I4851" s="2" t="s">
        <v>9654</v>
      </c>
      <c r="J4851" s="3" t="str">
        <f>HYPERLINK("https://www.boe.es/gazeta/dias/1820/09/28/pdfs/GGB-1820-92.pdf#page=4","Abrir facsímil")</f>
        <v>Abrir facsímil</v>
      </c>
      <c r="K4851" s="3" t="s">
        <v>23</v>
      </c>
    </row>
    <row r="4852" spans="1:11" ht="42" customHeight="1">
      <c r="A4852" s="2" t="s">
        <v>9655</v>
      </c>
      <c r="B4852" s="2" t="s">
        <v>9655</v>
      </c>
      <c r="C4852" s="2" t="s">
        <v>74</v>
      </c>
      <c r="D4852" s="2" t="s">
        <v>18</v>
      </c>
      <c r="E4852" s="5">
        <v>-29026</v>
      </c>
      <c r="F4852" s="3" t="s">
        <v>1197</v>
      </c>
      <c r="G4852" s="3" t="s">
        <v>62</v>
      </c>
      <c r="H4852" s="2" t="s">
        <v>21</v>
      </c>
      <c r="I4852" s="2" t="s">
        <v>9656</v>
      </c>
      <c r="J4852" s="3" t="str">
        <f>HYPERLINK("https://www.boe.es/gazeta/dias/1820/07/11/pdfs/GGB-1820-13.pdf#page=3","Abrir facsímil")</f>
        <v>Abrir facsímil</v>
      </c>
      <c r="K4852" s="3" t="s">
        <v>23</v>
      </c>
    </row>
    <row r="4853" spans="1:11" ht="42" customHeight="1">
      <c r="A4853" s="2" t="s">
        <v>9655</v>
      </c>
      <c r="B4853" s="2" t="s">
        <v>9655</v>
      </c>
      <c r="C4853" s="2" t="s">
        <v>74</v>
      </c>
      <c r="D4853" s="2" t="s">
        <v>18</v>
      </c>
      <c r="E4853" s="5">
        <v>-29010</v>
      </c>
      <c r="F4853" s="3" t="s">
        <v>664</v>
      </c>
      <c r="G4853" s="3" t="s">
        <v>773</v>
      </c>
      <c r="H4853" s="2" t="s">
        <v>21</v>
      </c>
      <c r="I4853" s="2" t="s">
        <v>9657</v>
      </c>
      <c r="J4853" s="3" t="str">
        <f>HYPERLINK("https://www.boe.es/gazeta/dias/1820/07/27/pdfs/GGB-1820-29.pdf#page=4","Abrir facsímil")</f>
        <v>Abrir facsímil</v>
      </c>
      <c r="K4853" s="3" t="s">
        <v>23</v>
      </c>
    </row>
    <row r="4854" spans="1:11" ht="42" customHeight="1">
      <c r="A4854" s="2" t="s">
        <v>9655</v>
      </c>
      <c r="B4854" s="2" t="s">
        <v>9655</v>
      </c>
      <c r="C4854" s="2" t="s">
        <v>26</v>
      </c>
      <c r="D4854" s="2" t="s">
        <v>27</v>
      </c>
      <c r="E4854" s="5">
        <v>-28968</v>
      </c>
      <c r="F4854" s="3" t="s">
        <v>66</v>
      </c>
      <c r="G4854" s="3" t="s">
        <v>62</v>
      </c>
      <c r="H4854" s="2" t="s">
        <v>21</v>
      </c>
      <c r="I4854" s="2" t="s">
        <v>9658</v>
      </c>
      <c r="J4854" s="3" t="str">
        <f>HYPERLINK("https://www.boe.es/gazeta/dias/1820/09/07/pdfs/GGB-1820-71.pdf#page=3","Abrir facsímil")</f>
        <v>Abrir facsímil</v>
      </c>
      <c r="K4854" s="3" t="s">
        <v>23</v>
      </c>
    </row>
    <row r="4855" spans="1:11" ht="42" customHeight="1">
      <c r="A4855" s="2" t="s">
        <v>9659</v>
      </c>
      <c r="B4855" s="2" t="s">
        <v>9660</v>
      </c>
      <c r="C4855" s="2" t="s">
        <v>111</v>
      </c>
      <c r="D4855" s="2" t="s">
        <v>18</v>
      </c>
      <c r="E4855" s="5">
        <v>-28966</v>
      </c>
      <c r="F4855" s="3" t="s">
        <v>701</v>
      </c>
      <c r="G4855" s="3" t="s">
        <v>20</v>
      </c>
      <c r="H4855" s="2" t="s">
        <v>21</v>
      </c>
      <c r="I4855" s="2" t="s">
        <v>9661</v>
      </c>
      <c r="J4855" s="3" t="str">
        <f>HYPERLINK("https://www.boe.es/gazeta/dias/1820/09/09/pdfs/GGB-1820-73.pdf#page=4","Abrir facsímil")</f>
        <v>Abrir facsímil</v>
      </c>
      <c r="K4855" s="3" t="s">
        <v>23</v>
      </c>
    </row>
    <row r="4856" spans="1:11" ht="42" customHeight="1">
      <c r="A4856" s="2" t="s">
        <v>9662</v>
      </c>
      <c r="B4856" s="2" t="s">
        <v>9663</v>
      </c>
      <c r="C4856" s="2" t="s">
        <v>35</v>
      </c>
      <c r="D4856" s="2" t="s">
        <v>36</v>
      </c>
      <c r="E4856" s="5">
        <v>-28899</v>
      </c>
      <c r="F4856" s="3" t="s">
        <v>285</v>
      </c>
      <c r="G4856" s="3" t="s">
        <v>20</v>
      </c>
      <c r="H4856" s="2" t="s">
        <v>21</v>
      </c>
      <c r="I4856" s="2" t="s">
        <v>9664</v>
      </c>
      <c r="J4856" s="3" t="str">
        <f>HYPERLINK("https://www.boe.es/gazeta/dias/1820/11/15/pdfs/GGB-1820-141.pdf#page=4","Abrir facsímil")</f>
        <v>Abrir facsímil</v>
      </c>
      <c r="K4856" s="3" t="s">
        <v>23</v>
      </c>
    </row>
    <row r="4857" spans="1:11" ht="42" customHeight="1">
      <c r="A4857" s="2" t="s">
        <v>9665</v>
      </c>
      <c r="B4857" s="2" t="s">
        <v>9666</v>
      </c>
      <c r="C4857" s="2" t="s">
        <v>111</v>
      </c>
      <c r="D4857" s="2" t="s">
        <v>18</v>
      </c>
      <c r="E4857" s="5">
        <v>-29040</v>
      </c>
      <c r="F4857" s="3" t="s">
        <v>1125</v>
      </c>
      <c r="G4857" s="3" t="s">
        <v>2489</v>
      </c>
      <c r="H4857" s="2" t="s">
        <v>30</v>
      </c>
      <c r="I4857" s="2" t="s">
        <v>9667</v>
      </c>
      <c r="J4857" s="3" t="str">
        <f>HYPERLINK("https://www.boe.es/gazeta/dias/1820/06/27/pdfs/GMD-1820-99.pdf#page=9","Abrir facsímil")</f>
        <v>Abrir facsímil</v>
      </c>
      <c r="K4857" s="3" t="s">
        <v>32</v>
      </c>
    </row>
    <row r="4858" spans="1:11" ht="42" customHeight="1">
      <c r="A4858" s="2" t="s">
        <v>9668</v>
      </c>
      <c r="B4858" s="2" t="s">
        <v>9668</v>
      </c>
      <c r="C4858" s="2" t="s">
        <v>35</v>
      </c>
      <c r="D4858" s="2" t="s">
        <v>36</v>
      </c>
      <c r="E4858" s="5">
        <v>-29201</v>
      </c>
      <c r="F4858" s="3" t="s">
        <v>411</v>
      </c>
      <c r="G4858" s="3" t="s">
        <v>43</v>
      </c>
      <c r="H4858" s="2" t="s">
        <v>21</v>
      </c>
      <c r="I4858" s="2" t="s">
        <v>9669</v>
      </c>
      <c r="J4858" s="3" t="str">
        <f>HYPERLINK("https://www.boe.es/gazeta/dias/1820/01/18/pdfs/GMD-1820-8.pdf#page=2","Abrir facsímil")</f>
        <v>Abrir facsímil</v>
      </c>
      <c r="K4858" s="3" t="s">
        <v>23</v>
      </c>
    </row>
    <row r="4859" spans="1:11" ht="42" customHeight="1">
      <c r="A4859" s="2" t="s">
        <v>9670</v>
      </c>
      <c r="B4859" s="2" t="s">
        <v>9671</v>
      </c>
      <c r="C4859" s="2" t="s">
        <v>26</v>
      </c>
      <c r="D4859" s="2" t="s">
        <v>27</v>
      </c>
      <c r="E4859" s="5">
        <v>-29068</v>
      </c>
      <c r="F4859" s="3" t="s">
        <v>943</v>
      </c>
      <c r="G4859" s="3" t="s">
        <v>256</v>
      </c>
      <c r="H4859" s="2" t="s">
        <v>21</v>
      </c>
      <c r="I4859" s="2" t="s">
        <v>9672</v>
      </c>
      <c r="J4859" s="3" t="str">
        <f>HYPERLINK("https://www.boe.es/gazeta/dias/1820/05/30/pdfs/GMD-1820-87.pdf#page=5","Abrir facsímil")</f>
        <v>Abrir facsímil</v>
      </c>
      <c r="K4859" s="3" t="s">
        <v>23</v>
      </c>
    </row>
    <row r="4860" spans="1:11" ht="42" customHeight="1">
      <c r="A4860" s="2" t="s">
        <v>9673</v>
      </c>
      <c r="B4860" s="2" t="s">
        <v>9674</v>
      </c>
      <c r="C4860" s="2" t="s">
        <v>26</v>
      </c>
      <c r="D4860" s="2" t="s">
        <v>27</v>
      </c>
      <c r="E4860" s="5">
        <v>-28858</v>
      </c>
      <c r="F4860" s="3" t="s">
        <v>117</v>
      </c>
      <c r="G4860" s="3" t="s">
        <v>20</v>
      </c>
      <c r="H4860" s="2" t="s">
        <v>21</v>
      </c>
      <c r="I4860" s="2" t="s">
        <v>9675</v>
      </c>
      <c r="J4860" s="3" t="str">
        <f>HYPERLINK("https://www.boe.es/gazeta/dias/1820/12/26/pdfs/GGB-1820-183.pdf#page=4","Abrir facsímil")</f>
        <v>Abrir facsímil</v>
      </c>
      <c r="K4860" s="3" t="s">
        <v>23</v>
      </c>
    </row>
    <row r="4861" spans="1:11" ht="42" customHeight="1">
      <c r="A4861" s="2" t="s">
        <v>9676</v>
      </c>
      <c r="B4861" s="2" t="s">
        <v>9677</v>
      </c>
      <c r="C4861" s="2" t="s">
        <v>17</v>
      </c>
      <c r="D4861" s="2" t="s">
        <v>18</v>
      </c>
      <c r="E4861" s="5">
        <v>-29187</v>
      </c>
      <c r="F4861" s="3" t="s">
        <v>859</v>
      </c>
      <c r="G4861" s="3" t="s">
        <v>256</v>
      </c>
      <c r="H4861" s="2" t="s">
        <v>21</v>
      </c>
      <c r="I4861" s="2" t="s">
        <v>9678</v>
      </c>
      <c r="J4861" s="3" t="str">
        <f>HYPERLINK("https://www.boe.es/gazeta/dias/1820/02/01/pdfs/GMD-1820-14.pdf#page=5","Abrir facsímil")</f>
        <v>Abrir facsímil</v>
      </c>
      <c r="K4861" s="3" t="s">
        <v>23</v>
      </c>
    </row>
    <row r="4862" spans="1:11" ht="42" customHeight="1">
      <c r="A4862" s="2" t="s">
        <v>9679</v>
      </c>
      <c r="B4862" s="2" t="s">
        <v>9679</v>
      </c>
      <c r="C4862" s="2" t="s">
        <v>17</v>
      </c>
      <c r="D4862" s="2" t="s">
        <v>18</v>
      </c>
      <c r="E4862" s="5">
        <v>-28918</v>
      </c>
      <c r="F4862" s="3" t="s">
        <v>160</v>
      </c>
      <c r="G4862" s="3" t="s">
        <v>62</v>
      </c>
      <c r="H4862" s="2" t="s">
        <v>21</v>
      </c>
      <c r="I4862" s="2" t="s">
        <v>9680</v>
      </c>
      <c r="J4862" s="3" t="str">
        <f>HYPERLINK("https://www.boe.es/gazeta/dias/1820/10/27/pdfs/GGB-1820-121.pdf#page=3","Abrir facsímil")</f>
        <v>Abrir facsímil</v>
      </c>
      <c r="K4862" s="3" t="s">
        <v>23</v>
      </c>
    </row>
    <row r="4863" spans="1:11" ht="42" customHeight="1">
      <c r="A4863" s="2" t="s">
        <v>9681</v>
      </c>
      <c r="B4863" s="2" t="s">
        <v>9681</v>
      </c>
      <c r="C4863" s="2" t="s">
        <v>26</v>
      </c>
      <c r="D4863" s="2" t="s">
        <v>27</v>
      </c>
      <c r="E4863" s="5">
        <v>-28996</v>
      </c>
      <c r="F4863" s="3" t="s">
        <v>636</v>
      </c>
      <c r="G4863" s="3" t="s">
        <v>128</v>
      </c>
      <c r="H4863" s="2" t="s">
        <v>21</v>
      </c>
      <c r="I4863" s="2" t="s">
        <v>9682</v>
      </c>
      <c r="J4863" s="3" t="str">
        <f>HYPERLINK("https://www.boe.es/gazeta/dias/1820/08/10/pdfs/GGB-1820-43.pdf#page=1","Abrir facsímil")</f>
        <v>Abrir facsímil</v>
      </c>
      <c r="K4863" s="3" t="s">
        <v>23</v>
      </c>
    </row>
    <row r="4864" spans="1:11" ht="42" customHeight="1">
      <c r="A4864" s="2" t="s">
        <v>9683</v>
      </c>
      <c r="B4864" s="2" t="s">
        <v>9684</v>
      </c>
      <c r="C4864" s="2" t="s">
        <v>111</v>
      </c>
      <c r="D4864" s="2" t="s">
        <v>18</v>
      </c>
      <c r="E4864" s="5">
        <v>-29040</v>
      </c>
      <c r="F4864" s="3" t="s">
        <v>1125</v>
      </c>
      <c r="G4864" s="3" t="s">
        <v>2789</v>
      </c>
      <c r="H4864" s="2" t="s">
        <v>30</v>
      </c>
      <c r="I4864" s="2" t="s">
        <v>9685</v>
      </c>
      <c r="J4864" s="3" t="str">
        <f>HYPERLINK("https://www.boe.es/gazeta/dias/1820/06/27/pdfs/GMD-1820-99.pdf#page=12","Abrir facsímil")</f>
        <v>Abrir facsímil</v>
      </c>
      <c r="K4864" s="3" t="s">
        <v>32</v>
      </c>
    </row>
    <row r="4865" spans="1:11" ht="42" customHeight="1">
      <c r="A4865" s="2" t="s">
        <v>9686</v>
      </c>
      <c r="B4865" s="2" t="s">
        <v>9687</v>
      </c>
      <c r="C4865" s="2" t="s">
        <v>293</v>
      </c>
      <c r="D4865" s="2" t="s">
        <v>18</v>
      </c>
      <c r="E4865" s="5">
        <v>-28974</v>
      </c>
      <c r="F4865" s="3" t="s">
        <v>1144</v>
      </c>
      <c r="G4865" s="3" t="s">
        <v>43</v>
      </c>
      <c r="H4865" s="2" t="s">
        <v>30</v>
      </c>
      <c r="I4865" s="2" t="s">
        <v>9688</v>
      </c>
      <c r="J4865" s="3" t="str">
        <f>HYPERLINK("https://www.boe.es/gazeta/dias/1820/09/01/pdfs/GGB-1820-65.pdf#page=2","Abrir facsímil")</f>
        <v>Abrir facsímil</v>
      </c>
      <c r="K4865" s="3" t="s">
        <v>32</v>
      </c>
    </row>
    <row r="4866" spans="1:11" ht="42" customHeight="1">
      <c r="A4866" s="2" t="s">
        <v>9689</v>
      </c>
      <c r="B4866" s="2" t="s">
        <v>9689</v>
      </c>
      <c r="C4866" s="2" t="s">
        <v>17</v>
      </c>
      <c r="D4866" s="2" t="s">
        <v>18</v>
      </c>
      <c r="E4866" s="5">
        <v>-28952</v>
      </c>
      <c r="F4866" s="3" t="s">
        <v>370</v>
      </c>
      <c r="G4866" s="3" t="s">
        <v>20</v>
      </c>
      <c r="H4866" s="2" t="s">
        <v>21</v>
      </c>
      <c r="I4866" s="2" t="s">
        <v>9690</v>
      </c>
      <c r="J4866" s="3" t="str">
        <f>HYPERLINK("https://www.boe.es/gazeta/dias/1820/09/23/pdfs/GGB-1820-87.pdf#page=4","Abrir facsímil")</f>
        <v>Abrir facsímil</v>
      </c>
      <c r="K4866" s="3" t="s">
        <v>23</v>
      </c>
    </row>
    <row r="4867" spans="1:11" ht="42" customHeight="1">
      <c r="A4867" s="2" t="s">
        <v>9691</v>
      </c>
      <c r="B4867" s="2" t="s">
        <v>9692</v>
      </c>
      <c r="C4867" s="2" t="s">
        <v>17</v>
      </c>
      <c r="D4867" s="2" t="s">
        <v>18</v>
      </c>
      <c r="E4867" s="5">
        <v>-28988</v>
      </c>
      <c r="F4867" s="3" t="s">
        <v>618</v>
      </c>
      <c r="G4867" s="3" t="s">
        <v>62</v>
      </c>
      <c r="H4867" s="2" t="s">
        <v>21</v>
      </c>
      <c r="I4867" s="2" t="s">
        <v>9693</v>
      </c>
      <c r="J4867" s="3" t="str">
        <f>HYPERLINK("https://www.boe.es/gazeta/dias/1820/08/18/pdfs/GGB-1820-51.pdf#page=3","Abrir facsímil")</f>
        <v>Abrir facsímil</v>
      </c>
      <c r="K4867" s="3" t="s">
        <v>23</v>
      </c>
    </row>
    <row r="4868" spans="1:11" ht="42" customHeight="1">
      <c r="A4868" s="2" t="s">
        <v>9694</v>
      </c>
      <c r="B4868" s="2" t="s">
        <v>9695</v>
      </c>
      <c r="C4868" s="2" t="s">
        <v>74</v>
      </c>
      <c r="D4868" s="2" t="s">
        <v>18</v>
      </c>
      <c r="E4868" s="5">
        <v>-29000</v>
      </c>
      <c r="F4868" s="3" t="s">
        <v>670</v>
      </c>
      <c r="G4868" s="3" t="s">
        <v>62</v>
      </c>
      <c r="H4868" s="2" t="s">
        <v>30</v>
      </c>
      <c r="I4868" s="2" t="s">
        <v>9696</v>
      </c>
      <c r="J4868" s="3" t="str">
        <f>HYPERLINK("https://www.boe.es/gazeta/dias/1820/08/06/pdfs/GGB-1820-39.pdf#page=3","Abrir facsímil")</f>
        <v>Abrir facsímil</v>
      </c>
      <c r="K4868" s="3" t="s">
        <v>32</v>
      </c>
    </row>
    <row r="4869" spans="1:11" ht="42" customHeight="1">
      <c r="A4869" s="2" t="s">
        <v>9697</v>
      </c>
      <c r="B4869" s="2" t="s">
        <v>9698</v>
      </c>
      <c r="C4869" s="2" t="s">
        <v>26</v>
      </c>
      <c r="D4869" s="2" t="s">
        <v>27</v>
      </c>
      <c r="E4869" s="5">
        <v>-28889</v>
      </c>
      <c r="F4869" s="3" t="s">
        <v>777</v>
      </c>
      <c r="G4869" s="3" t="s">
        <v>778</v>
      </c>
      <c r="H4869" s="2" t="s">
        <v>21</v>
      </c>
      <c r="I4869" s="2" t="s">
        <v>9699</v>
      </c>
      <c r="J4869" s="3" t="str">
        <f>HYPERLINK("https://www.boe.es/gazeta/dias/1820/11/25/pdfs/GGB-1820-152.pdf#page=4","Abrir facsímil")</f>
        <v>Abrir facsímil</v>
      </c>
      <c r="K4869" s="3" t="s">
        <v>23</v>
      </c>
    </row>
    <row r="4870" spans="1:11" ht="42" customHeight="1">
      <c r="A4870" s="2" t="s">
        <v>9700</v>
      </c>
      <c r="B4870" s="2" t="s">
        <v>9701</v>
      </c>
      <c r="C4870" s="2" t="s">
        <v>26</v>
      </c>
      <c r="D4870" s="2" t="s">
        <v>27</v>
      </c>
      <c r="E4870" s="5">
        <v>-28986</v>
      </c>
      <c r="F4870" s="3" t="s">
        <v>488</v>
      </c>
      <c r="G4870" s="3" t="s">
        <v>128</v>
      </c>
      <c r="H4870" s="2" t="s">
        <v>21</v>
      </c>
      <c r="I4870" s="2" t="s">
        <v>9702</v>
      </c>
      <c r="J4870" s="3" t="str">
        <f>HYPERLINK("https://www.boe.es/gazeta/dias/1820/08/20/pdfs/GGB-1820-53.pdf#page=1","Abrir facsímil")</f>
        <v>Abrir facsímil</v>
      </c>
      <c r="K4870" s="3" t="s">
        <v>23</v>
      </c>
    </row>
    <row r="4871" spans="1:11" ht="42" customHeight="1">
      <c r="A4871" s="2" t="s">
        <v>9703</v>
      </c>
      <c r="B4871" s="2" t="s">
        <v>9704</v>
      </c>
      <c r="C4871" s="2" t="s">
        <v>26</v>
      </c>
      <c r="D4871" s="2" t="s">
        <v>27</v>
      </c>
      <c r="E4871" s="5">
        <v>-28866</v>
      </c>
      <c r="F4871" s="3" t="s">
        <v>507</v>
      </c>
      <c r="G4871" s="3" t="s">
        <v>62</v>
      </c>
      <c r="H4871" s="2" t="s">
        <v>21</v>
      </c>
      <c r="I4871" s="2" t="s">
        <v>9705</v>
      </c>
      <c r="J4871" s="3" t="str">
        <f>HYPERLINK("https://www.boe.es/gazeta/dias/1820/12/18/pdfs/GGB-1820-175.pdf#page=3","Abrir facsímil")</f>
        <v>Abrir facsímil</v>
      </c>
      <c r="K4871" s="3" t="s">
        <v>23</v>
      </c>
    </row>
    <row r="4872" spans="1:11" ht="42" customHeight="1">
      <c r="A4872" s="2" t="s">
        <v>9706</v>
      </c>
      <c r="B4872" s="2" t="s">
        <v>9706</v>
      </c>
      <c r="C4872" s="2" t="s">
        <v>35</v>
      </c>
      <c r="D4872" s="2" t="s">
        <v>36</v>
      </c>
      <c r="E4872" s="5">
        <v>-28958</v>
      </c>
      <c r="F4872" s="3" t="s">
        <v>706</v>
      </c>
      <c r="G4872" s="3" t="s">
        <v>43</v>
      </c>
      <c r="H4872" s="2" t="s">
        <v>21</v>
      </c>
      <c r="I4872" s="2" t="s">
        <v>9707</v>
      </c>
      <c r="J4872" s="3" t="str">
        <f>HYPERLINK("https://www.boe.es/gazeta/dias/1820/09/17/pdfs/GGB-1820-81.pdf#page=2","Abrir facsímil")</f>
        <v>Abrir facsímil</v>
      </c>
      <c r="K4872" s="3" t="s">
        <v>23</v>
      </c>
    </row>
    <row r="4873" spans="1:11" ht="42" customHeight="1">
      <c r="A4873" s="2" t="s">
        <v>9708</v>
      </c>
      <c r="B4873" s="2" t="s">
        <v>9709</v>
      </c>
      <c r="C4873" s="2" t="s">
        <v>111</v>
      </c>
      <c r="D4873" s="2" t="s">
        <v>18</v>
      </c>
      <c r="E4873" s="5">
        <v>-29068</v>
      </c>
      <c r="F4873" s="3" t="s">
        <v>943</v>
      </c>
      <c r="G4873" s="3" t="s">
        <v>975</v>
      </c>
      <c r="H4873" s="2" t="s">
        <v>21</v>
      </c>
      <c r="I4873" s="2" t="s">
        <v>9710</v>
      </c>
      <c r="J4873" s="3" t="str">
        <f>HYPERLINK("https://www.boe.es/gazeta/dias/1820/05/30/pdfs/GMD-1820-87.pdf#page=12","Abrir facsímil")</f>
        <v>Abrir facsímil</v>
      </c>
      <c r="K4873" s="3" t="s">
        <v>23</v>
      </c>
    </row>
    <row r="4874" spans="1:11" ht="42" customHeight="1">
      <c r="A4874" s="2" t="s">
        <v>9711</v>
      </c>
      <c r="B4874" s="2" t="s">
        <v>9712</v>
      </c>
      <c r="C4874" s="2" t="s">
        <v>17</v>
      </c>
      <c r="D4874" s="2" t="s">
        <v>18</v>
      </c>
      <c r="E4874" s="5">
        <v>-28931</v>
      </c>
      <c r="F4874" s="3" t="s">
        <v>724</v>
      </c>
      <c r="G4874" s="3" t="s">
        <v>20</v>
      </c>
      <c r="H4874" s="2" t="s">
        <v>21</v>
      </c>
      <c r="I4874" s="2" t="s">
        <v>9713</v>
      </c>
      <c r="J4874" s="3" t="str">
        <f>HYPERLINK("https://www.boe.es/gazeta/dias/1820/10/14/pdfs/GGB-1820-108.pdf#page=4","Abrir facsímil")</f>
        <v>Abrir facsímil</v>
      </c>
      <c r="K4874" s="3" t="s">
        <v>23</v>
      </c>
    </row>
    <row r="4875" spans="1:11" ht="42" customHeight="1">
      <c r="A4875" s="2" t="s">
        <v>9714</v>
      </c>
      <c r="B4875" s="2" t="s">
        <v>9714</v>
      </c>
      <c r="C4875" s="2" t="s">
        <v>26</v>
      </c>
      <c r="D4875" s="2" t="s">
        <v>27</v>
      </c>
      <c r="E4875" s="5">
        <v>-28990</v>
      </c>
      <c r="F4875" s="3" t="s">
        <v>61</v>
      </c>
      <c r="G4875" s="3" t="s">
        <v>128</v>
      </c>
      <c r="H4875" s="2" t="s">
        <v>21</v>
      </c>
      <c r="I4875" s="2" t="s">
        <v>9715</v>
      </c>
      <c r="J4875" s="3" t="str">
        <f>HYPERLINK("https://www.boe.es/gazeta/dias/1820/08/16/pdfs/GGB-1820-49.pdf#page=1","Abrir facsímil")</f>
        <v>Abrir facsímil</v>
      </c>
      <c r="K4875" s="3" t="s">
        <v>23</v>
      </c>
    </row>
    <row r="4876" spans="1:11" ht="42" customHeight="1">
      <c r="A4876" s="2" t="s">
        <v>9714</v>
      </c>
      <c r="B4876" s="2" t="s">
        <v>9714</v>
      </c>
      <c r="C4876" s="2" t="s">
        <v>26</v>
      </c>
      <c r="D4876" s="2" t="s">
        <v>27</v>
      </c>
      <c r="E4876" s="5">
        <v>-28957</v>
      </c>
      <c r="F4876" s="3" t="s">
        <v>361</v>
      </c>
      <c r="G4876" s="3" t="s">
        <v>128</v>
      </c>
      <c r="H4876" s="2" t="s">
        <v>21</v>
      </c>
      <c r="I4876" s="2" t="s">
        <v>9716</v>
      </c>
      <c r="J4876" s="3" t="str">
        <f>HYPERLINK("https://www.boe.es/gazeta/dias/1820/09/18/pdfs/GGB-1820-82.pdf#page=1","Abrir facsímil")</f>
        <v>Abrir facsímil</v>
      </c>
      <c r="K4876" s="3" t="s">
        <v>23</v>
      </c>
    </row>
    <row r="4877" spans="1:11" ht="42" customHeight="1">
      <c r="A4877" s="2" t="s">
        <v>9714</v>
      </c>
      <c r="B4877" s="2" t="s">
        <v>9714</v>
      </c>
      <c r="C4877" s="2" t="s">
        <v>26</v>
      </c>
      <c r="D4877" s="2" t="s">
        <v>27</v>
      </c>
      <c r="E4877" s="5">
        <v>-28858</v>
      </c>
      <c r="F4877" s="3" t="s">
        <v>117</v>
      </c>
      <c r="G4877" s="3" t="s">
        <v>43</v>
      </c>
      <c r="H4877" s="2" t="s">
        <v>21</v>
      </c>
      <c r="I4877" s="2" t="s">
        <v>9717</v>
      </c>
      <c r="J4877" s="3" t="str">
        <f>HYPERLINK("https://www.boe.es/gazeta/dias/1820/12/26/pdfs/GGB-1820-183.pdf#page=2","Abrir facsímil")</f>
        <v>Abrir facsímil</v>
      </c>
      <c r="K4877" s="3" t="s">
        <v>23</v>
      </c>
    </row>
    <row r="4878" spans="1:11" ht="42" customHeight="1">
      <c r="A4878" s="2" t="s">
        <v>9718</v>
      </c>
      <c r="B4878" s="2" t="s">
        <v>9718</v>
      </c>
      <c r="C4878" s="2" t="s">
        <v>26</v>
      </c>
      <c r="D4878" s="2" t="s">
        <v>27</v>
      </c>
      <c r="E4878" s="5">
        <v>-28889</v>
      </c>
      <c r="F4878" s="3" t="s">
        <v>777</v>
      </c>
      <c r="G4878" s="3" t="s">
        <v>128</v>
      </c>
      <c r="H4878" s="2" t="s">
        <v>21</v>
      </c>
      <c r="I4878" s="2" t="s">
        <v>9719</v>
      </c>
      <c r="J4878" s="3" t="str">
        <f>HYPERLINK("https://www.boe.es/gazeta/dias/1820/11/25/pdfs/GGB-1820-152.pdf#page=1","Abrir facsímil")</f>
        <v>Abrir facsímil</v>
      </c>
      <c r="K4878" s="3" t="s">
        <v>23</v>
      </c>
    </row>
    <row r="4879" spans="1:11" ht="42" customHeight="1">
      <c r="A4879" s="2" t="s">
        <v>9718</v>
      </c>
      <c r="B4879" s="2" t="s">
        <v>9718</v>
      </c>
      <c r="C4879" s="2" t="s">
        <v>26</v>
      </c>
      <c r="D4879" s="2" t="s">
        <v>27</v>
      </c>
      <c r="E4879" s="5">
        <v>-28887</v>
      </c>
      <c r="F4879" s="3" t="s">
        <v>2098</v>
      </c>
      <c r="G4879" s="3" t="s">
        <v>128</v>
      </c>
      <c r="H4879" s="2" t="s">
        <v>21</v>
      </c>
      <c r="I4879" s="2" t="s">
        <v>9720</v>
      </c>
      <c r="J4879" s="3" t="str">
        <f>HYPERLINK("https://www.boe.es/gazeta/dias/1820/11/27/pdfs/GGB-1820-154.pdf#page=1","Abrir facsímil")</f>
        <v>Abrir facsímil</v>
      </c>
      <c r="K4879" s="3" t="s">
        <v>23</v>
      </c>
    </row>
    <row r="4880" spans="1:11" ht="42" customHeight="1">
      <c r="A4880" s="2" t="s">
        <v>9721</v>
      </c>
      <c r="B4880" s="2" t="s">
        <v>9721</v>
      </c>
      <c r="C4880" s="2" t="s">
        <v>26</v>
      </c>
      <c r="D4880" s="2" t="s">
        <v>27</v>
      </c>
      <c r="E4880" s="5">
        <v>-28882</v>
      </c>
      <c r="F4880" s="3" t="s">
        <v>1245</v>
      </c>
      <c r="G4880" s="3" t="s">
        <v>128</v>
      </c>
      <c r="H4880" s="2" t="s">
        <v>21</v>
      </c>
      <c r="I4880" s="2" t="s">
        <v>9722</v>
      </c>
      <c r="J4880" s="3" t="str">
        <f>HYPERLINK("https://www.boe.es/gazeta/dias/1820/12/02/pdfs/GGB-1820-159.pdf#page=1","Abrir facsímil")</f>
        <v>Abrir facsímil</v>
      </c>
      <c r="K4880" s="3" t="s">
        <v>23</v>
      </c>
    </row>
    <row r="4881" spans="1:11" ht="42" customHeight="1">
      <c r="A4881" s="2" t="s">
        <v>9723</v>
      </c>
      <c r="B4881" s="2" t="s">
        <v>9723</v>
      </c>
      <c r="C4881" s="2" t="s">
        <v>26</v>
      </c>
      <c r="D4881" s="2" t="s">
        <v>27</v>
      </c>
      <c r="E4881" s="5">
        <v>-28861</v>
      </c>
      <c r="F4881" s="3" t="s">
        <v>894</v>
      </c>
      <c r="G4881" s="3" t="s">
        <v>128</v>
      </c>
      <c r="H4881" s="2" t="s">
        <v>21</v>
      </c>
      <c r="I4881" s="2" t="s">
        <v>9724</v>
      </c>
      <c r="J4881" s="3" t="str">
        <f>HYPERLINK("https://www.boe.es/gazeta/dias/1820/12/23/pdfs/GGB-1820-180.pdf#page=1","Abrir facsímil")</f>
        <v>Abrir facsímil</v>
      </c>
      <c r="K4881" s="3" t="s">
        <v>23</v>
      </c>
    </row>
    <row r="4882" spans="1:11" ht="42" customHeight="1">
      <c r="A4882" s="2" t="s">
        <v>9725</v>
      </c>
      <c r="B4882" s="2" t="s">
        <v>9725</v>
      </c>
      <c r="C4882" s="2" t="s">
        <v>17</v>
      </c>
      <c r="D4882" s="2" t="s">
        <v>18</v>
      </c>
      <c r="E4882" s="5">
        <v>-28968</v>
      </c>
      <c r="F4882" s="3" t="s">
        <v>66</v>
      </c>
      <c r="G4882" s="3" t="s">
        <v>62</v>
      </c>
      <c r="H4882" s="2" t="s">
        <v>21</v>
      </c>
      <c r="I4882" s="2" t="s">
        <v>9726</v>
      </c>
      <c r="J4882" s="3" t="str">
        <f>HYPERLINK("https://www.boe.es/gazeta/dias/1820/09/07/pdfs/GGB-1820-71.pdf#page=3","Abrir facsímil")</f>
        <v>Abrir facsímil</v>
      </c>
      <c r="K4882" s="3" t="s">
        <v>23</v>
      </c>
    </row>
    <row r="4883" spans="1:11" ht="42" customHeight="1">
      <c r="A4883" s="2" t="s">
        <v>9727</v>
      </c>
      <c r="B4883" s="2" t="s">
        <v>9727</v>
      </c>
      <c r="C4883" s="2" t="s">
        <v>26</v>
      </c>
      <c r="D4883" s="2" t="s">
        <v>27</v>
      </c>
      <c r="E4883" s="5">
        <v>-28982</v>
      </c>
      <c r="F4883" s="3" t="s">
        <v>173</v>
      </c>
      <c r="G4883" s="3" t="s">
        <v>62</v>
      </c>
      <c r="H4883" s="2" t="s">
        <v>21</v>
      </c>
      <c r="I4883" s="2" t="s">
        <v>9728</v>
      </c>
      <c r="J4883" s="3" t="str">
        <f>HYPERLINK("https://www.boe.es/gazeta/dias/1820/08/24/pdfs/GGB-1820-57.pdf#page=3","Abrir facsímil")</f>
        <v>Abrir facsímil</v>
      </c>
      <c r="K4883" s="3" t="s">
        <v>23</v>
      </c>
    </row>
    <row r="4884" spans="1:11" ht="42" customHeight="1">
      <c r="A4884" s="2" t="s">
        <v>9727</v>
      </c>
      <c r="B4884" s="2" t="s">
        <v>9727</v>
      </c>
      <c r="C4884" s="2" t="s">
        <v>74</v>
      </c>
      <c r="D4884" s="2" t="s">
        <v>18</v>
      </c>
      <c r="E4884" s="5">
        <v>-28980</v>
      </c>
      <c r="F4884" s="3" t="s">
        <v>614</v>
      </c>
      <c r="G4884" s="3" t="s">
        <v>3062</v>
      </c>
      <c r="H4884" s="2" t="s">
        <v>21</v>
      </c>
      <c r="I4884" s="2" t="s">
        <v>9729</v>
      </c>
      <c r="J4884" s="3" t="str">
        <f>HYPERLINK("https://www.boe.es/gazeta/dias/1820/08/26/pdfs/GGB-1820-59.pdf#page=2","Abrir facsímil")</f>
        <v>Abrir facsímil</v>
      </c>
      <c r="K4884" s="3" t="s">
        <v>23</v>
      </c>
    </row>
    <row r="4885" spans="1:11" ht="42" customHeight="1">
      <c r="A4885" s="2" t="s">
        <v>9727</v>
      </c>
      <c r="B4885" s="2" t="s">
        <v>9727</v>
      </c>
      <c r="C4885" s="2" t="s">
        <v>111</v>
      </c>
      <c r="D4885" s="2" t="s">
        <v>18</v>
      </c>
      <c r="E4885" s="5">
        <v>-28968</v>
      </c>
      <c r="F4885" s="3" t="s">
        <v>66</v>
      </c>
      <c r="G4885" s="3" t="s">
        <v>62</v>
      </c>
      <c r="H4885" s="2" t="s">
        <v>21</v>
      </c>
      <c r="I4885" s="2" t="s">
        <v>9730</v>
      </c>
      <c r="J4885" s="3" t="str">
        <f>HYPERLINK("https://www.boe.es/gazeta/dias/1820/09/07/pdfs/GGB-1820-71.pdf#page=3","Abrir facsímil")</f>
        <v>Abrir facsímil</v>
      </c>
      <c r="K4885" s="3" t="s">
        <v>23</v>
      </c>
    </row>
    <row r="4886" spans="1:11" ht="42" customHeight="1">
      <c r="A4886" s="2" t="s">
        <v>9727</v>
      </c>
      <c r="B4886" s="2" t="s">
        <v>9727</v>
      </c>
      <c r="C4886" s="2" t="s">
        <v>26</v>
      </c>
      <c r="D4886" s="2" t="s">
        <v>27</v>
      </c>
      <c r="E4886" s="5">
        <v>-28955</v>
      </c>
      <c r="F4886" s="3" t="s">
        <v>175</v>
      </c>
      <c r="G4886" s="3" t="s">
        <v>62</v>
      </c>
      <c r="H4886" s="2" t="s">
        <v>21</v>
      </c>
      <c r="I4886" s="2" t="s">
        <v>9731</v>
      </c>
      <c r="J4886" s="3" t="str">
        <f>HYPERLINK("https://www.boe.es/gazeta/dias/1820/09/20/pdfs/GGB-1820-84.pdf#page=3","Abrir facsímil")</f>
        <v>Abrir facsímil</v>
      </c>
      <c r="K4886" s="3" t="s">
        <v>23</v>
      </c>
    </row>
    <row r="4887" spans="1:11" ht="42" customHeight="1">
      <c r="A4887" s="2" t="s">
        <v>9727</v>
      </c>
      <c r="B4887" s="2" t="s">
        <v>9727</v>
      </c>
      <c r="C4887" s="2" t="s">
        <v>35</v>
      </c>
      <c r="D4887" s="2" t="s">
        <v>36</v>
      </c>
      <c r="E4887" s="5">
        <v>-28927</v>
      </c>
      <c r="F4887" s="3" t="s">
        <v>345</v>
      </c>
      <c r="G4887" s="3" t="s">
        <v>20</v>
      </c>
      <c r="H4887" s="2" t="s">
        <v>21</v>
      </c>
      <c r="I4887" s="2" t="s">
        <v>9732</v>
      </c>
      <c r="J4887" s="3" t="str">
        <f>HYPERLINK("https://www.boe.es/gazeta/dias/1820/10/18/pdfs/GGB-1820-112.pdf#page=4","Abrir facsímil")</f>
        <v>Abrir facsímil</v>
      </c>
      <c r="K4887" s="3" t="s">
        <v>23</v>
      </c>
    </row>
    <row r="4888" spans="1:11" ht="42" customHeight="1">
      <c r="A4888" s="2" t="s">
        <v>9727</v>
      </c>
      <c r="B4888" s="2" t="s">
        <v>9727</v>
      </c>
      <c r="C4888" s="2" t="s">
        <v>26</v>
      </c>
      <c r="D4888" s="2" t="s">
        <v>27</v>
      </c>
      <c r="E4888" s="5">
        <v>-28925</v>
      </c>
      <c r="F4888" s="3" t="s">
        <v>228</v>
      </c>
      <c r="G4888" s="3" t="s">
        <v>43</v>
      </c>
      <c r="H4888" s="2" t="s">
        <v>21</v>
      </c>
      <c r="I4888" s="2" t="s">
        <v>9733</v>
      </c>
      <c r="J4888" s="3" t="str">
        <f>HYPERLINK("https://www.boe.es/gazeta/dias/1820/10/20/pdfs/GGB-1820-114.pdf#page=2","Abrir facsímil")</f>
        <v>Abrir facsímil</v>
      </c>
      <c r="K4888" s="3" t="s">
        <v>23</v>
      </c>
    </row>
    <row r="4889" spans="1:11" ht="42" customHeight="1">
      <c r="A4889" s="2" t="s">
        <v>9734</v>
      </c>
      <c r="B4889" s="2" t="s">
        <v>9735</v>
      </c>
      <c r="C4889" s="2" t="s">
        <v>35</v>
      </c>
      <c r="D4889" s="2" t="s">
        <v>36</v>
      </c>
      <c r="E4889" s="5">
        <v>-28899</v>
      </c>
      <c r="F4889" s="3" t="s">
        <v>285</v>
      </c>
      <c r="G4889" s="3" t="s">
        <v>20</v>
      </c>
      <c r="H4889" s="2" t="s">
        <v>21</v>
      </c>
      <c r="I4889" s="2" t="s">
        <v>9736</v>
      </c>
      <c r="J4889" s="3" t="str">
        <f>HYPERLINK("https://www.boe.es/gazeta/dias/1820/11/15/pdfs/GGB-1820-141.pdf#page=4","Abrir facsímil")</f>
        <v>Abrir facsímil</v>
      </c>
      <c r="K4889" s="3" t="s">
        <v>23</v>
      </c>
    </row>
    <row r="4890" spans="1:11" ht="42" customHeight="1">
      <c r="A4890" s="2" t="s">
        <v>9737</v>
      </c>
      <c r="B4890" s="2" t="s">
        <v>9738</v>
      </c>
      <c r="C4890" s="2" t="s">
        <v>47</v>
      </c>
      <c r="D4890" s="2" t="s">
        <v>18</v>
      </c>
      <c r="E4890" s="5">
        <v>-29206</v>
      </c>
      <c r="F4890" s="3" t="s">
        <v>897</v>
      </c>
      <c r="G4890" s="3" t="s">
        <v>295</v>
      </c>
      <c r="H4890" s="2" t="s">
        <v>21</v>
      </c>
      <c r="I4890" s="2" t="s">
        <v>9739</v>
      </c>
      <c r="J4890" s="3" t="str">
        <f>HYPERLINK("https://www.boe.es/gazeta/dias/1820/01/13/pdfs/GMD-1820-6.pdf#page=8","Abrir facsímil")</f>
        <v>Abrir facsímil</v>
      </c>
      <c r="K4890" s="3" t="s">
        <v>23</v>
      </c>
    </row>
    <row r="4891" spans="1:11" ht="42" customHeight="1">
      <c r="A4891" s="2" t="s">
        <v>9737</v>
      </c>
      <c r="B4891" s="2" t="s">
        <v>9738</v>
      </c>
      <c r="C4891" s="2" t="s">
        <v>47</v>
      </c>
      <c r="D4891" s="2" t="s">
        <v>18</v>
      </c>
      <c r="E4891" s="5">
        <v>-29038</v>
      </c>
      <c r="F4891" s="3" t="s">
        <v>957</v>
      </c>
      <c r="G4891" s="3" t="s">
        <v>295</v>
      </c>
      <c r="H4891" s="2" t="s">
        <v>21</v>
      </c>
      <c r="I4891" s="2" t="s">
        <v>9740</v>
      </c>
      <c r="J4891" s="3" t="str">
        <f>HYPERLINK("https://www.boe.es/gazeta/dias/1820/06/29/pdfs/GMD-1820-100.pdf#page=8","Abrir facsímil")</f>
        <v>Abrir facsímil</v>
      </c>
      <c r="K4891" s="3" t="s">
        <v>23</v>
      </c>
    </row>
    <row r="4892" spans="1:11" ht="42" customHeight="1">
      <c r="A4892" s="2" t="s">
        <v>9741</v>
      </c>
      <c r="B4892" s="2" t="s">
        <v>9742</v>
      </c>
      <c r="C4892" s="2" t="s">
        <v>111</v>
      </c>
      <c r="D4892" s="2" t="s">
        <v>18</v>
      </c>
      <c r="E4892" s="5">
        <v>-28999</v>
      </c>
      <c r="F4892" s="3" t="s">
        <v>342</v>
      </c>
      <c r="G4892" s="3" t="s">
        <v>20</v>
      </c>
      <c r="H4892" s="2" t="s">
        <v>21</v>
      </c>
      <c r="I4892" s="2" t="s">
        <v>9743</v>
      </c>
      <c r="J4892" s="3" t="str">
        <f>HYPERLINK("https://www.boe.es/gazeta/dias/1820/08/07/pdfs/GGB-1820-40.pdf#page=4","Abrir facsímil")</f>
        <v>Abrir facsímil</v>
      </c>
      <c r="K4892" s="3" t="s">
        <v>23</v>
      </c>
    </row>
    <row r="4893" spans="1:11" ht="42" customHeight="1">
      <c r="A4893" s="2" t="s">
        <v>9741</v>
      </c>
      <c r="B4893" s="2" t="s">
        <v>9742</v>
      </c>
      <c r="C4893" s="2" t="s">
        <v>17</v>
      </c>
      <c r="D4893" s="2" t="s">
        <v>18</v>
      </c>
      <c r="E4893" s="5">
        <v>-28854</v>
      </c>
      <c r="F4893" s="3" t="s">
        <v>147</v>
      </c>
      <c r="G4893" s="3" t="s">
        <v>43</v>
      </c>
      <c r="H4893" s="2" t="s">
        <v>21</v>
      </c>
      <c r="I4893" s="2" t="s">
        <v>9744</v>
      </c>
      <c r="J4893" s="3" t="str">
        <f>HYPERLINK("https://www.boe.es/gazeta/dias/1820/12/30/pdfs/GGB-1820-187.pdf#page=2","Abrir facsímil")</f>
        <v>Abrir facsímil</v>
      </c>
      <c r="K4893" s="3" t="s">
        <v>23</v>
      </c>
    </row>
    <row r="4894" spans="1:11" ht="42" customHeight="1">
      <c r="A4894" s="2" t="s">
        <v>9745</v>
      </c>
      <c r="B4894" s="2" t="s">
        <v>9746</v>
      </c>
      <c r="C4894" s="2" t="s">
        <v>107</v>
      </c>
      <c r="D4894" s="2" t="s">
        <v>18</v>
      </c>
      <c r="E4894" s="5">
        <v>-28992</v>
      </c>
      <c r="F4894" s="3" t="s">
        <v>587</v>
      </c>
      <c r="G4894" s="3" t="s">
        <v>43</v>
      </c>
      <c r="H4894" s="2" t="s">
        <v>21</v>
      </c>
      <c r="I4894" s="2" t="s">
        <v>9747</v>
      </c>
      <c r="J4894" s="3" t="str">
        <f>HYPERLINK("https://www.boe.es/gazeta/dias/1820/08/14/pdfs/GGB-1820-47.pdf#page=2","Abrir facsímil")</f>
        <v>Abrir facsímil</v>
      </c>
      <c r="K4894" s="3" t="s">
        <v>23</v>
      </c>
    </row>
    <row r="4895" spans="1:11" ht="42" customHeight="1">
      <c r="A4895" s="2" t="s">
        <v>9748</v>
      </c>
      <c r="B4895" s="2" t="s">
        <v>9749</v>
      </c>
      <c r="C4895" s="2" t="s">
        <v>26</v>
      </c>
      <c r="D4895" s="2" t="s">
        <v>27</v>
      </c>
      <c r="E4895" s="5">
        <v>-29213</v>
      </c>
      <c r="F4895" s="3" t="s">
        <v>195</v>
      </c>
      <c r="G4895" s="3" t="s">
        <v>196</v>
      </c>
      <c r="H4895" s="2" t="s">
        <v>21</v>
      </c>
      <c r="I4895" s="2" t="s">
        <v>9750</v>
      </c>
      <c r="J4895" s="3" t="str">
        <f>HYPERLINK("https://www.boe.es/gazeta/dias/1820/01/06/pdfs/GMD-1820-3.pdf#page=11","Abrir facsímil")</f>
        <v>Abrir facsímil</v>
      </c>
      <c r="K4895" s="3" t="s">
        <v>23</v>
      </c>
    </row>
    <row r="4896" spans="1:11" ht="42" customHeight="1">
      <c r="A4896" s="2" t="s">
        <v>9748</v>
      </c>
      <c r="B4896" s="2" t="s">
        <v>9749</v>
      </c>
      <c r="C4896" s="2" t="s">
        <v>26</v>
      </c>
      <c r="D4896" s="2" t="s">
        <v>27</v>
      </c>
      <c r="E4896" s="5">
        <v>-29162</v>
      </c>
      <c r="F4896" s="3" t="s">
        <v>2134</v>
      </c>
      <c r="G4896" s="3" t="s">
        <v>38</v>
      </c>
      <c r="H4896" s="2" t="s">
        <v>21</v>
      </c>
      <c r="I4896" s="2" t="s">
        <v>9751</v>
      </c>
      <c r="J4896" s="3" t="str">
        <f>HYPERLINK("https://www.boe.es/gazeta/dias/1820/02/26/pdfs/GMD-1820-25.pdf#page=6","Abrir facsímil")</f>
        <v>Abrir facsímil</v>
      </c>
      <c r="K4896" s="3" t="s">
        <v>23</v>
      </c>
    </row>
    <row r="4897" spans="1:11" ht="42" customHeight="1">
      <c r="A4897" s="2" t="s">
        <v>9752</v>
      </c>
      <c r="B4897" s="2" t="s">
        <v>9752</v>
      </c>
      <c r="C4897" s="2" t="s">
        <v>35</v>
      </c>
      <c r="D4897" s="2" t="s">
        <v>36</v>
      </c>
      <c r="E4897" s="5">
        <v>-29026</v>
      </c>
      <c r="F4897" s="3" t="s">
        <v>1197</v>
      </c>
      <c r="G4897" s="3" t="s">
        <v>43</v>
      </c>
      <c r="H4897" s="2" t="s">
        <v>21</v>
      </c>
      <c r="I4897" s="2" t="s">
        <v>9753</v>
      </c>
      <c r="J4897" s="3" t="str">
        <f>HYPERLINK("https://www.boe.es/gazeta/dias/1820/07/11/pdfs/GGB-1820-13.pdf#page=2","Abrir facsímil")</f>
        <v>Abrir facsímil</v>
      </c>
      <c r="K4897" s="3" t="s">
        <v>23</v>
      </c>
    </row>
    <row r="4898" spans="1:11" ht="42" customHeight="1">
      <c r="A4898" s="2" t="s">
        <v>9752</v>
      </c>
      <c r="B4898" s="2" t="s">
        <v>9752</v>
      </c>
      <c r="C4898" s="2" t="s">
        <v>35</v>
      </c>
      <c r="D4898" s="2" t="s">
        <v>36</v>
      </c>
      <c r="E4898" s="5">
        <v>-29025</v>
      </c>
      <c r="F4898" s="3" t="s">
        <v>902</v>
      </c>
      <c r="G4898" s="3" t="s">
        <v>62</v>
      </c>
      <c r="H4898" s="2" t="s">
        <v>21</v>
      </c>
      <c r="I4898" s="2" t="s">
        <v>9754</v>
      </c>
      <c r="J4898" s="3" t="str">
        <f>HYPERLINK("https://www.boe.es/gazeta/dias/1820/07/12/pdfs/GGB-1820-14.pdf#page=3","Abrir facsímil")</f>
        <v>Abrir facsímil</v>
      </c>
      <c r="K4898" s="3" t="s">
        <v>23</v>
      </c>
    </row>
    <row r="4899" spans="1:11" ht="42" customHeight="1">
      <c r="A4899" s="2" t="s">
        <v>9752</v>
      </c>
      <c r="B4899" s="2" t="s">
        <v>9752</v>
      </c>
      <c r="C4899" s="2" t="s">
        <v>17</v>
      </c>
      <c r="D4899" s="2" t="s">
        <v>18</v>
      </c>
      <c r="E4899" s="5">
        <v>-29022</v>
      </c>
      <c r="F4899" s="3" t="s">
        <v>1310</v>
      </c>
      <c r="G4899" s="3" t="s">
        <v>62</v>
      </c>
      <c r="H4899" s="2" t="s">
        <v>21</v>
      </c>
      <c r="I4899" s="2" t="s">
        <v>9755</v>
      </c>
      <c r="J4899" s="3" t="str">
        <f>HYPERLINK("https://www.boe.es/gazeta/dias/1820/07/15/pdfs/GGB-1820-17.pdf#page=3","Abrir facsímil")</f>
        <v>Abrir facsímil</v>
      </c>
      <c r="K4899" s="3" t="s">
        <v>23</v>
      </c>
    </row>
    <row r="4900" spans="1:11" ht="42" customHeight="1">
      <c r="A4900" s="2" t="s">
        <v>9752</v>
      </c>
      <c r="B4900" s="2" t="s">
        <v>9752</v>
      </c>
      <c r="C4900" s="2" t="s">
        <v>35</v>
      </c>
      <c r="D4900" s="2" t="s">
        <v>36</v>
      </c>
      <c r="E4900" s="5">
        <v>-29020</v>
      </c>
      <c r="F4900" s="3" t="s">
        <v>756</v>
      </c>
      <c r="G4900" s="3" t="s">
        <v>62</v>
      </c>
      <c r="H4900" s="2" t="s">
        <v>21</v>
      </c>
      <c r="I4900" s="2" t="s">
        <v>9756</v>
      </c>
      <c r="J4900" s="3" t="str">
        <f>HYPERLINK("https://www.boe.es/gazeta/dias/1820/07/17/pdfs/GGB-1820-19.pdf#page=3","Abrir facsímil")</f>
        <v>Abrir facsímil</v>
      </c>
      <c r="K4900" s="3" t="s">
        <v>23</v>
      </c>
    </row>
    <row r="4901" spans="1:11" ht="42" customHeight="1">
      <c r="A4901" s="2" t="s">
        <v>9752</v>
      </c>
      <c r="B4901" s="2" t="s">
        <v>9752</v>
      </c>
      <c r="C4901" s="2" t="s">
        <v>26</v>
      </c>
      <c r="D4901" s="2" t="s">
        <v>27</v>
      </c>
      <c r="E4901" s="5">
        <v>-29017</v>
      </c>
      <c r="F4901" s="3" t="s">
        <v>274</v>
      </c>
      <c r="G4901" s="3" t="s">
        <v>62</v>
      </c>
      <c r="H4901" s="2" t="s">
        <v>21</v>
      </c>
      <c r="I4901" s="2" t="s">
        <v>9757</v>
      </c>
      <c r="J4901" s="3" t="str">
        <f>HYPERLINK("https://www.boe.es/gazeta/dias/1820/07/20/pdfs/GGB-1820-22.pdf#page=3","Abrir facsímil")</f>
        <v>Abrir facsímil</v>
      </c>
      <c r="K4901" s="3" t="s">
        <v>23</v>
      </c>
    </row>
    <row r="4902" spans="1:11" ht="42" customHeight="1">
      <c r="A4902" s="2" t="s">
        <v>9752</v>
      </c>
      <c r="B4902" s="2" t="s">
        <v>9752</v>
      </c>
      <c r="C4902" s="2" t="s">
        <v>74</v>
      </c>
      <c r="D4902" s="2" t="s">
        <v>18</v>
      </c>
      <c r="E4902" s="5">
        <v>-29015</v>
      </c>
      <c r="F4902" s="3" t="s">
        <v>359</v>
      </c>
      <c r="G4902" s="3" t="s">
        <v>43</v>
      </c>
      <c r="H4902" s="2" t="s">
        <v>21</v>
      </c>
      <c r="I4902" s="2" t="s">
        <v>9758</v>
      </c>
      <c r="J4902" s="3" t="str">
        <f>HYPERLINK("https://www.boe.es/gazeta/dias/1820/07/22/pdfs/GGB-1820-24.pdf#page=2","Abrir facsímil")</f>
        <v>Abrir facsímil</v>
      </c>
      <c r="K4902" s="3" t="s">
        <v>23</v>
      </c>
    </row>
    <row r="4903" spans="1:11" ht="42" customHeight="1">
      <c r="A4903" s="2" t="s">
        <v>9752</v>
      </c>
      <c r="B4903" s="2" t="s">
        <v>9752</v>
      </c>
      <c r="C4903" s="2" t="s">
        <v>35</v>
      </c>
      <c r="D4903" s="2" t="s">
        <v>36</v>
      </c>
      <c r="E4903" s="5">
        <v>-29013</v>
      </c>
      <c r="F4903" s="3" t="s">
        <v>52</v>
      </c>
      <c r="G4903" s="3" t="s">
        <v>53</v>
      </c>
      <c r="H4903" s="2" t="s">
        <v>21</v>
      </c>
      <c r="I4903" s="2" t="s">
        <v>9759</v>
      </c>
      <c r="J4903" s="3" t="str">
        <f>HYPERLINK("https://www.boe.es/gazeta/dias/1820/07/24/pdfs/GGB-1820-26.pdf#page=3","Abrir facsímil")</f>
        <v>Abrir facsímil</v>
      </c>
      <c r="K4903" s="3" t="s">
        <v>23</v>
      </c>
    </row>
    <row r="4904" spans="1:11" ht="42" customHeight="1">
      <c r="A4904" s="2" t="s">
        <v>9752</v>
      </c>
      <c r="B4904" s="2" t="s">
        <v>9752</v>
      </c>
      <c r="C4904" s="2" t="s">
        <v>293</v>
      </c>
      <c r="D4904" s="2" t="s">
        <v>18</v>
      </c>
      <c r="E4904" s="5">
        <v>-29003</v>
      </c>
      <c r="F4904" s="3" t="s">
        <v>340</v>
      </c>
      <c r="G4904" s="3" t="s">
        <v>62</v>
      </c>
      <c r="H4904" s="2" t="s">
        <v>21</v>
      </c>
      <c r="I4904" s="2" t="s">
        <v>9760</v>
      </c>
      <c r="J4904" s="3" t="str">
        <f>HYPERLINK("https://www.boe.es/gazeta/dias/1820/08/03/pdfs/GGB-1820-36.pdf#page=3","Abrir facsímil")</f>
        <v>Abrir facsímil</v>
      </c>
      <c r="K4904" s="3" t="s">
        <v>23</v>
      </c>
    </row>
    <row r="4905" spans="1:11" ht="42" customHeight="1">
      <c r="A4905" s="2" t="s">
        <v>9752</v>
      </c>
      <c r="B4905" s="2" t="s">
        <v>9752</v>
      </c>
      <c r="C4905" s="2" t="s">
        <v>35</v>
      </c>
      <c r="D4905" s="2" t="s">
        <v>36</v>
      </c>
      <c r="E4905" s="5">
        <v>-29002</v>
      </c>
      <c r="F4905" s="3" t="s">
        <v>124</v>
      </c>
      <c r="G4905" s="3" t="s">
        <v>62</v>
      </c>
      <c r="H4905" s="2" t="s">
        <v>21</v>
      </c>
      <c r="I4905" s="2" t="s">
        <v>9761</v>
      </c>
      <c r="J4905" s="3" t="str">
        <f>HYPERLINK("https://www.boe.es/gazeta/dias/1820/08/04/pdfs/GGB-1820-37.pdf#page=3","Abrir facsímil")</f>
        <v>Abrir facsímil</v>
      </c>
      <c r="K4905" s="3" t="s">
        <v>23</v>
      </c>
    </row>
    <row r="4906" spans="1:11" ht="42" customHeight="1">
      <c r="A4906" s="2" t="s">
        <v>9752</v>
      </c>
      <c r="B4906" s="2" t="s">
        <v>9752</v>
      </c>
      <c r="C4906" s="2" t="s">
        <v>26</v>
      </c>
      <c r="D4906" s="2" t="s">
        <v>27</v>
      </c>
      <c r="E4906" s="5">
        <v>-28998</v>
      </c>
      <c r="F4906" s="3" t="s">
        <v>629</v>
      </c>
      <c r="G4906" s="3" t="s">
        <v>62</v>
      </c>
      <c r="H4906" s="2" t="s">
        <v>21</v>
      </c>
      <c r="I4906" s="2" t="s">
        <v>9762</v>
      </c>
      <c r="J4906" s="3" t="str">
        <f>HYPERLINK("https://www.boe.es/gazeta/dias/1820/08/08/pdfs/GGB-1820-41.pdf#page=3","Abrir facsímil")</f>
        <v>Abrir facsímil</v>
      </c>
      <c r="K4906" s="3" t="s">
        <v>23</v>
      </c>
    </row>
    <row r="4907" spans="1:11" ht="42" customHeight="1">
      <c r="A4907" s="2" t="s">
        <v>9752</v>
      </c>
      <c r="B4907" s="2" t="s">
        <v>9752</v>
      </c>
      <c r="C4907" s="2" t="s">
        <v>17</v>
      </c>
      <c r="D4907" s="2" t="s">
        <v>18</v>
      </c>
      <c r="E4907" s="5">
        <v>-28983</v>
      </c>
      <c r="F4907" s="3" t="s">
        <v>682</v>
      </c>
      <c r="G4907" s="3" t="s">
        <v>20</v>
      </c>
      <c r="H4907" s="2" t="s">
        <v>21</v>
      </c>
      <c r="I4907" s="2" t="s">
        <v>9763</v>
      </c>
      <c r="J4907" s="3" t="str">
        <f>HYPERLINK("https://www.boe.es/gazeta/dias/1820/08/23/pdfs/GGB-1820-56.pdf#page=4","Abrir facsímil")</f>
        <v>Abrir facsímil</v>
      </c>
      <c r="K4907" s="3" t="s">
        <v>23</v>
      </c>
    </row>
    <row r="4908" spans="1:11" ht="42" customHeight="1">
      <c r="A4908" s="2" t="s">
        <v>9752</v>
      </c>
      <c r="B4908" s="2" t="s">
        <v>9752</v>
      </c>
      <c r="C4908" s="2" t="s">
        <v>26</v>
      </c>
      <c r="D4908" s="2" t="s">
        <v>27</v>
      </c>
      <c r="E4908" s="5">
        <v>-28982</v>
      </c>
      <c r="F4908" s="3" t="s">
        <v>173</v>
      </c>
      <c r="G4908" s="3" t="s">
        <v>62</v>
      </c>
      <c r="H4908" s="2" t="s">
        <v>21</v>
      </c>
      <c r="I4908" s="2" t="s">
        <v>9764</v>
      </c>
      <c r="J4908" s="3" t="str">
        <f>HYPERLINK("https://www.boe.es/gazeta/dias/1820/08/24/pdfs/GGB-1820-57.pdf#page=3","Abrir facsímil")</f>
        <v>Abrir facsímil</v>
      </c>
      <c r="K4908" s="3" t="s">
        <v>23</v>
      </c>
    </row>
    <row r="4909" spans="1:11" ht="42" customHeight="1">
      <c r="A4909" s="2" t="s">
        <v>9752</v>
      </c>
      <c r="B4909" s="2" t="s">
        <v>9752</v>
      </c>
      <c r="C4909" s="2" t="s">
        <v>293</v>
      </c>
      <c r="D4909" s="2" t="s">
        <v>18</v>
      </c>
      <c r="E4909" s="5">
        <v>-28980</v>
      </c>
      <c r="F4909" s="3" t="s">
        <v>614</v>
      </c>
      <c r="G4909" s="3" t="s">
        <v>20</v>
      </c>
      <c r="H4909" s="2" t="s">
        <v>21</v>
      </c>
      <c r="I4909" s="2" t="s">
        <v>9765</v>
      </c>
      <c r="J4909" s="3" t="str">
        <f>HYPERLINK("https://www.boe.es/gazeta/dias/1820/08/26/pdfs/GGB-1820-59.pdf#page=4","Abrir facsímil")</f>
        <v>Abrir facsímil</v>
      </c>
      <c r="K4909" s="3" t="s">
        <v>23</v>
      </c>
    </row>
    <row r="4910" spans="1:11" ht="42" customHeight="1">
      <c r="A4910" s="2" t="s">
        <v>9752</v>
      </c>
      <c r="B4910" s="2" t="s">
        <v>9752</v>
      </c>
      <c r="C4910" s="2" t="s">
        <v>26</v>
      </c>
      <c r="D4910" s="2" t="s">
        <v>27</v>
      </c>
      <c r="E4910" s="5">
        <v>-28976</v>
      </c>
      <c r="F4910" s="3" t="s">
        <v>689</v>
      </c>
      <c r="G4910" s="3" t="s">
        <v>62</v>
      </c>
      <c r="H4910" s="2" t="s">
        <v>21</v>
      </c>
      <c r="I4910" s="2" t="s">
        <v>9766</v>
      </c>
      <c r="J4910" s="3" t="str">
        <f>HYPERLINK("https://www.boe.es/gazeta/dias/1820/08/30/pdfs/GGB-1820-63.pdf#page=3","Abrir facsímil")</f>
        <v>Abrir facsímil</v>
      </c>
      <c r="K4910" s="3" t="s">
        <v>23</v>
      </c>
    </row>
    <row r="4911" spans="1:11" ht="42" customHeight="1">
      <c r="A4911" s="2" t="s">
        <v>9752</v>
      </c>
      <c r="B4911" s="2" t="s">
        <v>9752</v>
      </c>
      <c r="C4911" s="2" t="s">
        <v>26</v>
      </c>
      <c r="D4911" s="2" t="s">
        <v>27</v>
      </c>
      <c r="E4911" s="5">
        <v>-28973</v>
      </c>
      <c r="F4911" s="3" t="s">
        <v>151</v>
      </c>
      <c r="G4911" s="3" t="s">
        <v>62</v>
      </c>
      <c r="H4911" s="2" t="s">
        <v>21</v>
      </c>
      <c r="I4911" s="2" t="s">
        <v>9767</v>
      </c>
      <c r="J4911" s="3" t="str">
        <f>HYPERLINK("https://www.boe.es/gazeta/dias/1820/09/02/pdfs/GGB-1820-66.pdf#page=3","Abrir facsímil")</f>
        <v>Abrir facsímil</v>
      </c>
      <c r="K4911" s="3" t="s">
        <v>23</v>
      </c>
    </row>
    <row r="4912" spans="1:11" ht="42" customHeight="1">
      <c r="A4912" s="2" t="s">
        <v>9752</v>
      </c>
      <c r="B4912" s="2" t="s">
        <v>9752</v>
      </c>
      <c r="C4912" s="2" t="s">
        <v>26</v>
      </c>
      <c r="D4912" s="2" t="s">
        <v>27</v>
      </c>
      <c r="E4912" s="5">
        <v>-28963</v>
      </c>
      <c r="F4912" s="3" t="s">
        <v>94</v>
      </c>
      <c r="G4912" s="3" t="s">
        <v>62</v>
      </c>
      <c r="H4912" s="2" t="s">
        <v>21</v>
      </c>
      <c r="I4912" s="2" t="s">
        <v>9768</v>
      </c>
      <c r="J4912" s="3" t="str">
        <f>HYPERLINK("https://www.boe.es/gazeta/dias/1820/09/12/pdfs/GGB-1820-76.pdf#page=3","Abrir facsímil")</f>
        <v>Abrir facsímil</v>
      </c>
      <c r="K4912" s="3" t="s">
        <v>23</v>
      </c>
    </row>
    <row r="4913" spans="1:11" ht="42" customHeight="1">
      <c r="A4913" s="2" t="s">
        <v>9752</v>
      </c>
      <c r="B4913" s="2" t="s">
        <v>9752</v>
      </c>
      <c r="C4913" s="2" t="s">
        <v>107</v>
      </c>
      <c r="D4913" s="2" t="s">
        <v>18</v>
      </c>
      <c r="E4913" s="5">
        <v>-28959</v>
      </c>
      <c r="F4913" s="3" t="s">
        <v>37</v>
      </c>
      <c r="G4913" s="3" t="s">
        <v>256</v>
      </c>
      <c r="H4913" s="2" t="s">
        <v>21</v>
      </c>
      <c r="I4913" s="2" t="s">
        <v>9769</v>
      </c>
      <c r="J4913" s="3" t="str">
        <f>HYPERLINK("https://www.boe.es/gazeta/dias/1820/09/16/pdfs/GGB-1820-80.pdf#page=5","Abrir facsímil")</f>
        <v>Abrir facsímil</v>
      </c>
      <c r="K4913" s="3" t="s">
        <v>23</v>
      </c>
    </row>
    <row r="4914" spans="1:11" ht="42" customHeight="1">
      <c r="A4914" s="2" t="s">
        <v>9752</v>
      </c>
      <c r="B4914" s="2" t="s">
        <v>9752</v>
      </c>
      <c r="C4914" s="2" t="s">
        <v>35</v>
      </c>
      <c r="D4914" s="2" t="s">
        <v>36</v>
      </c>
      <c r="E4914" s="5">
        <v>-28957</v>
      </c>
      <c r="F4914" s="3" t="s">
        <v>361</v>
      </c>
      <c r="G4914" s="3" t="s">
        <v>708</v>
      </c>
      <c r="H4914" s="2" t="s">
        <v>21</v>
      </c>
      <c r="I4914" s="2" t="s">
        <v>9770</v>
      </c>
      <c r="J4914" s="3" t="str">
        <f>HYPERLINK("https://www.boe.es/gazeta/dias/1820/09/18/pdfs/GGB-1820-82.pdf#page=4","Abrir facsímil")</f>
        <v>Abrir facsímil</v>
      </c>
      <c r="K4914" s="3" t="s">
        <v>23</v>
      </c>
    </row>
    <row r="4915" spans="1:11" ht="42" customHeight="1">
      <c r="A4915" s="2" t="s">
        <v>9752</v>
      </c>
      <c r="B4915" s="2" t="s">
        <v>9752</v>
      </c>
      <c r="C4915" s="2" t="s">
        <v>111</v>
      </c>
      <c r="D4915" s="2" t="s">
        <v>18</v>
      </c>
      <c r="E4915" s="5">
        <v>-28954</v>
      </c>
      <c r="F4915" s="3" t="s">
        <v>28</v>
      </c>
      <c r="G4915" s="3" t="s">
        <v>29</v>
      </c>
      <c r="H4915" s="2" t="s">
        <v>21</v>
      </c>
      <c r="I4915" s="2" t="s">
        <v>9771</v>
      </c>
      <c r="J4915" s="3" t="str">
        <f>HYPERLINK("https://www.boe.es/gazeta/dias/1820/09/21/pdfs/GGB-1820-85.pdf#page=2","Abrir facsímil")</f>
        <v>Abrir facsímil</v>
      </c>
      <c r="K4915" s="3" t="s">
        <v>23</v>
      </c>
    </row>
    <row r="4916" spans="1:11" ht="42" customHeight="1">
      <c r="A4916" s="2" t="s">
        <v>9752</v>
      </c>
      <c r="B4916" s="2" t="s">
        <v>9752</v>
      </c>
      <c r="C4916" s="2" t="s">
        <v>17</v>
      </c>
      <c r="D4916" s="2" t="s">
        <v>18</v>
      </c>
      <c r="E4916" s="5">
        <v>-28952</v>
      </c>
      <c r="F4916" s="3" t="s">
        <v>370</v>
      </c>
      <c r="G4916" s="3" t="s">
        <v>62</v>
      </c>
      <c r="H4916" s="2" t="s">
        <v>21</v>
      </c>
      <c r="I4916" s="2" t="s">
        <v>9772</v>
      </c>
      <c r="J4916" s="3" t="str">
        <f>HYPERLINK("https://www.boe.es/gazeta/dias/1820/09/23/pdfs/GGB-1820-87.pdf#page=3","Abrir facsímil")</f>
        <v>Abrir facsímil</v>
      </c>
      <c r="K4916" s="3" t="s">
        <v>23</v>
      </c>
    </row>
    <row r="4917" spans="1:11" ht="42" customHeight="1">
      <c r="A4917" s="2" t="s">
        <v>9752</v>
      </c>
      <c r="B4917" s="2" t="s">
        <v>9752</v>
      </c>
      <c r="C4917" s="2" t="s">
        <v>26</v>
      </c>
      <c r="D4917" s="2" t="s">
        <v>27</v>
      </c>
      <c r="E4917" s="5">
        <v>-28952</v>
      </c>
      <c r="F4917" s="3" t="s">
        <v>370</v>
      </c>
      <c r="G4917" s="3" t="s">
        <v>20</v>
      </c>
      <c r="H4917" s="2" t="s">
        <v>21</v>
      </c>
      <c r="I4917" s="2" t="s">
        <v>9773</v>
      </c>
      <c r="J4917" s="3" t="str">
        <f>HYPERLINK("https://www.boe.es/gazeta/dias/1820/09/23/pdfs/GGB-1820-87.pdf#page=4","Abrir facsímil")</f>
        <v>Abrir facsímil</v>
      </c>
      <c r="K4917" s="3" t="s">
        <v>23</v>
      </c>
    </row>
    <row r="4918" spans="1:11" ht="42" customHeight="1">
      <c r="A4918" s="2" t="s">
        <v>9752</v>
      </c>
      <c r="B4918" s="2" t="s">
        <v>9752</v>
      </c>
      <c r="C4918" s="2" t="s">
        <v>17</v>
      </c>
      <c r="D4918" s="2" t="s">
        <v>18</v>
      </c>
      <c r="E4918" s="5">
        <v>-28951</v>
      </c>
      <c r="F4918" s="3" t="s">
        <v>622</v>
      </c>
      <c r="G4918" s="3" t="s">
        <v>62</v>
      </c>
      <c r="H4918" s="2" t="s">
        <v>21</v>
      </c>
      <c r="I4918" s="2" t="s">
        <v>9774</v>
      </c>
      <c r="J4918" s="3" t="str">
        <f>HYPERLINK("https://www.boe.es/gazeta/dias/1820/09/24/pdfs/GGB-1820-88.pdf#page=3","Abrir facsímil")</f>
        <v>Abrir facsímil</v>
      </c>
      <c r="K4918" s="3" t="s">
        <v>23</v>
      </c>
    </row>
    <row r="4919" spans="1:11" ht="42" customHeight="1">
      <c r="A4919" s="2" t="s">
        <v>9752</v>
      </c>
      <c r="B4919" s="2" t="s">
        <v>9752</v>
      </c>
      <c r="C4919" s="2" t="s">
        <v>26</v>
      </c>
      <c r="D4919" s="2" t="s">
        <v>27</v>
      </c>
      <c r="E4919" s="5">
        <v>-28951</v>
      </c>
      <c r="F4919" s="3" t="s">
        <v>622</v>
      </c>
      <c r="G4919" s="3" t="s">
        <v>20</v>
      </c>
      <c r="H4919" s="2" t="s">
        <v>21</v>
      </c>
      <c r="I4919" s="2" t="s">
        <v>9775</v>
      </c>
      <c r="J4919" s="3" t="str">
        <f>HYPERLINK("https://www.boe.es/gazeta/dias/1820/09/24/pdfs/GGB-1820-88.pdf#page=4","Abrir facsímil")</f>
        <v>Abrir facsímil</v>
      </c>
      <c r="K4919" s="3" t="s">
        <v>23</v>
      </c>
    </row>
    <row r="4920" spans="1:11" ht="42" customHeight="1">
      <c r="A4920" s="2" t="s">
        <v>9752</v>
      </c>
      <c r="B4920" s="2" t="s">
        <v>9752</v>
      </c>
      <c r="C4920" s="2" t="s">
        <v>35</v>
      </c>
      <c r="D4920" s="2" t="s">
        <v>36</v>
      </c>
      <c r="E4920" s="5">
        <v>-28950</v>
      </c>
      <c r="F4920" s="3" t="s">
        <v>1052</v>
      </c>
      <c r="G4920" s="3" t="s">
        <v>1372</v>
      </c>
      <c r="H4920" s="2" t="s">
        <v>21</v>
      </c>
      <c r="I4920" s="2" t="s">
        <v>9776</v>
      </c>
      <c r="J4920" s="3" t="str">
        <f>HYPERLINK("https://www.boe.es/gazeta/dias/1820/09/25/pdfs/GGB-1820-89.pdf#page=2","Abrir facsímil")</f>
        <v>Abrir facsímil</v>
      </c>
      <c r="K4920" s="3" t="s">
        <v>23</v>
      </c>
    </row>
    <row r="4921" spans="1:11" ht="42" customHeight="1">
      <c r="A4921" s="2" t="s">
        <v>9752</v>
      </c>
      <c r="B4921" s="2" t="s">
        <v>9752</v>
      </c>
      <c r="C4921" s="2" t="s">
        <v>17</v>
      </c>
      <c r="D4921" s="2" t="s">
        <v>18</v>
      </c>
      <c r="E4921" s="5">
        <v>-28949</v>
      </c>
      <c r="F4921" s="3" t="s">
        <v>178</v>
      </c>
      <c r="G4921" s="3" t="s">
        <v>43</v>
      </c>
      <c r="H4921" s="2" t="s">
        <v>21</v>
      </c>
      <c r="I4921" s="2" t="s">
        <v>9777</v>
      </c>
      <c r="J4921" s="3" t="str">
        <f>HYPERLINK("https://www.boe.es/gazeta/dias/1820/09/26/pdfs/GGB-1820-90.pdf#page=2","Abrir facsímil")</f>
        <v>Abrir facsímil</v>
      </c>
      <c r="K4921" s="3" t="s">
        <v>23</v>
      </c>
    </row>
    <row r="4922" spans="1:11" ht="42" customHeight="1">
      <c r="A4922" s="2" t="s">
        <v>9752</v>
      </c>
      <c r="B4922" s="2" t="s">
        <v>9752</v>
      </c>
      <c r="C4922" s="2" t="s">
        <v>26</v>
      </c>
      <c r="D4922" s="2" t="s">
        <v>27</v>
      </c>
      <c r="E4922" s="5">
        <v>-28948</v>
      </c>
      <c r="F4922" s="3" t="s">
        <v>1069</v>
      </c>
      <c r="G4922" s="3" t="s">
        <v>62</v>
      </c>
      <c r="H4922" s="2" t="s">
        <v>21</v>
      </c>
      <c r="I4922" s="2" t="s">
        <v>9778</v>
      </c>
      <c r="J4922" s="3" t="str">
        <f>HYPERLINK("https://www.boe.es/gazeta/dias/1820/09/27/pdfs/GGB-1820-91.pdf#page=3","Abrir facsímil")</f>
        <v>Abrir facsímil</v>
      </c>
      <c r="K4922" s="3" t="s">
        <v>23</v>
      </c>
    </row>
    <row r="4923" spans="1:11" ht="42" customHeight="1">
      <c r="A4923" s="2" t="s">
        <v>9752</v>
      </c>
      <c r="B4923" s="2" t="s">
        <v>9752</v>
      </c>
      <c r="C4923" s="2" t="s">
        <v>293</v>
      </c>
      <c r="D4923" s="2" t="s">
        <v>18</v>
      </c>
      <c r="E4923" s="5">
        <v>-28947</v>
      </c>
      <c r="F4923" s="3" t="s">
        <v>127</v>
      </c>
      <c r="G4923" s="3" t="s">
        <v>43</v>
      </c>
      <c r="H4923" s="2" t="s">
        <v>21</v>
      </c>
      <c r="I4923" s="2" t="s">
        <v>9779</v>
      </c>
      <c r="J4923" s="3" t="str">
        <f>HYPERLINK("https://www.boe.es/gazeta/dias/1820/09/28/pdfs/GGB-1820-92.pdf#page=2","Abrir facsímil")</f>
        <v>Abrir facsímil</v>
      </c>
      <c r="K4923" s="3" t="s">
        <v>23</v>
      </c>
    </row>
    <row r="4924" spans="1:11" ht="42" customHeight="1">
      <c r="A4924" s="2" t="s">
        <v>9752</v>
      </c>
      <c r="B4924" s="2" t="s">
        <v>9752</v>
      </c>
      <c r="C4924" s="2" t="s">
        <v>26</v>
      </c>
      <c r="D4924" s="2" t="s">
        <v>27</v>
      </c>
      <c r="E4924" s="5">
        <v>-28938</v>
      </c>
      <c r="F4924" s="3" t="s">
        <v>716</v>
      </c>
      <c r="G4924" s="3" t="s">
        <v>717</v>
      </c>
      <c r="H4924" s="2" t="s">
        <v>21</v>
      </c>
      <c r="I4924" s="2" t="s">
        <v>9780</v>
      </c>
      <c r="J4924" s="3" t="str">
        <f>HYPERLINK("https://www.boe.es/gazeta/dias/1820/10/07/pdfs/GGB-1820-101.pdf#page=2","Abrir facsímil")</f>
        <v>Abrir facsímil</v>
      </c>
      <c r="K4924" s="3" t="s">
        <v>23</v>
      </c>
    </row>
    <row r="4925" spans="1:11" ht="42" customHeight="1">
      <c r="A4925" s="2" t="s">
        <v>9752</v>
      </c>
      <c r="B4925" s="2" t="s">
        <v>9752</v>
      </c>
      <c r="C4925" s="2" t="s">
        <v>17</v>
      </c>
      <c r="D4925" s="2" t="s">
        <v>18</v>
      </c>
      <c r="E4925" s="5">
        <v>-28936</v>
      </c>
      <c r="F4925" s="3" t="s">
        <v>167</v>
      </c>
      <c r="G4925" s="3" t="s">
        <v>43</v>
      </c>
      <c r="H4925" s="2" t="s">
        <v>21</v>
      </c>
      <c r="I4925" s="2" t="s">
        <v>9781</v>
      </c>
      <c r="J4925" s="3" t="str">
        <f>HYPERLINK("https://www.boe.es/gazeta/dias/1820/10/09/pdfs/GGB-1820-103.pdf#page=2","Abrir facsímil")</f>
        <v>Abrir facsímil</v>
      </c>
      <c r="K4925" s="3" t="s">
        <v>23</v>
      </c>
    </row>
    <row r="4926" spans="1:11" ht="42" customHeight="1">
      <c r="A4926" s="2" t="s">
        <v>9752</v>
      </c>
      <c r="B4926" s="2" t="s">
        <v>9752</v>
      </c>
      <c r="C4926" s="2" t="s">
        <v>74</v>
      </c>
      <c r="D4926" s="2" t="s">
        <v>18</v>
      </c>
      <c r="E4926" s="5">
        <v>-28934</v>
      </c>
      <c r="F4926" s="3" t="s">
        <v>163</v>
      </c>
      <c r="G4926" s="3" t="s">
        <v>1539</v>
      </c>
      <c r="H4926" s="2" t="s">
        <v>21</v>
      </c>
      <c r="I4926" s="2" t="s">
        <v>9782</v>
      </c>
      <c r="J4926" s="3" t="str">
        <f>HYPERLINK("https://www.boe.es/gazeta/dias/1820/10/11/pdfs/GGB-1820-105.pdf#page=2","Abrir facsímil")</f>
        <v>Abrir facsímil</v>
      </c>
      <c r="K4926" s="3" t="s">
        <v>23</v>
      </c>
    </row>
    <row r="4927" spans="1:11" ht="42" customHeight="1">
      <c r="A4927" s="2" t="s">
        <v>9752</v>
      </c>
      <c r="B4927" s="2" t="s">
        <v>9752</v>
      </c>
      <c r="C4927" s="2" t="s">
        <v>74</v>
      </c>
      <c r="D4927" s="2" t="s">
        <v>18</v>
      </c>
      <c r="E4927" s="5">
        <v>-28932</v>
      </c>
      <c r="F4927" s="3" t="s">
        <v>407</v>
      </c>
      <c r="G4927" s="3" t="s">
        <v>62</v>
      </c>
      <c r="H4927" s="2" t="s">
        <v>21</v>
      </c>
      <c r="I4927" s="2" t="s">
        <v>9783</v>
      </c>
      <c r="J4927" s="3" t="str">
        <f>HYPERLINK("https://www.boe.es/gazeta/dias/1820/10/13/pdfs/GGB-1820-107.pdf#page=3","Abrir facsímil")</f>
        <v>Abrir facsímil</v>
      </c>
      <c r="K4927" s="3" t="s">
        <v>23</v>
      </c>
    </row>
    <row r="4928" spans="1:11" ht="42" customHeight="1">
      <c r="A4928" s="2" t="s">
        <v>9752</v>
      </c>
      <c r="B4928" s="2" t="s">
        <v>9752</v>
      </c>
      <c r="C4928" s="2" t="s">
        <v>111</v>
      </c>
      <c r="D4928" s="2" t="s">
        <v>18</v>
      </c>
      <c r="E4928" s="5">
        <v>-28928</v>
      </c>
      <c r="F4928" s="3" t="s">
        <v>86</v>
      </c>
      <c r="G4928" s="3" t="s">
        <v>62</v>
      </c>
      <c r="H4928" s="2" t="s">
        <v>21</v>
      </c>
      <c r="I4928" s="2" t="s">
        <v>9784</v>
      </c>
      <c r="J4928" s="3" t="str">
        <f>HYPERLINK("https://www.boe.es/gazeta/dias/1820/10/17/pdfs/GGB-1820-111.pdf#page=3","Abrir facsímil")</f>
        <v>Abrir facsímil</v>
      </c>
      <c r="K4928" s="3" t="s">
        <v>23</v>
      </c>
    </row>
    <row r="4929" spans="1:11" ht="42" customHeight="1">
      <c r="A4929" s="2" t="s">
        <v>9752</v>
      </c>
      <c r="B4929" s="2" t="s">
        <v>9752</v>
      </c>
      <c r="C4929" s="2" t="s">
        <v>35</v>
      </c>
      <c r="D4929" s="2" t="s">
        <v>36</v>
      </c>
      <c r="E4929" s="5">
        <v>-28927</v>
      </c>
      <c r="F4929" s="3" t="s">
        <v>345</v>
      </c>
      <c r="G4929" s="3" t="s">
        <v>20</v>
      </c>
      <c r="H4929" s="2" t="s">
        <v>21</v>
      </c>
      <c r="I4929" s="2" t="s">
        <v>9785</v>
      </c>
      <c r="J4929" s="3" t="str">
        <f>HYPERLINK("https://www.boe.es/gazeta/dias/1820/10/18/pdfs/GGB-1820-112.pdf#page=4","Abrir facsímil")</f>
        <v>Abrir facsímil</v>
      </c>
      <c r="K4929" s="3" t="s">
        <v>23</v>
      </c>
    </row>
    <row r="4930" spans="1:11" ht="42" customHeight="1">
      <c r="A4930" s="2" t="s">
        <v>9752</v>
      </c>
      <c r="B4930" s="2" t="s">
        <v>9752</v>
      </c>
      <c r="C4930" s="2" t="s">
        <v>35</v>
      </c>
      <c r="D4930" s="2" t="s">
        <v>36</v>
      </c>
      <c r="E4930" s="5">
        <v>-28926</v>
      </c>
      <c r="F4930" s="3" t="s">
        <v>597</v>
      </c>
      <c r="G4930" s="3" t="s">
        <v>43</v>
      </c>
      <c r="H4930" s="2" t="s">
        <v>21</v>
      </c>
      <c r="I4930" s="2" t="s">
        <v>9786</v>
      </c>
      <c r="J4930" s="3" t="str">
        <f>HYPERLINK("https://www.boe.es/gazeta/dias/1820/10/19/pdfs/GGB-1820-113.pdf#page=2","Abrir facsímil")</f>
        <v>Abrir facsímil</v>
      </c>
      <c r="K4930" s="3" t="s">
        <v>23</v>
      </c>
    </row>
    <row r="4931" spans="1:11" ht="42" customHeight="1">
      <c r="A4931" s="2" t="s">
        <v>9752</v>
      </c>
      <c r="B4931" s="2" t="s">
        <v>9752</v>
      </c>
      <c r="C4931" s="2" t="s">
        <v>47</v>
      </c>
      <c r="D4931" s="2" t="s">
        <v>18</v>
      </c>
      <c r="E4931" s="5">
        <v>-28922</v>
      </c>
      <c r="F4931" s="3" t="s">
        <v>735</v>
      </c>
      <c r="G4931" s="3" t="s">
        <v>43</v>
      </c>
      <c r="H4931" s="2" t="s">
        <v>21</v>
      </c>
      <c r="I4931" s="2" t="s">
        <v>9787</v>
      </c>
      <c r="J4931" s="3" t="str">
        <f>HYPERLINK("https://www.boe.es/gazeta/dias/1820/10/23/pdfs/GGB-1820-117.pdf#page=2","Abrir facsímil")</f>
        <v>Abrir facsímil</v>
      </c>
      <c r="K4931" s="3" t="s">
        <v>23</v>
      </c>
    </row>
    <row r="4932" spans="1:11" ht="42" customHeight="1">
      <c r="A4932" s="2" t="s">
        <v>9752</v>
      </c>
      <c r="B4932" s="2" t="s">
        <v>9752</v>
      </c>
      <c r="C4932" s="2" t="s">
        <v>74</v>
      </c>
      <c r="D4932" s="2" t="s">
        <v>18</v>
      </c>
      <c r="E4932" s="5">
        <v>-28915</v>
      </c>
      <c r="F4932" s="3" t="s">
        <v>525</v>
      </c>
      <c r="G4932" s="3" t="s">
        <v>20</v>
      </c>
      <c r="H4932" s="2" t="s">
        <v>21</v>
      </c>
      <c r="I4932" s="2" t="s">
        <v>9788</v>
      </c>
      <c r="J4932" s="3" t="str">
        <f>HYPERLINK("https://www.boe.es/gazeta/dias/1820/10/30/pdfs/GGB-1820-124.pdf#page=4","Abrir facsímil")</f>
        <v>Abrir facsímil</v>
      </c>
      <c r="K4932" s="3" t="s">
        <v>23</v>
      </c>
    </row>
    <row r="4933" spans="1:11" ht="42" customHeight="1">
      <c r="A4933" s="2" t="s">
        <v>9752</v>
      </c>
      <c r="B4933" s="2" t="s">
        <v>9752</v>
      </c>
      <c r="C4933" s="2" t="s">
        <v>35</v>
      </c>
      <c r="D4933" s="2" t="s">
        <v>36</v>
      </c>
      <c r="E4933" s="5">
        <v>-28910</v>
      </c>
      <c r="F4933" s="3" t="s">
        <v>746</v>
      </c>
      <c r="G4933" s="3" t="s">
        <v>62</v>
      </c>
      <c r="H4933" s="2" t="s">
        <v>21</v>
      </c>
      <c r="I4933" s="2" t="s">
        <v>9789</v>
      </c>
      <c r="J4933" s="3" t="str">
        <f>HYPERLINK("https://www.boe.es/gazeta/dias/1820/11/04/pdfs/GGB-1820-129.pdf#page=3","Abrir facsímil")</f>
        <v>Abrir facsímil</v>
      </c>
      <c r="K4933" s="3" t="s">
        <v>23</v>
      </c>
    </row>
    <row r="4934" spans="1:11" ht="42" customHeight="1">
      <c r="A4934" s="2" t="s">
        <v>9752</v>
      </c>
      <c r="B4934" s="2" t="s">
        <v>9752</v>
      </c>
      <c r="C4934" s="2" t="s">
        <v>293</v>
      </c>
      <c r="D4934" s="2" t="s">
        <v>18</v>
      </c>
      <c r="E4934" s="5">
        <v>-28909</v>
      </c>
      <c r="F4934" s="3" t="s">
        <v>278</v>
      </c>
      <c r="G4934" s="3" t="s">
        <v>20</v>
      </c>
      <c r="H4934" s="2" t="s">
        <v>21</v>
      </c>
      <c r="I4934" s="2" t="s">
        <v>9790</v>
      </c>
      <c r="J4934" s="3" t="str">
        <f>HYPERLINK("https://www.boe.es/gazeta/dias/1820/11/05/pdfs/GGB-1820-130.pdf#page=4","Abrir facsímil")</f>
        <v>Abrir facsímil</v>
      </c>
      <c r="K4934" s="3" t="s">
        <v>23</v>
      </c>
    </row>
    <row r="4935" spans="1:11" ht="42" customHeight="1">
      <c r="A4935" s="2" t="s">
        <v>9791</v>
      </c>
      <c r="B4935" s="2" t="s">
        <v>9792</v>
      </c>
      <c r="C4935" s="2" t="s">
        <v>107</v>
      </c>
      <c r="D4935" s="2" t="s">
        <v>18</v>
      </c>
      <c r="E4935" s="5">
        <v>-29138</v>
      </c>
      <c r="F4935" s="3" t="s">
        <v>200</v>
      </c>
      <c r="G4935" s="3" t="s">
        <v>201</v>
      </c>
      <c r="H4935" s="2" t="s">
        <v>21</v>
      </c>
      <c r="I4935" s="2" t="s">
        <v>9793</v>
      </c>
      <c r="J4935" s="3" t="str">
        <f>HYPERLINK("https://www.boe.es/gazeta/dias/1820/03/21/pdfs/GMD-1820-46.pdf#page=7","Abrir facsímil")</f>
        <v>Abrir facsímil</v>
      </c>
      <c r="K4935" s="3" t="s">
        <v>23</v>
      </c>
    </row>
    <row r="4936" spans="1:11" ht="42" customHeight="1">
      <c r="A4936" s="2" t="s">
        <v>9794</v>
      </c>
      <c r="B4936" s="2" t="s">
        <v>9794</v>
      </c>
      <c r="C4936" s="2" t="s">
        <v>26</v>
      </c>
      <c r="D4936" s="2" t="s">
        <v>27</v>
      </c>
      <c r="E4936" s="5">
        <v>-28861</v>
      </c>
      <c r="F4936" s="3" t="s">
        <v>894</v>
      </c>
      <c r="G4936" s="3" t="s">
        <v>128</v>
      </c>
      <c r="H4936" s="2" t="s">
        <v>21</v>
      </c>
      <c r="I4936" s="2" t="s">
        <v>9795</v>
      </c>
      <c r="J4936" s="3" t="str">
        <f>HYPERLINK("https://www.boe.es/gazeta/dias/1820/12/23/pdfs/GGB-1820-180.pdf#page=1","Abrir facsímil")</f>
        <v>Abrir facsímil</v>
      </c>
      <c r="K4936" s="3" t="s">
        <v>23</v>
      </c>
    </row>
    <row r="4937" spans="1:11" ht="42" customHeight="1">
      <c r="A4937" s="2" t="s">
        <v>9796</v>
      </c>
      <c r="B4937" s="2" t="s">
        <v>9797</v>
      </c>
      <c r="C4937" s="2" t="s">
        <v>47</v>
      </c>
      <c r="D4937" s="2" t="s">
        <v>18</v>
      </c>
      <c r="E4937" s="5">
        <v>-28974</v>
      </c>
      <c r="F4937" s="3" t="s">
        <v>1144</v>
      </c>
      <c r="G4937" s="3" t="s">
        <v>1145</v>
      </c>
      <c r="H4937" s="2" t="s">
        <v>21</v>
      </c>
      <c r="I4937" s="2" t="s">
        <v>9798</v>
      </c>
      <c r="J4937" s="3" t="str">
        <f>HYPERLINK("https://www.boe.es/gazeta/dias/1820/09/01/pdfs/GGB-1820-65.pdf#page=4","Abrir facsímil")</f>
        <v>Abrir facsímil</v>
      </c>
      <c r="K4937" s="3" t="s">
        <v>23</v>
      </c>
    </row>
    <row r="4938" spans="1:11" ht="42" customHeight="1">
      <c r="A4938" s="2" t="s">
        <v>9799</v>
      </c>
      <c r="B4938" s="2" t="s">
        <v>9800</v>
      </c>
      <c r="C4938" s="2" t="s">
        <v>35</v>
      </c>
      <c r="D4938" s="2" t="s">
        <v>36</v>
      </c>
      <c r="E4938" s="5">
        <v>-28970</v>
      </c>
      <c r="F4938" s="3" t="s">
        <v>693</v>
      </c>
      <c r="G4938" s="3" t="s">
        <v>128</v>
      </c>
      <c r="H4938" s="2" t="s">
        <v>21</v>
      </c>
      <c r="I4938" s="2" t="s">
        <v>9801</v>
      </c>
      <c r="J4938" s="3" t="str">
        <f>HYPERLINK("https://www.boe.es/gazeta/dias/1820/09/05/pdfs/GGB-1820-69.pdf#page=1","Abrir facsímil")</f>
        <v>Abrir facsímil</v>
      </c>
      <c r="K4938" s="3" t="s">
        <v>23</v>
      </c>
    </row>
    <row r="4939" spans="1:11" ht="42" customHeight="1">
      <c r="A4939" s="2" t="s">
        <v>9802</v>
      </c>
      <c r="B4939" s="2" t="s">
        <v>9803</v>
      </c>
      <c r="C4939" s="2" t="s">
        <v>26</v>
      </c>
      <c r="D4939" s="2" t="s">
        <v>27</v>
      </c>
      <c r="E4939" s="5">
        <v>-28904</v>
      </c>
      <c r="F4939" s="3" t="s">
        <v>541</v>
      </c>
      <c r="G4939" s="3" t="s">
        <v>43</v>
      </c>
      <c r="H4939" s="2" t="s">
        <v>21</v>
      </c>
      <c r="I4939" s="2" t="s">
        <v>9804</v>
      </c>
      <c r="J4939" s="3" t="str">
        <f>HYPERLINK("https://www.boe.es/gazeta/dias/1820/11/10/pdfs/GGB-1820-136.pdf#page=2","Abrir facsímil")</f>
        <v>Abrir facsímil</v>
      </c>
      <c r="K4939" s="3" t="s">
        <v>23</v>
      </c>
    </row>
    <row r="4940" spans="1:11" ht="42" customHeight="1">
      <c r="A4940" s="2" t="s">
        <v>9805</v>
      </c>
      <c r="B4940" s="2" t="s">
        <v>9806</v>
      </c>
      <c r="C4940" s="2" t="s">
        <v>26</v>
      </c>
      <c r="D4940" s="2" t="s">
        <v>27</v>
      </c>
      <c r="E4940" s="5">
        <v>-29166</v>
      </c>
      <c r="F4940" s="3" t="s">
        <v>799</v>
      </c>
      <c r="G4940" s="3" t="s">
        <v>295</v>
      </c>
      <c r="H4940" s="2" t="s">
        <v>21</v>
      </c>
      <c r="I4940" s="2" t="s">
        <v>9807</v>
      </c>
      <c r="J4940" s="3" t="str">
        <f>HYPERLINK("https://www.boe.es/gazeta/dias/1820/02/22/pdfs/GMD-1820-23.pdf#page=8","Abrir facsímil")</f>
        <v>Abrir facsímil</v>
      </c>
      <c r="K4940" s="3" t="s">
        <v>23</v>
      </c>
    </row>
    <row r="4941" spans="1:11" ht="42" customHeight="1">
      <c r="A4941" s="2" t="s">
        <v>9808</v>
      </c>
      <c r="B4941" s="2" t="s">
        <v>9809</v>
      </c>
      <c r="C4941" s="2" t="s">
        <v>111</v>
      </c>
      <c r="D4941" s="2" t="s">
        <v>18</v>
      </c>
      <c r="E4941" s="5">
        <v>-29040</v>
      </c>
      <c r="F4941" s="3" t="s">
        <v>1125</v>
      </c>
      <c r="G4941" s="3" t="s">
        <v>2789</v>
      </c>
      <c r="H4941" s="2" t="s">
        <v>30</v>
      </c>
      <c r="I4941" s="2" t="s">
        <v>9810</v>
      </c>
      <c r="J4941" s="3" t="str">
        <f>HYPERLINK("https://www.boe.es/gazeta/dias/1820/06/27/pdfs/GMD-1820-99.pdf#page=12","Abrir facsímil")</f>
        <v>Abrir facsímil</v>
      </c>
      <c r="K4941" s="3" t="s">
        <v>32</v>
      </c>
    </row>
    <row r="4942" spans="1:11" ht="42" customHeight="1">
      <c r="A4942" s="2" t="s">
        <v>9811</v>
      </c>
      <c r="B4942" s="2" t="s">
        <v>9812</v>
      </c>
      <c r="C4942" s="2" t="s">
        <v>26</v>
      </c>
      <c r="D4942" s="2" t="s">
        <v>27</v>
      </c>
      <c r="E4942" s="5">
        <v>-29003</v>
      </c>
      <c r="F4942" s="3" t="s">
        <v>340</v>
      </c>
      <c r="G4942" s="3" t="s">
        <v>43</v>
      </c>
      <c r="H4942" s="2" t="s">
        <v>21</v>
      </c>
      <c r="I4942" s="2" t="s">
        <v>9813</v>
      </c>
      <c r="J4942" s="3" t="str">
        <f>HYPERLINK("https://www.boe.es/gazeta/dias/1820/08/03/pdfs/GGB-1820-36.pdf#page=2","Abrir facsímil")</f>
        <v>Abrir facsímil</v>
      </c>
      <c r="K4942" s="3" t="s">
        <v>23</v>
      </c>
    </row>
    <row r="4943" spans="1:11" ht="42" customHeight="1">
      <c r="A4943" s="2" t="s">
        <v>9811</v>
      </c>
      <c r="B4943" s="2" t="s">
        <v>9812</v>
      </c>
      <c r="C4943" s="2" t="s">
        <v>35</v>
      </c>
      <c r="D4943" s="2" t="s">
        <v>36</v>
      </c>
      <c r="E4943" s="5">
        <v>-28950</v>
      </c>
      <c r="F4943" s="3" t="s">
        <v>1052</v>
      </c>
      <c r="G4943" s="3" t="s">
        <v>62</v>
      </c>
      <c r="H4943" s="2" t="s">
        <v>21</v>
      </c>
      <c r="I4943" s="2" t="s">
        <v>9814</v>
      </c>
      <c r="J4943" s="3" t="str">
        <f>HYPERLINK("https://www.boe.es/gazeta/dias/1820/09/25/pdfs/GGB-1820-89.pdf#page=3","Abrir facsímil")</f>
        <v>Abrir facsímil</v>
      </c>
      <c r="K4943" s="3" t="s">
        <v>23</v>
      </c>
    </row>
    <row r="4944" spans="1:11" ht="42" customHeight="1">
      <c r="A4944" s="2" t="s">
        <v>9815</v>
      </c>
      <c r="B4944" s="2" t="s">
        <v>9815</v>
      </c>
      <c r="C4944" s="2" t="s">
        <v>74</v>
      </c>
      <c r="D4944" s="2" t="s">
        <v>18</v>
      </c>
      <c r="E4944" s="5">
        <v>-28889</v>
      </c>
      <c r="F4944" s="3" t="s">
        <v>777</v>
      </c>
      <c r="G4944" s="3" t="s">
        <v>128</v>
      </c>
      <c r="H4944" s="2" t="s">
        <v>21</v>
      </c>
      <c r="I4944" s="2" t="s">
        <v>9816</v>
      </c>
      <c r="J4944" s="3" t="str">
        <f>HYPERLINK("https://www.boe.es/gazeta/dias/1820/11/25/pdfs/GGB-1820-152.pdf#page=1","Abrir facsímil")</f>
        <v>Abrir facsímil</v>
      </c>
      <c r="K4944" s="3" t="s">
        <v>23</v>
      </c>
    </row>
    <row r="4945" spans="1:11" ht="42" customHeight="1">
      <c r="A4945" s="2" t="s">
        <v>9815</v>
      </c>
      <c r="B4945" s="2" t="s">
        <v>9815</v>
      </c>
      <c r="C4945" s="2" t="s">
        <v>26</v>
      </c>
      <c r="D4945" s="2" t="s">
        <v>27</v>
      </c>
      <c r="E4945" s="5">
        <v>-28887</v>
      </c>
      <c r="F4945" s="3" t="s">
        <v>2098</v>
      </c>
      <c r="G4945" s="3" t="s">
        <v>128</v>
      </c>
      <c r="H4945" s="2" t="s">
        <v>21</v>
      </c>
      <c r="I4945" s="2" t="s">
        <v>9817</v>
      </c>
      <c r="J4945" s="3" t="str">
        <f>HYPERLINK("https://www.boe.es/gazeta/dias/1820/11/27/pdfs/GGB-1820-154.pdf#page=1","Abrir facsímil")</f>
        <v>Abrir facsímil</v>
      </c>
      <c r="K4945" s="3" t="s">
        <v>23</v>
      </c>
    </row>
    <row r="4946" spans="1:11" ht="42" customHeight="1">
      <c r="A4946" s="2" t="s">
        <v>9818</v>
      </c>
      <c r="B4946" s="2" t="s">
        <v>9818</v>
      </c>
      <c r="C4946" s="2" t="s">
        <v>26</v>
      </c>
      <c r="D4946" s="2" t="s">
        <v>27</v>
      </c>
      <c r="E4946" s="5">
        <v>-28908</v>
      </c>
      <c r="F4946" s="3" t="s">
        <v>1060</v>
      </c>
      <c r="G4946" s="3" t="s">
        <v>43</v>
      </c>
      <c r="H4946" s="2" t="s">
        <v>21</v>
      </c>
      <c r="I4946" s="2" t="s">
        <v>9819</v>
      </c>
      <c r="J4946" s="3" t="str">
        <f>HYPERLINK("https://www.boe.es/gazeta/dias/1820/11/06/pdfs/GGB-1820-131.pdf#page=2","Abrir facsímil")</f>
        <v>Abrir facsímil</v>
      </c>
      <c r="K4946" s="3" t="s">
        <v>23</v>
      </c>
    </row>
    <row r="4947" spans="1:11" ht="42" customHeight="1">
      <c r="A4947" s="2" t="s">
        <v>9818</v>
      </c>
      <c r="B4947" s="2" t="s">
        <v>9818</v>
      </c>
      <c r="C4947" s="2" t="s">
        <v>26</v>
      </c>
      <c r="D4947" s="2" t="s">
        <v>27</v>
      </c>
      <c r="E4947" s="5">
        <v>-28907</v>
      </c>
      <c r="F4947" s="3" t="s">
        <v>374</v>
      </c>
      <c r="G4947" s="3" t="s">
        <v>20</v>
      </c>
      <c r="H4947" s="2" t="s">
        <v>21</v>
      </c>
      <c r="I4947" s="2" t="s">
        <v>9820</v>
      </c>
      <c r="J4947" s="3" t="str">
        <f>HYPERLINK("https://www.boe.es/gazeta/dias/1820/11/07/pdfs/GGB-1820-132.pdf#page=4","Abrir facsímil")</f>
        <v>Abrir facsímil</v>
      </c>
      <c r="K4947" s="3" t="s">
        <v>23</v>
      </c>
    </row>
    <row r="4948" spans="1:11" ht="42" customHeight="1">
      <c r="A4948" s="2" t="s">
        <v>9821</v>
      </c>
      <c r="B4948" s="2" t="s">
        <v>9821</v>
      </c>
      <c r="C4948" s="2" t="s">
        <v>74</v>
      </c>
      <c r="D4948" s="2" t="s">
        <v>18</v>
      </c>
      <c r="E4948" s="5">
        <v>-28974</v>
      </c>
      <c r="F4948" s="3" t="s">
        <v>1144</v>
      </c>
      <c r="G4948" s="3" t="s">
        <v>62</v>
      </c>
      <c r="H4948" s="2" t="s">
        <v>21</v>
      </c>
      <c r="I4948" s="2" t="s">
        <v>9822</v>
      </c>
      <c r="J4948" s="3" t="str">
        <f>HYPERLINK("https://www.boe.es/gazeta/dias/1820/09/01/pdfs/GGB-1820-65.pdf#page=3","Abrir facsímil")</f>
        <v>Abrir facsímil</v>
      </c>
      <c r="K4948" s="3" t="s">
        <v>23</v>
      </c>
    </row>
    <row r="4949" spans="1:11" ht="42" customHeight="1">
      <c r="A4949" s="2" t="s">
        <v>9821</v>
      </c>
      <c r="B4949" s="2" t="s">
        <v>9821</v>
      </c>
      <c r="C4949" s="2" t="s">
        <v>17</v>
      </c>
      <c r="D4949" s="2" t="s">
        <v>18</v>
      </c>
      <c r="E4949" s="5">
        <v>-28860</v>
      </c>
      <c r="F4949" s="3" t="s">
        <v>4487</v>
      </c>
      <c r="G4949" s="3" t="s">
        <v>128</v>
      </c>
      <c r="H4949" s="2" t="s">
        <v>21</v>
      </c>
      <c r="I4949" s="2" t="s">
        <v>9823</v>
      </c>
      <c r="J4949" s="3" t="str">
        <f>HYPERLINK("https://www.boe.es/gazeta/dias/1820/12/24/pdfs/GGB-1820-181.pdf#page=1","Abrir facsímil")</f>
        <v>Abrir facsímil</v>
      </c>
      <c r="K4949" s="3" t="s">
        <v>23</v>
      </c>
    </row>
    <row r="4950" spans="1:11" ht="42" customHeight="1">
      <c r="A4950" s="2" t="s">
        <v>9824</v>
      </c>
      <c r="B4950" s="2" t="s">
        <v>9824</v>
      </c>
      <c r="C4950" s="2" t="s">
        <v>26</v>
      </c>
      <c r="D4950" s="2" t="s">
        <v>27</v>
      </c>
      <c r="E4950" s="5">
        <v>-29145</v>
      </c>
      <c r="F4950" s="3" t="s">
        <v>3537</v>
      </c>
      <c r="G4950" s="3" t="s">
        <v>9825</v>
      </c>
      <c r="H4950" s="2" t="s">
        <v>21</v>
      </c>
      <c r="I4950" s="2" t="s">
        <v>9826</v>
      </c>
      <c r="J4950" s="3" t="str">
        <f>HYPERLINK("https://www.boe.es/gazeta/dias/1820/03/14/pdfs/GMD-1820-39.pdf#page=3","Abrir facsímil")</f>
        <v>Abrir facsímil</v>
      </c>
      <c r="K4950" s="3" t="s">
        <v>23</v>
      </c>
    </row>
    <row r="4951" spans="1:11" ht="42" customHeight="1">
      <c r="A4951" s="2" t="s">
        <v>9827</v>
      </c>
      <c r="B4951" s="2" t="s">
        <v>9827</v>
      </c>
      <c r="C4951" s="2" t="s">
        <v>293</v>
      </c>
      <c r="D4951" s="2" t="s">
        <v>18</v>
      </c>
      <c r="E4951" s="5">
        <v>-28933</v>
      </c>
      <c r="F4951" s="3" t="s">
        <v>720</v>
      </c>
      <c r="G4951" s="3" t="s">
        <v>62</v>
      </c>
      <c r="H4951" s="2" t="s">
        <v>21</v>
      </c>
      <c r="I4951" s="2" t="s">
        <v>9828</v>
      </c>
      <c r="J4951" s="3" t="str">
        <f>HYPERLINK("https://www.boe.es/gazeta/dias/1820/10/12/pdfs/GGB-1820-106.pdf#page=3","Abrir facsímil")</f>
        <v>Abrir facsímil</v>
      </c>
      <c r="K4951" s="3" t="s">
        <v>23</v>
      </c>
    </row>
    <row r="4952" spans="1:11" ht="42" customHeight="1">
      <c r="A4952" s="2" t="s">
        <v>9829</v>
      </c>
      <c r="B4952" s="2" t="s">
        <v>9829</v>
      </c>
      <c r="C4952" s="2" t="s">
        <v>26</v>
      </c>
      <c r="D4952" s="2" t="s">
        <v>27</v>
      </c>
      <c r="E4952" s="5">
        <v>-28908</v>
      </c>
      <c r="F4952" s="3" t="s">
        <v>1060</v>
      </c>
      <c r="G4952" s="3" t="s">
        <v>128</v>
      </c>
      <c r="H4952" s="2" t="s">
        <v>21</v>
      </c>
      <c r="I4952" s="2" t="s">
        <v>9830</v>
      </c>
      <c r="J4952" s="3" t="str">
        <f>HYPERLINK("https://www.boe.es/gazeta/dias/1820/11/06/pdfs/GGB-1820-131.pdf#page=1","Abrir facsímil")</f>
        <v>Abrir facsímil</v>
      </c>
      <c r="K4952" s="3" t="s">
        <v>23</v>
      </c>
    </row>
    <row r="4953" spans="1:11" ht="42" customHeight="1">
      <c r="A4953" s="2" t="s">
        <v>9831</v>
      </c>
      <c r="B4953" s="2" t="s">
        <v>9831</v>
      </c>
      <c r="C4953" s="2" t="s">
        <v>35</v>
      </c>
      <c r="D4953" s="2" t="s">
        <v>36</v>
      </c>
      <c r="E4953" s="5">
        <v>-28882</v>
      </c>
      <c r="F4953" s="3" t="s">
        <v>1245</v>
      </c>
      <c r="G4953" s="3" t="s">
        <v>128</v>
      </c>
      <c r="H4953" s="2" t="s">
        <v>21</v>
      </c>
      <c r="I4953" s="2" t="s">
        <v>9832</v>
      </c>
      <c r="J4953" s="3" t="str">
        <f>HYPERLINK("https://www.boe.es/gazeta/dias/1820/12/02/pdfs/GGB-1820-159.pdf#page=1","Abrir facsímil")</f>
        <v>Abrir facsímil</v>
      </c>
      <c r="K4953" s="3" t="s">
        <v>23</v>
      </c>
    </row>
    <row r="4954" spans="1:11" ht="42" customHeight="1">
      <c r="A4954" s="2" t="s">
        <v>9831</v>
      </c>
      <c r="B4954" s="2" t="s">
        <v>9831</v>
      </c>
      <c r="C4954" s="2" t="s">
        <v>35</v>
      </c>
      <c r="D4954" s="2" t="s">
        <v>36</v>
      </c>
      <c r="E4954" s="5">
        <v>-28874</v>
      </c>
      <c r="F4954" s="3" t="s">
        <v>103</v>
      </c>
      <c r="G4954" s="3" t="s">
        <v>1822</v>
      </c>
      <c r="H4954" s="2" t="s">
        <v>21</v>
      </c>
      <c r="I4954" s="2" t="s">
        <v>9833</v>
      </c>
      <c r="J4954" s="3" t="str">
        <f>HYPERLINK("https://www.boe.es/gazeta/dias/1820/12/10/pdfs/GGB-1820-167.pdf#page=1","Abrir facsímil")</f>
        <v>Abrir facsímil</v>
      </c>
      <c r="K4954" s="3" t="s">
        <v>23</v>
      </c>
    </row>
    <row r="4955" spans="1:11" ht="42" customHeight="1">
      <c r="A4955" s="2" t="s">
        <v>9834</v>
      </c>
      <c r="B4955" s="2" t="s">
        <v>9834</v>
      </c>
      <c r="C4955" s="2" t="s">
        <v>107</v>
      </c>
      <c r="D4955" s="2" t="s">
        <v>18</v>
      </c>
      <c r="E4955" s="5">
        <v>-29197</v>
      </c>
      <c r="F4955" s="3" t="s">
        <v>48</v>
      </c>
      <c r="G4955" s="3" t="s">
        <v>295</v>
      </c>
      <c r="H4955" s="2" t="s">
        <v>21</v>
      </c>
      <c r="I4955" s="2" t="s">
        <v>9835</v>
      </c>
      <c r="J4955" s="3" t="str">
        <f>HYPERLINK("https://www.boe.es/gazeta/dias/1820/01/22/pdfs/GMD-1820-10.pdf#page=8","Abrir facsímil")</f>
        <v>Abrir facsímil</v>
      </c>
      <c r="K4955" s="3" t="s">
        <v>23</v>
      </c>
    </row>
    <row r="4956" spans="1:11" ht="42" customHeight="1">
      <c r="A4956" s="2" t="s">
        <v>9834</v>
      </c>
      <c r="B4956" s="2" t="s">
        <v>9834</v>
      </c>
      <c r="C4956" s="2" t="s">
        <v>26</v>
      </c>
      <c r="D4956" s="2" t="s">
        <v>27</v>
      </c>
      <c r="E4956" s="5">
        <v>-29092</v>
      </c>
      <c r="F4956" s="3" t="s">
        <v>1261</v>
      </c>
      <c r="G4956" s="3" t="s">
        <v>295</v>
      </c>
      <c r="H4956" s="2" t="s">
        <v>21</v>
      </c>
      <c r="I4956" s="2" t="s">
        <v>9836</v>
      </c>
      <c r="J4956" s="3" t="str">
        <f>HYPERLINK("https://www.boe.es/gazeta/dias/1820/05/06/pdfs/GMD-1820-76.pdf#page=8","Abrir facsímil")</f>
        <v>Abrir facsímil</v>
      </c>
      <c r="K4956" s="3" t="s">
        <v>23</v>
      </c>
    </row>
    <row r="4957" spans="1:11" ht="42" customHeight="1">
      <c r="A4957" s="2" t="s">
        <v>9834</v>
      </c>
      <c r="B4957" s="2" t="s">
        <v>9834</v>
      </c>
      <c r="C4957" s="2" t="s">
        <v>26</v>
      </c>
      <c r="D4957" s="2" t="s">
        <v>27</v>
      </c>
      <c r="E4957" s="5">
        <v>-29045</v>
      </c>
      <c r="F4957" s="3" t="s">
        <v>155</v>
      </c>
      <c r="G4957" s="3" t="s">
        <v>295</v>
      </c>
      <c r="H4957" s="2" t="s">
        <v>21</v>
      </c>
      <c r="I4957" s="2" t="s">
        <v>9837</v>
      </c>
      <c r="J4957" s="3" t="str">
        <f>HYPERLINK("https://www.boe.es/gazeta/dias/1820/06/22/pdfs/GMD-1820-97.pdf#page=8","Abrir facsímil")</f>
        <v>Abrir facsímil</v>
      </c>
      <c r="K4957" s="3" t="s">
        <v>23</v>
      </c>
    </row>
    <row r="4958" spans="1:11" ht="42" customHeight="1">
      <c r="A4958" s="2" t="s">
        <v>9834</v>
      </c>
      <c r="B4958" s="2" t="s">
        <v>9834</v>
      </c>
      <c r="C4958" s="2" t="s">
        <v>35</v>
      </c>
      <c r="D4958" s="2" t="s">
        <v>36</v>
      </c>
      <c r="E4958" s="5">
        <v>-28884</v>
      </c>
      <c r="F4958" s="3" t="s">
        <v>882</v>
      </c>
      <c r="G4958" s="3" t="s">
        <v>128</v>
      </c>
      <c r="H4958" s="2" t="s">
        <v>21</v>
      </c>
      <c r="I4958" s="2" t="s">
        <v>9838</v>
      </c>
      <c r="J4958" s="3" t="str">
        <f>HYPERLINK("https://www.boe.es/gazeta/dias/1820/11/30/pdfs/GGB-1820-157.pdf#page=1","Abrir facsímil")</f>
        <v>Abrir facsímil</v>
      </c>
      <c r="K4958" s="3" t="s">
        <v>23</v>
      </c>
    </row>
    <row r="4959" spans="1:11" ht="42" customHeight="1">
      <c r="A4959" s="2" t="s">
        <v>9839</v>
      </c>
      <c r="B4959" s="2" t="s">
        <v>9839</v>
      </c>
      <c r="C4959" s="2" t="s">
        <v>35</v>
      </c>
      <c r="D4959" s="2" t="s">
        <v>36</v>
      </c>
      <c r="E4959" s="5">
        <v>-29134</v>
      </c>
      <c r="F4959" s="3" t="s">
        <v>255</v>
      </c>
      <c r="G4959" s="3" t="s">
        <v>43</v>
      </c>
      <c r="H4959" s="2" t="s">
        <v>21</v>
      </c>
      <c r="I4959" s="2" t="s">
        <v>9840</v>
      </c>
      <c r="J4959" s="3" t="str">
        <f>HYPERLINK("https://www.boe.es/gazeta/dias/1820/03/25/pdfs/GMD-1820-53.pdf#page=2","Abrir facsímil")</f>
        <v>Abrir facsímil</v>
      </c>
      <c r="K4959" s="3" t="s">
        <v>23</v>
      </c>
    </row>
    <row r="4960" spans="1:11" ht="42" customHeight="1">
      <c r="A4960" s="2" t="s">
        <v>9841</v>
      </c>
      <c r="B4960" s="2" t="s">
        <v>9842</v>
      </c>
      <c r="C4960" s="2" t="s">
        <v>26</v>
      </c>
      <c r="D4960" s="2" t="s">
        <v>27</v>
      </c>
      <c r="E4960" s="5">
        <v>-28959</v>
      </c>
      <c r="F4960" s="3" t="s">
        <v>37</v>
      </c>
      <c r="G4960" s="3" t="s">
        <v>62</v>
      </c>
      <c r="H4960" s="2" t="s">
        <v>21</v>
      </c>
      <c r="I4960" s="2" t="s">
        <v>9843</v>
      </c>
      <c r="J4960" s="3" t="str">
        <f>HYPERLINK("https://www.boe.es/gazeta/dias/1820/09/16/pdfs/GGB-1820-80.pdf#page=3","Abrir facsímil")</f>
        <v>Abrir facsímil</v>
      </c>
      <c r="K4960" s="3" t="s">
        <v>23</v>
      </c>
    </row>
    <row r="4961" spans="1:11" ht="42" customHeight="1">
      <c r="A4961" s="2" t="s">
        <v>9844</v>
      </c>
      <c r="B4961" s="2" t="s">
        <v>9845</v>
      </c>
      <c r="C4961" s="2" t="s">
        <v>17</v>
      </c>
      <c r="D4961" s="2" t="s">
        <v>18</v>
      </c>
      <c r="E4961" s="5">
        <v>-28985</v>
      </c>
      <c r="F4961" s="3" t="s">
        <v>905</v>
      </c>
      <c r="G4961" s="3" t="s">
        <v>928</v>
      </c>
      <c r="H4961" s="2" t="s">
        <v>21</v>
      </c>
      <c r="I4961" s="2" t="s">
        <v>9846</v>
      </c>
      <c r="J4961" s="3" t="str">
        <f>HYPERLINK("https://www.boe.es/gazeta/dias/1820/08/21/pdfs/GGB-1820-54.pdf#page=4","Abrir facsímil")</f>
        <v>Abrir facsímil</v>
      </c>
      <c r="K4961" s="3" t="s">
        <v>23</v>
      </c>
    </row>
    <row r="4962" spans="1:11" ht="42" customHeight="1">
      <c r="A4962" s="2" t="s">
        <v>9847</v>
      </c>
      <c r="B4962" s="2" t="s">
        <v>9847</v>
      </c>
      <c r="C4962" s="2" t="s">
        <v>74</v>
      </c>
      <c r="D4962" s="2" t="s">
        <v>18</v>
      </c>
      <c r="E4962" s="5">
        <v>-28938</v>
      </c>
      <c r="F4962" s="3" t="s">
        <v>716</v>
      </c>
      <c r="G4962" s="3" t="s">
        <v>717</v>
      </c>
      <c r="H4962" s="2" t="s">
        <v>21</v>
      </c>
      <c r="I4962" s="2" t="s">
        <v>9848</v>
      </c>
      <c r="J4962" s="3" t="str">
        <f>HYPERLINK("https://www.boe.es/gazeta/dias/1820/10/07/pdfs/GGB-1820-101.pdf#page=2","Abrir facsímil")</f>
        <v>Abrir facsímil</v>
      </c>
      <c r="K4962" s="3" t="s">
        <v>23</v>
      </c>
    </row>
    <row r="4963" spans="1:11" ht="42" customHeight="1">
      <c r="A4963" s="2" t="s">
        <v>9847</v>
      </c>
      <c r="B4963" s="2" t="s">
        <v>9847</v>
      </c>
      <c r="C4963" s="2" t="s">
        <v>35</v>
      </c>
      <c r="D4963" s="2" t="s">
        <v>36</v>
      </c>
      <c r="E4963" s="5">
        <v>-28935</v>
      </c>
      <c r="F4963" s="3" t="s">
        <v>2464</v>
      </c>
      <c r="G4963" s="3" t="s">
        <v>62</v>
      </c>
      <c r="H4963" s="2" t="s">
        <v>21</v>
      </c>
      <c r="I4963" s="2" t="s">
        <v>9849</v>
      </c>
      <c r="J4963" s="3" t="str">
        <f>HYPERLINK("https://www.boe.es/gazeta/dias/1820/10/10/pdfs/GGB-1820-104.pdf#page=3","Abrir facsímil")</f>
        <v>Abrir facsímil</v>
      </c>
      <c r="K4963" s="3" t="s">
        <v>23</v>
      </c>
    </row>
    <row r="4964" spans="1:11" ht="42" customHeight="1">
      <c r="A4964" s="2" t="s">
        <v>9850</v>
      </c>
      <c r="B4964" s="2" t="s">
        <v>9851</v>
      </c>
      <c r="C4964" s="2" t="s">
        <v>26</v>
      </c>
      <c r="D4964" s="2" t="s">
        <v>27</v>
      </c>
      <c r="E4964" s="5">
        <v>-28969</v>
      </c>
      <c r="F4964" s="3" t="s">
        <v>225</v>
      </c>
      <c r="G4964" s="3" t="s">
        <v>20</v>
      </c>
      <c r="H4964" s="2" t="s">
        <v>21</v>
      </c>
      <c r="I4964" s="2" t="s">
        <v>9852</v>
      </c>
      <c r="J4964" s="3" t="str">
        <f>HYPERLINK("https://www.boe.es/gazeta/dias/1820/09/06/pdfs/GGB-1820-70.pdf#page=4","Abrir facsímil")</f>
        <v>Abrir facsímil</v>
      </c>
      <c r="K4964" s="3" t="s">
        <v>23</v>
      </c>
    </row>
    <row r="4965" spans="1:11" ht="42" customHeight="1">
      <c r="A4965" s="2" t="s">
        <v>9853</v>
      </c>
      <c r="B4965" s="2" t="s">
        <v>9853</v>
      </c>
      <c r="C4965" s="2" t="s">
        <v>26</v>
      </c>
      <c r="D4965" s="2" t="s">
        <v>27</v>
      </c>
      <c r="E4965" s="5">
        <v>-29183</v>
      </c>
      <c r="F4965" s="3" t="s">
        <v>476</v>
      </c>
      <c r="G4965" s="3" t="s">
        <v>256</v>
      </c>
      <c r="H4965" s="2" t="s">
        <v>21</v>
      </c>
      <c r="I4965" s="2" t="s">
        <v>9854</v>
      </c>
      <c r="J4965" s="3" t="str">
        <f>HYPERLINK("https://www.boe.es/gazeta/dias/1820/02/05/pdfs/GMD-1820-16.pdf#page=5","Abrir facsímil")</f>
        <v>Abrir facsímil</v>
      </c>
      <c r="K4965" s="3" t="s">
        <v>23</v>
      </c>
    </row>
    <row r="4966" spans="1:11" ht="42" customHeight="1">
      <c r="A4966" s="2" t="s">
        <v>9855</v>
      </c>
      <c r="B4966" s="2" t="s">
        <v>9855</v>
      </c>
      <c r="C4966" s="2" t="s">
        <v>35</v>
      </c>
      <c r="D4966" s="2" t="s">
        <v>36</v>
      </c>
      <c r="E4966" s="5">
        <v>-29073</v>
      </c>
      <c r="F4966" s="3" t="s">
        <v>1928</v>
      </c>
      <c r="G4966" s="3" t="s">
        <v>256</v>
      </c>
      <c r="H4966" s="2" t="s">
        <v>21</v>
      </c>
      <c r="I4966" s="2" t="s">
        <v>9856</v>
      </c>
      <c r="J4966" s="3" t="str">
        <f>HYPERLINK("https://www.boe.es/gazeta/dias/1820/05/25/pdfs/GMD-1820-85.pdf#page=5","Abrir facsímil")</f>
        <v>Abrir facsímil</v>
      </c>
      <c r="K4966" s="3" t="s">
        <v>23</v>
      </c>
    </row>
    <row r="4967" spans="1:11" ht="42" customHeight="1">
      <c r="A4967" s="2" t="s">
        <v>9857</v>
      </c>
      <c r="B4967" s="2" t="s">
        <v>9857</v>
      </c>
      <c r="C4967" s="2" t="s">
        <v>35</v>
      </c>
      <c r="D4967" s="2" t="s">
        <v>36</v>
      </c>
      <c r="E4967" s="5">
        <v>-29096</v>
      </c>
      <c r="F4967" s="3" t="s">
        <v>315</v>
      </c>
      <c r="G4967" s="3" t="s">
        <v>62</v>
      </c>
      <c r="H4967" s="2" t="s">
        <v>21</v>
      </c>
      <c r="I4967" s="2" t="s">
        <v>9858</v>
      </c>
      <c r="J4967" s="3" t="str">
        <f>HYPERLINK("https://www.boe.es/gazeta/dias/1820/05/02/pdfs/GMD-1820-74.pdf#page=3","Abrir facsímil")</f>
        <v>Abrir facsímil</v>
      </c>
      <c r="K4967" s="3" t="s">
        <v>23</v>
      </c>
    </row>
    <row r="4968" spans="1:11" ht="42" customHeight="1">
      <c r="A4968" s="2" t="s">
        <v>9859</v>
      </c>
      <c r="B4968" s="2" t="s">
        <v>9859</v>
      </c>
      <c r="C4968" s="2" t="s">
        <v>26</v>
      </c>
      <c r="D4968" s="2" t="s">
        <v>27</v>
      </c>
      <c r="E4968" s="5">
        <v>-29183</v>
      </c>
      <c r="F4968" s="3" t="s">
        <v>476</v>
      </c>
      <c r="G4968" s="3" t="s">
        <v>4240</v>
      </c>
      <c r="H4968" s="2" t="s">
        <v>21</v>
      </c>
      <c r="I4968" s="2" t="s">
        <v>9860</v>
      </c>
      <c r="J4968" s="3" t="str">
        <f>HYPERLINK("https://www.boe.es/gazeta/dias/1820/02/05/pdfs/GMD-1820-16.pdf#page=6","Abrir facsímil")</f>
        <v>Abrir facsímil</v>
      </c>
      <c r="K4968" s="3" t="s">
        <v>23</v>
      </c>
    </row>
    <row r="4969" spans="1:11" ht="42" customHeight="1">
      <c r="A4969" s="2" t="s">
        <v>9861</v>
      </c>
      <c r="B4969" s="2" t="s">
        <v>9862</v>
      </c>
      <c r="C4969" s="2" t="s">
        <v>26</v>
      </c>
      <c r="D4969" s="2" t="s">
        <v>27</v>
      </c>
      <c r="E4969" s="5">
        <v>-29183</v>
      </c>
      <c r="F4969" s="3" t="s">
        <v>476</v>
      </c>
      <c r="G4969" s="3" t="s">
        <v>256</v>
      </c>
      <c r="H4969" s="2" t="s">
        <v>21</v>
      </c>
      <c r="I4969" s="2" t="s">
        <v>9863</v>
      </c>
      <c r="J4969" s="3" t="str">
        <f>HYPERLINK("https://www.boe.es/gazeta/dias/1820/02/05/pdfs/GMD-1820-16.pdf#page=5","Abrir facsímil")</f>
        <v>Abrir facsímil</v>
      </c>
      <c r="K4969" s="3" t="s">
        <v>23</v>
      </c>
    </row>
    <row r="4970" spans="1:11" ht="42" customHeight="1">
      <c r="A4970" s="2" t="s">
        <v>9864</v>
      </c>
      <c r="B4970" s="2" t="s">
        <v>9865</v>
      </c>
      <c r="C4970" s="2" t="s">
        <v>35</v>
      </c>
      <c r="D4970" s="2" t="s">
        <v>36</v>
      </c>
      <c r="E4970" s="5">
        <v>-29045</v>
      </c>
      <c r="F4970" s="3" t="s">
        <v>155</v>
      </c>
      <c r="G4970" s="3" t="s">
        <v>38</v>
      </c>
      <c r="H4970" s="2" t="s">
        <v>21</v>
      </c>
      <c r="I4970" s="2" t="s">
        <v>9866</v>
      </c>
      <c r="J4970" s="3" t="str">
        <f>HYPERLINK("https://www.boe.es/gazeta/dias/1820/06/22/pdfs/GMD-1820-97.pdf#page=6","Abrir facsímil")</f>
        <v>Abrir facsímil</v>
      </c>
      <c r="K4970" s="3" t="s">
        <v>23</v>
      </c>
    </row>
    <row r="4971" spans="1:11" ht="42" customHeight="1">
      <c r="A4971" s="2" t="s">
        <v>9867</v>
      </c>
      <c r="B4971" s="2" t="s">
        <v>9868</v>
      </c>
      <c r="C4971" s="2" t="s">
        <v>26</v>
      </c>
      <c r="D4971" s="2" t="s">
        <v>27</v>
      </c>
      <c r="E4971" s="5">
        <v>-29064</v>
      </c>
      <c r="F4971" s="3" t="s">
        <v>1264</v>
      </c>
      <c r="G4971" s="3" t="s">
        <v>43</v>
      </c>
      <c r="H4971" s="2" t="s">
        <v>21</v>
      </c>
      <c r="I4971" s="2" t="s">
        <v>9869</v>
      </c>
      <c r="J4971" s="3" t="str">
        <f>HYPERLINK("https://www.boe.es/gazeta/dias/1820/06/03/pdfs/GMD-1820-89.pdf#page=2","Abrir facsímil")</f>
        <v>Abrir facsímil</v>
      </c>
      <c r="K4971" s="3" t="s">
        <v>23</v>
      </c>
    </row>
    <row r="4972" spans="1:11" ht="42" customHeight="1">
      <c r="A4972" s="2" t="s">
        <v>9870</v>
      </c>
      <c r="B4972" s="2" t="s">
        <v>9871</v>
      </c>
      <c r="C4972" s="2" t="s">
        <v>17</v>
      </c>
      <c r="D4972" s="2" t="s">
        <v>18</v>
      </c>
      <c r="E4972" s="5">
        <v>-28864</v>
      </c>
      <c r="F4972" s="3" t="s">
        <v>1275</v>
      </c>
      <c r="G4972" s="3" t="s">
        <v>38</v>
      </c>
      <c r="H4972" s="2" t="s">
        <v>21</v>
      </c>
      <c r="I4972" s="2" t="s">
        <v>9872</v>
      </c>
      <c r="J4972" s="3" t="str">
        <f>HYPERLINK("https://www.boe.es/gazeta/dias/1820/12/20/pdfs/GGB-1820-177.pdf#page=6","Abrir facsímil")</f>
        <v>Abrir facsímil</v>
      </c>
      <c r="K4972" s="3" t="s">
        <v>23</v>
      </c>
    </row>
    <row r="4973" spans="1:11" ht="42" customHeight="1">
      <c r="A4973" s="2" t="s">
        <v>9873</v>
      </c>
      <c r="B4973" s="2" t="s">
        <v>9873</v>
      </c>
      <c r="C4973" s="2" t="s">
        <v>17</v>
      </c>
      <c r="D4973" s="2" t="s">
        <v>18</v>
      </c>
      <c r="E4973" s="5">
        <v>-29178</v>
      </c>
      <c r="F4973" s="3" t="s">
        <v>782</v>
      </c>
      <c r="G4973" s="3" t="s">
        <v>201</v>
      </c>
      <c r="H4973" s="2" t="s">
        <v>21</v>
      </c>
      <c r="I4973" s="2" t="s">
        <v>9874</v>
      </c>
      <c r="J4973" s="3" t="str">
        <f>HYPERLINK("https://www.boe.es/gazeta/dias/1820/02/10/pdfs/GMD-1820-18.pdf#page=7","Abrir facsímil")</f>
        <v>Abrir facsímil</v>
      </c>
      <c r="K4973" s="3" t="s">
        <v>23</v>
      </c>
    </row>
    <row r="4974" spans="1:11" ht="42" customHeight="1">
      <c r="A4974" s="2" t="s">
        <v>9875</v>
      </c>
      <c r="B4974" s="2" t="s">
        <v>9875</v>
      </c>
      <c r="C4974" s="2" t="s">
        <v>26</v>
      </c>
      <c r="D4974" s="2" t="s">
        <v>27</v>
      </c>
      <c r="E4974" s="5">
        <v>-29204</v>
      </c>
      <c r="F4974" s="3" t="s">
        <v>753</v>
      </c>
      <c r="G4974" s="3" t="s">
        <v>62</v>
      </c>
      <c r="H4974" s="2" t="s">
        <v>21</v>
      </c>
      <c r="I4974" s="2" t="s">
        <v>9876</v>
      </c>
      <c r="J4974" s="3" t="str">
        <f>HYPERLINK("https://www.boe.es/gazeta/dias/1820/01/15/pdfs/GMD-1820-7.pdf#page=3","Abrir facsímil")</f>
        <v>Abrir facsímil</v>
      </c>
      <c r="K4974" s="3" t="s">
        <v>23</v>
      </c>
    </row>
    <row r="4975" spans="1:11" ht="42" customHeight="1">
      <c r="A4975" s="2" t="s">
        <v>9877</v>
      </c>
      <c r="B4975" s="2" t="s">
        <v>9878</v>
      </c>
      <c r="C4975" s="2" t="s">
        <v>17</v>
      </c>
      <c r="D4975" s="2" t="s">
        <v>18</v>
      </c>
      <c r="E4975" s="5">
        <v>-28975</v>
      </c>
      <c r="F4975" s="3" t="s">
        <v>182</v>
      </c>
      <c r="G4975" s="3" t="s">
        <v>43</v>
      </c>
      <c r="H4975" s="2" t="s">
        <v>21</v>
      </c>
      <c r="I4975" s="2" t="s">
        <v>9879</v>
      </c>
      <c r="J4975" s="3" t="str">
        <f>HYPERLINK("https://www.boe.es/gazeta/dias/1820/08/31/pdfs/GGB-1820-64.pdf#page=2","Abrir facsímil")</f>
        <v>Abrir facsímil</v>
      </c>
      <c r="K4975" s="3" t="s">
        <v>23</v>
      </c>
    </row>
    <row r="4976" spans="1:11" ht="42" customHeight="1">
      <c r="A4976" s="2" t="s">
        <v>9880</v>
      </c>
      <c r="B4976" s="2" t="s">
        <v>9881</v>
      </c>
      <c r="C4976" s="2" t="s">
        <v>26</v>
      </c>
      <c r="D4976" s="2" t="s">
        <v>27</v>
      </c>
      <c r="E4976" s="5">
        <v>-28943</v>
      </c>
      <c r="F4976" s="3" t="s">
        <v>1403</v>
      </c>
      <c r="G4976" s="3" t="s">
        <v>128</v>
      </c>
      <c r="H4976" s="2" t="s">
        <v>21</v>
      </c>
      <c r="I4976" s="2" t="s">
        <v>9882</v>
      </c>
      <c r="J4976" s="3" t="str">
        <f>HYPERLINK("https://www.boe.es/gazeta/dias/1820/10/02/pdfs/GGB-1820-96.pdf#page=1","Abrir facsímil")</f>
        <v>Abrir facsímil</v>
      </c>
      <c r="K4976" s="3" t="s">
        <v>23</v>
      </c>
    </row>
    <row r="4977" spans="1:11" ht="42" customHeight="1">
      <c r="A4977" s="2" t="s">
        <v>9883</v>
      </c>
      <c r="B4977" s="2" t="s">
        <v>9884</v>
      </c>
      <c r="C4977" s="2" t="s">
        <v>35</v>
      </c>
      <c r="D4977" s="2" t="s">
        <v>36</v>
      </c>
      <c r="E4977" s="5">
        <v>-28858</v>
      </c>
      <c r="F4977" s="3" t="s">
        <v>117</v>
      </c>
      <c r="G4977" s="3" t="s">
        <v>20</v>
      </c>
      <c r="H4977" s="2" t="s">
        <v>21</v>
      </c>
      <c r="I4977" s="2" t="s">
        <v>9885</v>
      </c>
      <c r="J4977" s="3" t="str">
        <f>HYPERLINK("https://www.boe.es/gazeta/dias/1820/12/26/pdfs/GGB-1820-183.pdf#page=4","Abrir facsímil")</f>
        <v>Abrir facsímil</v>
      </c>
      <c r="K4977" s="3" t="s">
        <v>23</v>
      </c>
    </row>
    <row r="4978" spans="1:11" ht="42" customHeight="1">
      <c r="A4978" s="2" t="s">
        <v>9886</v>
      </c>
      <c r="B4978" s="2" t="s">
        <v>9886</v>
      </c>
      <c r="C4978" s="2" t="s">
        <v>35</v>
      </c>
      <c r="D4978" s="2" t="s">
        <v>36</v>
      </c>
      <c r="E4978" s="5">
        <v>-28954</v>
      </c>
      <c r="F4978" s="3" t="s">
        <v>28</v>
      </c>
      <c r="G4978" s="3" t="s">
        <v>29</v>
      </c>
      <c r="H4978" s="2" t="s">
        <v>21</v>
      </c>
      <c r="I4978" s="2" t="s">
        <v>9887</v>
      </c>
      <c r="J4978" s="3" t="str">
        <f>HYPERLINK("https://www.boe.es/gazeta/dias/1820/09/21/pdfs/GGB-1820-85.pdf#page=2","Abrir facsímil")</f>
        <v>Abrir facsímil</v>
      </c>
      <c r="K4978" s="3" t="s">
        <v>23</v>
      </c>
    </row>
    <row r="4979" spans="1:11" ht="42" customHeight="1">
      <c r="A4979" s="2" t="s">
        <v>9888</v>
      </c>
      <c r="B4979" s="2" t="s">
        <v>9889</v>
      </c>
      <c r="C4979" s="2" t="s">
        <v>26</v>
      </c>
      <c r="D4979" s="2" t="s">
        <v>27</v>
      </c>
      <c r="E4979" s="5">
        <v>-29150</v>
      </c>
      <c r="F4979" s="3" t="s">
        <v>299</v>
      </c>
      <c r="G4979" s="3" t="s">
        <v>256</v>
      </c>
      <c r="H4979" s="2" t="s">
        <v>21</v>
      </c>
      <c r="I4979" s="2" t="s">
        <v>9890</v>
      </c>
      <c r="J4979" s="3" t="str">
        <f>HYPERLINK("https://www.boe.es/gazeta/dias/1820/03/09/pdfs/GMD-1820-32.pdf#page=5","Abrir facsímil")</f>
        <v>Abrir facsímil</v>
      </c>
      <c r="K4979" s="3" t="s">
        <v>23</v>
      </c>
    </row>
    <row r="4980" spans="1:11" ht="42" customHeight="1">
      <c r="A4980" s="2" t="s">
        <v>9891</v>
      </c>
      <c r="B4980" s="2" t="s">
        <v>9892</v>
      </c>
      <c r="C4980" s="2" t="s">
        <v>17</v>
      </c>
      <c r="D4980" s="2" t="s">
        <v>18</v>
      </c>
      <c r="E4980" s="5">
        <v>-28866</v>
      </c>
      <c r="F4980" s="3" t="s">
        <v>507</v>
      </c>
      <c r="G4980" s="3" t="s">
        <v>62</v>
      </c>
      <c r="H4980" s="2" t="s">
        <v>21</v>
      </c>
      <c r="I4980" s="2" t="s">
        <v>9893</v>
      </c>
      <c r="J4980" s="3" t="str">
        <f>HYPERLINK("https://www.boe.es/gazeta/dias/1820/12/18/pdfs/GGB-1820-175.pdf#page=3","Abrir facsímil")</f>
        <v>Abrir facsímil</v>
      </c>
      <c r="K4980" s="3" t="s">
        <v>23</v>
      </c>
    </row>
    <row r="4981" spans="1:11" ht="42" customHeight="1">
      <c r="A4981" s="2" t="s">
        <v>9894</v>
      </c>
      <c r="B4981" s="2" t="s">
        <v>9895</v>
      </c>
      <c r="C4981" s="2" t="s">
        <v>35</v>
      </c>
      <c r="D4981" s="2" t="s">
        <v>36</v>
      </c>
      <c r="E4981" s="5">
        <v>-28925</v>
      </c>
      <c r="F4981" s="3" t="s">
        <v>228</v>
      </c>
      <c r="G4981" s="3" t="s">
        <v>62</v>
      </c>
      <c r="H4981" s="2" t="s">
        <v>21</v>
      </c>
      <c r="I4981" s="2" t="s">
        <v>9896</v>
      </c>
      <c r="J4981" s="3" t="str">
        <f>HYPERLINK("https://www.boe.es/gazeta/dias/1820/10/20/pdfs/GGB-1820-114.pdf#page=3","Abrir facsímil")</f>
        <v>Abrir facsímil</v>
      </c>
      <c r="K4981" s="3" t="s">
        <v>23</v>
      </c>
    </row>
    <row r="4982" spans="1:11" ht="42" customHeight="1">
      <c r="A4982" s="2" t="s">
        <v>9897</v>
      </c>
      <c r="B4982" s="2" t="s">
        <v>9897</v>
      </c>
      <c r="C4982" s="2" t="s">
        <v>26</v>
      </c>
      <c r="D4982" s="2" t="s">
        <v>27</v>
      </c>
      <c r="E4982" s="5">
        <v>-29155</v>
      </c>
      <c r="F4982" s="3" t="s">
        <v>2095</v>
      </c>
      <c r="G4982" s="3" t="s">
        <v>62</v>
      </c>
      <c r="H4982" s="2" t="s">
        <v>21</v>
      </c>
      <c r="I4982" s="2" t="s">
        <v>9898</v>
      </c>
      <c r="J4982" s="3" t="str">
        <f>HYPERLINK("https://www.boe.es/gazeta/dias/1820/03/04/pdfs/GMD-1820-28.pdf#page=3","Abrir facsímil")</f>
        <v>Abrir facsímil</v>
      </c>
      <c r="K4982" s="3" t="s">
        <v>23</v>
      </c>
    </row>
    <row r="4983" spans="1:11" ht="42" customHeight="1">
      <c r="A4983" s="2" t="s">
        <v>9897</v>
      </c>
      <c r="B4983" s="2" t="s">
        <v>9897</v>
      </c>
      <c r="C4983" s="2" t="s">
        <v>26</v>
      </c>
      <c r="D4983" s="2" t="s">
        <v>27</v>
      </c>
      <c r="E4983" s="5">
        <v>-29006</v>
      </c>
      <c r="F4983" s="3" t="s">
        <v>609</v>
      </c>
      <c r="G4983" s="3" t="s">
        <v>62</v>
      </c>
      <c r="H4983" s="2" t="s">
        <v>21</v>
      </c>
      <c r="I4983" s="2" t="s">
        <v>9899</v>
      </c>
      <c r="J4983" s="3" t="str">
        <f>HYPERLINK("https://www.boe.es/gazeta/dias/1820/07/31/pdfs/GGB-1820-33.pdf#page=3","Abrir facsímil")</f>
        <v>Abrir facsímil</v>
      </c>
      <c r="K4983" s="3" t="s">
        <v>23</v>
      </c>
    </row>
    <row r="4984" spans="1:11" ht="42" customHeight="1">
      <c r="A4984" s="2" t="s">
        <v>9900</v>
      </c>
      <c r="B4984" s="2" t="s">
        <v>9901</v>
      </c>
      <c r="C4984" s="2" t="s">
        <v>26</v>
      </c>
      <c r="D4984" s="2" t="s">
        <v>27</v>
      </c>
      <c r="E4984" s="5">
        <v>-29178</v>
      </c>
      <c r="F4984" s="3" t="s">
        <v>782</v>
      </c>
      <c r="G4984" s="3" t="s">
        <v>6087</v>
      </c>
      <c r="H4984" s="2" t="s">
        <v>21</v>
      </c>
      <c r="I4984" s="2" t="s">
        <v>9902</v>
      </c>
      <c r="J4984" s="3" t="str">
        <f>HYPERLINK("https://www.boe.es/gazeta/dias/1820/02/10/pdfs/GMD-1820-18.pdf#page=8","Abrir facsímil")</f>
        <v>Abrir facsímil</v>
      </c>
      <c r="K4984" s="3" t="s">
        <v>23</v>
      </c>
    </row>
    <row r="4985" spans="1:11" ht="42" customHeight="1">
      <c r="A4985" s="2" t="s">
        <v>9903</v>
      </c>
      <c r="B4985" s="2" t="s">
        <v>9904</v>
      </c>
      <c r="C4985" s="2" t="s">
        <v>17</v>
      </c>
      <c r="D4985" s="2" t="s">
        <v>18</v>
      </c>
      <c r="E4985" s="5">
        <v>-28966</v>
      </c>
      <c r="F4985" s="3" t="s">
        <v>701</v>
      </c>
      <c r="G4985" s="3" t="s">
        <v>20</v>
      </c>
      <c r="H4985" s="2" t="s">
        <v>21</v>
      </c>
      <c r="I4985" s="2" t="s">
        <v>9905</v>
      </c>
      <c r="J4985" s="3" t="str">
        <f>HYPERLINK("https://www.boe.es/gazeta/dias/1820/09/09/pdfs/GGB-1820-73.pdf#page=4","Abrir facsímil")</f>
        <v>Abrir facsímil</v>
      </c>
      <c r="K4985" s="3" t="s">
        <v>23</v>
      </c>
    </row>
    <row r="4986" spans="1:11" ht="42" customHeight="1">
      <c r="A4986" s="2" t="s">
        <v>9906</v>
      </c>
      <c r="B4986" s="2" t="s">
        <v>9907</v>
      </c>
      <c r="C4986" s="2" t="s">
        <v>35</v>
      </c>
      <c r="D4986" s="2" t="s">
        <v>36</v>
      </c>
      <c r="E4986" s="5">
        <v>-29199</v>
      </c>
      <c r="F4986" s="3" t="s">
        <v>1178</v>
      </c>
      <c r="G4986" s="3" t="s">
        <v>4793</v>
      </c>
      <c r="H4986" s="2" t="s">
        <v>21</v>
      </c>
      <c r="I4986" s="2" t="s">
        <v>9908</v>
      </c>
      <c r="J4986" s="3" t="str">
        <f>HYPERLINK("https://www.boe.es/gazeta/dias/1820/01/20/pdfs/GMD-1820-9.pdf#page=8","Abrir facsímil")</f>
        <v>Abrir facsímil</v>
      </c>
      <c r="K4986" s="3" t="s">
        <v>23</v>
      </c>
    </row>
    <row r="4987" spans="1:11" ht="42" customHeight="1">
      <c r="A4987" s="2" t="s">
        <v>9906</v>
      </c>
      <c r="B4987" s="2" t="s">
        <v>9907</v>
      </c>
      <c r="C4987" s="2" t="s">
        <v>17</v>
      </c>
      <c r="D4987" s="2" t="s">
        <v>18</v>
      </c>
      <c r="E4987" s="5">
        <v>-29183</v>
      </c>
      <c r="F4987" s="3" t="s">
        <v>476</v>
      </c>
      <c r="G4987" s="3" t="s">
        <v>295</v>
      </c>
      <c r="H4987" s="2" t="s">
        <v>21</v>
      </c>
      <c r="I4987" s="2" t="s">
        <v>9909</v>
      </c>
      <c r="J4987" s="3" t="str">
        <f>HYPERLINK("https://www.boe.es/gazeta/dias/1820/02/05/pdfs/GMD-1820-16.pdf#page=8","Abrir facsímil")</f>
        <v>Abrir facsímil</v>
      </c>
      <c r="K4987" s="3" t="s">
        <v>23</v>
      </c>
    </row>
    <row r="4988" spans="1:11" ht="42" customHeight="1">
      <c r="A4988" s="2" t="s">
        <v>9910</v>
      </c>
      <c r="B4988" s="2" t="s">
        <v>9911</v>
      </c>
      <c r="C4988" s="2" t="s">
        <v>26</v>
      </c>
      <c r="D4988" s="2" t="s">
        <v>27</v>
      </c>
      <c r="E4988" s="5">
        <v>-29164</v>
      </c>
      <c r="F4988" s="3" t="s">
        <v>2516</v>
      </c>
      <c r="G4988" s="3" t="s">
        <v>201</v>
      </c>
      <c r="H4988" s="2" t="s">
        <v>21</v>
      </c>
      <c r="I4988" s="2" t="s">
        <v>9912</v>
      </c>
      <c r="J4988" s="3" t="str">
        <f>HYPERLINK("https://www.boe.es/gazeta/dias/1820/02/24/pdfs/GMD-1820-24.pdf#page=7","Abrir facsímil")</f>
        <v>Abrir facsímil</v>
      </c>
      <c r="K4988" s="3" t="s">
        <v>23</v>
      </c>
    </row>
    <row r="4989" spans="1:11" ht="42" customHeight="1">
      <c r="A4989" s="2" t="s">
        <v>9906</v>
      </c>
      <c r="B4989" s="2" t="s">
        <v>9907</v>
      </c>
      <c r="C4989" s="2" t="s">
        <v>35</v>
      </c>
      <c r="D4989" s="2" t="s">
        <v>36</v>
      </c>
      <c r="E4989" s="5">
        <v>-29152</v>
      </c>
      <c r="F4989" s="3" t="s">
        <v>1293</v>
      </c>
      <c r="G4989" s="3" t="s">
        <v>295</v>
      </c>
      <c r="H4989" s="2" t="s">
        <v>21</v>
      </c>
      <c r="I4989" s="2" t="s">
        <v>9913</v>
      </c>
      <c r="J4989" s="3" t="str">
        <f>HYPERLINK("https://www.boe.es/gazeta/dias/1820/03/07/pdfs/GMD-1820-29.pdf#page=8","Abrir facsímil")</f>
        <v>Abrir facsímil</v>
      </c>
      <c r="K4989" s="3" t="s">
        <v>23</v>
      </c>
    </row>
    <row r="4990" spans="1:11" ht="42" customHeight="1">
      <c r="A4990" s="2" t="s">
        <v>9906</v>
      </c>
      <c r="B4990" s="2" t="s">
        <v>9907</v>
      </c>
      <c r="C4990" s="2" t="s">
        <v>35</v>
      </c>
      <c r="D4990" s="2" t="s">
        <v>36</v>
      </c>
      <c r="E4990" s="5">
        <v>-29089</v>
      </c>
      <c r="F4990" s="3" t="s">
        <v>2128</v>
      </c>
      <c r="G4990" s="3" t="s">
        <v>295</v>
      </c>
      <c r="H4990" s="2" t="s">
        <v>21</v>
      </c>
      <c r="I4990" s="2" t="s">
        <v>9914</v>
      </c>
      <c r="J4990" s="3" t="str">
        <f>HYPERLINK("https://www.boe.es/gazeta/dias/1820/05/09/pdfs/GMD-1820-77.pdf#page=8","Abrir facsímil")</f>
        <v>Abrir facsímil</v>
      </c>
      <c r="K4990" s="3" t="s">
        <v>23</v>
      </c>
    </row>
    <row r="4991" spans="1:11" ht="42" customHeight="1">
      <c r="A4991" s="2" t="s">
        <v>9906</v>
      </c>
      <c r="B4991" s="2" t="s">
        <v>9907</v>
      </c>
      <c r="C4991" s="2" t="s">
        <v>26</v>
      </c>
      <c r="D4991" s="2" t="s">
        <v>27</v>
      </c>
      <c r="E4991" s="5">
        <v>-28956</v>
      </c>
      <c r="F4991" s="3" t="s">
        <v>190</v>
      </c>
      <c r="G4991" s="3" t="s">
        <v>20</v>
      </c>
      <c r="H4991" s="2" t="s">
        <v>21</v>
      </c>
      <c r="I4991" s="2" t="s">
        <v>9915</v>
      </c>
      <c r="J4991" s="3" t="str">
        <f>HYPERLINK("https://www.boe.es/gazeta/dias/1820/09/19/pdfs/GGB-1820-83.pdf#page=4","Abrir facsímil")</f>
        <v>Abrir facsímil</v>
      </c>
      <c r="K4991" s="3" t="s">
        <v>23</v>
      </c>
    </row>
    <row r="4992" spans="1:11" ht="42" customHeight="1">
      <c r="A4992" s="2" t="s">
        <v>9916</v>
      </c>
      <c r="B4992" s="2" t="s">
        <v>9917</v>
      </c>
      <c r="C4992" s="2" t="s">
        <v>26</v>
      </c>
      <c r="D4992" s="2" t="s">
        <v>27</v>
      </c>
      <c r="E4992" s="5">
        <v>-28958</v>
      </c>
      <c r="F4992" s="3" t="s">
        <v>706</v>
      </c>
      <c r="G4992" s="3" t="s">
        <v>20</v>
      </c>
      <c r="H4992" s="2" t="s">
        <v>21</v>
      </c>
      <c r="I4992" s="2" t="s">
        <v>9918</v>
      </c>
      <c r="J4992" s="3" t="str">
        <f>HYPERLINK("https://www.boe.es/gazeta/dias/1820/09/17/pdfs/GGB-1820-81.pdf#page=4","Abrir facsímil")</f>
        <v>Abrir facsímil</v>
      </c>
      <c r="K4992" s="3" t="s">
        <v>23</v>
      </c>
    </row>
    <row r="4993" spans="1:11" ht="42" customHeight="1">
      <c r="A4993" s="2" t="s">
        <v>9919</v>
      </c>
      <c r="B4993" s="2" t="s">
        <v>9919</v>
      </c>
      <c r="C4993" s="2" t="s">
        <v>26</v>
      </c>
      <c r="D4993" s="2" t="s">
        <v>27</v>
      </c>
      <c r="E4993" s="5">
        <v>-28990</v>
      </c>
      <c r="F4993" s="3" t="s">
        <v>61</v>
      </c>
      <c r="G4993" s="3" t="s">
        <v>128</v>
      </c>
      <c r="H4993" s="2" t="s">
        <v>21</v>
      </c>
      <c r="I4993" s="2" t="s">
        <v>9920</v>
      </c>
      <c r="J4993" s="3" t="str">
        <f>HYPERLINK("https://www.boe.es/gazeta/dias/1820/08/16/pdfs/GGB-1820-49.pdf#page=1","Abrir facsímil")</f>
        <v>Abrir facsímil</v>
      </c>
      <c r="K4993" s="3" t="s">
        <v>23</v>
      </c>
    </row>
    <row r="4994" spans="1:11" ht="42" customHeight="1">
      <c r="A4994" s="2" t="s">
        <v>9921</v>
      </c>
      <c r="B4994" s="2" t="s">
        <v>9922</v>
      </c>
      <c r="C4994" s="2" t="s">
        <v>17</v>
      </c>
      <c r="D4994" s="2" t="s">
        <v>18</v>
      </c>
      <c r="E4994" s="5">
        <v>-28871</v>
      </c>
      <c r="F4994" s="3" t="s">
        <v>2368</v>
      </c>
      <c r="G4994" s="3" t="s">
        <v>62</v>
      </c>
      <c r="H4994" s="2" t="s">
        <v>30</v>
      </c>
      <c r="I4994" s="2" t="s">
        <v>9923</v>
      </c>
      <c r="J4994" s="3" t="str">
        <f>HYPERLINK("https://www.boe.es/gazeta/dias/1820/12/13/pdfs/GGB-1820-170.pdf#page=3","Abrir facsímil")</f>
        <v>Abrir facsímil</v>
      </c>
      <c r="K4994" s="3" t="s">
        <v>32</v>
      </c>
    </row>
    <row r="4995" spans="1:11" ht="42" customHeight="1">
      <c r="A4995" s="2" t="s">
        <v>9924</v>
      </c>
      <c r="B4995" s="2" t="s">
        <v>9925</v>
      </c>
      <c r="C4995" s="2" t="s">
        <v>17</v>
      </c>
      <c r="D4995" s="2" t="s">
        <v>18</v>
      </c>
      <c r="E4995" s="5">
        <v>-28965</v>
      </c>
      <c r="F4995" s="3" t="s">
        <v>1520</v>
      </c>
      <c r="G4995" s="3" t="s">
        <v>43</v>
      </c>
      <c r="H4995" s="2" t="s">
        <v>30</v>
      </c>
      <c r="I4995" s="2" t="s">
        <v>9926</v>
      </c>
      <c r="J4995" s="3" t="str">
        <f>HYPERLINK("https://www.boe.es/gazeta/dias/1820/09/10/pdfs/GGB-1820-74.pdf#page=2","Abrir facsímil")</f>
        <v>Abrir facsímil</v>
      </c>
      <c r="K4995" s="3" t="s">
        <v>32</v>
      </c>
    </row>
    <row r="4996" spans="1:11" ht="42" customHeight="1">
      <c r="A4996" s="2" t="s">
        <v>9927</v>
      </c>
      <c r="B4996" s="2" t="s">
        <v>9927</v>
      </c>
      <c r="C4996" s="2" t="s">
        <v>47</v>
      </c>
      <c r="D4996" s="2" t="s">
        <v>18</v>
      </c>
      <c r="E4996" s="5">
        <v>-29000</v>
      </c>
      <c r="F4996" s="3" t="s">
        <v>670</v>
      </c>
      <c r="G4996" s="3" t="s">
        <v>62</v>
      </c>
      <c r="H4996" s="2" t="s">
        <v>21</v>
      </c>
      <c r="I4996" s="2" t="s">
        <v>9928</v>
      </c>
      <c r="J4996" s="3" t="str">
        <f>HYPERLINK("https://www.boe.es/gazeta/dias/1820/08/06/pdfs/GGB-1820-39.pdf#page=3","Abrir facsímil")</f>
        <v>Abrir facsímil</v>
      </c>
      <c r="K4996" s="3" t="s">
        <v>23</v>
      </c>
    </row>
    <row r="4997" spans="1:11" ht="42" customHeight="1">
      <c r="A4997" s="2" t="s">
        <v>9929</v>
      </c>
      <c r="B4997" s="2" t="s">
        <v>9929</v>
      </c>
      <c r="C4997" s="2" t="s">
        <v>26</v>
      </c>
      <c r="D4997" s="2" t="s">
        <v>27</v>
      </c>
      <c r="E4997" s="5">
        <v>-29117</v>
      </c>
      <c r="F4997" s="3" t="s">
        <v>1451</v>
      </c>
      <c r="G4997" s="3" t="s">
        <v>38</v>
      </c>
      <c r="H4997" s="2" t="s">
        <v>21</v>
      </c>
      <c r="I4997" s="2" t="s">
        <v>9930</v>
      </c>
      <c r="J4997" s="3" t="str">
        <f>HYPERLINK("https://www.boe.es/gazeta/dias/1820/04/11/pdfs/GMD-1820-64.pdf#page=6","Abrir facsímil")</f>
        <v>Abrir facsímil</v>
      </c>
      <c r="K4997" s="3" t="s">
        <v>23</v>
      </c>
    </row>
    <row r="4998" spans="1:11" ht="42" customHeight="1">
      <c r="A4998" s="2" t="s">
        <v>9931</v>
      </c>
      <c r="B4998" s="2" t="s">
        <v>9932</v>
      </c>
      <c r="C4998" s="2" t="s">
        <v>26</v>
      </c>
      <c r="D4998" s="2" t="s">
        <v>27</v>
      </c>
      <c r="E4998" s="5">
        <v>-29117</v>
      </c>
      <c r="F4998" s="3" t="s">
        <v>1451</v>
      </c>
      <c r="G4998" s="3" t="s">
        <v>201</v>
      </c>
      <c r="H4998" s="2" t="s">
        <v>21</v>
      </c>
      <c r="I4998" s="2" t="s">
        <v>9933</v>
      </c>
      <c r="J4998" s="3" t="str">
        <f>HYPERLINK("https://www.boe.es/gazeta/dias/1820/04/11/pdfs/GMD-1820-64.pdf#page=7","Abrir facsímil")</f>
        <v>Abrir facsímil</v>
      </c>
      <c r="K4998" s="3" t="s">
        <v>23</v>
      </c>
    </row>
    <row r="4999" spans="1:11" ht="42" customHeight="1">
      <c r="A4999" s="2" t="s">
        <v>9931</v>
      </c>
      <c r="B4999" s="2" t="s">
        <v>9932</v>
      </c>
      <c r="C4999" s="2" t="s">
        <v>35</v>
      </c>
      <c r="D4999" s="2" t="s">
        <v>36</v>
      </c>
      <c r="E4999" s="5">
        <v>-28908</v>
      </c>
      <c r="F4999" s="3" t="s">
        <v>1060</v>
      </c>
      <c r="G4999" s="3" t="s">
        <v>43</v>
      </c>
      <c r="H4999" s="2" t="s">
        <v>21</v>
      </c>
      <c r="I4999" s="2" t="s">
        <v>9934</v>
      </c>
      <c r="J4999" s="3" t="str">
        <f>HYPERLINK("https://www.boe.es/gazeta/dias/1820/11/06/pdfs/GGB-1820-131.pdf#page=2","Abrir facsímil")</f>
        <v>Abrir facsímil</v>
      </c>
      <c r="K4999" s="3" t="s">
        <v>23</v>
      </c>
    </row>
    <row r="5000" spans="1:11" ht="42" customHeight="1">
      <c r="A5000" s="2" t="s">
        <v>9935</v>
      </c>
      <c r="B5000" s="2" t="s">
        <v>9935</v>
      </c>
      <c r="C5000" s="2" t="s">
        <v>35</v>
      </c>
      <c r="D5000" s="2" t="s">
        <v>36</v>
      </c>
      <c r="E5000" s="5">
        <v>-29020</v>
      </c>
      <c r="F5000" s="3" t="s">
        <v>756</v>
      </c>
      <c r="G5000" s="3" t="s">
        <v>20</v>
      </c>
      <c r="H5000" s="2" t="s">
        <v>21</v>
      </c>
      <c r="I5000" s="2" t="s">
        <v>9936</v>
      </c>
      <c r="J5000" s="3" t="str">
        <f>HYPERLINK("https://www.boe.es/gazeta/dias/1820/07/17/pdfs/GGB-1820-19.pdf#page=4","Abrir facsímil")</f>
        <v>Abrir facsímil</v>
      </c>
      <c r="K5000" s="3" t="s">
        <v>23</v>
      </c>
    </row>
    <row r="5001" spans="1:11" ht="42" customHeight="1">
      <c r="A5001" s="2" t="s">
        <v>9937</v>
      </c>
      <c r="B5001" s="2" t="s">
        <v>9938</v>
      </c>
      <c r="C5001" s="2" t="s">
        <v>35</v>
      </c>
      <c r="D5001" s="2" t="s">
        <v>36</v>
      </c>
      <c r="E5001" s="5">
        <v>-29026</v>
      </c>
      <c r="F5001" s="3" t="s">
        <v>1197</v>
      </c>
      <c r="G5001" s="3" t="s">
        <v>43</v>
      </c>
      <c r="H5001" s="2" t="s">
        <v>21</v>
      </c>
      <c r="I5001" s="2" t="s">
        <v>9939</v>
      </c>
      <c r="J5001" s="3" t="str">
        <f>HYPERLINK("https://www.boe.es/gazeta/dias/1820/07/11/pdfs/GGB-1820-13.pdf#page=2","Abrir facsímil")</f>
        <v>Abrir facsímil</v>
      </c>
      <c r="K5001" s="3" t="s">
        <v>23</v>
      </c>
    </row>
    <row r="5002" spans="1:11" ht="42" customHeight="1">
      <c r="A5002" s="2" t="s">
        <v>9940</v>
      </c>
      <c r="B5002" s="2" t="s">
        <v>9940</v>
      </c>
      <c r="C5002" s="2" t="s">
        <v>74</v>
      </c>
      <c r="D5002" s="2" t="s">
        <v>18</v>
      </c>
      <c r="E5002" s="5">
        <v>-28990</v>
      </c>
      <c r="F5002" s="3" t="s">
        <v>61</v>
      </c>
      <c r="G5002" s="3" t="s">
        <v>62</v>
      </c>
      <c r="H5002" s="2" t="s">
        <v>21</v>
      </c>
      <c r="I5002" s="2" t="s">
        <v>9941</v>
      </c>
      <c r="J5002" s="3" t="str">
        <f>HYPERLINK("https://www.boe.es/gazeta/dias/1820/08/16/pdfs/GGB-1820-49.pdf#page=3","Abrir facsímil")</f>
        <v>Abrir facsímil</v>
      </c>
      <c r="K5002" s="3" t="s">
        <v>23</v>
      </c>
    </row>
    <row r="5003" spans="1:11" ht="42" customHeight="1">
      <c r="A5003" s="2" t="s">
        <v>9942</v>
      </c>
      <c r="B5003" s="2" t="s">
        <v>9943</v>
      </c>
      <c r="C5003" s="2" t="s">
        <v>26</v>
      </c>
      <c r="D5003" s="2" t="s">
        <v>27</v>
      </c>
      <c r="E5003" s="5">
        <v>-28990</v>
      </c>
      <c r="F5003" s="3" t="s">
        <v>61</v>
      </c>
      <c r="G5003" s="3" t="s">
        <v>62</v>
      </c>
      <c r="H5003" s="2" t="s">
        <v>21</v>
      </c>
      <c r="I5003" s="2" t="s">
        <v>9944</v>
      </c>
      <c r="J5003" s="3" t="str">
        <f>HYPERLINK("https://www.boe.es/gazeta/dias/1820/08/16/pdfs/GGB-1820-49.pdf#page=3","Abrir facsímil")</f>
        <v>Abrir facsímil</v>
      </c>
      <c r="K5003" s="3" t="s">
        <v>23</v>
      </c>
    </row>
    <row r="5004" spans="1:11" ht="42" customHeight="1">
      <c r="A5004" s="2" t="s">
        <v>9945</v>
      </c>
      <c r="B5004" s="2" t="s">
        <v>9946</v>
      </c>
      <c r="C5004" s="2" t="s">
        <v>35</v>
      </c>
      <c r="D5004" s="2" t="s">
        <v>36</v>
      </c>
      <c r="E5004" s="5">
        <v>-28984</v>
      </c>
      <c r="F5004" s="3" t="s">
        <v>520</v>
      </c>
      <c r="G5004" s="3" t="s">
        <v>62</v>
      </c>
      <c r="H5004" s="2" t="s">
        <v>21</v>
      </c>
      <c r="I5004" s="2" t="s">
        <v>9947</v>
      </c>
      <c r="J5004" s="3" t="str">
        <f>HYPERLINK("https://www.boe.es/gazeta/dias/1820/08/22/pdfs/GGB-1820-55.pdf#page=3","Abrir facsímil")</f>
        <v>Abrir facsímil</v>
      </c>
      <c r="K5004" s="3" t="s">
        <v>23</v>
      </c>
    </row>
    <row r="5005" spans="1:11" ht="42" customHeight="1">
      <c r="A5005" s="2" t="s">
        <v>9948</v>
      </c>
      <c r="B5005" s="2" t="s">
        <v>9948</v>
      </c>
      <c r="C5005" s="2" t="s">
        <v>26</v>
      </c>
      <c r="D5005" s="2" t="s">
        <v>27</v>
      </c>
      <c r="E5005" s="5">
        <v>-28990</v>
      </c>
      <c r="F5005" s="3" t="s">
        <v>61</v>
      </c>
      <c r="G5005" s="3" t="s">
        <v>62</v>
      </c>
      <c r="H5005" s="2" t="s">
        <v>21</v>
      </c>
      <c r="I5005" s="2" t="s">
        <v>9949</v>
      </c>
      <c r="J5005" s="3" t="str">
        <f>HYPERLINK("https://www.boe.es/gazeta/dias/1820/08/16/pdfs/GGB-1820-49.pdf#page=3","Abrir facsímil")</f>
        <v>Abrir facsímil</v>
      </c>
      <c r="K5005" s="3" t="s">
        <v>23</v>
      </c>
    </row>
    <row r="5006" spans="1:11" ht="42" customHeight="1">
      <c r="A5006" s="2" t="s">
        <v>9950</v>
      </c>
      <c r="B5006" s="2" t="s">
        <v>9951</v>
      </c>
      <c r="C5006" s="2" t="s">
        <v>17</v>
      </c>
      <c r="D5006" s="2" t="s">
        <v>18</v>
      </c>
      <c r="E5006" s="5">
        <v>-28989</v>
      </c>
      <c r="F5006" s="3" t="s">
        <v>809</v>
      </c>
      <c r="G5006" s="3" t="s">
        <v>43</v>
      </c>
      <c r="H5006" s="2" t="s">
        <v>21</v>
      </c>
      <c r="I5006" s="2" t="s">
        <v>9952</v>
      </c>
      <c r="J5006" s="3" t="str">
        <f>HYPERLINK("https://www.boe.es/gazeta/dias/1820/08/17/pdfs/GGB-1820-50.pdf#page=2","Abrir facsímil")</f>
        <v>Abrir facsímil</v>
      </c>
      <c r="K5006" s="3" t="s">
        <v>23</v>
      </c>
    </row>
    <row r="5007" spans="1:11" ht="42" customHeight="1">
      <c r="A5007" s="2" t="s">
        <v>9953</v>
      </c>
      <c r="B5007" s="2" t="s">
        <v>9954</v>
      </c>
      <c r="C5007" s="2" t="s">
        <v>26</v>
      </c>
      <c r="D5007" s="2" t="s">
        <v>310</v>
      </c>
      <c r="E5007" s="5">
        <v>-29142</v>
      </c>
      <c r="F5007" s="3" t="s">
        <v>2712</v>
      </c>
      <c r="G5007" s="3" t="s">
        <v>62</v>
      </c>
      <c r="H5007" s="2" t="s">
        <v>21</v>
      </c>
      <c r="I5007" s="2" t="s">
        <v>9955</v>
      </c>
      <c r="J5007" s="3" t="str">
        <f>HYPERLINK("https://www.boe.es/gazeta/dias/1820/03/17/pdfs/GMD-1820-43E.pdf#page=3","Abrir facsímil")</f>
        <v>Abrir facsímil</v>
      </c>
      <c r="K5007" s="3" t="s">
        <v>23</v>
      </c>
    </row>
    <row r="5008" spans="1:11" ht="42" customHeight="1">
      <c r="A5008" s="2" t="s">
        <v>9956</v>
      </c>
      <c r="B5008" s="2" t="s">
        <v>9956</v>
      </c>
      <c r="C5008" s="2" t="s">
        <v>26</v>
      </c>
      <c r="D5008" s="2" t="s">
        <v>310</v>
      </c>
      <c r="E5008" s="5">
        <v>-29138</v>
      </c>
      <c r="F5008" s="3" t="s">
        <v>4019</v>
      </c>
      <c r="G5008" s="3" t="s">
        <v>43</v>
      </c>
      <c r="H5008" s="2" t="s">
        <v>21</v>
      </c>
      <c r="I5008" s="2" t="s">
        <v>9957</v>
      </c>
      <c r="J5008" s="3" t="str">
        <f>HYPERLINK("https://www.boe.es/gazeta/dias/1820/03/21/pdfs/GMD-1820-49E.pdf#page=2","Abrir facsímil")</f>
        <v>Abrir facsímil</v>
      </c>
      <c r="K5008" s="3" t="s">
        <v>23</v>
      </c>
    </row>
    <row r="5009" spans="1:11" ht="42" customHeight="1">
      <c r="A5009" s="2" t="s">
        <v>9958</v>
      </c>
      <c r="B5009" s="2" t="s">
        <v>9959</v>
      </c>
      <c r="C5009" s="2" t="s">
        <v>26</v>
      </c>
      <c r="D5009" s="2" t="s">
        <v>310</v>
      </c>
      <c r="E5009" s="5">
        <v>-29139</v>
      </c>
      <c r="F5009" s="3" t="s">
        <v>6989</v>
      </c>
      <c r="G5009" s="3" t="s">
        <v>128</v>
      </c>
      <c r="H5009" s="2" t="s">
        <v>21</v>
      </c>
      <c r="I5009" s="2" t="s">
        <v>9960</v>
      </c>
      <c r="J5009" s="3" t="str">
        <f>HYPERLINK("https://www.boe.es/gazeta/dias/1820/03/20/pdfs/GMD-1820-47E.pdf#page=1","Abrir facsímil")</f>
        <v>Abrir facsímil</v>
      </c>
      <c r="K5009" s="3" t="s">
        <v>23</v>
      </c>
    </row>
    <row r="5010" spans="1:11" ht="42" customHeight="1">
      <c r="A5010" s="2" t="s">
        <v>9961</v>
      </c>
      <c r="B5010" s="2" t="s">
        <v>9962</v>
      </c>
      <c r="C5010" s="2" t="s">
        <v>26</v>
      </c>
      <c r="D5010" s="2" t="s">
        <v>27</v>
      </c>
      <c r="E5010" s="5">
        <v>-29138</v>
      </c>
      <c r="F5010" s="3" t="s">
        <v>200</v>
      </c>
      <c r="G5010" s="3" t="s">
        <v>201</v>
      </c>
      <c r="H5010" s="2" t="s">
        <v>21</v>
      </c>
      <c r="I5010" s="2" t="s">
        <v>9963</v>
      </c>
      <c r="J5010" s="3" t="str">
        <f>HYPERLINK("https://www.boe.es/gazeta/dias/1820/03/21/pdfs/GMD-1820-46.pdf#page=7","Abrir facsímil")</f>
        <v>Abrir facsímil</v>
      </c>
      <c r="K5010" s="3" t="s">
        <v>23</v>
      </c>
    </row>
    <row r="5011" spans="1:11" ht="42" customHeight="1">
      <c r="A5011" s="2" t="s">
        <v>9961</v>
      </c>
      <c r="B5011" s="2" t="s">
        <v>9962</v>
      </c>
      <c r="C5011" s="2" t="s">
        <v>26</v>
      </c>
      <c r="D5011" s="2" t="s">
        <v>27</v>
      </c>
      <c r="E5011" s="5">
        <v>-29117</v>
      </c>
      <c r="F5011" s="3" t="s">
        <v>1451</v>
      </c>
      <c r="G5011" s="3" t="s">
        <v>38</v>
      </c>
      <c r="H5011" s="2" t="s">
        <v>21</v>
      </c>
      <c r="I5011" s="2" t="s">
        <v>9964</v>
      </c>
      <c r="J5011" s="3" t="str">
        <f>HYPERLINK("https://www.boe.es/gazeta/dias/1820/04/11/pdfs/GMD-1820-64.pdf#page=6","Abrir facsímil")</f>
        <v>Abrir facsímil</v>
      </c>
      <c r="K5011" s="3" t="s">
        <v>23</v>
      </c>
    </row>
    <row r="5012" spans="1:11" ht="42" customHeight="1">
      <c r="A5012" s="2" t="s">
        <v>9961</v>
      </c>
      <c r="B5012" s="2" t="s">
        <v>9962</v>
      </c>
      <c r="C5012" s="2" t="s">
        <v>26</v>
      </c>
      <c r="D5012" s="2" t="s">
        <v>27</v>
      </c>
      <c r="E5012" s="5">
        <v>-29117</v>
      </c>
      <c r="F5012" s="3" t="s">
        <v>1451</v>
      </c>
      <c r="G5012" s="3" t="s">
        <v>201</v>
      </c>
      <c r="H5012" s="2" t="s">
        <v>21</v>
      </c>
      <c r="I5012" s="2" t="s">
        <v>9965</v>
      </c>
      <c r="J5012" s="3" t="str">
        <f>HYPERLINK("https://www.boe.es/gazeta/dias/1820/04/11/pdfs/GMD-1820-64.pdf#page=7","Abrir facsímil")</f>
        <v>Abrir facsímil</v>
      </c>
      <c r="K5012" s="3" t="s">
        <v>23</v>
      </c>
    </row>
    <row r="5013" spans="1:11" ht="42" customHeight="1">
      <c r="A5013" s="2" t="s">
        <v>9961</v>
      </c>
      <c r="B5013" s="2" t="s">
        <v>9962</v>
      </c>
      <c r="C5013" s="2" t="s">
        <v>26</v>
      </c>
      <c r="D5013" s="2" t="s">
        <v>27</v>
      </c>
      <c r="E5013" s="5">
        <v>-29096</v>
      </c>
      <c r="F5013" s="3" t="s">
        <v>315</v>
      </c>
      <c r="G5013" s="3" t="s">
        <v>295</v>
      </c>
      <c r="H5013" s="2" t="s">
        <v>21</v>
      </c>
      <c r="I5013" s="2" t="s">
        <v>9966</v>
      </c>
      <c r="J5013" s="3" t="str">
        <f>HYPERLINK("https://www.boe.es/gazeta/dias/1820/05/02/pdfs/GMD-1820-74.pdf#page=8","Abrir facsímil")</f>
        <v>Abrir facsímil</v>
      </c>
      <c r="K5013" s="3" t="s">
        <v>23</v>
      </c>
    </row>
    <row r="5014" spans="1:11" ht="42" customHeight="1">
      <c r="A5014" s="2" t="s">
        <v>9958</v>
      </c>
      <c r="B5014" s="2" t="s">
        <v>9959</v>
      </c>
      <c r="C5014" s="2" t="s">
        <v>26</v>
      </c>
      <c r="D5014" s="2" t="s">
        <v>27</v>
      </c>
      <c r="E5014" s="5">
        <v>-29068</v>
      </c>
      <c r="F5014" s="3" t="s">
        <v>943</v>
      </c>
      <c r="G5014" s="3" t="s">
        <v>38</v>
      </c>
      <c r="H5014" s="2" t="s">
        <v>21</v>
      </c>
      <c r="I5014" s="2" t="s">
        <v>9967</v>
      </c>
      <c r="J5014" s="3" t="str">
        <f>HYPERLINK("https://www.boe.es/gazeta/dias/1820/05/30/pdfs/GMD-1820-87.pdf#page=6","Abrir facsímil")</f>
        <v>Abrir facsímil</v>
      </c>
      <c r="K5014" s="3" t="s">
        <v>23</v>
      </c>
    </row>
    <row r="5015" spans="1:11" ht="42" customHeight="1">
      <c r="A5015" s="2" t="s">
        <v>9961</v>
      </c>
      <c r="B5015" s="2" t="s">
        <v>9962</v>
      </c>
      <c r="C5015" s="2" t="s">
        <v>26</v>
      </c>
      <c r="D5015" s="2" t="s">
        <v>27</v>
      </c>
      <c r="E5015" s="5">
        <v>-28998</v>
      </c>
      <c r="F5015" s="3" t="s">
        <v>629</v>
      </c>
      <c r="G5015" s="3" t="s">
        <v>128</v>
      </c>
      <c r="H5015" s="2" t="s">
        <v>21</v>
      </c>
      <c r="I5015" s="2" t="s">
        <v>9968</v>
      </c>
      <c r="J5015" s="3" t="str">
        <f>HYPERLINK("https://www.boe.es/gazeta/dias/1820/08/08/pdfs/GGB-1820-41.pdf#page=1","Abrir facsímil")</f>
        <v>Abrir facsímil</v>
      </c>
      <c r="K5015" s="3" t="s">
        <v>23</v>
      </c>
    </row>
    <row r="5016" spans="1:11" ht="42" customHeight="1">
      <c r="A5016" s="2" t="s">
        <v>9961</v>
      </c>
      <c r="B5016" s="2" t="s">
        <v>9962</v>
      </c>
      <c r="C5016" s="2" t="s">
        <v>26</v>
      </c>
      <c r="D5016" s="2" t="s">
        <v>27</v>
      </c>
      <c r="E5016" s="5">
        <v>-28950</v>
      </c>
      <c r="F5016" s="3" t="s">
        <v>1052</v>
      </c>
      <c r="G5016" s="3" t="s">
        <v>20</v>
      </c>
      <c r="H5016" s="2" t="s">
        <v>21</v>
      </c>
      <c r="I5016" s="2" t="s">
        <v>9969</v>
      </c>
      <c r="J5016" s="3" t="str">
        <f>HYPERLINK("https://www.boe.es/gazeta/dias/1820/09/25/pdfs/GGB-1820-89.pdf#page=4","Abrir facsímil")</f>
        <v>Abrir facsímil</v>
      </c>
      <c r="K5016" s="3" t="s">
        <v>23</v>
      </c>
    </row>
    <row r="5017" spans="1:11" ht="42" customHeight="1">
      <c r="A5017" s="2" t="s">
        <v>9970</v>
      </c>
      <c r="B5017" s="2" t="s">
        <v>9971</v>
      </c>
      <c r="C5017" s="2" t="s">
        <v>26</v>
      </c>
      <c r="D5017" s="2" t="s">
        <v>27</v>
      </c>
      <c r="E5017" s="5">
        <v>-28950</v>
      </c>
      <c r="F5017" s="3" t="s">
        <v>1052</v>
      </c>
      <c r="G5017" s="3" t="s">
        <v>20</v>
      </c>
      <c r="H5017" s="2" t="s">
        <v>21</v>
      </c>
      <c r="I5017" s="2" t="s">
        <v>9972</v>
      </c>
      <c r="J5017" s="3" t="str">
        <f>HYPERLINK("https://www.boe.es/gazeta/dias/1820/09/25/pdfs/GGB-1820-89.pdf#page=4","Abrir facsímil")</f>
        <v>Abrir facsímil</v>
      </c>
      <c r="K5017" s="3" t="s">
        <v>23</v>
      </c>
    </row>
    <row r="5018" spans="1:11" ht="42" customHeight="1">
      <c r="A5018" s="2" t="s">
        <v>9970</v>
      </c>
      <c r="B5018" s="2" t="s">
        <v>9971</v>
      </c>
      <c r="C5018" s="2" t="s">
        <v>35</v>
      </c>
      <c r="D5018" s="2" t="s">
        <v>36</v>
      </c>
      <c r="E5018" s="5">
        <v>-28911</v>
      </c>
      <c r="F5018" s="3" t="s">
        <v>82</v>
      </c>
      <c r="G5018" s="3" t="s">
        <v>62</v>
      </c>
      <c r="H5018" s="2" t="s">
        <v>21</v>
      </c>
      <c r="I5018" s="2" t="s">
        <v>9973</v>
      </c>
      <c r="J5018" s="3" t="str">
        <f>HYPERLINK("https://www.boe.es/gazeta/dias/1820/11/03/pdfs/GGB-1820-128.pdf#page=3","Abrir facsímil")</f>
        <v>Abrir facsímil</v>
      </c>
      <c r="K5018" s="3" t="s">
        <v>23</v>
      </c>
    </row>
    <row r="5019" spans="1:11" ht="42" customHeight="1">
      <c r="A5019" s="2" t="s">
        <v>9974</v>
      </c>
      <c r="B5019" s="2" t="s">
        <v>9975</v>
      </c>
      <c r="C5019" s="2" t="s">
        <v>111</v>
      </c>
      <c r="D5019" s="2" t="s">
        <v>310</v>
      </c>
      <c r="E5019" s="5">
        <v>-29138</v>
      </c>
      <c r="F5019" s="3" t="s">
        <v>2523</v>
      </c>
      <c r="G5019" s="3" t="s">
        <v>128</v>
      </c>
      <c r="H5019" s="2" t="s">
        <v>21</v>
      </c>
      <c r="I5019" s="2" t="s">
        <v>9976</v>
      </c>
      <c r="J5019" s="3" t="str">
        <f>HYPERLINK("https://www.boe.es/gazeta/dias/1820/03/21/pdfs/GMD-1820-48E.pdf#page=1","Abrir facsímil")</f>
        <v>Abrir facsímil</v>
      </c>
      <c r="K5019" s="3" t="s">
        <v>23</v>
      </c>
    </row>
    <row r="5020" spans="1:11" ht="42" customHeight="1">
      <c r="A5020" s="2" t="s">
        <v>9977</v>
      </c>
      <c r="B5020" s="2" t="s">
        <v>9978</v>
      </c>
      <c r="C5020" s="2" t="s">
        <v>26</v>
      </c>
      <c r="D5020" s="2" t="s">
        <v>27</v>
      </c>
      <c r="E5020" s="5">
        <v>-29131</v>
      </c>
      <c r="F5020" s="3" t="s">
        <v>1193</v>
      </c>
      <c r="G5020" s="3" t="s">
        <v>201</v>
      </c>
      <c r="H5020" s="2" t="s">
        <v>21</v>
      </c>
      <c r="I5020" s="2" t="s">
        <v>9979</v>
      </c>
      <c r="J5020" s="3" t="str">
        <f>HYPERLINK("https://www.boe.es/gazeta/dias/1820/03/28/pdfs/GMD-1820-56.pdf#page=7","Abrir facsímil")</f>
        <v>Abrir facsímil</v>
      </c>
      <c r="K5020" s="3" t="s">
        <v>23</v>
      </c>
    </row>
    <row r="5021" spans="1:11" ht="42" customHeight="1">
      <c r="A5021" s="2" t="s">
        <v>9980</v>
      </c>
      <c r="B5021" s="2" t="s">
        <v>9981</v>
      </c>
      <c r="C5021" s="2" t="s">
        <v>26</v>
      </c>
      <c r="D5021" s="2" t="s">
        <v>27</v>
      </c>
      <c r="E5021" s="5">
        <v>-29022</v>
      </c>
      <c r="F5021" s="3" t="s">
        <v>1310</v>
      </c>
      <c r="G5021" s="3" t="s">
        <v>20</v>
      </c>
      <c r="H5021" s="2" t="s">
        <v>21</v>
      </c>
      <c r="I5021" s="2" t="s">
        <v>9982</v>
      </c>
      <c r="J5021" s="3" t="str">
        <f>HYPERLINK("https://www.boe.es/gazeta/dias/1820/07/15/pdfs/GGB-1820-17.pdf#page=4","Abrir facsímil")</f>
        <v>Abrir facsímil</v>
      </c>
      <c r="K5021" s="3" t="s">
        <v>23</v>
      </c>
    </row>
    <row r="5022" spans="1:11" ht="42" customHeight="1">
      <c r="A5022" s="2" t="s">
        <v>9983</v>
      </c>
      <c r="B5022" s="2" t="s">
        <v>9984</v>
      </c>
      <c r="C5022" s="2" t="s">
        <v>35</v>
      </c>
      <c r="D5022" s="2" t="s">
        <v>36</v>
      </c>
      <c r="E5022" s="5">
        <v>-29124</v>
      </c>
      <c r="F5022" s="3" t="s">
        <v>4097</v>
      </c>
      <c r="G5022" s="3" t="s">
        <v>295</v>
      </c>
      <c r="H5022" s="2" t="s">
        <v>21</v>
      </c>
      <c r="I5022" s="2" t="s">
        <v>9985</v>
      </c>
      <c r="J5022" s="3" t="str">
        <f>HYPERLINK("https://www.boe.es/gazeta/dias/1820/04/04/pdfs/GMD-1820-60.pdf#page=8","Abrir facsímil")</f>
        <v>Abrir facsímil</v>
      </c>
      <c r="K5022" s="3" t="s">
        <v>23</v>
      </c>
    </row>
    <row r="5023" spans="1:11" ht="42" customHeight="1">
      <c r="A5023" s="2" t="s">
        <v>9986</v>
      </c>
      <c r="B5023" s="2" t="s">
        <v>9987</v>
      </c>
      <c r="C5023" s="2" t="s">
        <v>26</v>
      </c>
      <c r="D5023" s="2" t="s">
        <v>27</v>
      </c>
      <c r="E5023" s="5">
        <v>-29045</v>
      </c>
      <c r="F5023" s="3" t="s">
        <v>155</v>
      </c>
      <c r="G5023" s="3" t="s">
        <v>38</v>
      </c>
      <c r="H5023" s="2" t="s">
        <v>21</v>
      </c>
      <c r="I5023" s="2" t="s">
        <v>9988</v>
      </c>
      <c r="J5023" s="3" t="str">
        <f>HYPERLINK("https://www.boe.es/gazeta/dias/1820/06/22/pdfs/GMD-1820-97.pdf#page=6","Abrir facsímil")</f>
        <v>Abrir facsímil</v>
      </c>
      <c r="K5023" s="3" t="s">
        <v>23</v>
      </c>
    </row>
    <row r="5024" spans="1:11" ht="42" customHeight="1">
      <c r="A5024" s="2" t="s">
        <v>9989</v>
      </c>
      <c r="B5024" s="2" t="s">
        <v>9990</v>
      </c>
      <c r="C5024" s="2" t="s">
        <v>35</v>
      </c>
      <c r="D5024" s="2" t="s">
        <v>36</v>
      </c>
      <c r="E5024" s="5">
        <v>-29003</v>
      </c>
      <c r="F5024" s="3" t="s">
        <v>340</v>
      </c>
      <c r="G5024" s="3" t="s">
        <v>62</v>
      </c>
      <c r="H5024" s="2" t="s">
        <v>21</v>
      </c>
      <c r="I5024" s="2" t="s">
        <v>9991</v>
      </c>
      <c r="J5024" s="3" t="str">
        <f>HYPERLINK("https://www.boe.es/gazeta/dias/1820/08/03/pdfs/GGB-1820-36.pdf#page=3","Abrir facsímil")</f>
        <v>Abrir facsímil</v>
      </c>
      <c r="K5024" s="3" t="s">
        <v>23</v>
      </c>
    </row>
    <row r="5025" spans="1:11" ht="42" customHeight="1">
      <c r="A5025" s="2" t="s">
        <v>9992</v>
      </c>
      <c r="B5025" s="2" t="s">
        <v>9992</v>
      </c>
      <c r="C5025" s="2" t="s">
        <v>111</v>
      </c>
      <c r="D5025" s="2" t="s">
        <v>18</v>
      </c>
      <c r="E5025" s="5">
        <v>-29183</v>
      </c>
      <c r="F5025" s="3" t="s">
        <v>476</v>
      </c>
      <c r="G5025" s="3" t="s">
        <v>128</v>
      </c>
      <c r="H5025" s="2" t="s">
        <v>21</v>
      </c>
      <c r="I5025" s="2" t="s">
        <v>9993</v>
      </c>
      <c r="J5025" s="3" t="str">
        <f>HYPERLINK("https://www.boe.es/gazeta/dias/1820/02/05/pdfs/GMD-1820-16.pdf#page=1","Abrir facsímil")</f>
        <v>Abrir facsímil</v>
      </c>
      <c r="K5025" s="3" t="s">
        <v>23</v>
      </c>
    </row>
    <row r="5026" spans="1:11" ht="42" customHeight="1">
      <c r="A5026" s="2" t="s">
        <v>11</v>
      </c>
      <c r="B5026" s="2" t="s">
        <v>11</v>
      </c>
      <c r="C5026" s="2" t="s">
        <v>26</v>
      </c>
      <c r="D5026" s="2" t="s">
        <v>27</v>
      </c>
      <c r="E5026" s="5">
        <v>-28969</v>
      </c>
      <c r="F5026" s="3" t="s">
        <v>225</v>
      </c>
      <c r="G5026" s="3" t="s">
        <v>20</v>
      </c>
      <c r="H5026" s="2" t="s">
        <v>21</v>
      </c>
      <c r="I5026" s="2" t="s">
        <v>9994</v>
      </c>
      <c r="J5026" s="3" t="str">
        <f>HYPERLINK("https://www.boe.es/gazeta/dias/1820/09/06/pdfs/GGB-1820-70.pdf#page=4","Abrir facsímil")</f>
        <v>Abrir facsímil</v>
      </c>
      <c r="K5026" s="3" t="s">
        <v>23</v>
      </c>
    </row>
    <row r="5027" spans="1:11" ht="42" customHeight="1">
      <c r="A5027" s="2" t="s">
        <v>9995</v>
      </c>
      <c r="B5027" s="2" t="s">
        <v>9995</v>
      </c>
      <c r="C5027" s="2" t="s">
        <v>111</v>
      </c>
      <c r="D5027" s="2" t="s">
        <v>18</v>
      </c>
      <c r="E5027" s="5">
        <v>-28983</v>
      </c>
      <c r="F5027" s="3" t="s">
        <v>682</v>
      </c>
      <c r="G5027" s="3" t="s">
        <v>62</v>
      </c>
      <c r="H5027" s="2" t="s">
        <v>21</v>
      </c>
      <c r="I5027" s="2" t="s">
        <v>9996</v>
      </c>
      <c r="J5027" s="3" t="str">
        <f>HYPERLINK("https://www.boe.es/gazeta/dias/1820/08/23/pdfs/GGB-1820-56.pdf#page=3","Abrir facsímil")</f>
        <v>Abrir facsímil</v>
      </c>
      <c r="K5027" s="3" t="s">
        <v>23</v>
      </c>
    </row>
    <row r="5028" spans="1:11" ht="42" customHeight="1">
      <c r="A5028" s="2" t="s">
        <v>9997</v>
      </c>
      <c r="B5028" s="2" t="s">
        <v>9997</v>
      </c>
      <c r="C5028" s="2" t="s">
        <v>111</v>
      </c>
      <c r="D5028" s="2" t="s">
        <v>18</v>
      </c>
      <c r="E5028" s="5">
        <v>-29008</v>
      </c>
      <c r="F5028" s="3" t="s">
        <v>2250</v>
      </c>
      <c r="G5028" s="3" t="s">
        <v>62</v>
      </c>
      <c r="H5028" s="2" t="s">
        <v>21</v>
      </c>
      <c r="I5028" s="2" t="s">
        <v>9998</v>
      </c>
      <c r="J5028" s="3" t="str">
        <f>HYPERLINK("https://www.boe.es/gazeta/dias/1820/07/29/pdfs/GGB-1820-31.pdf#page=3","Abrir facsímil")</f>
        <v>Abrir facsímil</v>
      </c>
      <c r="K5028" s="3" t="s">
        <v>23</v>
      </c>
    </row>
    <row r="5029" spans="1:11" ht="42" customHeight="1">
      <c r="A5029" s="2" t="s">
        <v>9997</v>
      </c>
      <c r="B5029" s="2" t="s">
        <v>9997</v>
      </c>
      <c r="C5029" s="2" t="s">
        <v>26</v>
      </c>
      <c r="D5029" s="2" t="s">
        <v>27</v>
      </c>
      <c r="E5029" s="5">
        <v>-29008</v>
      </c>
      <c r="F5029" s="3" t="s">
        <v>2250</v>
      </c>
      <c r="G5029" s="3" t="s">
        <v>20</v>
      </c>
      <c r="H5029" s="2" t="s">
        <v>21</v>
      </c>
      <c r="I5029" s="2" t="s">
        <v>9999</v>
      </c>
      <c r="J5029" s="3" t="str">
        <f>HYPERLINK("https://www.boe.es/gazeta/dias/1820/07/29/pdfs/GGB-1820-31.pdf#page=4","Abrir facsímil")</f>
        <v>Abrir facsímil</v>
      </c>
      <c r="K5029" s="3" t="s">
        <v>23</v>
      </c>
    </row>
    <row r="5030" spans="1:11" ht="42" customHeight="1">
      <c r="A5030" s="2" t="s">
        <v>9997</v>
      </c>
      <c r="B5030" s="2" t="s">
        <v>9997</v>
      </c>
      <c r="C5030" s="2" t="s">
        <v>17</v>
      </c>
      <c r="D5030" s="2" t="s">
        <v>18</v>
      </c>
      <c r="E5030" s="5">
        <v>-29003</v>
      </c>
      <c r="F5030" s="3" t="s">
        <v>340</v>
      </c>
      <c r="G5030" s="3" t="s">
        <v>43</v>
      </c>
      <c r="H5030" s="2" t="s">
        <v>21</v>
      </c>
      <c r="I5030" s="2" t="s">
        <v>10000</v>
      </c>
      <c r="J5030" s="3" t="str">
        <f>HYPERLINK("https://www.boe.es/gazeta/dias/1820/08/03/pdfs/GGB-1820-36.pdf#page=2","Abrir facsímil")</f>
        <v>Abrir facsímil</v>
      </c>
      <c r="K5030" s="3" t="s">
        <v>23</v>
      </c>
    </row>
    <row r="5031" spans="1:11" ht="42" customHeight="1">
      <c r="A5031" s="2" t="s">
        <v>9997</v>
      </c>
      <c r="B5031" s="2" t="s">
        <v>9997</v>
      </c>
      <c r="C5031" s="2" t="s">
        <v>17</v>
      </c>
      <c r="D5031" s="2" t="s">
        <v>18</v>
      </c>
      <c r="E5031" s="5">
        <v>-29003</v>
      </c>
      <c r="F5031" s="3" t="s">
        <v>340</v>
      </c>
      <c r="G5031" s="3" t="s">
        <v>20</v>
      </c>
      <c r="H5031" s="2" t="s">
        <v>21</v>
      </c>
      <c r="I5031" s="2" t="s">
        <v>10001</v>
      </c>
      <c r="J5031" s="3" t="str">
        <f>HYPERLINK("https://www.boe.es/gazeta/dias/1820/08/03/pdfs/GGB-1820-36.pdf#page=4","Abrir facsímil")</f>
        <v>Abrir facsímil</v>
      </c>
      <c r="K5031" s="3" t="s">
        <v>23</v>
      </c>
    </row>
    <row r="5032" spans="1:11" ht="42" customHeight="1">
      <c r="A5032" s="2" t="s">
        <v>9997</v>
      </c>
      <c r="B5032" s="2" t="s">
        <v>9997</v>
      </c>
      <c r="C5032" s="2" t="s">
        <v>35</v>
      </c>
      <c r="D5032" s="2" t="s">
        <v>36</v>
      </c>
      <c r="E5032" s="5">
        <v>-28995</v>
      </c>
      <c r="F5032" s="3" t="s">
        <v>672</v>
      </c>
      <c r="G5032" s="3" t="s">
        <v>1557</v>
      </c>
      <c r="H5032" s="2" t="s">
        <v>21</v>
      </c>
      <c r="I5032" s="2" t="s">
        <v>10002</v>
      </c>
      <c r="J5032" s="3" t="str">
        <f>HYPERLINK("https://www.boe.es/gazeta/dias/1820/08/11/pdfs/GGB-1820-44.pdf#page=2","Abrir facsímil")</f>
        <v>Abrir facsímil</v>
      </c>
      <c r="K5032" s="3" t="s">
        <v>23</v>
      </c>
    </row>
    <row r="5033" spans="1:11" ht="42" customHeight="1">
      <c r="A5033" s="2" t="s">
        <v>9997</v>
      </c>
      <c r="B5033" s="2" t="s">
        <v>9997</v>
      </c>
      <c r="C5033" s="2" t="s">
        <v>35</v>
      </c>
      <c r="D5033" s="2" t="s">
        <v>36</v>
      </c>
      <c r="E5033" s="5">
        <v>-28993</v>
      </c>
      <c r="F5033" s="3" t="s">
        <v>465</v>
      </c>
      <c r="G5033" s="3" t="s">
        <v>62</v>
      </c>
      <c r="H5033" s="2" t="s">
        <v>21</v>
      </c>
      <c r="I5033" s="2" t="s">
        <v>10003</v>
      </c>
      <c r="J5033" s="3" t="str">
        <f>HYPERLINK("https://www.boe.es/gazeta/dias/1820/08/13/pdfs/GGB-1820-46.pdf#page=3","Abrir facsímil")</f>
        <v>Abrir facsímil</v>
      </c>
      <c r="K5033" s="3" t="s">
        <v>23</v>
      </c>
    </row>
    <row r="5034" spans="1:11" ht="42" customHeight="1">
      <c r="A5034" s="2" t="s">
        <v>9997</v>
      </c>
      <c r="B5034" s="2" t="s">
        <v>9997</v>
      </c>
      <c r="C5034" s="2" t="s">
        <v>111</v>
      </c>
      <c r="D5034" s="2" t="s">
        <v>18</v>
      </c>
      <c r="E5034" s="5">
        <v>-28989</v>
      </c>
      <c r="F5034" s="3" t="s">
        <v>809</v>
      </c>
      <c r="G5034" s="3" t="s">
        <v>62</v>
      </c>
      <c r="H5034" s="2" t="s">
        <v>21</v>
      </c>
      <c r="I5034" s="2" t="s">
        <v>10004</v>
      </c>
      <c r="J5034" s="3" t="str">
        <f>HYPERLINK("https://www.boe.es/gazeta/dias/1820/08/17/pdfs/GGB-1820-50.pdf#page=3","Abrir facsímil")</f>
        <v>Abrir facsímil</v>
      </c>
      <c r="K5034" s="3" t="s">
        <v>23</v>
      </c>
    </row>
    <row r="5035" spans="1:11" ht="42" customHeight="1">
      <c r="A5035" s="2" t="s">
        <v>9997</v>
      </c>
      <c r="B5035" s="2" t="s">
        <v>9997</v>
      </c>
      <c r="C5035" s="2" t="s">
        <v>26</v>
      </c>
      <c r="D5035" s="2" t="s">
        <v>27</v>
      </c>
      <c r="E5035" s="5">
        <v>-28988</v>
      </c>
      <c r="F5035" s="3" t="s">
        <v>618</v>
      </c>
      <c r="G5035" s="3" t="s">
        <v>62</v>
      </c>
      <c r="H5035" s="2" t="s">
        <v>21</v>
      </c>
      <c r="I5035" s="2" t="s">
        <v>10005</v>
      </c>
      <c r="J5035" s="3" t="str">
        <f>HYPERLINK("https://www.boe.es/gazeta/dias/1820/08/18/pdfs/GGB-1820-51.pdf#page=3","Abrir facsímil")</f>
        <v>Abrir facsímil</v>
      </c>
      <c r="K5035" s="3" t="s">
        <v>23</v>
      </c>
    </row>
    <row r="5036" spans="1:11" ht="42" customHeight="1">
      <c r="A5036" s="2" t="s">
        <v>9997</v>
      </c>
      <c r="B5036" s="2" t="s">
        <v>9997</v>
      </c>
      <c r="C5036" s="2" t="s">
        <v>47</v>
      </c>
      <c r="D5036" s="2" t="s">
        <v>18</v>
      </c>
      <c r="E5036" s="5">
        <v>-28988</v>
      </c>
      <c r="F5036" s="3" t="s">
        <v>618</v>
      </c>
      <c r="G5036" s="3" t="s">
        <v>20</v>
      </c>
      <c r="H5036" s="2" t="s">
        <v>21</v>
      </c>
      <c r="I5036" s="2" t="s">
        <v>10006</v>
      </c>
      <c r="J5036" s="3" t="str">
        <f>HYPERLINK("https://www.boe.es/gazeta/dias/1820/08/18/pdfs/GGB-1820-51.pdf#page=4","Abrir facsímil")</f>
        <v>Abrir facsímil</v>
      </c>
      <c r="K5036" s="3" t="s">
        <v>23</v>
      </c>
    </row>
    <row r="5037" spans="1:11" ht="42" customHeight="1">
      <c r="A5037" s="2" t="s">
        <v>9997</v>
      </c>
      <c r="B5037" s="2" t="s">
        <v>9997</v>
      </c>
      <c r="C5037" s="2" t="s">
        <v>74</v>
      </c>
      <c r="D5037" s="2" t="s">
        <v>18</v>
      </c>
      <c r="E5037" s="5">
        <v>-28987</v>
      </c>
      <c r="F5037" s="3" t="s">
        <v>680</v>
      </c>
      <c r="G5037" s="3" t="s">
        <v>62</v>
      </c>
      <c r="H5037" s="2" t="s">
        <v>21</v>
      </c>
      <c r="I5037" s="2" t="s">
        <v>10007</v>
      </c>
      <c r="J5037" s="3" t="str">
        <f>HYPERLINK("https://www.boe.es/gazeta/dias/1820/08/19/pdfs/GGB-1820-52.pdf#page=3","Abrir facsímil")</f>
        <v>Abrir facsímil</v>
      </c>
      <c r="K5037" s="3" t="s">
        <v>23</v>
      </c>
    </row>
    <row r="5038" spans="1:11" ht="42" customHeight="1">
      <c r="A5038" s="2" t="s">
        <v>9997</v>
      </c>
      <c r="B5038" s="2" t="s">
        <v>9997</v>
      </c>
      <c r="C5038" s="2" t="s">
        <v>293</v>
      </c>
      <c r="D5038" s="2" t="s">
        <v>18</v>
      </c>
      <c r="E5038" s="5">
        <v>-28983</v>
      </c>
      <c r="F5038" s="3" t="s">
        <v>682</v>
      </c>
      <c r="G5038" s="3" t="s">
        <v>62</v>
      </c>
      <c r="H5038" s="2" t="s">
        <v>21</v>
      </c>
      <c r="I5038" s="2" t="s">
        <v>10008</v>
      </c>
      <c r="J5038" s="3" t="str">
        <f>HYPERLINK("https://www.boe.es/gazeta/dias/1820/08/23/pdfs/GGB-1820-56.pdf#page=3","Abrir facsímil")</f>
        <v>Abrir facsímil</v>
      </c>
      <c r="K5038" s="3" t="s">
        <v>23</v>
      </c>
    </row>
    <row r="5039" spans="1:11" ht="42" customHeight="1">
      <c r="A5039" s="2" t="s">
        <v>9997</v>
      </c>
      <c r="B5039" s="2" t="s">
        <v>9997</v>
      </c>
      <c r="C5039" s="2" t="s">
        <v>35</v>
      </c>
      <c r="D5039" s="2" t="s">
        <v>36</v>
      </c>
      <c r="E5039" s="5">
        <v>-28982</v>
      </c>
      <c r="F5039" s="3" t="s">
        <v>173</v>
      </c>
      <c r="G5039" s="3" t="s">
        <v>43</v>
      </c>
      <c r="H5039" s="2" t="s">
        <v>21</v>
      </c>
      <c r="I5039" s="2" t="s">
        <v>10009</v>
      </c>
      <c r="J5039" s="3" t="str">
        <f>HYPERLINK("https://www.boe.es/gazeta/dias/1820/08/24/pdfs/GGB-1820-57.pdf#page=2","Abrir facsímil")</f>
        <v>Abrir facsímil</v>
      </c>
      <c r="K5039" s="3" t="s">
        <v>23</v>
      </c>
    </row>
    <row r="5040" spans="1:11" ht="42" customHeight="1">
      <c r="A5040" s="2" t="s">
        <v>9997</v>
      </c>
      <c r="B5040" s="2" t="s">
        <v>9997</v>
      </c>
      <c r="C5040" s="2" t="s">
        <v>26</v>
      </c>
      <c r="D5040" s="2" t="s">
        <v>27</v>
      </c>
      <c r="E5040" s="5">
        <v>-28982</v>
      </c>
      <c r="F5040" s="3" t="s">
        <v>173</v>
      </c>
      <c r="G5040" s="3" t="s">
        <v>62</v>
      </c>
      <c r="H5040" s="2" t="s">
        <v>21</v>
      </c>
      <c r="I5040" s="2" t="s">
        <v>10010</v>
      </c>
      <c r="J5040" s="3" t="str">
        <f>HYPERLINK("https://www.boe.es/gazeta/dias/1820/08/24/pdfs/GGB-1820-57.pdf#page=3","Abrir facsímil")</f>
        <v>Abrir facsímil</v>
      </c>
      <c r="K5040" s="3" t="s">
        <v>23</v>
      </c>
    </row>
    <row r="5041" spans="1:11" ht="42" customHeight="1">
      <c r="A5041" s="2" t="s">
        <v>9997</v>
      </c>
      <c r="B5041" s="2" t="s">
        <v>9997</v>
      </c>
      <c r="C5041" s="2" t="s">
        <v>74</v>
      </c>
      <c r="D5041" s="2" t="s">
        <v>18</v>
      </c>
      <c r="E5041" s="5">
        <v>-28977</v>
      </c>
      <c r="F5041" s="3" t="s">
        <v>687</v>
      </c>
      <c r="G5041" s="3" t="s">
        <v>62</v>
      </c>
      <c r="H5041" s="2" t="s">
        <v>21</v>
      </c>
      <c r="I5041" s="2" t="s">
        <v>10011</v>
      </c>
      <c r="J5041" s="3" t="str">
        <f>HYPERLINK("https://www.boe.es/gazeta/dias/1820/08/29/pdfs/GGB-1820-62.pdf#page=3","Abrir facsímil")</f>
        <v>Abrir facsímil</v>
      </c>
      <c r="K5041" s="3" t="s">
        <v>23</v>
      </c>
    </row>
    <row r="5042" spans="1:11" ht="42" customHeight="1">
      <c r="A5042" s="2" t="s">
        <v>9997</v>
      </c>
      <c r="B5042" s="2" t="s">
        <v>9997</v>
      </c>
      <c r="C5042" s="2" t="s">
        <v>35</v>
      </c>
      <c r="D5042" s="2" t="s">
        <v>36</v>
      </c>
      <c r="E5042" s="5">
        <v>-28972</v>
      </c>
      <c r="F5042" s="3" t="s">
        <v>522</v>
      </c>
      <c r="G5042" s="3" t="s">
        <v>62</v>
      </c>
      <c r="H5042" s="2" t="s">
        <v>21</v>
      </c>
      <c r="I5042" s="2" t="s">
        <v>10012</v>
      </c>
      <c r="J5042" s="3" t="str">
        <f>HYPERLINK("https://www.boe.es/gazeta/dias/1820/09/03/pdfs/GGB-1820-67.pdf#page=3","Abrir facsímil")</f>
        <v>Abrir facsímil</v>
      </c>
      <c r="K5042" s="3" t="s">
        <v>23</v>
      </c>
    </row>
    <row r="5043" spans="1:11" ht="42" customHeight="1">
      <c r="A5043" s="2" t="s">
        <v>9997</v>
      </c>
      <c r="B5043" s="2" t="s">
        <v>9997</v>
      </c>
      <c r="C5043" s="2" t="s">
        <v>26</v>
      </c>
      <c r="D5043" s="2" t="s">
        <v>27</v>
      </c>
      <c r="E5043" s="5">
        <v>-28953</v>
      </c>
      <c r="F5043" s="3" t="s">
        <v>367</v>
      </c>
      <c r="G5043" s="3" t="s">
        <v>20</v>
      </c>
      <c r="H5043" s="2" t="s">
        <v>21</v>
      </c>
      <c r="I5043" s="2" t="s">
        <v>10013</v>
      </c>
      <c r="J5043" s="3" t="str">
        <f>HYPERLINK("https://www.boe.es/gazeta/dias/1820/09/22/pdfs/GGB-1820-86.pdf#page=4","Abrir facsímil")</f>
        <v>Abrir facsímil</v>
      </c>
      <c r="K5043" s="3" t="s">
        <v>23</v>
      </c>
    </row>
    <row r="5044" spans="1:11" ht="42" customHeight="1">
      <c r="A5044" s="2" t="s">
        <v>10014</v>
      </c>
      <c r="B5044" s="2" t="s">
        <v>10014</v>
      </c>
      <c r="C5044" s="2" t="s">
        <v>17</v>
      </c>
      <c r="D5044" s="2" t="s">
        <v>18</v>
      </c>
      <c r="E5044" s="5">
        <v>-28951</v>
      </c>
      <c r="F5044" s="3" t="s">
        <v>622</v>
      </c>
      <c r="G5044" s="3" t="s">
        <v>62</v>
      </c>
      <c r="H5044" s="2" t="s">
        <v>21</v>
      </c>
      <c r="I5044" s="2" t="s">
        <v>10015</v>
      </c>
      <c r="J5044" s="3" t="str">
        <f>HYPERLINK("https://www.boe.es/gazeta/dias/1820/09/24/pdfs/GGB-1820-88.pdf#page=3","Abrir facsímil")</f>
        <v>Abrir facsímil</v>
      </c>
      <c r="K5044" s="3" t="s">
        <v>23</v>
      </c>
    </row>
    <row r="5045" spans="1:11" ht="42" customHeight="1">
      <c r="A5045" s="2" t="s">
        <v>9997</v>
      </c>
      <c r="B5045" s="2" t="s">
        <v>9997</v>
      </c>
      <c r="C5045" s="2" t="s">
        <v>74</v>
      </c>
      <c r="D5045" s="2" t="s">
        <v>18</v>
      </c>
      <c r="E5045" s="5">
        <v>-28950</v>
      </c>
      <c r="F5045" s="3" t="s">
        <v>1052</v>
      </c>
      <c r="G5045" s="3" t="s">
        <v>1372</v>
      </c>
      <c r="H5045" s="2" t="s">
        <v>21</v>
      </c>
      <c r="I5045" s="2" t="s">
        <v>10016</v>
      </c>
      <c r="J5045" s="3" t="str">
        <f>HYPERLINK("https://www.boe.es/gazeta/dias/1820/09/25/pdfs/GGB-1820-89.pdf#page=2","Abrir facsímil")</f>
        <v>Abrir facsímil</v>
      </c>
      <c r="K5045" s="3" t="s">
        <v>23</v>
      </c>
    </row>
    <row r="5046" spans="1:11" ht="42" customHeight="1">
      <c r="A5046" s="2" t="s">
        <v>9997</v>
      </c>
      <c r="B5046" s="2" t="s">
        <v>9997</v>
      </c>
      <c r="C5046" s="2" t="s">
        <v>107</v>
      </c>
      <c r="D5046" s="2" t="s">
        <v>18</v>
      </c>
      <c r="E5046" s="5">
        <v>-28948</v>
      </c>
      <c r="F5046" s="3" t="s">
        <v>1069</v>
      </c>
      <c r="G5046" s="3" t="s">
        <v>62</v>
      </c>
      <c r="H5046" s="2" t="s">
        <v>21</v>
      </c>
      <c r="I5046" s="2" t="s">
        <v>10017</v>
      </c>
      <c r="J5046" s="3" t="str">
        <f>HYPERLINK("https://www.boe.es/gazeta/dias/1820/09/27/pdfs/GGB-1820-91.pdf#page=3","Abrir facsímil")</f>
        <v>Abrir facsímil</v>
      </c>
      <c r="K5046" s="3" t="s">
        <v>23</v>
      </c>
    </row>
    <row r="5047" spans="1:11" ht="42" customHeight="1">
      <c r="A5047" s="2" t="s">
        <v>9997</v>
      </c>
      <c r="B5047" s="2" t="s">
        <v>9997</v>
      </c>
      <c r="C5047" s="2" t="s">
        <v>111</v>
      </c>
      <c r="D5047" s="2" t="s">
        <v>18</v>
      </c>
      <c r="E5047" s="5">
        <v>-28945</v>
      </c>
      <c r="F5047" s="3" t="s">
        <v>99</v>
      </c>
      <c r="G5047" s="3" t="s">
        <v>20</v>
      </c>
      <c r="H5047" s="2" t="s">
        <v>21</v>
      </c>
      <c r="I5047" s="2" t="s">
        <v>10018</v>
      </c>
      <c r="J5047" s="3" t="str">
        <f>HYPERLINK("https://www.boe.es/gazeta/dias/1820/09/30/pdfs/GGB-1820-94.pdf#page=4","Abrir facsímil")</f>
        <v>Abrir facsímil</v>
      </c>
      <c r="K5047" s="3" t="s">
        <v>23</v>
      </c>
    </row>
    <row r="5048" spans="1:11" ht="42" customHeight="1">
      <c r="A5048" s="2" t="s">
        <v>9997</v>
      </c>
      <c r="B5048" s="2" t="s">
        <v>9997</v>
      </c>
      <c r="C5048" s="2" t="s">
        <v>47</v>
      </c>
      <c r="D5048" s="2" t="s">
        <v>18</v>
      </c>
      <c r="E5048" s="5">
        <v>-28935</v>
      </c>
      <c r="F5048" s="3" t="s">
        <v>2464</v>
      </c>
      <c r="G5048" s="3" t="s">
        <v>43</v>
      </c>
      <c r="H5048" s="2" t="s">
        <v>21</v>
      </c>
      <c r="I5048" s="2" t="s">
        <v>10019</v>
      </c>
      <c r="J5048" s="3" t="str">
        <f>HYPERLINK("https://www.boe.es/gazeta/dias/1820/10/10/pdfs/GGB-1820-104.pdf#page=2","Abrir facsímil")</f>
        <v>Abrir facsímil</v>
      </c>
      <c r="K5048" s="3" t="s">
        <v>23</v>
      </c>
    </row>
    <row r="5049" spans="1:11" ht="42" customHeight="1">
      <c r="A5049" s="2" t="s">
        <v>9997</v>
      </c>
      <c r="B5049" s="2" t="s">
        <v>9997</v>
      </c>
      <c r="C5049" s="2" t="s">
        <v>26</v>
      </c>
      <c r="D5049" s="2" t="s">
        <v>27</v>
      </c>
      <c r="E5049" s="5">
        <v>-28935</v>
      </c>
      <c r="F5049" s="3" t="s">
        <v>2464</v>
      </c>
      <c r="G5049" s="3" t="s">
        <v>62</v>
      </c>
      <c r="H5049" s="2" t="s">
        <v>21</v>
      </c>
      <c r="I5049" s="2" t="s">
        <v>10020</v>
      </c>
      <c r="J5049" s="3" t="str">
        <f>HYPERLINK("https://www.boe.es/gazeta/dias/1820/10/10/pdfs/GGB-1820-104.pdf#page=3","Abrir facsímil")</f>
        <v>Abrir facsímil</v>
      </c>
      <c r="K5049" s="3" t="s">
        <v>23</v>
      </c>
    </row>
    <row r="5050" spans="1:11" ht="42" customHeight="1">
      <c r="A5050" s="2" t="s">
        <v>9997</v>
      </c>
      <c r="B5050" s="2" t="s">
        <v>9997</v>
      </c>
      <c r="C5050" s="2" t="s">
        <v>47</v>
      </c>
      <c r="D5050" s="2" t="s">
        <v>18</v>
      </c>
      <c r="E5050" s="5">
        <v>-28933</v>
      </c>
      <c r="F5050" s="3" t="s">
        <v>720</v>
      </c>
      <c r="G5050" s="3" t="s">
        <v>62</v>
      </c>
      <c r="H5050" s="2" t="s">
        <v>21</v>
      </c>
      <c r="I5050" s="2" t="s">
        <v>10021</v>
      </c>
      <c r="J5050" s="3" t="str">
        <f>HYPERLINK("https://www.boe.es/gazeta/dias/1820/10/12/pdfs/GGB-1820-106.pdf#page=3","Abrir facsímil")</f>
        <v>Abrir facsímil</v>
      </c>
      <c r="K5050" s="3" t="s">
        <v>23</v>
      </c>
    </row>
    <row r="5051" spans="1:11" ht="42" customHeight="1">
      <c r="A5051" s="2" t="s">
        <v>9997</v>
      </c>
      <c r="B5051" s="2" t="s">
        <v>9997</v>
      </c>
      <c r="C5051" s="2" t="s">
        <v>26</v>
      </c>
      <c r="D5051" s="2" t="s">
        <v>27</v>
      </c>
      <c r="E5051" s="5">
        <v>-28930</v>
      </c>
      <c r="F5051" s="3" t="s">
        <v>372</v>
      </c>
      <c r="G5051" s="3" t="s">
        <v>43</v>
      </c>
      <c r="H5051" s="2" t="s">
        <v>21</v>
      </c>
      <c r="I5051" s="2" t="s">
        <v>10022</v>
      </c>
      <c r="J5051" s="3" t="str">
        <f>HYPERLINK("https://www.boe.es/gazeta/dias/1820/10/15/pdfs/GGB-1820-109.pdf#page=2","Abrir facsímil")</f>
        <v>Abrir facsímil</v>
      </c>
      <c r="K5051" s="3" t="s">
        <v>23</v>
      </c>
    </row>
    <row r="5052" spans="1:11" ht="42" customHeight="1">
      <c r="A5052" s="2" t="s">
        <v>9997</v>
      </c>
      <c r="B5052" s="2" t="s">
        <v>9997</v>
      </c>
      <c r="C5052" s="2" t="s">
        <v>35</v>
      </c>
      <c r="D5052" s="2" t="s">
        <v>36</v>
      </c>
      <c r="E5052" s="5">
        <v>-28927</v>
      </c>
      <c r="F5052" s="3" t="s">
        <v>345</v>
      </c>
      <c r="G5052" s="3" t="s">
        <v>62</v>
      </c>
      <c r="H5052" s="2" t="s">
        <v>21</v>
      </c>
      <c r="I5052" s="2" t="s">
        <v>10023</v>
      </c>
      <c r="J5052" s="3" t="str">
        <f>HYPERLINK("https://www.boe.es/gazeta/dias/1820/10/18/pdfs/GGB-1820-112.pdf#page=3","Abrir facsímil")</f>
        <v>Abrir facsímil</v>
      </c>
      <c r="K5052" s="3" t="s">
        <v>23</v>
      </c>
    </row>
    <row r="5053" spans="1:11" ht="42" customHeight="1">
      <c r="A5053" s="2" t="s">
        <v>9997</v>
      </c>
      <c r="B5053" s="2" t="s">
        <v>9997</v>
      </c>
      <c r="C5053" s="2" t="s">
        <v>35</v>
      </c>
      <c r="D5053" s="2" t="s">
        <v>36</v>
      </c>
      <c r="E5053" s="5">
        <v>-28920</v>
      </c>
      <c r="F5053" s="3" t="s">
        <v>399</v>
      </c>
      <c r="G5053" s="3" t="s">
        <v>62</v>
      </c>
      <c r="H5053" s="2" t="s">
        <v>21</v>
      </c>
      <c r="I5053" s="2" t="s">
        <v>10024</v>
      </c>
      <c r="J5053" s="3" t="str">
        <f>HYPERLINK("https://www.boe.es/gazeta/dias/1820/10/25/pdfs/GGB-1820-119.pdf#page=3","Abrir facsímil")</f>
        <v>Abrir facsímil</v>
      </c>
      <c r="K5053" s="3" t="s">
        <v>23</v>
      </c>
    </row>
    <row r="5054" spans="1:11" ht="42" customHeight="1">
      <c r="A5054" s="2" t="s">
        <v>9997</v>
      </c>
      <c r="B5054" s="2" t="s">
        <v>9997</v>
      </c>
      <c r="C5054" s="2" t="s">
        <v>26</v>
      </c>
      <c r="D5054" s="2" t="s">
        <v>27</v>
      </c>
      <c r="E5054" s="5">
        <v>-28919</v>
      </c>
      <c r="F5054" s="3" t="s">
        <v>516</v>
      </c>
      <c r="G5054" s="3" t="s">
        <v>43</v>
      </c>
      <c r="H5054" s="2" t="s">
        <v>21</v>
      </c>
      <c r="I5054" s="2" t="s">
        <v>10025</v>
      </c>
      <c r="J5054" s="3" t="str">
        <f>HYPERLINK("https://www.boe.es/gazeta/dias/1820/10/26/pdfs/GGB-1820-120.pdf#page=2","Abrir facsímil")</f>
        <v>Abrir facsímil</v>
      </c>
      <c r="K5054" s="3" t="s">
        <v>23</v>
      </c>
    </row>
    <row r="5055" spans="1:11" ht="42" customHeight="1">
      <c r="A5055" s="2" t="s">
        <v>10014</v>
      </c>
      <c r="B5055" s="2" t="s">
        <v>10014</v>
      </c>
      <c r="C5055" s="2" t="s">
        <v>35</v>
      </c>
      <c r="D5055" s="2" t="s">
        <v>36</v>
      </c>
      <c r="E5055" s="5">
        <v>-28916</v>
      </c>
      <c r="F5055" s="3" t="s">
        <v>2688</v>
      </c>
      <c r="G5055" s="3" t="s">
        <v>62</v>
      </c>
      <c r="H5055" s="2" t="s">
        <v>21</v>
      </c>
      <c r="I5055" s="2" t="s">
        <v>10026</v>
      </c>
      <c r="J5055" s="3" t="str">
        <f>HYPERLINK("https://www.boe.es/gazeta/dias/1820/10/29/pdfs/GGB-1820-123.pdf#page=3","Abrir facsímil")</f>
        <v>Abrir facsímil</v>
      </c>
      <c r="K5055" s="3" t="s">
        <v>23</v>
      </c>
    </row>
    <row r="5056" spans="1:11" ht="42" customHeight="1">
      <c r="A5056" s="2" t="s">
        <v>9997</v>
      </c>
      <c r="B5056" s="2" t="s">
        <v>9997</v>
      </c>
      <c r="C5056" s="2" t="s">
        <v>35</v>
      </c>
      <c r="D5056" s="2" t="s">
        <v>36</v>
      </c>
      <c r="E5056" s="5">
        <v>-28912</v>
      </c>
      <c r="F5056" s="3" t="s">
        <v>1329</v>
      </c>
      <c r="G5056" s="3" t="s">
        <v>62</v>
      </c>
      <c r="H5056" s="2" t="s">
        <v>21</v>
      </c>
      <c r="I5056" s="2" t="s">
        <v>10027</v>
      </c>
      <c r="J5056" s="3" t="str">
        <f>HYPERLINK("https://www.boe.es/gazeta/dias/1820/11/02/pdfs/GGB-1820-127.pdf#page=3","Abrir facsímil")</f>
        <v>Abrir facsímil</v>
      </c>
      <c r="K5056" s="3" t="s">
        <v>23</v>
      </c>
    </row>
    <row r="5057" spans="1:11" ht="42" customHeight="1">
      <c r="A5057" s="2" t="s">
        <v>10028</v>
      </c>
      <c r="B5057" s="2" t="s">
        <v>10029</v>
      </c>
      <c r="C5057" s="2" t="s">
        <v>26</v>
      </c>
      <c r="D5057" s="2" t="s">
        <v>27</v>
      </c>
      <c r="E5057" s="5">
        <v>-29008</v>
      </c>
      <c r="F5057" s="3" t="s">
        <v>2250</v>
      </c>
      <c r="G5057" s="3" t="s">
        <v>62</v>
      </c>
      <c r="H5057" s="2" t="s">
        <v>21</v>
      </c>
      <c r="I5057" s="2" t="s">
        <v>10030</v>
      </c>
      <c r="J5057" s="3" t="str">
        <f>HYPERLINK("https://www.boe.es/gazeta/dias/1820/07/29/pdfs/GGB-1820-31.pdf#page=3","Abrir facsímil")</f>
        <v>Abrir facsímil</v>
      </c>
      <c r="K5057" s="3" t="s">
        <v>23</v>
      </c>
    </row>
    <row r="5058" spans="1:11" ht="42" customHeight="1">
      <c r="A5058" s="2" t="s">
        <v>10031</v>
      </c>
      <c r="B5058" s="2" t="s">
        <v>10032</v>
      </c>
      <c r="C5058" s="2" t="s">
        <v>26</v>
      </c>
      <c r="D5058" s="2" t="s">
        <v>27</v>
      </c>
      <c r="E5058" s="5">
        <v>-28983</v>
      </c>
      <c r="F5058" s="3" t="s">
        <v>682</v>
      </c>
      <c r="G5058" s="3" t="s">
        <v>43</v>
      </c>
      <c r="H5058" s="2" t="s">
        <v>21</v>
      </c>
      <c r="I5058" s="2" t="s">
        <v>10033</v>
      </c>
      <c r="J5058" s="3" t="str">
        <f>HYPERLINK("https://www.boe.es/gazeta/dias/1820/08/23/pdfs/GGB-1820-56.pdf#page=2","Abrir facsímil")</f>
        <v>Abrir facsímil</v>
      </c>
      <c r="K5058" s="3" t="s">
        <v>23</v>
      </c>
    </row>
    <row r="5059" spans="1:11" ht="42" customHeight="1">
      <c r="A5059" s="2" t="s">
        <v>10034</v>
      </c>
      <c r="B5059" s="2" t="s">
        <v>10035</v>
      </c>
      <c r="C5059" s="2" t="s">
        <v>35</v>
      </c>
      <c r="D5059" s="2" t="s">
        <v>36</v>
      </c>
      <c r="E5059" s="5">
        <v>-28994</v>
      </c>
      <c r="F5059" s="3" t="s">
        <v>1612</v>
      </c>
      <c r="G5059" s="3" t="s">
        <v>43</v>
      </c>
      <c r="H5059" s="2" t="s">
        <v>21</v>
      </c>
      <c r="I5059" s="2" t="s">
        <v>10036</v>
      </c>
      <c r="J5059" s="3" t="str">
        <f>HYPERLINK("https://www.boe.es/gazeta/dias/1820/08/12/pdfs/GGB-1820-45.pdf#page=2","Abrir facsímil")</f>
        <v>Abrir facsímil</v>
      </c>
      <c r="K5059" s="3" t="s">
        <v>23</v>
      </c>
    </row>
    <row r="5060" spans="1:11" ht="42" customHeight="1">
      <c r="A5060" s="2" t="s">
        <v>10037</v>
      </c>
      <c r="B5060" s="2" t="s">
        <v>10037</v>
      </c>
      <c r="C5060" s="2" t="s">
        <v>26</v>
      </c>
      <c r="D5060" s="2" t="s">
        <v>27</v>
      </c>
      <c r="E5060" s="5">
        <v>-28898</v>
      </c>
      <c r="F5060" s="3" t="s">
        <v>1405</v>
      </c>
      <c r="G5060" s="3" t="s">
        <v>20</v>
      </c>
      <c r="H5060" s="2" t="s">
        <v>21</v>
      </c>
      <c r="I5060" s="2" t="s">
        <v>10038</v>
      </c>
      <c r="J5060" s="3" t="str">
        <f>HYPERLINK("https://www.boe.es/gazeta/dias/1820/11/16/pdfs/GGB-1820-142.pdf#page=4","Abrir facsímil")</f>
        <v>Abrir facsímil</v>
      </c>
      <c r="K5060" s="3" t="s">
        <v>23</v>
      </c>
    </row>
    <row r="5061" spans="1:11" ht="42" customHeight="1">
      <c r="A5061" s="2" t="s">
        <v>10039</v>
      </c>
      <c r="B5061" s="2" t="s">
        <v>10039</v>
      </c>
      <c r="C5061" s="2" t="s">
        <v>35</v>
      </c>
      <c r="D5061" s="2" t="s">
        <v>36</v>
      </c>
      <c r="E5061" s="5">
        <v>-28950</v>
      </c>
      <c r="F5061" s="3" t="s">
        <v>1052</v>
      </c>
      <c r="G5061" s="3" t="s">
        <v>62</v>
      </c>
      <c r="H5061" s="2" t="s">
        <v>21</v>
      </c>
      <c r="I5061" s="2" t="s">
        <v>10040</v>
      </c>
      <c r="J5061" s="3" t="str">
        <f>HYPERLINK("https://www.boe.es/gazeta/dias/1820/09/25/pdfs/GGB-1820-89.pdf#page=3","Abrir facsímil")</f>
        <v>Abrir facsímil</v>
      </c>
      <c r="K5061" s="3" t="s">
        <v>23</v>
      </c>
    </row>
    <row r="5062" spans="1:11" ht="42" customHeight="1">
      <c r="A5062" s="2" t="s">
        <v>10041</v>
      </c>
      <c r="B5062" s="2" t="s">
        <v>10041</v>
      </c>
      <c r="C5062" s="2" t="s">
        <v>35</v>
      </c>
      <c r="D5062" s="2" t="s">
        <v>36</v>
      </c>
      <c r="E5062" s="5">
        <v>-28867</v>
      </c>
      <c r="F5062" s="3" t="s">
        <v>590</v>
      </c>
      <c r="G5062" s="3" t="s">
        <v>43</v>
      </c>
      <c r="H5062" s="2" t="s">
        <v>21</v>
      </c>
      <c r="I5062" s="2" t="s">
        <v>10042</v>
      </c>
      <c r="J5062" s="3" t="str">
        <f>HYPERLINK("https://www.boe.es/gazeta/dias/1820/12/17/pdfs/GGB-1820-174.pdf#page=2","Abrir facsímil")</f>
        <v>Abrir facsímil</v>
      </c>
      <c r="K5062" s="3" t="s">
        <v>23</v>
      </c>
    </row>
    <row r="5063" spans="1:11" ht="42" customHeight="1">
      <c r="A5063" s="2" t="s">
        <v>10043</v>
      </c>
      <c r="B5063" s="2" t="s">
        <v>10044</v>
      </c>
      <c r="C5063" s="2" t="s">
        <v>17</v>
      </c>
      <c r="D5063" s="2" t="s">
        <v>18</v>
      </c>
      <c r="E5063" s="5">
        <v>-28969</v>
      </c>
      <c r="F5063" s="3" t="s">
        <v>225</v>
      </c>
      <c r="G5063" s="3" t="s">
        <v>20</v>
      </c>
      <c r="H5063" s="2" t="s">
        <v>21</v>
      </c>
      <c r="I5063" s="2" t="s">
        <v>10045</v>
      </c>
      <c r="J5063" s="3" t="str">
        <f>HYPERLINK("https://www.boe.es/gazeta/dias/1820/09/06/pdfs/GGB-1820-70.pdf#page=4","Abrir facsímil")</f>
        <v>Abrir facsímil</v>
      </c>
      <c r="K5063" s="3" t="s">
        <v>23</v>
      </c>
    </row>
    <row r="5064" spans="1:11" ht="42" customHeight="1">
      <c r="A5064" s="2" t="s">
        <v>10046</v>
      </c>
      <c r="B5064" s="2" t="s">
        <v>10046</v>
      </c>
      <c r="C5064" s="2" t="s">
        <v>26</v>
      </c>
      <c r="D5064" s="2" t="s">
        <v>27</v>
      </c>
      <c r="E5064" s="5">
        <v>-28981</v>
      </c>
      <c r="F5064" s="3" t="s">
        <v>42</v>
      </c>
      <c r="G5064" s="3" t="s">
        <v>62</v>
      </c>
      <c r="H5064" s="2" t="s">
        <v>21</v>
      </c>
      <c r="I5064" s="2" t="s">
        <v>10047</v>
      </c>
      <c r="J5064" s="3" t="str">
        <f>HYPERLINK("https://www.boe.es/gazeta/dias/1820/08/25/pdfs/GGB-1820-58.pdf#page=3","Abrir facsímil")</f>
        <v>Abrir facsímil</v>
      </c>
      <c r="K5064" s="3" t="s">
        <v>23</v>
      </c>
    </row>
    <row r="5065" spans="1:11" ht="42" customHeight="1">
      <c r="A5065" s="2" t="s">
        <v>10046</v>
      </c>
      <c r="B5065" s="2" t="s">
        <v>10046</v>
      </c>
      <c r="C5065" s="2" t="s">
        <v>26</v>
      </c>
      <c r="D5065" s="2" t="s">
        <v>27</v>
      </c>
      <c r="E5065" s="5">
        <v>-28969</v>
      </c>
      <c r="F5065" s="3" t="s">
        <v>225</v>
      </c>
      <c r="G5065" s="3" t="s">
        <v>226</v>
      </c>
      <c r="H5065" s="2" t="s">
        <v>21</v>
      </c>
      <c r="I5065" s="2" t="s">
        <v>10048</v>
      </c>
      <c r="J5065" s="3" t="str">
        <f>HYPERLINK("https://www.boe.es/gazeta/dias/1820/09/06/pdfs/GGB-1820-70.pdf#page=3","Abrir facsímil")</f>
        <v>Abrir facsímil</v>
      </c>
      <c r="K5065" s="3" t="s">
        <v>23</v>
      </c>
    </row>
    <row r="5066" spans="1:11" ht="42" customHeight="1">
      <c r="A5066" s="2" t="s">
        <v>10049</v>
      </c>
      <c r="B5066" s="2" t="s">
        <v>10050</v>
      </c>
      <c r="C5066" s="2" t="s">
        <v>17</v>
      </c>
      <c r="D5066" s="2" t="s">
        <v>18</v>
      </c>
      <c r="E5066" s="5">
        <v>-28927</v>
      </c>
      <c r="F5066" s="3" t="s">
        <v>345</v>
      </c>
      <c r="G5066" s="3" t="s">
        <v>20</v>
      </c>
      <c r="H5066" s="2" t="s">
        <v>21</v>
      </c>
      <c r="I5066" s="2" t="s">
        <v>10051</v>
      </c>
      <c r="J5066" s="3" t="str">
        <f>HYPERLINK("https://www.boe.es/gazeta/dias/1820/10/18/pdfs/GGB-1820-112.pdf#page=4","Abrir facsímil")</f>
        <v>Abrir facsímil</v>
      </c>
      <c r="K5066" s="3" t="s">
        <v>23</v>
      </c>
    </row>
    <row r="5067" spans="1:11" ht="42" customHeight="1">
      <c r="A5067" s="2" t="s">
        <v>10052</v>
      </c>
      <c r="B5067" s="2" t="s">
        <v>10053</v>
      </c>
      <c r="C5067" s="2" t="s">
        <v>35</v>
      </c>
      <c r="D5067" s="2" t="s">
        <v>36</v>
      </c>
      <c r="E5067" s="5">
        <v>-28944</v>
      </c>
      <c r="F5067" s="3" t="s">
        <v>990</v>
      </c>
      <c r="G5067" s="3" t="s">
        <v>1174</v>
      </c>
      <c r="H5067" s="2" t="s">
        <v>21</v>
      </c>
      <c r="I5067" s="2" t="s">
        <v>10054</v>
      </c>
      <c r="J5067" s="3" t="str">
        <f>HYPERLINK("https://www.boe.es/gazeta/dias/1820/10/01/pdfs/GGB-1820-95.pdf#page=4","Abrir facsímil")</f>
        <v>Abrir facsímil</v>
      </c>
      <c r="K5067" s="3" t="s">
        <v>23</v>
      </c>
    </row>
    <row r="5068" spans="1:11" ht="42" customHeight="1">
      <c r="A5068" s="2" t="s">
        <v>10055</v>
      </c>
      <c r="B5068" s="2" t="s">
        <v>10056</v>
      </c>
      <c r="C5068" s="2" t="s">
        <v>17</v>
      </c>
      <c r="D5068" s="2" t="s">
        <v>18</v>
      </c>
      <c r="E5068" s="5">
        <v>-28977</v>
      </c>
      <c r="F5068" s="3" t="s">
        <v>687</v>
      </c>
      <c r="G5068" s="3" t="s">
        <v>20</v>
      </c>
      <c r="H5068" s="2" t="s">
        <v>21</v>
      </c>
      <c r="I5068" s="2" t="s">
        <v>10057</v>
      </c>
      <c r="J5068" s="3" t="str">
        <f>HYPERLINK("https://www.boe.es/gazeta/dias/1820/08/29/pdfs/GGB-1820-62.pdf#page=4","Abrir facsímil")</f>
        <v>Abrir facsímil</v>
      </c>
      <c r="K5068" s="3" t="s">
        <v>23</v>
      </c>
    </row>
    <row r="5069" spans="1:11" ht="42" customHeight="1">
      <c r="A5069" s="2" t="s">
        <v>10058</v>
      </c>
      <c r="B5069" s="2" t="s">
        <v>10058</v>
      </c>
      <c r="C5069" s="2" t="s">
        <v>74</v>
      </c>
      <c r="D5069" s="2" t="s">
        <v>18</v>
      </c>
      <c r="E5069" s="5">
        <v>-28934</v>
      </c>
      <c r="F5069" s="3" t="s">
        <v>163</v>
      </c>
      <c r="G5069" s="3" t="s">
        <v>62</v>
      </c>
      <c r="H5069" s="2" t="s">
        <v>21</v>
      </c>
      <c r="I5069" s="2" t="s">
        <v>10059</v>
      </c>
      <c r="J5069" s="3" t="str">
        <f>HYPERLINK("https://www.boe.es/gazeta/dias/1820/10/11/pdfs/GGB-1820-105.pdf#page=3","Abrir facsímil")</f>
        <v>Abrir facsímil</v>
      </c>
      <c r="K5069" s="3" t="s">
        <v>23</v>
      </c>
    </row>
    <row r="5070" spans="1:11" ht="42" customHeight="1">
      <c r="A5070" s="2" t="s">
        <v>10060</v>
      </c>
      <c r="B5070" s="2" t="s">
        <v>10061</v>
      </c>
      <c r="C5070" s="2" t="s">
        <v>26</v>
      </c>
      <c r="D5070" s="2" t="s">
        <v>27</v>
      </c>
      <c r="E5070" s="5">
        <v>-29187</v>
      </c>
      <c r="F5070" s="3" t="s">
        <v>859</v>
      </c>
      <c r="G5070" s="3" t="s">
        <v>201</v>
      </c>
      <c r="H5070" s="2" t="s">
        <v>21</v>
      </c>
      <c r="I5070" s="2" t="s">
        <v>10062</v>
      </c>
      <c r="J5070" s="3" t="str">
        <f>HYPERLINK("https://www.boe.es/gazeta/dias/1820/02/01/pdfs/GMD-1820-14.pdf#page=7","Abrir facsímil")</f>
        <v>Abrir facsímil</v>
      </c>
      <c r="K5070" s="3" t="s">
        <v>23</v>
      </c>
    </row>
    <row r="5071" spans="1:11" ht="42" customHeight="1">
      <c r="A5071" s="2" t="s">
        <v>10063</v>
      </c>
      <c r="B5071" s="2" t="s">
        <v>10064</v>
      </c>
      <c r="C5071" s="2" t="s">
        <v>26</v>
      </c>
      <c r="D5071" s="2" t="s">
        <v>27</v>
      </c>
      <c r="E5071" s="5">
        <v>-29211</v>
      </c>
      <c r="F5071" s="3" t="s">
        <v>578</v>
      </c>
      <c r="G5071" s="3" t="s">
        <v>38</v>
      </c>
      <c r="H5071" s="2" t="s">
        <v>21</v>
      </c>
      <c r="I5071" s="2" t="s">
        <v>10065</v>
      </c>
      <c r="J5071" s="3" t="str">
        <f>HYPERLINK("https://www.boe.es/gazeta/dias/1820/01/08/pdfs/GMD-1820-4.pdf#page=6","Abrir facsímil")</f>
        <v>Abrir facsímil</v>
      </c>
      <c r="K5071" s="3" t="s">
        <v>23</v>
      </c>
    </row>
    <row r="5072" spans="1:11" ht="42" customHeight="1">
      <c r="A5072" s="2" t="s">
        <v>10066</v>
      </c>
      <c r="B5072" s="2" t="s">
        <v>10067</v>
      </c>
      <c r="C5072" s="2" t="s">
        <v>74</v>
      </c>
      <c r="D5072" s="2" t="s">
        <v>18</v>
      </c>
      <c r="E5072" s="5">
        <v>-28967</v>
      </c>
      <c r="F5072" s="3" t="s">
        <v>238</v>
      </c>
      <c r="G5072" s="3" t="s">
        <v>38</v>
      </c>
      <c r="H5072" s="2" t="s">
        <v>21</v>
      </c>
      <c r="I5072" s="2" t="s">
        <v>10068</v>
      </c>
      <c r="J5072" s="3" t="str">
        <f>HYPERLINK("https://www.boe.es/gazeta/dias/1820/09/08/pdfs/GGB-1820-72.pdf#page=6","Abrir facsímil")</f>
        <v>Abrir facsímil</v>
      </c>
      <c r="K5072" s="3" t="s">
        <v>23</v>
      </c>
    </row>
    <row r="5073" spans="1:11" ht="42" customHeight="1">
      <c r="A5073" s="2" t="s">
        <v>10069</v>
      </c>
      <c r="B5073" s="2" t="s">
        <v>10070</v>
      </c>
      <c r="C5073" s="2" t="s">
        <v>35</v>
      </c>
      <c r="D5073" s="2" t="s">
        <v>36</v>
      </c>
      <c r="E5073" s="5">
        <v>-29092</v>
      </c>
      <c r="F5073" s="3" t="s">
        <v>1261</v>
      </c>
      <c r="G5073" s="3" t="s">
        <v>295</v>
      </c>
      <c r="H5073" s="2" t="s">
        <v>21</v>
      </c>
      <c r="I5073" s="2" t="s">
        <v>10071</v>
      </c>
      <c r="J5073" s="3" t="str">
        <f>HYPERLINK("https://www.boe.es/gazeta/dias/1820/05/06/pdfs/GMD-1820-76.pdf#page=8","Abrir facsímil")</f>
        <v>Abrir facsímil</v>
      </c>
      <c r="K5073" s="3" t="s">
        <v>23</v>
      </c>
    </row>
    <row r="5074" spans="1:11" ht="42" customHeight="1">
      <c r="A5074" s="2" t="s">
        <v>10072</v>
      </c>
      <c r="B5074" s="2" t="s">
        <v>10072</v>
      </c>
      <c r="C5074" s="2" t="s">
        <v>293</v>
      </c>
      <c r="D5074" s="2" t="s">
        <v>18</v>
      </c>
      <c r="E5074" s="5">
        <v>-28944</v>
      </c>
      <c r="F5074" s="3" t="s">
        <v>990</v>
      </c>
      <c r="G5074" s="3" t="s">
        <v>1548</v>
      </c>
      <c r="H5074" s="2" t="s">
        <v>21</v>
      </c>
      <c r="I5074" s="2" t="s">
        <v>10073</v>
      </c>
      <c r="J5074" s="3" t="str">
        <f>HYPERLINK("https://www.boe.es/gazeta/dias/1820/10/01/pdfs/GGB-1820-95.pdf#page=2","Abrir facsímil")</f>
        <v>Abrir facsímil</v>
      </c>
      <c r="K5074" s="3" t="s">
        <v>23</v>
      </c>
    </row>
    <row r="5075" spans="1:11" ht="42" customHeight="1">
      <c r="A5075" s="2" t="s">
        <v>10072</v>
      </c>
      <c r="B5075" s="2" t="s">
        <v>10072</v>
      </c>
      <c r="C5075" s="2" t="s">
        <v>111</v>
      </c>
      <c r="D5075" s="2" t="s">
        <v>18</v>
      </c>
      <c r="E5075" s="5">
        <v>-28932</v>
      </c>
      <c r="F5075" s="3" t="s">
        <v>407</v>
      </c>
      <c r="G5075" s="3" t="s">
        <v>43</v>
      </c>
      <c r="H5075" s="2" t="s">
        <v>21</v>
      </c>
      <c r="I5075" s="2" t="s">
        <v>10074</v>
      </c>
      <c r="J5075" s="3" t="str">
        <f>HYPERLINK("https://www.boe.es/gazeta/dias/1820/10/13/pdfs/GGB-1820-107.pdf#page=2","Abrir facsímil")</f>
        <v>Abrir facsímil</v>
      </c>
      <c r="K5075" s="3" t="s">
        <v>23</v>
      </c>
    </row>
    <row r="5076" spans="1:11" ht="42" customHeight="1">
      <c r="A5076" s="2" t="s">
        <v>10075</v>
      </c>
      <c r="B5076" s="2" t="s">
        <v>10076</v>
      </c>
      <c r="C5076" s="2" t="s">
        <v>47</v>
      </c>
      <c r="D5076" s="2" t="s">
        <v>18</v>
      </c>
      <c r="E5076" s="5">
        <v>-29206</v>
      </c>
      <c r="F5076" s="3" t="s">
        <v>897</v>
      </c>
      <c r="G5076" s="3" t="s">
        <v>295</v>
      </c>
      <c r="H5076" s="2" t="s">
        <v>21</v>
      </c>
      <c r="I5076" s="2" t="s">
        <v>10077</v>
      </c>
      <c r="J5076" s="3" t="str">
        <f>HYPERLINK("https://www.boe.es/gazeta/dias/1820/01/13/pdfs/GMD-1820-6.pdf#page=8","Abrir facsímil")</f>
        <v>Abrir facsímil</v>
      </c>
      <c r="K5076" s="3" t="s">
        <v>23</v>
      </c>
    </row>
    <row r="5077" spans="1:11" ht="42" customHeight="1">
      <c r="A5077" s="2" t="s">
        <v>10078</v>
      </c>
      <c r="B5077" s="2" t="s">
        <v>10079</v>
      </c>
      <c r="C5077" s="2" t="s">
        <v>26</v>
      </c>
      <c r="D5077" s="2" t="s">
        <v>27</v>
      </c>
      <c r="E5077" s="5">
        <v>-28923</v>
      </c>
      <c r="F5077" s="3" t="s">
        <v>648</v>
      </c>
      <c r="G5077" s="3" t="s">
        <v>62</v>
      </c>
      <c r="H5077" s="2" t="s">
        <v>30</v>
      </c>
      <c r="I5077" s="2" t="s">
        <v>10080</v>
      </c>
      <c r="J5077" s="3" t="str">
        <f>HYPERLINK("https://www.boe.es/gazeta/dias/1820/10/22/pdfs/GGB-1820-116.pdf#page=3","Abrir facsímil")</f>
        <v>Abrir facsímil</v>
      </c>
      <c r="K5077" s="3" t="s">
        <v>32</v>
      </c>
    </row>
    <row r="5078" spans="1:11" ht="42" customHeight="1">
      <c r="A5078" s="2" t="s">
        <v>10081</v>
      </c>
      <c r="B5078" s="2" t="s">
        <v>10082</v>
      </c>
      <c r="C5078" s="2" t="s">
        <v>35</v>
      </c>
      <c r="D5078" s="2" t="s">
        <v>36</v>
      </c>
      <c r="E5078" s="5">
        <v>-29194</v>
      </c>
      <c r="F5078" s="3" t="s">
        <v>416</v>
      </c>
      <c r="G5078" s="3" t="s">
        <v>1391</v>
      </c>
      <c r="H5078" s="2" t="s">
        <v>30</v>
      </c>
      <c r="I5078" s="2" t="s">
        <v>10083</v>
      </c>
      <c r="J5078" s="3" t="str">
        <f>HYPERLINK("https://www.boe.es/gazeta/dias/1820/01/25/pdfs/GMD-1820-11.pdf#page=8","Abrir facsímil")</f>
        <v>Abrir facsímil</v>
      </c>
      <c r="K5078" s="3" t="s">
        <v>32</v>
      </c>
    </row>
    <row r="5079" spans="1:11" ht="42" customHeight="1">
      <c r="A5079" s="2" t="s">
        <v>10081</v>
      </c>
      <c r="B5079" s="2" t="s">
        <v>10082</v>
      </c>
      <c r="C5079" s="2" t="s">
        <v>17</v>
      </c>
      <c r="D5079" s="2" t="s">
        <v>18</v>
      </c>
      <c r="E5079" s="5">
        <v>-28901</v>
      </c>
      <c r="F5079" s="3" t="s">
        <v>1492</v>
      </c>
      <c r="G5079" s="3" t="s">
        <v>20</v>
      </c>
      <c r="H5079" s="2" t="s">
        <v>30</v>
      </c>
      <c r="I5079" s="2" t="s">
        <v>10084</v>
      </c>
      <c r="J5079" s="3" t="str">
        <f>HYPERLINK("https://www.boe.es/gazeta/dias/1820/11/13/pdfs/GGB-1820-139.pdf#page=4","Abrir facsímil")</f>
        <v>Abrir facsímil</v>
      </c>
      <c r="K5079" s="3" t="s">
        <v>32</v>
      </c>
    </row>
    <row r="5080" spans="1:11" ht="42" customHeight="1">
      <c r="A5080" s="2" t="s">
        <v>10085</v>
      </c>
      <c r="B5080" s="2" t="s">
        <v>10086</v>
      </c>
      <c r="C5080" s="2" t="s">
        <v>107</v>
      </c>
      <c r="D5080" s="2" t="s">
        <v>18</v>
      </c>
      <c r="E5080" s="5">
        <v>-29150</v>
      </c>
      <c r="F5080" s="3" t="s">
        <v>299</v>
      </c>
      <c r="G5080" s="3" t="s">
        <v>300</v>
      </c>
      <c r="H5080" s="2" t="s">
        <v>21</v>
      </c>
      <c r="I5080" s="2" t="s">
        <v>10087</v>
      </c>
      <c r="J5080" s="3" t="str">
        <f>HYPERLINK("https://www.boe.es/gazeta/dias/1820/03/09/pdfs/GMD-1820-32.pdf#page=8","Abrir facsímil")</f>
        <v>Abrir facsímil</v>
      </c>
      <c r="K5080" s="3" t="s">
        <v>23</v>
      </c>
    </row>
    <row r="5081" spans="1:11" ht="42" customHeight="1">
      <c r="A5081" s="2" t="s">
        <v>10088</v>
      </c>
      <c r="B5081" s="2" t="s">
        <v>10089</v>
      </c>
      <c r="C5081" s="2" t="s">
        <v>107</v>
      </c>
      <c r="D5081" s="2" t="s">
        <v>18</v>
      </c>
      <c r="E5081" s="5">
        <v>-28959</v>
      </c>
      <c r="F5081" s="3" t="s">
        <v>37</v>
      </c>
      <c r="G5081" s="3" t="s">
        <v>38</v>
      </c>
      <c r="H5081" s="2" t="s">
        <v>21</v>
      </c>
      <c r="I5081" s="2" t="s">
        <v>10090</v>
      </c>
      <c r="J5081" s="3" t="str">
        <f>HYPERLINK("https://www.boe.es/gazeta/dias/1820/09/16/pdfs/GGB-1820-80.pdf#page=6","Abrir facsímil")</f>
        <v>Abrir facsímil</v>
      </c>
      <c r="K5081" s="3" t="s">
        <v>23</v>
      </c>
    </row>
    <row r="5082" spans="1:11" ht="42" customHeight="1">
      <c r="A5082" s="2" t="s">
        <v>10091</v>
      </c>
      <c r="B5082" s="2" t="s">
        <v>10092</v>
      </c>
      <c r="C5082" s="2" t="s">
        <v>111</v>
      </c>
      <c r="D5082" s="2" t="s">
        <v>18</v>
      </c>
      <c r="E5082" s="5">
        <v>-29138</v>
      </c>
      <c r="F5082" s="3" t="s">
        <v>200</v>
      </c>
      <c r="G5082" s="3" t="s">
        <v>295</v>
      </c>
      <c r="H5082" s="2" t="s">
        <v>21</v>
      </c>
      <c r="I5082" s="2" t="s">
        <v>10093</v>
      </c>
      <c r="J5082" s="3" t="str">
        <f>HYPERLINK("https://www.boe.es/gazeta/dias/1820/03/21/pdfs/GMD-1820-46.pdf#page=8","Abrir facsímil")</f>
        <v>Abrir facsímil</v>
      </c>
      <c r="K5082" s="3" t="s">
        <v>23</v>
      </c>
    </row>
    <row r="5083" spans="1:11" ht="42" customHeight="1">
      <c r="A5083" s="2" t="s">
        <v>10091</v>
      </c>
      <c r="B5083" s="2" t="s">
        <v>10092</v>
      </c>
      <c r="C5083" s="2" t="s">
        <v>47</v>
      </c>
      <c r="D5083" s="2" t="s">
        <v>18</v>
      </c>
      <c r="E5083" s="5">
        <v>-29038</v>
      </c>
      <c r="F5083" s="3" t="s">
        <v>957</v>
      </c>
      <c r="G5083" s="3" t="s">
        <v>295</v>
      </c>
      <c r="H5083" s="2" t="s">
        <v>21</v>
      </c>
      <c r="I5083" s="2" t="s">
        <v>10094</v>
      </c>
      <c r="J5083" s="3" t="str">
        <f>HYPERLINK("https://www.boe.es/gazeta/dias/1820/06/29/pdfs/GMD-1820-100.pdf#page=8","Abrir facsímil")</f>
        <v>Abrir facsímil</v>
      </c>
      <c r="K5083" s="3" t="s">
        <v>23</v>
      </c>
    </row>
    <row r="5084" spans="1:11" ht="42" customHeight="1">
      <c r="A5084" s="2" t="s">
        <v>10095</v>
      </c>
      <c r="B5084" s="2" t="s">
        <v>10096</v>
      </c>
      <c r="C5084" s="2" t="s">
        <v>26</v>
      </c>
      <c r="D5084" s="2" t="s">
        <v>27</v>
      </c>
      <c r="E5084" s="5">
        <v>-29169</v>
      </c>
      <c r="F5084" s="3" t="s">
        <v>962</v>
      </c>
      <c r="G5084" s="3" t="s">
        <v>20</v>
      </c>
      <c r="H5084" s="2" t="s">
        <v>21</v>
      </c>
      <c r="I5084" s="2" t="s">
        <v>10097</v>
      </c>
      <c r="J5084" s="3" t="str">
        <f>HYPERLINK("https://www.boe.es/gazeta/dias/1820/02/19/pdfs/GMD-1820-22.pdf#page=4","Abrir facsímil")</f>
        <v>Abrir facsímil</v>
      </c>
      <c r="K5084" s="3" t="s">
        <v>23</v>
      </c>
    </row>
    <row r="5085" spans="1:11" ht="42" customHeight="1">
      <c r="A5085" s="2" t="s">
        <v>10098</v>
      </c>
      <c r="B5085" s="2" t="s">
        <v>10098</v>
      </c>
      <c r="C5085" s="2" t="s">
        <v>17</v>
      </c>
      <c r="D5085" s="2" t="s">
        <v>18</v>
      </c>
      <c r="E5085" s="5">
        <v>-28956</v>
      </c>
      <c r="F5085" s="3" t="s">
        <v>190</v>
      </c>
      <c r="G5085" s="3" t="s">
        <v>62</v>
      </c>
      <c r="H5085" s="2" t="s">
        <v>21</v>
      </c>
      <c r="I5085" s="2" t="s">
        <v>10099</v>
      </c>
      <c r="J5085" s="3" t="str">
        <f>HYPERLINK("https://www.boe.es/gazeta/dias/1820/09/19/pdfs/GGB-1820-83.pdf#page=3","Abrir facsímil")</f>
        <v>Abrir facsímil</v>
      </c>
      <c r="K5085" s="3" t="s">
        <v>23</v>
      </c>
    </row>
    <row r="5086" spans="1:11" ht="42" customHeight="1">
      <c r="A5086" s="2" t="s">
        <v>10098</v>
      </c>
      <c r="B5086" s="2" t="s">
        <v>10098</v>
      </c>
      <c r="C5086" s="2" t="s">
        <v>74</v>
      </c>
      <c r="D5086" s="2" t="s">
        <v>18</v>
      </c>
      <c r="E5086" s="5">
        <v>-28920</v>
      </c>
      <c r="F5086" s="3" t="s">
        <v>399</v>
      </c>
      <c r="G5086" s="3" t="s">
        <v>62</v>
      </c>
      <c r="H5086" s="2" t="s">
        <v>21</v>
      </c>
      <c r="I5086" s="2" t="s">
        <v>10100</v>
      </c>
      <c r="J5086" s="3" t="str">
        <f>HYPERLINK("https://www.boe.es/gazeta/dias/1820/10/25/pdfs/GGB-1820-119.pdf#page=3","Abrir facsímil")</f>
        <v>Abrir facsímil</v>
      </c>
      <c r="K5086" s="3" t="s">
        <v>23</v>
      </c>
    </row>
    <row r="5087" spans="1:11" ht="42" customHeight="1">
      <c r="A5087" s="2" t="s">
        <v>10101</v>
      </c>
      <c r="B5087" s="2" t="s">
        <v>10102</v>
      </c>
      <c r="C5087" s="2" t="s">
        <v>35</v>
      </c>
      <c r="D5087" s="2" t="s">
        <v>36</v>
      </c>
      <c r="E5087" s="5">
        <v>-28982</v>
      </c>
      <c r="F5087" s="3" t="s">
        <v>173</v>
      </c>
      <c r="G5087" s="3" t="s">
        <v>62</v>
      </c>
      <c r="H5087" s="2" t="s">
        <v>21</v>
      </c>
      <c r="I5087" s="2" t="s">
        <v>10103</v>
      </c>
      <c r="J5087" s="3" t="str">
        <f>HYPERLINK("https://www.boe.es/gazeta/dias/1820/08/24/pdfs/GGB-1820-57.pdf#page=3","Abrir facsímil")</f>
        <v>Abrir facsímil</v>
      </c>
      <c r="K5087" s="3" t="s">
        <v>23</v>
      </c>
    </row>
    <row r="5088" spans="1:11" ht="42" customHeight="1">
      <c r="A5088" s="2" t="s">
        <v>10104</v>
      </c>
      <c r="B5088" s="2" t="s">
        <v>10105</v>
      </c>
      <c r="C5088" s="2" t="s">
        <v>17</v>
      </c>
      <c r="D5088" s="2" t="s">
        <v>18</v>
      </c>
      <c r="E5088" s="5">
        <v>-28900</v>
      </c>
      <c r="F5088" s="3" t="s">
        <v>878</v>
      </c>
      <c r="G5088" s="3" t="s">
        <v>20</v>
      </c>
      <c r="H5088" s="2" t="s">
        <v>21</v>
      </c>
      <c r="I5088" s="2" t="s">
        <v>10106</v>
      </c>
      <c r="J5088" s="3" t="str">
        <f>HYPERLINK("https://www.boe.es/gazeta/dias/1820/11/14/pdfs/GGB-1820-140.pdf#page=4","Abrir facsímil")</f>
        <v>Abrir facsímil</v>
      </c>
      <c r="K5088" s="3" t="s">
        <v>23</v>
      </c>
    </row>
    <row r="5089" spans="1:11" ht="42" customHeight="1">
      <c r="A5089" s="2" t="s">
        <v>10107</v>
      </c>
      <c r="B5089" s="2" t="s">
        <v>10107</v>
      </c>
      <c r="C5089" s="2" t="s">
        <v>35</v>
      </c>
      <c r="D5089" s="2" t="s">
        <v>36</v>
      </c>
      <c r="E5089" s="5">
        <v>-29014</v>
      </c>
      <c r="F5089" s="3" t="s">
        <v>70</v>
      </c>
      <c r="G5089" s="3" t="s">
        <v>43</v>
      </c>
      <c r="H5089" s="2" t="s">
        <v>21</v>
      </c>
      <c r="I5089" s="2" t="s">
        <v>10108</v>
      </c>
      <c r="J5089" s="3" t="str">
        <f>HYPERLINK("https://www.boe.es/gazeta/dias/1820/07/23/pdfs/GGB-1820-25.pdf#page=2","Abrir facsímil")</f>
        <v>Abrir facsímil</v>
      </c>
      <c r="K5089" s="3" t="s">
        <v>23</v>
      </c>
    </row>
    <row r="5090" spans="1:11" ht="42" customHeight="1">
      <c r="A5090" s="2" t="s">
        <v>10107</v>
      </c>
      <c r="B5090" s="2" t="s">
        <v>10107</v>
      </c>
      <c r="C5090" s="2" t="s">
        <v>293</v>
      </c>
      <c r="D5090" s="2" t="s">
        <v>18</v>
      </c>
      <c r="E5090" s="5">
        <v>-29014</v>
      </c>
      <c r="F5090" s="3" t="s">
        <v>70</v>
      </c>
      <c r="G5090" s="3" t="s">
        <v>62</v>
      </c>
      <c r="H5090" s="2" t="s">
        <v>21</v>
      </c>
      <c r="I5090" s="2" t="s">
        <v>10109</v>
      </c>
      <c r="J5090" s="3" t="str">
        <f>HYPERLINK("https://www.boe.es/gazeta/dias/1820/07/23/pdfs/GGB-1820-25.pdf#page=3","Abrir facsímil")</f>
        <v>Abrir facsímil</v>
      </c>
      <c r="K5090" s="3" t="s">
        <v>23</v>
      </c>
    </row>
    <row r="5091" spans="1:11" ht="42" customHeight="1">
      <c r="A5091" s="2" t="s">
        <v>10107</v>
      </c>
      <c r="B5091" s="2" t="s">
        <v>10107</v>
      </c>
      <c r="C5091" s="2" t="s">
        <v>26</v>
      </c>
      <c r="D5091" s="2" t="s">
        <v>27</v>
      </c>
      <c r="E5091" s="5">
        <v>-29007</v>
      </c>
      <c r="F5091" s="3" t="s">
        <v>251</v>
      </c>
      <c r="G5091" s="3" t="s">
        <v>62</v>
      </c>
      <c r="H5091" s="2" t="s">
        <v>21</v>
      </c>
      <c r="I5091" s="2" t="s">
        <v>10110</v>
      </c>
      <c r="J5091" s="3" t="str">
        <f>HYPERLINK("https://www.boe.es/gazeta/dias/1820/07/30/pdfs/GGB-1820-32.pdf#page=3","Abrir facsímil")</f>
        <v>Abrir facsímil</v>
      </c>
      <c r="K5091" s="3" t="s">
        <v>23</v>
      </c>
    </row>
    <row r="5092" spans="1:11" ht="42" customHeight="1">
      <c r="A5092" s="2" t="s">
        <v>10107</v>
      </c>
      <c r="B5092" s="2" t="s">
        <v>10107</v>
      </c>
      <c r="C5092" s="2" t="s">
        <v>74</v>
      </c>
      <c r="D5092" s="2" t="s">
        <v>18</v>
      </c>
      <c r="E5092" s="5">
        <v>-29000</v>
      </c>
      <c r="F5092" s="3" t="s">
        <v>670</v>
      </c>
      <c r="G5092" s="3" t="s">
        <v>62</v>
      </c>
      <c r="H5092" s="2" t="s">
        <v>21</v>
      </c>
      <c r="I5092" s="2" t="s">
        <v>10111</v>
      </c>
      <c r="J5092" s="3" t="str">
        <f>HYPERLINK("https://www.boe.es/gazeta/dias/1820/08/06/pdfs/GGB-1820-39.pdf#page=3","Abrir facsímil")</f>
        <v>Abrir facsímil</v>
      </c>
      <c r="K5092" s="3" t="s">
        <v>23</v>
      </c>
    </row>
    <row r="5093" spans="1:11" ht="42" customHeight="1">
      <c r="A5093" s="2" t="s">
        <v>10107</v>
      </c>
      <c r="B5093" s="2" t="s">
        <v>10107</v>
      </c>
      <c r="C5093" s="2" t="s">
        <v>26</v>
      </c>
      <c r="D5093" s="2" t="s">
        <v>27</v>
      </c>
      <c r="E5093" s="5">
        <v>-28988</v>
      </c>
      <c r="F5093" s="3" t="s">
        <v>618</v>
      </c>
      <c r="G5093" s="3" t="s">
        <v>677</v>
      </c>
      <c r="H5093" s="2" t="s">
        <v>21</v>
      </c>
      <c r="I5093" s="2" t="s">
        <v>10112</v>
      </c>
      <c r="J5093" s="3" t="str">
        <f>HYPERLINK("https://www.boe.es/gazeta/dias/1820/08/18/pdfs/GGB-1820-51.pdf#page=2","Abrir facsímil")</f>
        <v>Abrir facsímil</v>
      </c>
      <c r="K5093" s="3" t="s">
        <v>23</v>
      </c>
    </row>
    <row r="5094" spans="1:11" ht="42" customHeight="1">
      <c r="A5094" s="2" t="s">
        <v>10107</v>
      </c>
      <c r="B5094" s="2" t="s">
        <v>10107</v>
      </c>
      <c r="C5094" s="2" t="s">
        <v>74</v>
      </c>
      <c r="D5094" s="2" t="s">
        <v>18</v>
      </c>
      <c r="E5094" s="5">
        <v>-28974</v>
      </c>
      <c r="F5094" s="3" t="s">
        <v>1144</v>
      </c>
      <c r="G5094" s="3" t="s">
        <v>62</v>
      </c>
      <c r="H5094" s="2" t="s">
        <v>21</v>
      </c>
      <c r="I5094" s="2" t="s">
        <v>10113</v>
      </c>
      <c r="J5094" s="3" t="str">
        <f>HYPERLINK("https://www.boe.es/gazeta/dias/1820/09/01/pdfs/GGB-1820-65.pdf#page=3","Abrir facsímil")</f>
        <v>Abrir facsímil</v>
      </c>
      <c r="K5094" s="3" t="s">
        <v>23</v>
      </c>
    </row>
    <row r="5095" spans="1:11" ht="42" customHeight="1">
      <c r="A5095" s="2" t="s">
        <v>10107</v>
      </c>
      <c r="B5095" s="2" t="s">
        <v>10107</v>
      </c>
      <c r="C5095" s="2" t="s">
        <v>26</v>
      </c>
      <c r="D5095" s="2" t="s">
        <v>27</v>
      </c>
      <c r="E5095" s="5">
        <v>-28957</v>
      </c>
      <c r="F5095" s="3" t="s">
        <v>361</v>
      </c>
      <c r="G5095" s="3" t="s">
        <v>708</v>
      </c>
      <c r="H5095" s="2" t="s">
        <v>21</v>
      </c>
      <c r="I5095" s="2" t="s">
        <v>10114</v>
      </c>
      <c r="J5095" s="3" t="str">
        <f>HYPERLINK("https://www.boe.es/gazeta/dias/1820/09/18/pdfs/GGB-1820-82.pdf#page=4","Abrir facsímil")</f>
        <v>Abrir facsímil</v>
      </c>
      <c r="K5095" s="3" t="s">
        <v>23</v>
      </c>
    </row>
    <row r="5096" spans="1:11" ht="42" customHeight="1">
      <c r="A5096" s="2" t="s">
        <v>10107</v>
      </c>
      <c r="B5096" s="2" t="s">
        <v>10107</v>
      </c>
      <c r="C5096" s="2" t="s">
        <v>26</v>
      </c>
      <c r="D5096" s="2" t="s">
        <v>27</v>
      </c>
      <c r="E5096" s="5">
        <v>-28956</v>
      </c>
      <c r="F5096" s="3" t="s">
        <v>190</v>
      </c>
      <c r="G5096" s="3" t="s">
        <v>62</v>
      </c>
      <c r="H5096" s="2" t="s">
        <v>21</v>
      </c>
      <c r="I5096" s="2" t="s">
        <v>10115</v>
      </c>
      <c r="J5096" s="3" t="str">
        <f>HYPERLINK("https://www.boe.es/gazeta/dias/1820/09/19/pdfs/GGB-1820-83.pdf#page=3","Abrir facsímil")</f>
        <v>Abrir facsímil</v>
      </c>
      <c r="K5096" s="3" t="s">
        <v>23</v>
      </c>
    </row>
    <row r="5097" spans="1:11" ht="42" customHeight="1">
      <c r="A5097" s="2" t="s">
        <v>10107</v>
      </c>
      <c r="B5097" s="2" t="s">
        <v>10107</v>
      </c>
      <c r="C5097" s="2" t="s">
        <v>74</v>
      </c>
      <c r="D5097" s="2" t="s">
        <v>18</v>
      </c>
      <c r="E5097" s="5">
        <v>-28947</v>
      </c>
      <c r="F5097" s="3" t="s">
        <v>127</v>
      </c>
      <c r="G5097" s="3" t="s">
        <v>20</v>
      </c>
      <c r="H5097" s="2" t="s">
        <v>21</v>
      </c>
      <c r="I5097" s="2" t="s">
        <v>10116</v>
      </c>
      <c r="J5097" s="3" t="str">
        <f>HYPERLINK("https://www.boe.es/gazeta/dias/1820/09/28/pdfs/GGB-1820-92.pdf#page=4","Abrir facsímil")</f>
        <v>Abrir facsímil</v>
      </c>
      <c r="K5097" s="3" t="s">
        <v>23</v>
      </c>
    </row>
    <row r="5098" spans="1:11" ht="42" customHeight="1">
      <c r="A5098" s="2" t="s">
        <v>10107</v>
      </c>
      <c r="B5098" s="2" t="s">
        <v>10107</v>
      </c>
      <c r="C5098" s="2" t="s">
        <v>74</v>
      </c>
      <c r="D5098" s="2" t="s">
        <v>18</v>
      </c>
      <c r="E5098" s="5">
        <v>-28941</v>
      </c>
      <c r="F5098" s="3" t="s">
        <v>1727</v>
      </c>
      <c r="G5098" s="3" t="s">
        <v>43</v>
      </c>
      <c r="H5098" s="2" t="s">
        <v>21</v>
      </c>
      <c r="I5098" s="2" t="s">
        <v>10117</v>
      </c>
      <c r="J5098" s="3" t="str">
        <f>HYPERLINK("https://www.boe.es/gazeta/dias/1820/10/04/pdfs/GGB-1820-98.pdf#page=2","Abrir facsímil")</f>
        <v>Abrir facsímil</v>
      </c>
      <c r="K5098" s="3" t="s">
        <v>23</v>
      </c>
    </row>
    <row r="5099" spans="1:11" ht="42" customHeight="1">
      <c r="A5099" s="2" t="s">
        <v>10107</v>
      </c>
      <c r="B5099" s="2" t="s">
        <v>10107</v>
      </c>
      <c r="C5099" s="2" t="s">
        <v>26</v>
      </c>
      <c r="D5099" s="2" t="s">
        <v>27</v>
      </c>
      <c r="E5099" s="5">
        <v>-28940</v>
      </c>
      <c r="F5099" s="3" t="s">
        <v>141</v>
      </c>
      <c r="G5099" s="3" t="s">
        <v>142</v>
      </c>
      <c r="H5099" s="2" t="s">
        <v>21</v>
      </c>
      <c r="I5099" s="2" t="s">
        <v>10118</v>
      </c>
      <c r="J5099" s="3" t="str">
        <f>HYPERLINK("https://www.boe.es/gazeta/dias/1820/10/05/pdfs/GGB-1820-99.pdf#page=4","Abrir facsímil")</f>
        <v>Abrir facsímil</v>
      </c>
      <c r="K5099" s="3" t="s">
        <v>23</v>
      </c>
    </row>
    <row r="5100" spans="1:11" ht="42" customHeight="1">
      <c r="A5100" s="2" t="s">
        <v>10107</v>
      </c>
      <c r="B5100" s="2" t="s">
        <v>10107</v>
      </c>
      <c r="C5100" s="2" t="s">
        <v>74</v>
      </c>
      <c r="D5100" s="2" t="s">
        <v>18</v>
      </c>
      <c r="E5100" s="5">
        <v>-28933</v>
      </c>
      <c r="F5100" s="3" t="s">
        <v>720</v>
      </c>
      <c r="G5100" s="3" t="s">
        <v>20</v>
      </c>
      <c r="H5100" s="2" t="s">
        <v>21</v>
      </c>
      <c r="I5100" s="2" t="s">
        <v>10119</v>
      </c>
      <c r="J5100" s="3" t="str">
        <f>HYPERLINK("https://www.boe.es/gazeta/dias/1820/10/12/pdfs/GGB-1820-106.pdf#page=4","Abrir facsímil")</f>
        <v>Abrir facsímil</v>
      </c>
      <c r="K5100" s="3" t="s">
        <v>23</v>
      </c>
    </row>
    <row r="5101" spans="1:11" ht="42" customHeight="1">
      <c r="A5101" s="2" t="s">
        <v>10107</v>
      </c>
      <c r="B5101" s="2" t="s">
        <v>10107</v>
      </c>
      <c r="C5101" s="2" t="s">
        <v>293</v>
      </c>
      <c r="D5101" s="2" t="s">
        <v>18</v>
      </c>
      <c r="E5101" s="5">
        <v>-28932</v>
      </c>
      <c r="F5101" s="3" t="s">
        <v>407</v>
      </c>
      <c r="G5101" s="3" t="s">
        <v>43</v>
      </c>
      <c r="H5101" s="2" t="s">
        <v>21</v>
      </c>
      <c r="I5101" s="2" t="s">
        <v>10120</v>
      </c>
      <c r="J5101" s="3" t="str">
        <f>HYPERLINK("https://www.boe.es/gazeta/dias/1820/10/13/pdfs/GGB-1820-107.pdf#page=2","Abrir facsímil")</f>
        <v>Abrir facsímil</v>
      </c>
      <c r="K5101" s="3" t="s">
        <v>23</v>
      </c>
    </row>
    <row r="5102" spans="1:11" ht="42" customHeight="1">
      <c r="A5102" s="2" t="s">
        <v>10107</v>
      </c>
      <c r="B5102" s="2" t="s">
        <v>10107</v>
      </c>
      <c r="C5102" s="2" t="s">
        <v>47</v>
      </c>
      <c r="D5102" s="2" t="s">
        <v>18</v>
      </c>
      <c r="E5102" s="5">
        <v>-28926</v>
      </c>
      <c r="F5102" s="3" t="s">
        <v>597</v>
      </c>
      <c r="G5102" s="3" t="s">
        <v>62</v>
      </c>
      <c r="H5102" s="2" t="s">
        <v>21</v>
      </c>
      <c r="I5102" s="2" t="s">
        <v>10121</v>
      </c>
      <c r="J5102" s="3" t="str">
        <f>HYPERLINK("https://www.boe.es/gazeta/dias/1820/10/19/pdfs/GGB-1820-113.pdf#page=3","Abrir facsímil")</f>
        <v>Abrir facsímil</v>
      </c>
      <c r="K5102" s="3" t="s">
        <v>23</v>
      </c>
    </row>
    <row r="5103" spans="1:11" ht="42" customHeight="1">
      <c r="A5103" s="2" t="s">
        <v>10107</v>
      </c>
      <c r="B5103" s="2" t="s">
        <v>10107</v>
      </c>
      <c r="C5103" s="2" t="s">
        <v>35</v>
      </c>
      <c r="D5103" s="2" t="s">
        <v>36</v>
      </c>
      <c r="E5103" s="5">
        <v>-28920</v>
      </c>
      <c r="F5103" s="3" t="s">
        <v>399</v>
      </c>
      <c r="G5103" s="3" t="s">
        <v>43</v>
      </c>
      <c r="H5103" s="2" t="s">
        <v>21</v>
      </c>
      <c r="I5103" s="2" t="s">
        <v>10122</v>
      </c>
      <c r="J5103" s="3" t="str">
        <f>HYPERLINK("https://www.boe.es/gazeta/dias/1820/10/25/pdfs/GGB-1820-119.pdf#page=2","Abrir facsímil")</f>
        <v>Abrir facsímil</v>
      </c>
      <c r="K5103" s="3" t="s">
        <v>23</v>
      </c>
    </row>
    <row r="5104" spans="1:11" ht="42" customHeight="1">
      <c r="A5104" s="2" t="s">
        <v>10107</v>
      </c>
      <c r="B5104" s="2" t="s">
        <v>10107</v>
      </c>
      <c r="C5104" s="2" t="s">
        <v>26</v>
      </c>
      <c r="D5104" s="2" t="s">
        <v>27</v>
      </c>
      <c r="E5104" s="5">
        <v>-28920</v>
      </c>
      <c r="F5104" s="3" t="s">
        <v>399</v>
      </c>
      <c r="G5104" s="3" t="s">
        <v>62</v>
      </c>
      <c r="H5104" s="2" t="s">
        <v>21</v>
      </c>
      <c r="I5104" s="2" t="s">
        <v>10123</v>
      </c>
      <c r="J5104" s="3" t="str">
        <f>HYPERLINK("https://www.boe.es/gazeta/dias/1820/10/25/pdfs/GGB-1820-119.pdf#page=3","Abrir facsímil")</f>
        <v>Abrir facsímil</v>
      </c>
      <c r="K5104" s="3" t="s">
        <v>23</v>
      </c>
    </row>
    <row r="5105" spans="1:11" ht="42" customHeight="1">
      <c r="A5105" s="2" t="s">
        <v>10107</v>
      </c>
      <c r="B5105" s="2" t="s">
        <v>10107</v>
      </c>
      <c r="C5105" s="2" t="s">
        <v>293</v>
      </c>
      <c r="D5105" s="2" t="s">
        <v>18</v>
      </c>
      <c r="E5105" s="5">
        <v>-28911</v>
      </c>
      <c r="F5105" s="3" t="s">
        <v>82</v>
      </c>
      <c r="G5105" s="3" t="s">
        <v>20</v>
      </c>
      <c r="H5105" s="2" t="s">
        <v>21</v>
      </c>
      <c r="I5105" s="2" t="s">
        <v>10124</v>
      </c>
      <c r="J5105" s="3" t="str">
        <f>HYPERLINK("https://www.boe.es/gazeta/dias/1820/11/03/pdfs/GGB-1820-128.pdf#page=4","Abrir facsímil")</f>
        <v>Abrir facsímil</v>
      </c>
      <c r="K5105" s="3" t="s">
        <v>23</v>
      </c>
    </row>
    <row r="5106" spans="1:11" ht="42" customHeight="1">
      <c r="A5106" s="2" t="s">
        <v>10107</v>
      </c>
      <c r="B5106" s="2" t="s">
        <v>10107</v>
      </c>
      <c r="C5106" s="2" t="s">
        <v>17</v>
      </c>
      <c r="D5106" s="2" t="s">
        <v>18</v>
      </c>
      <c r="E5106" s="5">
        <v>-28908</v>
      </c>
      <c r="F5106" s="3" t="s">
        <v>1060</v>
      </c>
      <c r="G5106" s="3" t="s">
        <v>62</v>
      </c>
      <c r="H5106" s="2" t="s">
        <v>21</v>
      </c>
      <c r="I5106" s="2" t="s">
        <v>10125</v>
      </c>
      <c r="J5106" s="3" t="str">
        <f>HYPERLINK("https://www.boe.es/gazeta/dias/1820/11/06/pdfs/GGB-1820-131.pdf#page=3","Abrir facsímil")</f>
        <v>Abrir facsímil</v>
      </c>
      <c r="K5106" s="3" t="s">
        <v>23</v>
      </c>
    </row>
    <row r="5107" spans="1:11" ht="42" customHeight="1">
      <c r="A5107" s="2" t="s">
        <v>10126</v>
      </c>
      <c r="B5107" s="2" t="s">
        <v>10127</v>
      </c>
      <c r="C5107" s="2" t="s">
        <v>26</v>
      </c>
      <c r="D5107" s="2" t="s">
        <v>27</v>
      </c>
      <c r="E5107" s="5">
        <v>-29176</v>
      </c>
      <c r="F5107" s="3" t="s">
        <v>797</v>
      </c>
      <c r="G5107" s="3" t="s">
        <v>201</v>
      </c>
      <c r="H5107" s="2" t="s">
        <v>21</v>
      </c>
      <c r="I5107" s="2" t="s">
        <v>10128</v>
      </c>
      <c r="J5107" s="3" t="str">
        <f>HYPERLINK("https://www.boe.es/gazeta/dias/1820/02/12/pdfs/GMD-1820-19.pdf#page=7","Abrir facsímil")</f>
        <v>Abrir facsímil</v>
      </c>
      <c r="K5107" s="3" t="s">
        <v>23</v>
      </c>
    </row>
    <row r="5108" spans="1:11" ht="42" customHeight="1">
      <c r="A5108" s="2" t="s">
        <v>10129</v>
      </c>
      <c r="B5108" s="2" t="s">
        <v>10130</v>
      </c>
      <c r="C5108" s="2" t="s">
        <v>35</v>
      </c>
      <c r="D5108" s="2" t="s">
        <v>36</v>
      </c>
      <c r="E5108" s="5">
        <v>-29164</v>
      </c>
      <c r="F5108" s="3" t="s">
        <v>2516</v>
      </c>
      <c r="G5108" s="3" t="s">
        <v>295</v>
      </c>
      <c r="H5108" s="2" t="s">
        <v>21</v>
      </c>
      <c r="I5108" s="2" t="s">
        <v>10131</v>
      </c>
      <c r="J5108" s="3" t="str">
        <f>HYPERLINK("https://www.boe.es/gazeta/dias/1820/02/24/pdfs/GMD-1820-24.pdf#page=8","Abrir facsímil")</f>
        <v>Abrir facsímil</v>
      </c>
      <c r="K5108" s="3" t="s">
        <v>23</v>
      </c>
    </row>
    <row r="5109" spans="1:11" ht="42" customHeight="1">
      <c r="A5109" s="2" t="s">
        <v>10132</v>
      </c>
      <c r="B5109" s="2" t="s">
        <v>10133</v>
      </c>
      <c r="C5109" s="2" t="s">
        <v>35</v>
      </c>
      <c r="D5109" s="2" t="s">
        <v>36</v>
      </c>
      <c r="E5109" s="5">
        <v>-29194</v>
      </c>
      <c r="F5109" s="3" t="s">
        <v>416</v>
      </c>
      <c r="G5109" s="3" t="s">
        <v>201</v>
      </c>
      <c r="H5109" s="2" t="s">
        <v>21</v>
      </c>
      <c r="I5109" s="2" t="s">
        <v>10134</v>
      </c>
      <c r="J5109" s="3" t="str">
        <f>HYPERLINK("https://www.boe.es/gazeta/dias/1820/01/25/pdfs/GMD-1820-11.pdf#page=7","Abrir facsímil")</f>
        <v>Abrir facsímil</v>
      </c>
      <c r="K5109" s="3" t="s">
        <v>23</v>
      </c>
    </row>
    <row r="5110" spans="1:11" ht="42" customHeight="1">
      <c r="A5110" s="2" t="s">
        <v>10132</v>
      </c>
      <c r="B5110" s="2" t="s">
        <v>10133</v>
      </c>
      <c r="C5110" s="2" t="s">
        <v>35</v>
      </c>
      <c r="D5110" s="2" t="s">
        <v>36</v>
      </c>
      <c r="E5110" s="5">
        <v>-29187</v>
      </c>
      <c r="F5110" s="3" t="s">
        <v>859</v>
      </c>
      <c r="G5110" s="3" t="s">
        <v>295</v>
      </c>
      <c r="H5110" s="2" t="s">
        <v>21</v>
      </c>
      <c r="I5110" s="2" t="s">
        <v>10135</v>
      </c>
      <c r="J5110" s="3" t="str">
        <f>HYPERLINK("https://www.boe.es/gazeta/dias/1820/02/01/pdfs/GMD-1820-14.pdf#page=8","Abrir facsímil")</f>
        <v>Abrir facsímil</v>
      </c>
      <c r="K5110" s="3" t="s">
        <v>23</v>
      </c>
    </row>
    <row r="5111" spans="1:11" ht="42" customHeight="1">
      <c r="A5111" s="2" t="s">
        <v>10132</v>
      </c>
      <c r="B5111" s="2" t="s">
        <v>10133</v>
      </c>
      <c r="C5111" s="2" t="s">
        <v>74</v>
      </c>
      <c r="D5111" s="2" t="s">
        <v>18</v>
      </c>
      <c r="E5111" s="5">
        <v>-29145</v>
      </c>
      <c r="F5111" s="3" t="s">
        <v>3537</v>
      </c>
      <c r="G5111" s="3" t="s">
        <v>4091</v>
      </c>
      <c r="H5111" s="2" t="s">
        <v>21</v>
      </c>
      <c r="I5111" s="2" t="s">
        <v>10136</v>
      </c>
      <c r="J5111" s="3" t="str">
        <f>HYPERLINK("https://www.boe.es/gazeta/dias/1820/03/14/pdfs/GMD-1820-39.pdf#page=5","Abrir facsímil")</f>
        <v>Abrir facsímil</v>
      </c>
      <c r="K5111" s="3" t="s">
        <v>23</v>
      </c>
    </row>
    <row r="5112" spans="1:11" ht="42" customHeight="1">
      <c r="A5112" s="2" t="s">
        <v>10137</v>
      </c>
      <c r="B5112" s="2" t="s">
        <v>10138</v>
      </c>
      <c r="C5112" s="2" t="s">
        <v>17</v>
      </c>
      <c r="D5112" s="2" t="s">
        <v>18</v>
      </c>
      <c r="E5112" s="5">
        <v>-28966</v>
      </c>
      <c r="F5112" s="3" t="s">
        <v>701</v>
      </c>
      <c r="G5112" s="3" t="s">
        <v>20</v>
      </c>
      <c r="H5112" s="2" t="s">
        <v>21</v>
      </c>
      <c r="I5112" s="2" t="s">
        <v>10139</v>
      </c>
      <c r="J5112" s="3" t="str">
        <f>HYPERLINK("https://www.boe.es/gazeta/dias/1820/09/09/pdfs/GGB-1820-73.pdf#page=4","Abrir facsímil")</f>
        <v>Abrir facsímil</v>
      </c>
      <c r="K5112" s="3" t="s">
        <v>23</v>
      </c>
    </row>
    <row r="5113" spans="1:11" ht="42" customHeight="1">
      <c r="A5113" s="2" t="s">
        <v>10140</v>
      </c>
      <c r="B5113" s="2" t="s">
        <v>10141</v>
      </c>
      <c r="C5113" s="2" t="s">
        <v>74</v>
      </c>
      <c r="D5113" s="2" t="s">
        <v>18</v>
      </c>
      <c r="E5113" s="5">
        <v>-28946</v>
      </c>
      <c r="F5113" s="3" t="s">
        <v>1055</v>
      </c>
      <c r="G5113" s="3" t="s">
        <v>20</v>
      </c>
      <c r="H5113" s="2" t="s">
        <v>21</v>
      </c>
      <c r="I5113" s="2" t="s">
        <v>10142</v>
      </c>
      <c r="J5113" s="3" t="str">
        <f>HYPERLINK("https://www.boe.es/gazeta/dias/1820/09/29/pdfs/GGB-1820-93.pdf#page=4","Abrir facsímil")</f>
        <v>Abrir facsímil</v>
      </c>
      <c r="K5113" s="3" t="s">
        <v>23</v>
      </c>
    </row>
    <row r="5114" spans="1:11" ht="42" customHeight="1">
      <c r="A5114" s="2" t="s">
        <v>10143</v>
      </c>
      <c r="B5114" s="2" t="s">
        <v>10143</v>
      </c>
      <c r="C5114" s="2" t="s">
        <v>17</v>
      </c>
      <c r="D5114" s="2" t="s">
        <v>18</v>
      </c>
      <c r="E5114" s="5">
        <v>-28955</v>
      </c>
      <c r="F5114" s="3" t="s">
        <v>175</v>
      </c>
      <c r="G5114" s="3" t="s">
        <v>128</v>
      </c>
      <c r="H5114" s="2" t="s">
        <v>21</v>
      </c>
      <c r="I5114" s="2" t="s">
        <v>10144</v>
      </c>
      <c r="J5114" s="3" t="str">
        <f>HYPERLINK("https://www.boe.es/gazeta/dias/1820/09/20/pdfs/GGB-1820-84.pdf#page=1","Abrir facsímil")</f>
        <v>Abrir facsímil</v>
      </c>
      <c r="K5114" s="3" t="s">
        <v>23</v>
      </c>
    </row>
    <row r="5115" spans="1:11" ht="42" customHeight="1">
      <c r="A5115" s="2" t="s">
        <v>10145</v>
      </c>
      <c r="B5115" s="2" t="s">
        <v>10145</v>
      </c>
      <c r="C5115" s="2" t="s">
        <v>26</v>
      </c>
      <c r="D5115" s="2" t="s">
        <v>27</v>
      </c>
      <c r="E5115" s="5">
        <v>-28944</v>
      </c>
      <c r="F5115" s="3" t="s">
        <v>990</v>
      </c>
      <c r="G5115" s="3" t="s">
        <v>128</v>
      </c>
      <c r="H5115" s="2" t="s">
        <v>21</v>
      </c>
      <c r="I5115" s="2" t="s">
        <v>10146</v>
      </c>
      <c r="J5115" s="3" t="str">
        <f>HYPERLINK("https://www.boe.es/gazeta/dias/1820/10/01/pdfs/GGB-1820-95.pdf#page=1","Abrir facsímil")</f>
        <v>Abrir facsímil</v>
      </c>
      <c r="K5115" s="3" t="s">
        <v>23</v>
      </c>
    </row>
    <row r="5116" spans="1:11" ht="42" customHeight="1">
      <c r="A5116" s="2" t="s">
        <v>10147</v>
      </c>
      <c r="B5116" s="2" t="s">
        <v>10148</v>
      </c>
      <c r="C5116" s="2" t="s">
        <v>26</v>
      </c>
      <c r="D5116" s="2" t="s">
        <v>27</v>
      </c>
      <c r="E5116" s="5">
        <v>-29000</v>
      </c>
      <c r="F5116" s="3" t="s">
        <v>670</v>
      </c>
      <c r="G5116" s="3" t="s">
        <v>20</v>
      </c>
      <c r="H5116" s="2" t="s">
        <v>21</v>
      </c>
      <c r="I5116" s="2" t="s">
        <v>10149</v>
      </c>
      <c r="J5116" s="3" t="str">
        <f>HYPERLINK("https://www.boe.es/gazeta/dias/1820/08/06/pdfs/GGB-1820-39.pdf#page=4","Abrir facsímil")</f>
        <v>Abrir facsímil</v>
      </c>
      <c r="K5116" s="3" t="s">
        <v>23</v>
      </c>
    </row>
    <row r="5117" spans="1:11" ht="42" customHeight="1">
      <c r="A5117" s="2" t="s">
        <v>10150</v>
      </c>
      <c r="B5117" s="2" t="s">
        <v>10151</v>
      </c>
      <c r="C5117" s="2" t="s">
        <v>17</v>
      </c>
      <c r="D5117" s="2" t="s">
        <v>18</v>
      </c>
      <c r="E5117" s="5">
        <v>-28977</v>
      </c>
      <c r="F5117" s="3" t="s">
        <v>687</v>
      </c>
      <c r="G5117" s="3" t="s">
        <v>20</v>
      </c>
      <c r="H5117" s="2" t="s">
        <v>21</v>
      </c>
      <c r="I5117" s="2" t="s">
        <v>10152</v>
      </c>
      <c r="J5117" s="3" t="str">
        <f>HYPERLINK("https://www.boe.es/gazeta/dias/1820/08/29/pdfs/GGB-1820-62.pdf#page=4","Abrir facsímil")</f>
        <v>Abrir facsímil</v>
      </c>
      <c r="K5117" s="3" t="s">
        <v>23</v>
      </c>
    </row>
    <row r="5118" spans="1:11" ht="42" customHeight="1">
      <c r="A5118" s="2" t="s">
        <v>10153</v>
      </c>
      <c r="B5118" s="2" t="s">
        <v>10154</v>
      </c>
      <c r="C5118" s="2" t="s">
        <v>17</v>
      </c>
      <c r="D5118" s="2" t="s">
        <v>18</v>
      </c>
      <c r="E5118" s="5">
        <v>-29138</v>
      </c>
      <c r="F5118" s="3" t="s">
        <v>200</v>
      </c>
      <c r="G5118" s="3" t="s">
        <v>38</v>
      </c>
      <c r="H5118" s="2" t="s">
        <v>21</v>
      </c>
      <c r="I5118" s="2" t="s">
        <v>10155</v>
      </c>
      <c r="J5118" s="3" t="str">
        <f>HYPERLINK("https://www.boe.es/gazeta/dias/1820/03/21/pdfs/GMD-1820-46.pdf#page=6","Abrir facsímil")</f>
        <v>Abrir facsímil</v>
      </c>
      <c r="K5118" s="3" t="s">
        <v>23</v>
      </c>
    </row>
    <row r="5119" spans="1:11" ht="42" customHeight="1">
      <c r="A5119" s="2" t="s">
        <v>10156</v>
      </c>
      <c r="B5119" s="2" t="s">
        <v>10157</v>
      </c>
      <c r="C5119" s="2" t="s">
        <v>74</v>
      </c>
      <c r="D5119" s="2" t="s">
        <v>18</v>
      </c>
      <c r="E5119" s="5">
        <v>-28991</v>
      </c>
      <c r="F5119" s="3" t="s">
        <v>213</v>
      </c>
      <c r="G5119" s="3" t="s">
        <v>675</v>
      </c>
      <c r="H5119" s="2" t="s">
        <v>21</v>
      </c>
      <c r="I5119" s="2" t="s">
        <v>10158</v>
      </c>
      <c r="J5119" s="3" t="str">
        <f>HYPERLINK("https://www.boe.es/gazeta/dias/1820/08/15/pdfs/GGB-1820-48.pdf#page=4","Abrir facsímil")</f>
        <v>Abrir facsímil</v>
      </c>
      <c r="K5119" s="3" t="s">
        <v>23</v>
      </c>
    </row>
    <row r="5120" spans="1:11" ht="42" customHeight="1">
      <c r="A5120" s="2" t="s">
        <v>10153</v>
      </c>
      <c r="B5120" s="2" t="s">
        <v>10154</v>
      </c>
      <c r="C5120" s="2" t="s">
        <v>74</v>
      </c>
      <c r="D5120" s="2" t="s">
        <v>18</v>
      </c>
      <c r="E5120" s="5">
        <v>-28990</v>
      </c>
      <c r="F5120" s="3" t="s">
        <v>61</v>
      </c>
      <c r="G5120" s="3" t="s">
        <v>2187</v>
      </c>
      <c r="H5120" s="2" t="s">
        <v>21</v>
      </c>
      <c r="I5120" s="2" t="s">
        <v>10159</v>
      </c>
      <c r="J5120" s="3" t="str">
        <f>HYPERLINK("https://www.boe.es/gazeta/dias/1820/08/16/pdfs/GGB-1820-49.pdf#page=2","Abrir facsímil")</f>
        <v>Abrir facsímil</v>
      </c>
      <c r="K5120" s="3" t="s">
        <v>23</v>
      </c>
    </row>
    <row r="5121" spans="1:11" ht="42" customHeight="1">
      <c r="A5121" s="2" t="s">
        <v>10153</v>
      </c>
      <c r="B5121" s="2" t="s">
        <v>10154</v>
      </c>
      <c r="C5121" s="2" t="s">
        <v>74</v>
      </c>
      <c r="D5121" s="2" t="s">
        <v>18</v>
      </c>
      <c r="E5121" s="5">
        <v>-28919</v>
      </c>
      <c r="F5121" s="3" t="s">
        <v>516</v>
      </c>
      <c r="G5121" s="3" t="s">
        <v>20</v>
      </c>
      <c r="H5121" s="2" t="s">
        <v>21</v>
      </c>
      <c r="I5121" s="2" t="s">
        <v>10160</v>
      </c>
      <c r="J5121" s="3" t="str">
        <f>HYPERLINK("https://www.boe.es/gazeta/dias/1820/10/26/pdfs/GGB-1820-120.pdf#page=4","Abrir facsímil")</f>
        <v>Abrir facsímil</v>
      </c>
      <c r="K5121" s="3" t="s">
        <v>23</v>
      </c>
    </row>
    <row r="5122" spans="1:11" ht="42" customHeight="1">
      <c r="A5122" s="2" t="s">
        <v>10161</v>
      </c>
      <c r="B5122" s="2" t="s">
        <v>10161</v>
      </c>
      <c r="C5122" s="2" t="s">
        <v>74</v>
      </c>
      <c r="D5122" s="2" t="s">
        <v>18</v>
      </c>
      <c r="E5122" s="5">
        <v>-28912</v>
      </c>
      <c r="F5122" s="3" t="s">
        <v>1329</v>
      </c>
      <c r="G5122" s="3" t="s">
        <v>62</v>
      </c>
      <c r="H5122" s="2" t="s">
        <v>21</v>
      </c>
      <c r="I5122" s="2" t="s">
        <v>10162</v>
      </c>
      <c r="J5122" s="3" t="str">
        <f>HYPERLINK("https://www.boe.es/gazeta/dias/1820/11/02/pdfs/GGB-1820-127.pdf#page=3","Abrir facsímil")</f>
        <v>Abrir facsímil</v>
      </c>
      <c r="K5122" s="3" t="s">
        <v>23</v>
      </c>
    </row>
    <row r="5123" spans="1:11" ht="42" customHeight="1">
      <c r="A5123" s="2" t="s">
        <v>10163</v>
      </c>
      <c r="B5123" s="2" t="s">
        <v>10164</v>
      </c>
      <c r="C5123" s="2" t="s">
        <v>35</v>
      </c>
      <c r="D5123" s="2" t="s">
        <v>310</v>
      </c>
      <c r="E5123" s="5">
        <v>-29137</v>
      </c>
      <c r="F5123" s="3" t="s">
        <v>573</v>
      </c>
      <c r="G5123" s="3" t="s">
        <v>43</v>
      </c>
      <c r="H5123" s="2" t="s">
        <v>21</v>
      </c>
      <c r="I5123" s="2" t="s">
        <v>10165</v>
      </c>
      <c r="J5123" s="3" t="str">
        <f>HYPERLINK("https://www.boe.es/gazeta/dias/1820/03/22/pdfs/GMD-1820-50E.pdf#page=2","Abrir facsímil")</f>
        <v>Abrir facsímil</v>
      </c>
      <c r="K5123" s="3" t="s">
        <v>23</v>
      </c>
    </row>
    <row r="5124" spans="1:11" ht="42" customHeight="1">
      <c r="A5124" s="2" t="s">
        <v>10166</v>
      </c>
      <c r="B5124" s="2" t="s">
        <v>10167</v>
      </c>
      <c r="C5124" s="2" t="s">
        <v>74</v>
      </c>
      <c r="D5124" s="2" t="s">
        <v>18</v>
      </c>
      <c r="E5124" s="5">
        <v>-29183</v>
      </c>
      <c r="F5124" s="3" t="s">
        <v>476</v>
      </c>
      <c r="G5124" s="3" t="s">
        <v>128</v>
      </c>
      <c r="H5124" s="2" t="s">
        <v>21</v>
      </c>
      <c r="I5124" s="2" t="s">
        <v>10168</v>
      </c>
      <c r="J5124" s="3" t="str">
        <f>HYPERLINK("https://www.boe.es/gazeta/dias/1820/02/05/pdfs/GMD-1820-16.pdf#page=1","Abrir facsímil")</f>
        <v>Abrir facsímil</v>
      </c>
      <c r="K5124" s="3" t="s">
        <v>23</v>
      </c>
    </row>
    <row r="5125" spans="1:11" ht="42" customHeight="1">
      <c r="A5125" s="2" t="s">
        <v>10169</v>
      </c>
      <c r="B5125" s="2" t="s">
        <v>10170</v>
      </c>
      <c r="C5125" s="2" t="s">
        <v>35</v>
      </c>
      <c r="D5125" s="2" t="s">
        <v>36</v>
      </c>
      <c r="E5125" s="5">
        <v>-28910</v>
      </c>
      <c r="F5125" s="3" t="s">
        <v>746</v>
      </c>
      <c r="G5125" s="3" t="s">
        <v>62</v>
      </c>
      <c r="H5125" s="2" t="s">
        <v>21</v>
      </c>
      <c r="I5125" s="2" t="s">
        <v>10171</v>
      </c>
      <c r="J5125" s="3" t="str">
        <f>HYPERLINK("https://www.boe.es/gazeta/dias/1820/11/04/pdfs/GGB-1820-129.pdf#page=3","Abrir facsímil")</f>
        <v>Abrir facsímil</v>
      </c>
      <c r="K5125" s="3" t="s">
        <v>23</v>
      </c>
    </row>
    <row r="5126" spans="1:11" ht="42" customHeight="1">
      <c r="A5126" s="2" t="s">
        <v>10172</v>
      </c>
      <c r="B5126" s="2" t="s">
        <v>10173</v>
      </c>
      <c r="C5126" s="2" t="s">
        <v>26</v>
      </c>
      <c r="D5126" s="2" t="s">
        <v>27</v>
      </c>
      <c r="E5126" s="5">
        <v>-28973</v>
      </c>
      <c r="F5126" s="3" t="s">
        <v>151</v>
      </c>
      <c r="G5126" s="3" t="s">
        <v>20</v>
      </c>
      <c r="H5126" s="2" t="s">
        <v>21</v>
      </c>
      <c r="I5126" s="2" t="s">
        <v>10174</v>
      </c>
      <c r="J5126" s="3" t="str">
        <f>HYPERLINK("https://www.boe.es/gazeta/dias/1820/09/02/pdfs/GGB-1820-66.pdf#page=4","Abrir facsímil")</f>
        <v>Abrir facsímil</v>
      </c>
      <c r="K5126" s="3" t="s">
        <v>23</v>
      </c>
    </row>
    <row r="5127" spans="1:11" ht="42" customHeight="1">
      <c r="A5127" s="2" t="s">
        <v>10175</v>
      </c>
      <c r="B5127" s="2" t="s">
        <v>10176</v>
      </c>
      <c r="C5127" s="2" t="s">
        <v>35</v>
      </c>
      <c r="D5127" s="2" t="s">
        <v>36</v>
      </c>
      <c r="E5127" s="5">
        <v>-29185</v>
      </c>
      <c r="F5127" s="3" t="s">
        <v>772</v>
      </c>
      <c r="G5127" s="3" t="s">
        <v>201</v>
      </c>
      <c r="H5127" s="2" t="s">
        <v>21</v>
      </c>
      <c r="I5127" s="2" t="s">
        <v>10177</v>
      </c>
      <c r="J5127" s="3" t="str">
        <f>HYPERLINK("https://www.boe.es/gazeta/dias/1820/02/03/pdfs/GMD-1820-15.pdf#page=7","Abrir facsímil")</f>
        <v>Abrir facsímil</v>
      </c>
      <c r="K5127" s="3" t="s">
        <v>23</v>
      </c>
    </row>
    <row r="5128" spans="1:11" ht="42" customHeight="1">
      <c r="A5128" s="2" t="s">
        <v>10178</v>
      </c>
      <c r="B5128" s="2" t="s">
        <v>10179</v>
      </c>
      <c r="C5128" s="2" t="s">
        <v>35</v>
      </c>
      <c r="D5128" s="2" t="s">
        <v>36</v>
      </c>
      <c r="E5128" s="5">
        <v>-29054</v>
      </c>
      <c r="F5128" s="3" t="s">
        <v>481</v>
      </c>
      <c r="G5128" s="3" t="s">
        <v>196</v>
      </c>
      <c r="H5128" s="2" t="s">
        <v>21</v>
      </c>
      <c r="I5128" s="2" t="s">
        <v>10180</v>
      </c>
      <c r="J5128" s="3" t="str">
        <f>HYPERLINK("https://www.boe.es/gazeta/dias/1820/06/13/pdfs/GMD-1820-93.pdf#page=11","Abrir facsímil")</f>
        <v>Abrir facsímil</v>
      </c>
      <c r="K5128" s="3" t="s">
        <v>23</v>
      </c>
    </row>
    <row r="5129" spans="1:11" ht="42" customHeight="1">
      <c r="A5129" s="2" t="s">
        <v>10181</v>
      </c>
      <c r="B5129" s="2" t="s">
        <v>10182</v>
      </c>
      <c r="C5129" s="2" t="s">
        <v>26</v>
      </c>
      <c r="D5129" s="2" t="s">
        <v>27</v>
      </c>
      <c r="E5129" s="5">
        <v>-28963</v>
      </c>
      <c r="F5129" s="3" t="s">
        <v>94</v>
      </c>
      <c r="G5129" s="3" t="s">
        <v>43</v>
      </c>
      <c r="H5129" s="2" t="s">
        <v>21</v>
      </c>
      <c r="I5129" s="2" t="s">
        <v>10183</v>
      </c>
      <c r="J5129" s="3" t="str">
        <f>HYPERLINK("https://www.boe.es/gazeta/dias/1820/09/12/pdfs/GGB-1820-76.pdf#page=2","Abrir facsímil")</f>
        <v>Abrir facsímil</v>
      </c>
      <c r="K5129" s="3" t="s">
        <v>23</v>
      </c>
    </row>
    <row r="5130" spans="1:11" ht="42" customHeight="1">
      <c r="A5130" s="2" t="s">
        <v>10184</v>
      </c>
      <c r="B5130" s="2" t="s">
        <v>10185</v>
      </c>
      <c r="C5130" s="2" t="s">
        <v>35</v>
      </c>
      <c r="D5130" s="2" t="s">
        <v>36</v>
      </c>
      <c r="E5130" s="5">
        <v>-29185</v>
      </c>
      <c r="F5130" s="3" t="s">
        <v>772</v>
      </c>
      <c r="G5130" s="3" t="s">
        <v>201</v>
      </c>
      <c r="H5130" s="2" t="s">
        <v>21</v>
      </c>
      <c r="I5130" s="2" t="s">
        <v>10186</v>
      </c>
      <c r="J5130" s="3" t="str">
        <f>HYPERLINK("https://www.boe.es/gazeta/dias/1820/02/03/pdfs/GMD-1820-15.pdf#page=7","Abrir facsímil")</f>
        <v>Abrir facsímil</v>
      </c>
      <c r="K5130" s="3" t="s">
        <v>23</v>
      </c>
    </row>
    <row r="5131" spans="1:11" ht="42" customHeight="1">
      <c r="A5131" s="2" t="s">
        <v>10187</v>
      </c>
      <c r="B5131" s="2" t="s">
        <v>10188</v>
      </c>
      <c r="C5131" s="2" t="s">
        <v>47</v>
      </c>
      <c r="D5131" s="2" t="s">
        <v>18</v>
      </c>
      <c r="E5131" s="5">
        <v>-29082</v>
      </c>
      <c r="F5131" s="3" t="s">
        <v>478</v>
      </c>
      <c r="G5131" s="3" t="s">
        <v>479</v>
      </c>
      <c r="H5131" s="2" t="s">
        <v>21</v>
      </c>
      <c r="I5131" s="2" t="s">
        <v>10189</v>
      </c>
      <c r="J5131" s="3" t="str">
        <f>HYPERLINK("https://www.boe.es/gazeta/dias/1820/05/16/pdfs/GMD-1820-80.pdf#page=12","Abrir facsímil")</f>
        <v>Abrir facsímil</v>
      </c>
      <c r="K5131" s="3" t="s">
        <v>23</v>
      </c>
    </row>
    <row r="5132" spans="1:11" ht="42" customHeight="1">
      <c r="A5132" s="2" t="s">
        <v>10187</v>
      </c>
      <c r="B5132" s="2" t="s">
        <v>10188</v>
      </c>
      <c r="C5132" s="2" t="s">
        <v>17</v>
      </c>
      <c r="D5132" s="2" t="s">
        <v>18</v>
      </c>
      <c r="E5132" s="5">
        <v>-29057</v>
      </c>
      <c r="F5132" s="3" t="s">
        <v>2141</v>
      </c>
      <c r="G5132" s="3" t="s">
        <v>201</v>
      </c>
      <c r="H5132" s="2" t="s">
        <v>21</v>
      </c>
      <c r="I5132" s="2" t="s">
        <v>10190</v>
      </c>
      <c r="J5132" s="3" t="str">
        <f>HYPERLINK("https://www.boe.es/gazeta/dias/1820/06/10/pdfs/GMD-1820-92.pdf#page=7","Abrir facsímil")</f>
        <v>Abrir facsímil</v>
      </c>
      <c r="K5132" s="3" t="s">
        <v>23</v>
      </c>
    </row>
    <row r="5133" spans="1:11" ht="42" customHeight="1">
      <c r="A5133" s="2" t="s">
        <v>10187</v>
      </c>
      <c r="B5133" s="2" t="s">
        <v>10188</v>
      </c>
      <c r="C5133" s="2" t="s">
        <v>35</v>
      </c>
      <c r="D5133" s="2" t="s">
        <v>36</v>
      </c>
      <c r="E5133" s="5">
        <v>-28954</v>
      </c>
      <c r="F5133" s="3" t="s">
        <v>28</v>
      </c>
      <c r="G5133" s="3" t="s">
        <v>20</v>
      </c>
      <c r="H5133" s="2" t="s">
        <v>21</v>
      </c>
      <c r="I5133" s="2" t="s">
        <v>10191</v>
      </c>
      <c r="J5133" s="3" t="str">
        <f>HYPERLINK("https://www.boe.es/gazeta/dias/1820/09/21/pdfs/GGB-1820-85.pdf#page=4","Abrir facsímil")</f>
        <v>Abrir facsímil</v>
      </c>
      <c r="K5133" s="3" t="s">
        <v>23</v>
      </c>
    </row>
    <row r="5134" spans="1:11" ht="42" customHeight="1">
      <c r="A5134" s="2" t="s">
        <v>10192</v>
      </c>
      <c r="B5134" s="2" t="s">
        <v>10193</v>
      </c>
      <c r="C5134" s="2" t="s">
        <v>35</v>
      </c>
      <c r="D5134" s="2" t="s">
        <v>36</v>
      </c>
      <c r="E5134" s="5">
        <v>-28992</v>
      </c>
      <c r="F5134" s="3" t="s">
        <v>587</v>
      </c>
      <c r="G5134" s="3" t="s">
        <v>43</v>
      </c>
      <c r="H5134" s="2" t="s">
        <v>21</v>
      </c>
      <c r="I5134" s="2" t="s">
        <v>10194</v>
      </c>
      <c r="J5134" s="3" t="str">
        <f>HYPERLINK("https://www.boe.es/gazeta/dias/1820/08/14/pdfs/GGB-1820-47.pdf#page=2","Abrir facsímil")</f>
        <v>Abrir facsímil</v>
      </c>
      <c r="K5134" s="3" t="s">
        <v>23</v>
      </c>
    </row>
    <row r="5135" spans="1:11" ht="42" customHeight="1">
      <c r="A5135" s="2" t="s">
        <v>10195</v>
      </c>
      <c r="B5135" s="2" t="s">
        <v>10196</v>
      </c>
      <c r="C5135" s="2" t="s">
        <v>26</v>
      </c>
      <c r="D5135" s="2" t="s">
        <v>27</v>
      </c>
      <c r="E5135" s="5">
        <v>-29007</v>
      </c>
      <c r="F5135" s="3" t="s">
        <v>251</v>
      </c>
      <c r="G5135" s="3" t="s">
        <v>43</v>
      </c>
      <c r="H5135" s="2" t="s">
        <v>21</v>
      </c>
      <c r="I5135" s="2" t="s">
        <v>10197</v>
      </c>
      <c r="J5135" s="3" t="str">
        <f>HYPERLINK("https://www.boe.es/gazeta/dias/1820/07/30/pdfs/GGB-1820-32.pdf#page=2","Abrir facsímil")</f>
        <v>Abrir facsímil</v>
      </c>
      <c r="K5135" s="3" t="s">
        <v>23</v>
      </c>
    </row>
    <row r="5136" spans="1:11" ht="42" customHeight="1">
      <c r="A5136" s="2" t="s">
        <v>10198</v>
      </c>
      <c r="B5136" s="2" t="s">
        <v>10199</v>
      </c>
      <c r="C5136" s="2" t="s">
        <v>35</v>
      </c>
      <c r="D5136" s="2" t="s">
        <v>36</v>
      </c>
      <c r="E5136" s="5">
        <v>-29190</v>
      </c>
      <c r="F5136" s="3" t="s">
        <v>537</v>
      </c>
      <c r="G5136" s="3" t="s">
        <v>201</v>
      </c>
      <c r="H5136" s="2" t="s">
        <v>21</v>
      </c>
      <c r="I5136" s="2" t="s">
        <v>10200</v>
      </c>
      <c r="J5136" s="3" t="str">
        <f>HYPERLINK("https://www.boe.es/gazeta/dias/1820/01/29/pdfs/GMD-1820-13.pdf#page=7","Abrir facsímil")</f>
        <v>Abrir facsímil</v>
      </c>
      <c r="K5136" s="3" t="s">
        <v>23</v>
      </c>
    </row>
    <row r="5137" spans="1:11" ht="42" customHeight="1">
      <c r="A5137" s="2" t="s">
        <v>10201</v>
      </c>
      <c r="B5137" s="2" t="s">
        <v>10202</v>
      </c>
      <c r="C5137" s="2" t="s">
        <v>26</v>
      </c>
      <c r="D5137" s="2" t="s">
        <v>27</v>
      </c>
      <c r="E5137" s="5">
        <v>-29007</v>
      </c>
      <c r="F5137" s="3" t="s">
        <v>251</v>
      </c>
      <c r="G5137" s="3" t="s">
        <v>43</v>
      </c>
      <c r="H5137" s="2" t="s">
        <v>21</v>
      </c>
      <c r="I5137" s="2" t="s">
        <v>10203</v>
      </c>
      <c r="J5137" s="3" t="str">
        <f>HYPERLINK("https://www.boe.es/gazeta/dias/1820/07/30/pdfs/GGB-1820-32.pdf#page=2","Abrir facsímil")</f>
        <v>Abrir facsímil</v>
      </c>
      <c r="K5137" s="3" t="s">
        <v>23</v>
      </c>
    </row>
    <row r="5138" spans="1:11" ht="42" customHeight="1">
      <c r="A5138" s="2" t="s">
        <v>10204</v>
      </c>
      <c r="B5138" s="2" t="s">
        <v>10205</v>
      </c>
      <c r="C5138" s="2" t="s">
        <v>26</v>
      </c>
      <c r="D5138" s="2" t="s">
        <v>27</v>
      </c>
      <c r="E5138" s="5">
        <v>-29187</v>
      </c>
      <c r="F5138" s="3" t="s">
        <v>859</v>
      </c>
      <c r="G5138" s="3" t="s">
        <v>38</v>
      </c>
      <c r="H5138" s="2" t="s">
        <v>21</v>
      </c>
      <c r="I5138" s="2" t="s">
        <v>10206</v>
      </c>
      <c r="J5138" s="3" t="str">
        <f>HYPERLINK("https://www.boe.es/gazeta/dias/1820/02/01/pdfs/GMD-1820-14.pdf#page=6","Abrir facsímil")</f>
        <v>Abrir facsímil</v>
      </c>
      <c r="K5138" s="3" t="s">
        <v>23</v>
      </c>
    </row>
    <row r="5139" spans="1:11" ht="42" customHeight="1">
      <c r="A5139" s="2" t="s">
        <v>10207</v>
      </c>
      <c r="B5139" s="2" t="s">
        <v>10208</v>
      </c>
      <c r="C5139" s="2" t="s">
        <v>26</v>
      </c>
      <c r="D5139" s="2" t="s">
        <v>27</v>
      </c>
      <c r="E5139" s="5">
        <v>-28909</v>
      </c>
      <c r="F5139" s="3" t="s">
        <v>278</v>
      </c>
      <c r="G5139" s="3" t="s">
        <v>62</v>
      </c>
      <c r="H5139" s="2" t="s">
        <v>21</v>
      </c>
      <c r="I5139" s="2" t="s">
        <v>10209</v>
      </c>
      <c r="J5139" s="3" t="str">
        <f>HYPERLINK("https://www.boe.es/gazeta/dias/1820/11/05/pdfs/GGB-1820-130.pdf#page=3","Abrir facsímil")</f>
        <v>Abrir facsímil</v>
      </c>
      <c r="K5139" s="3" t="s">
        <v>23</v>
      </c>
    </row>
    <row r="5140" spans="1:11" ht="42" customHeight="1">
      <c r="A5140" s="2" t="s">
        <v>10210</v>
      </c>
      <c r="B5140" s="2" t="s">
        <v>10211</v>
      </c>
      <c r="C5140" s="2" t="s">
        <v>26</v>
      </c>
      <c r="D5140" s="2" t="s">
        <v>27</v>
      </c>
      <c r="E5140" s="5">
        <v>-29150</v>
      </c>
      <c r="F5140" s="3" t="s">
        <v>299</v>
      </c>
      <c r="G5140" s="3" t="s">
        <v>2254</v>
      </c>
      <c r="H5140" s="2" t="s">
        <v>21</v>
      </c>
      <c r="I5140" s="2" t="s">
        <v>10212</v>
      </c>
      <c r="J5140" s="3" t="str">
        <f>HYPERLINK("https://www.boe.es/gazeta/dias/1820/03/09/pdfs/GMD-1820-32.pdf#page=6","Abrir facsímil")</f>
        <v>Abrir facsímil</v>
      </c>
      <c r="K5140" s="3" t="s">
        <v>23</v>
      </c>
    </row>
    <row r="5141" spans="1:11" ht="42" customHeight="1">
      <c r="A5141" s="2" t="s">
        <v>10210</v>
      </c>
      <c r="B5141" s="2" t="s">
        <v>10211</v>
      </c>
      <c r="C5141" s="2" t="s">
        <v>26</v>
      </c>
      <c r="D5141" s="2" t="s">
        <v>27</v>
      </c>
      <c r="E5141" s="5">
        <v>-29150</v>
      </c>
      <c r="F5141" s="3" t="s">
        <v>299</v>
      </c>
      <c r="G5141" s="3" t="s">
        <v>256</v>
      </c>
      <c r="H5141" s="2" t="s">
        <v>21</v>
      </c>
      <c r="I5141" s="2" t="s">
        <v>10213</v>
      </c>
      <c r="J5141" s="3" t="str">
        <f>HYPERLINK("https://www.boe.es/gazeta/dias/1820/03/09/pdfs/GMD-1820-32.pdf#page=5","Abrir facsímil")</f>
        <v>Abrir facsímil</v>
      </c>
      <c r="K5141" s="3" t="s">
        <v>23</v>
      </c>
    </row>
    <row r="5142" spans="1:11" ht="42" customHeight="1">
      <c r="A5142" s="2" t="s">
        <v>10214</v>
      </c>
      <c r="B5142" s="2" t="s">
        <v>10215</v>
      </c>
      <c r="C5142" s="2" t="s">
        <v>74</v>
      </c>
      <c r="D5142" s="2" t="s">
        <v>18</v>
      </c>
      <c r="E5142" s="5">
        <v>-28915</v>
      </c>
      <c r="F5142" s="3" t="s">
        <v>525</v>
      </c>
      <c r="G5142" s="3" t="s">
        <v>43</v>
      </c>
      <c r="H5142" s="2" t="s">
        <v>21</v>
      </c>
      <c r="I5142" s="2" t="s">
        <v>10216</v>
      </c>
      <c r="J5142" s="3" t="str">
        <f>HYPERLINK("https://www.boe.es/gazeta/dias/1820/10/30/pdfs/GGB-1820-124.pdf#page=2","Abrir facsímil")</f>
        <v>Abrir facsímil</v>
      </c>
      <c r="K5142" s="3" t="s">
        <v>23</v>
      </c>
    </row>
    <row r="5143" spans="1:11" ht="42" customHeight="1">
      <c r="A5143" s="2" t="s">
        <v>10217</v>
      </c>
      <c r="B5143" s="2" t="s">
        <v>10218</v>
      </c>
      <c r="C5143" s="2" t="s">
        <v>35</v>
      </c>
      <c r="D5143" s="2" t="s">
        <v>36</v>
      </c>
      <c r="E5143" s="5">
        <v>-28965</v>
      </c>
      <c r="F5143" s="3" t="s">
        <v>1520</v>
      </c>
      <c r="G5143" s="3" t="s">
        <v>20</v>
      </c>
      <c r="H5143" s="2" t="s">
        <v>21</v>
      </c>
      <c r="I5143" s="2" t="s">
        <v>10219</v>
      </c>
      <c r="J5143" s="3" t="str">
        <f>HYPERLINK("https://www.boe.es/gazeta/dias/1820/09/10/pdfs/GGB-1820-74.pdf#page=4","Abrir facsímil")</f>
        <v>Abrir facsímil</v>
      </c>
      <c r="K5143" s="3" t="s">
        <v>23</v>
      </c>
    </row>
    <row r="5144" spans="1:11" ht="42" customHeight="1">
      <c r="A5144" s="2" t="s">
        <v>10220</v>
      </c>
      <c r="B5144" s="2" t="s">
        <v>10221</v>
      </c>
      <c r="C5144" s="2" t="s">
        <v>26</v>
      </c>
      <c r="D5144" s="2" t="s">
        <v>27</v>
      </c>
      <c r="E5144" s="5">
        <v>-29029</v>
      </c>
      <c r="F5144" s="3" t="s">
        <v>282</v>
      </c>
      <c r="G5144" s="3" t="s">
        <v>20</v>
      </c>
      <c r="H5144" s="2" t="s">
        <v>21</v>
      </c>
      <c r="I5144" s="2" t="s">
        <v>10222</v>
      </c>
      <c r="J5144" s="3" t="str">
        <f>HYPERLINK("https://www.boe.es/gazeta/dias/1820/07/08/pdfs/GGB-1820-9.pdf#page=4","Abrir facsímil")</f>
        <v>Abrir facsímil</v>
      </c>
      <c r="K5144" s="3" t="s">
        <v>23</v>
      </c>
    </row>
    <row r="5145" spans="1:11" ht="42" customHeight="1">
      <c r="A5145" s="2" t="s">
        <v>10223</v>
      </c>
      <c r="B5145" s="2" t="s">
        <v>10224</v>
      </c>
      <c r="C5145" s="2" t="s">
        <v>111</v>
      </c>
      <c r="D5145" s="2" t="s">
        <v>18</v>
      </c>
      <c r="E5145" s="5">
        <v>-29134</v>
      </c>
      <c r="F5145" s="3" t="s">
        <v>255</v>
      </c>
      <c r="G5145" s="3" t="s">
        <v>256</v>
      </c>
      <c r="H5145" s="2" t="s">
        <v>21</v>
      </c>
      <c r="I5145" s="2" t="s">
        <v>10225</v>
      </c>
      <c r="J5145" s="3" t="str">
        <f>HYPERLINK("https://www.boe.es/gazeta/dias/1820/03/25/pdfs/GMD-1820-53.pdf#page=5","Abrir facsímil")</f>
        <v>Abrir facsímil</v>
      </c>
      <c r="K5145" s="3" t="s">
        <v>23</v>
      </c>
    </row>
    <row r="5146" spans="1:11" ht="42" customHeight="1">
      <c r="A5146" s="2" t="s">
        <v>10226</v>
      </c>
      <c r="B5146" s="2" t="s">
        <v>10227</v>
      </c>
      <c r="C5146" s="2" t="s">
        <v>26</v>
      </c>
      <c r="D5146" s="2" t="s">
        <v>27</v>
      </c>
      <c r="E5146" s="5">
        <v>-29136</v>
      </c>
      <c r="F5146" s="3" t="s">
        <v>2972</v>
      </c>
      <c r="G5146" s="3" t="s">
        <v>256</v>
      </c>
      <c r="H5146" s="2" t="s">
        <v>21</v>
      </c>
      <c r="I5146" s="2" t="s">
        <v>10228</v>
      </c>
      <c r="J5146" s="3" t="str">
        <f>HYPERLINK("https://www.boe.es/gazeta/dias/1820/03/23/pdfs/GMD-1820-51.pdf#page=5","Abrir facsímil")</f>
        <v>Abrir facsímil</v>
      </c>
      <c r="K5146" s="3" t="s">
        <v>23</v>
      </c>
    </row>
    <row r="5147" spans="1:11" ht="42" customHeight="1">
      <c r="A5147" s="2" t="s">
        <v>10226</v>
      </c>
      <c r="B5147" s="2" t="s">
        <v>10227</v>
      </c>
      <c r="C5147" s="2" t="s">
        <v>26</v>
      </c>
      <c r="D5147" s="2" t="s">
        <v>27</v>
      </c>
      <c r="E5147" s="5">
        <v>-29129</v>
      </c>
      <c r="F5147" s="3" t="s">
        <v>269</v>
      </c>
      <c r="G5147" s="3" t="s">
        <v>553</v>
      </c>
      <c r="H5147" s="2" t="s">
        <v>21</v>
      </c>
      <c r="I5147" s="2" t="s">
        <v>10229</v>
      </c>
      <c r="J5147" s="3" t="str">
        <f>HYPERLINK("https://www.boe.es/gazeta/dias/1820/03/30/pdfs/GMD-1820-58.pdf#page=10","Abrir facsímil")</f>
        <v>Abrir facsímil</v>
      </c>
      <c r="K5147" s="3" t="s">
        <v>23</v>
      </c>
    </row>
    <row r="5148" spans="1:11" ht="42" customHeight="1">
      <c r="A5148" s="2" t="s">
        <v>10230</v>
      </c>
      <c r="B5148" s="2" t="s">
        <v>10231</v>
      </c>
      <c r="C5148" s="2" t="s">
        <v>26</v>
      </c>
      <c r="D5148" s="2" t="s">
        <v>27</v>
      </c>
      <c r="E5148" s="5">
        <v>-29068</v>
      </c>
      <c r="F5148" s="3" t="s">
        <v>943</v>
      </c>
      <c r="G5148" s="3" t="s">
        <v>256</v>
      </c>
      <c r="H5148" s="2" t="s">
        <v>21</v>
      </c>
      <c r="I5148" s="2" t="s">
        <v>10232</v>
      </c>
      <c r="J5148" s="3" t="str">
        <f>HYPERLINK("https://www.boe.es/gazeta/dias/1820/05/30/pdfs/GMD-1820-87.pdf#page=5","Abrir facsímil")</f>
        <v>Abrir facsímil</v>
      </c>
      <c r="K5148" s="3" t="s">
        <v>23</v>
      </c>
    </row>
    <row r="5149" spans="1:11" ht="42" customHeight="1">
      <c r="A5149" s="2" t="s">
        <v>10233</v>
      </c>
      <c r="B5149" s="2" t="s">
        <v>10234</v>
      </c>
      <c r="C5149" s="2" t="s">
        <v>26</v>
      </c>
      <c r="D5149" s="2" t="s">
        <v>27</v>
      </c>
      <c r="E5149" s="5">
        <v>-28922</v>
      </c>
      <c r="F5149" s="3" t="s">
        <v>735</v>
      </c>
      <c r="G5149" s="3" t="s">
        <v>62</v>
      </c>
      <c r="H5149" s="2" t="s">
        <v>21</v>
      </c>
      <c r="I5149" s="2" t="s">
        <v>10235</v>
      </c>
      <c r="J5149" s="3" t="str">
        <f>HYPERLINK("https://www.boe.es/gazeta/dias/1820/10/23/pdfs/GGB-1820-117.pdf#page=3","Abrir facsímil")</f>
        <v>Abrir facsímil</v>
      </c>
      <c r="K5149" s="3" t="s">
        <v>23</v>
      </c>
    </row>
    <row r="5150" spans="1:11" ht="42" customHeight="1">
      <c r="A5150" s="2" t="s">
        <v>10236</v>
      </c>
      <c r="B5150" s="2" t="s">
        <v>10237</v>
      </c>
      <c r="C5150" s="2" t="s">
        <v>35</v>
      </c>
      <c r="D5150" s="2" t="s">
        <v>36</v>
      </c>
      <c r="E5150" s="5">
        <v>-28946</v>
      </c>
      <c r="F5150" s="3" t="s">
        <v>1055</v>
      </c>
      <c r="G5150" s="3" t="s">
        <v>20</v>
      </c>
      <c r="H5150" s="2" t="s">
        <v>21</v>
      </c>
      <c r="I5150" s="2" t="s">
        <v>10238</v>
      </c>
      <c r="J5150" s="3" t="str">
        <f>HYPERLINK("https://www.boe.es/gazeta/dias/1820/09/29/pdfs/GGB-1820-93.pdf#page=4","Abrir facsímil")</f>
        <v>Abrir facsímil</v>
      </c>
      <c r="K5150" s="3" t="s">
        <v>23</v>
      </c>
    </row>
    <row r="5151" spans="1:11" ht="42" customHeight="1">
      <c r="A5151" s="2" t="s">
        <v>10239</v>
      </c>
      <c r="B5151" s="2" t="s">
        <v>10240</v>
      </c>
      <c r="C5151" s="2" t="s">
        <v>26</v>
      </c>
      <c r="D5151" s="2" t="s">
        <v>27</v>
      </c>
      <c r="E5151" s="5">
        <v>-28909</v>
      </c>
      <c r="F5151" s="3" t="s">
        <v>278</v>
      </c>
      <c r="G5151" s="3" t="s">
        <v>62</v>
      </c>
      <c r="H5151" s="2" t="s">
        <v>21</v>
      </c>
      <c r="I5151" s="2" t="s">
        <v>10241</v>
      </c>
      <c r="J5151" s="3" t="str">
        <f>HYPERLINK("https://www.boe.es/gazeta/dias/1820/11/05/pdfs/GGB-1820-130.pdf#page=3","Abrir facsímil")</f>
        <v>Abrir facsímil</v>
      </c>
      <c r="K5151" s="3" t="s">
        <v>23</v>
      </c>
    </row>
    <row r="5152" spans="1:11" ht="42" customHeight="1">
      <c r="A5152" s="2" t="s">
        <v>10242</v>
      </c>
      <c r="B5152" s="2" t="s">
        <v>10243</v>
      </c>
      <c r="C5152" s="2" t="s">
        <v>26</v>
      </c>
      <c r="D5152" s="2" t="s">
        <v>27</v>
      </c>
      <c r="E5152" s="5">
        <v>-29029</v>
      </c>
      <c r="F5152" s="3" t="s">
        <v>282</v>
      </c>
      <c r="G5152" s="3" t="s">
        <v>20</v>
      </c>
      <c r="H5152" s="2" t="s">
        <v>21</v>
      </c>
      <c r="I5152" s="2" t="s">
        <v>10244</v>
      </c>
      <c r="J5152" s="3" t="str">
        <f>HYPERLINK("https://www.boe.es/gazeta/dias/1820/07/08/pdfs/GGB-1820-9.pdf#page=4","Abrir facsímil")</f>
        <v>Abrir facsímil</v>
      </c>
      <c r="K5152" s="3" t="s">
        <v>23</v>
      </c>
    </row>
    <row r="5153" spans="1:11" ht="42" customHeight="1">
      <c r="A5153" s="2" t="s">
        <v>10245</v>
      </c>
      <c r="B5153" s="2" t="s">
        <v>10246</v>
      </c>
      <c r="C5153" s="2" t="s">
        <v>26</v>
      </c>
      <c r="D5153" s="2" t="s">
        <v>27</v>
      </c>
      <c r="E5153" s="5">
        <v>-28882</v>
      </c>
      <c r="F5153" s="3" t="s">
        <v>1245</v>
      </c>
      <c r="G5153" s="3" t="s">
        <v>20</v>
      </c>
      <c r="H5153" s="2" t="s">
        <v>30</v>
      </c>
      <c r="I5153" s="2" t="s">
        <v>10247</v>
      </c>
      <c r="J5153" s="3" t="str">
        <f>HYPERLINK("https://www.boe.es/gazeta/dias/1820/12/02/pdfs/GGB-1820-159.pdf#page=4","Abrir facsímil")</f>
        <v>Abrir facsímil</v>
      </c>
      <c r="K5153" s="3" t="s">
        <v>32</v>
      </c>
    </row>
    <row r="5154" spans="1:11" ht="42" customHeight="1">
      <c r="A5154" s="2" t="s">
        <v>10248</v>
      </c>
      <c r="B5154" s="2" t="s">
        <v>10249</v>
      </c>
      <c r="C5154" s="2" t="s">
        <v>26</v>
      </c>
      <c r="D5154" s="2" t="s">
        <v>27</v>
      </c>
      <c r="E5154" s="5">
        <v>-29025</v>
      </c>
      <c r="F5154" s="3" t="s">
        <v>902</v>
      </c>
      <c r="G5154" s="3" t="s">
        <v>20</v>
      </c>
      <c r="H5154" s="2" t="s">
        <v>21</v>
      </c>
      <c r="I5154" s="2" t="s">
        <v>10250</v>
      </c>
      <c r="J5154" s="3" t="str">
        <f>HYPERLINK("https://www.boe.es/gazeta/dias/1820/07/12/pdfs/GGB-1820-14.pdf#page=4","Abrir facsímil")</f>
        <v>Abrir facsímil</v>
      </c>
      <c r="K5154" s="3" t="s">
        <v>23</v>
      </c>
    </row>
    <row r="5155" spans="1:11" ht="42" customHeight="1">
      <c r="A5155" s="2" t="s">
        <v>10251</v>
      </c>
      <c r="B5155" s="2" t="s">
        <v>10252</v>
      </c>
      <c r="C5155" s="2" t="s">
        <v>26</v>
      </c>
      <c r="D5155" s="2" t="s">
        <v>27</v>
      </c>
      <c r="E5155" s="5">
        <v>-29085</v>
      </c>
      <c r="F5155" s="3" t="s">
        <v>1502</v>
      </c>
      <c r="G5155" s="3" t="s">
        <v>479</v>
      </c>
      <c r="H5155" s="2" t="s">
        <v>21</v>
      </c>
      <c r="I5155" s="2" t="s">
        <v>10253</v>
      </c>
      <c r="J5155" s="3" t="str">
        <f>HYPERLINK("https://www.boe.es/gazeta/dias/1820/05/13/pdfs/GMD-1820-79.pdf#page=12","Abrir facsímil")</f>
        <v>Abrir facsímil</v>
      </c>
      <c r="K5155" s="3" t="s">
        <v>23</v>
      </c>
    </row>
    <row r="5156" spans="1:11" ht="42" customHeight="1">
      <c r="A5156" s="2" t="s">
        <v>10254</v>
      </c>
      <c r="B5156" s="2" t="s">
        <v>10255</v>
      </c>
      <c r="C5156" s="2" t="s">
        <v>293</v>
      </c>
      <c r="D5156" s="2" t="s">
        <v>18</v>
      </c>
      <c r="E5156" s="5">
        <v>-28886</v>
      </c>
      <c r="F5156" s="3" t="s">
        <v>874</v>
      </c>
      <c r="G5156" s="3" t="s">
        <v>43</v>
      </c>
      <c r="H5156" s="2" t="s">
        <v>21</v>
      </c>
      <c r="I5156" s="2" t="s">
        <v>10256</v>
      </c>
      <c r="J5156" s="3" t="str">
        <f>HYPERLINK("https://www.boe.es/gazeta/dias/1820/11/28/pdfs/GGB-1820-155.pdf#page=2","Abrir facsímil")</f>
        <v>Abrir facsímil</v>
      </c>
      <c r="K5156" s="3" t="s">
        <v>23</v>
      </c>
    </row>
    <row r="5157" spans="1:11" ht="42" customHeight="1">
      <c r="A5157" s="2" t="s">
        <v>10257</v>
      </c>
      <c r="B5157" s="2" t="s">
        <v>10258</v>
      </c>
      <c r="C5157" s="2" t="s">
        <v>26</v>
      </c>
      <c r="D5157" s="2" t="s">
        <v>27</v>
      </c>
      <c r="E5157" s="5">
        <v>-29213</v>
      </c>
      <c r="F5157" s="3" t="s">
        <v>195</v>
      </c>
      <c r="G5157" s="3" t="s">
        <v>196</v>
      </c>
      <c r="H5157" s="2" t="s">
        <v>30</v>
      </c>
      <c r="I5157" s="2" t="s">
        <v>10259</v>
      </c>
      <c r="J5157" s="3" t="str">
        <f>HYPERLINK("https://www.boe.es/gazeta/dias/1820/01/06/pdfs/GMD-1820-3.pdf#page=11","Abrir facsímil")</f>
        <v>Abrir facsímil</v>
      </c>
      <c r="K5157" s="3" t="s">
        <v>32</v>
      </c>
    </row>
    <row r="5158" spans="1:11" ht="42" customHeight="1">
      <c r="A5158" s="2" t="s">
        <v>10260</v>
      </c>
      <c r="B5158" s="2" t="s">
        <v>10261</v>
      </c>
      <c r="C5158" s="2" t="s">
        <v>26</v>
      </c>
      <c r="D5158" s="2" t="s">
        <v>27</v>
      </c>
      <c r="E5158" s="5">
        <v>-28973</v>
      </c>
      <c r="F5158" s="3" t="s">
        <v>151</v>
      </c>
      <c r="G5158" s="3" t="s">
        <v>20</v>
      </c>
      <c r="H5158" s="2" t="s">
        <v>21</v>
      </c>
      <c r="I5158" s="2" t="s">
        <v>10262</v>
      </c>
      <c r="J5158" s="3" t="str">
        <f>HYPERLINK("https://www.boe.es/gazeta/dias/1820/09/02/pdfs/GGB-1820-66.pdf#page=4","Abrir facsímil")</f>
        <v>Abrir facsímil</v>
      </c>
      <c r="K5158" s="3" t="s">
        <v>23</v>
      </c>
    </row>
    <row r="5159" spans="1:11" ht="42" customHeight="1">
      <c r="A5159" s="2" t="s">
        <v>10263</v>
      </c>
      <c r="B5159" s="2" t="s">
        <v>10264</v>
      </c>
      <c r="C5159" s="2" t="s">
        <v>26</v>
      </c>
      <c r="D5159" s="2" t="s">
        <v>27</v>
      </c>
      <c r="E5159" s="5">
        <v>-29138</v>
      </c>
      <c r="F5159" s="3" t="s">
        <v>200</v>
      </c>
      <c r="G5159" s="3" t="s">
        <v>201</v>
      </c>
      <c r="H5159" s="2" t="s">
        <v>21</v>
      </c>
      <c r="I5159" s="2" t="s">
        <v>10265</v>
      </c>
      <c r="J5159" s="3" t="str">
        <f>HYPERLINK("https://www.boe.es/gazeta/dias/1820/03/21/pdfs/GMD-1820-46.pdf#page=7","Abrir facsímil")</f>
        <v>Abrir facsímil</v>
      </c>
      <c r="K5159" s="3" t="s">
        <v>23</v>
      </c>
    </row>
    <row r="5160" spans="1:11" ht="42" customHeight="1">
      <c r="A5160" s="2" t="s">
        <v>10266</v>
      </c>
      <c r="B5160" s="2" t="s">
        <v>10267</v>
      </c>
      <c r="C5160" s="2" t="s">
        <v>293</v>
      </c>
      <c r="D5160" s="2" t="s">
        <v>18</v>
      </c>
      <c r="E5160" s="5">
        <v>-28922</v>
      </c>
      <c r="F5160" s="3" t="s">
        <v>735</v>
      </c>
      <c r="G5160" s="3" t="s">
        <v>62</v>
      </c>
      <c r="H5160" s="2" t="s">
        <v>21</v>
      </c>
      <c r="I5160" s="2" t="s">
        <v>10268</v>
      </c>
      <c r="J5160" s="3" t="str">
        <f>HYPERLINK("https://www.boe.es/gazeta/dias/1820/10/23/pdfs/GGB-1820-117.pdf#page=3","Abrir facsímil")</f>
        <v>Abrir facsímil</v>
      </c>
      <c r="K5160" s="3" t="s">
        <v>23</v>
      </c>
    </row>
    <row r="5161" spans="1:11" ht="42" customHeight="1">
      <c r="A5161" s="2" t="s">
        <v>10269</v>
      </c>
      <c r="B5161" s="2" t="s">
        <v>10270</v>
      </c>
      <c r="C5161" s="2" t="s">
        <v>26</v>
      </c>
      <c r="D5161" s="2" t="s">
        <v>27</v>
      </c>
      <c r="E5161" s="5">
        <v>-28910</v>
      </c>
      <c r="F5161" s="3" t="s">
        <v>746</v>
      </c>
      <c r="G5161" s="3" t="s">
        <v>20</v>
      </c>
      <c r="H5161" s="2" t="s">
        <v>21</v>
      </c>
      <c r="I5161" s="2" t="s">
        <v>10271</v>
      </c>
      <c r="J5161" s="3" t="str">
        <f>HYPERLINK("https://www.boe.es/gazeta/dias/1820/11/04/pdfs/GGB-1820-129.pdf#page=4","Abrir facsímil")</f>
        <v>Abrir facsímil</v>
      </c>
      <c r="K5161" s="3" t="s">
        <v>23</v>
      </c>
    </row>
    <row r="5162" spans="1:11" ht="42" customHeight="1">
      <c r="A5162" s="2" t="s">
        <v>10272</v>
      </c>
      <c r="B5162" s="2" t="s">
        <v>10273</v>
      </c>
      <c r="C5162" s="2" t="s">
        <v>26</v>
      </c>
      <c r="D5162" s="2" t="s">
        <v>27</v>
      </c>
      <c r="E5162" s="5">
        <v>-29009</v>
      </c>
      <c r="F5162" s="3" t="s">
        <v>605</v>
      </c>
      <c r="G5162" s="3" t="s">
        <v>43</v>
      </c>
      <c r="H5162" s="2" t="s">
        <v>21</v>
      </c>
      <c r="I5162" s="2" t="s">
        <v>10274</v>
      </c>
      <c r="J5162" s="3" t="str">
        <f>HYPERLINK("https://www.boe.es/gazeta/dias/1820/07/28/pdfs/GGB-1820-30.pdf#page=2","Abrir facsímil")</f>
        <v>Abrir facsímil</v>
      </c>
      <c r="K5162" s="3" t="s">
        <v>23</v>
      </c>
    </row>
    <row r="5163" spans="1:11" ht="42" customHeight="1">
      <c r="A5163" s="2" t="s">
        <v>10272</v>
      </c>
      <c r="B5163" s="2" t="s">
        <v>10273</v>
      </c>
      <c r="C5163" s="2" t="s">
        <v>26</v>
      </c>
      <c r="D5163" s="2" t="s">
        <v>27</v>
      </c>
      <c r="E5163" s="5">
        <v>-28961</v>
      </c>
      <c r="F5163" s="3" t="s">
        <v>242</v>
      </c>
      <c r="G5163" s="3" t="s">
        <v>43</v>
      </c>
      <c r="H5163" s="2" t="s">
        <v>21</v>
      </c>
      <c r="I5163" s="2" t="s">
        <v>10275</v>
      </c>
      <c r="J5163" s="3" t="str">
        <f>HYPERLINK("https://www.boe.es/gazeta/dias/1820/09/14/pdfs/GGB-1820-78.pdf#page=2","Abrir facsímil")</f>
        <v>Abrir facsímil</v>
      </c>
      <c r="K5163" s="3" t="s">
        <v>23</v>
      </c>
    </row>
    <row r="5164" spans="1:11" ht="42" customHeight="1">
      <c r="A5164" s="2" t="s">
        <v>10272</v>
      </c>
      <c r="B5164" s="2" t="s">
        <v>10273</v>
      </c>
      <c r="C5164" s="2" t="s">
        <v>35</v>
      </c>
      <c r="D5164" s="2" t="s">
        <v>36</v>
      </c>
      <c r="E5164" s="5">
        <v>-28912</v>
      </c>
      <c r="F5164" s="3" t="s">
        <v>1329</v>
      </c>
      <c r="G5164" s="3" t="s">
        <v>1080</v>
      </c>
      <c r="H5164" s="2" t="s">
        <v>21</v>
      </c>
      <c r="I5164" s="2" t="s">
        <v>10276</v>
      </c>
      <c r="J5164" s="3" t="str">
        <f>HYPERLINK("https://www.boe.es/gazeta/dias/1820/11/02/pdfs/GGB-1820-127.pdf#page=2","Abrir facsímil")</f>
        <v>Abrir facsímil</v>
      </c>
      <c r="K5164" s="3" t="s">
        <v>23</v>
      </c>
    </row>
    <row r="5165" spans="1:11" ht="42" customHeight="1">
      <c r="A5165" s="2" t="s">
        <v>10277</v>
      </c>
      <c r="B5165" s="2" t="s">
        <v>10278</v>
      </c>
      <c r="C5165" s="2" t="s">
        <v>26</v>
      </c>
      <c r="D5165" s="2" t="s">
        <v>27</v>
      </c>
      <c r="E5165" s="5">
        <v>-29213</v>
      </c>
      <c r="F5165" s="3" t="s">
        <v>195</v>
      </c>
      <c r="G5165" s="3" t="s">
        <v>256</v>
      </c>
      <c r="H5165" s="2" t="s">
        <v>21</v>
      </c>
      <c r="I5165" s="2" t="s">
        <v>10279</v>
      </c>
      <c r="J5165" s="3" t="str">
        <f>HYPERLINK("https://www.boe.es/gazeta/dias/1820/01/06/pdfs/GMD-1820-3.pdf#page=5","Abrir facsímil")</f>
        <v>Abrir facsímil</v>
      </c>
      <c r="K5165" s="3" t="s">
        <v>23</v>
      </c>
    </row>
    <row r="5166" spans="1:11" ht="42" customHeight="1">
      <c r="A5166" s="2" t="s">
        <v>10280</v>
      </c>
      <c r="B5166" s="2" t="s">
        <v>10281</v>
      </c>
      <c r="C5166" s="2" t="s">
        <v>47</v>
      </c>
      <c r="D5166" s="2" t="s">
        <v>18</v>
      </c>
      <c r="E5166" s="5">
        <v>-28959</v>
      </c>
      <c r="F5166" s="3" t="s">
        <v>37</v>
      </c>
      <c r="G5166" s="3" t="s">
        <v>38</v>
      </c>
      <c r="H5166" s="2" t="s">
        <v>21</v>
      </c>
      <c r="I5166" s="2" t="s">
        <v>10282</v>
      </c>
      <c r="J5166" s="3" t="str">
        <f>HYPERLINK("https://www.boe.es/gazeta/dias/1820/09/16/pdfs/GGB-1820-80.pdf#page=6","Abrir facsímil")</f>
        <v>Abrir facsímil</v>
      </c>
      <c r="K5166" s="3" t="s">
        <v>23</v>
      </c>
    </row>
    <row r="5167" spans="1:11" ht="42" customHeight="1">
      <c r="A5167" s="2" t="s">
        <v>10283</v>
      </c>
      <c r="B5167" s="2" t="s">
        <v>10283</v>
      </c>
      <c r="C5167" s="2" t="s">
        <v>17</v>
      </c>
      <c r="D5167" s="2" t="s">
        <v>18</v>
      </c>
      <c r="E5167" s="5">
        <v>-29022</v>
      </c>
      <c r="F5167" s="3" t="s">
        <v>1310</v>
      </c>
      <c r="G5167" s="3" t="s">
        <v>62</v>
      </c>
      <c r="H5167" s="2" t="s">
        <v>21</v>
      </c>
      <c r="I5167" s="2" t="s">
        <v>10284</v>
      </c>
      <c r="J5167" s="3" t="str">
        <f>HYPERLINK("https://www.boe.es/gazeta/dias/1820/07/15/pdfs/GGB-1820-17.pdf#page=3","Abrir facsímil")</f>
        <v>Abrir facsímil</v>
      </c>
      <c r="K5167" s="3" t="s">
        <v>23</v>
      </c>
    </row>
    <row r="5168" spans="1:11" ht="42" customHeight="1">
      <c r="A5168" s="2" t="s">
        <v>10285</v>
      </c>
      <c r="B5168" s="2" t="s">
        <v>10286</v>
      </c>
      <c r="C5168" s="2" t="s">
        <v>35</v>
      </c>
      <c r="D5168" s="2" t="s">
        <v>36</v>
      </c>
      <c r="E5168" s="5">
        <v>-28939</v>
      </c>
      <c r="F5168" s="3" t="s">
        <v>992</v>
      </c>
      <c r="G5168" s="3" t="s">
        <v>43</v>
      </c>
      <c r="H5168" s="2" t="s">
        <v>21</v>
      </c>
      <c r="I5168" s="2" t="s">
        <v>10287</v>
      </c>
      <c r="J5168" s="3" t="str">
        <f>HYPERLINK("https://www.boe.es/gazeta/dias/1820/10/06/pdfs/GGB-1820-100.pdf#page=2","Abrir facsímil")</f>
        <v>Abrir facsímil</v>
      </c>
      <c r="K5168" s="3" t="s">
        <v>23</v>
      </c>
    </row>
    <row r="5169" spans="1:11" ht="42" customHeight="1">
      <c r="A5169" s="2" t="s">
        <v>10288</v>
      </c>
      <c r="B5169" s="2" t="s">
        <v>10288</v>
      </c>
      <c r="C5169" s="2" t="s">
        <v>35</v>
      </c>
      <c r="D5169" s="2" t="s">
        <v>36</v>
      </c>
      <c r="E5169" s="5">
        <v>-28988</v>
      </c>
      <c r="F5169" s="3" t="s">
        <v>618</v>
      </c>
      <c r="G5169" s="3" t="s">
        <v>20</v>
      </c>
      <c r="H5169" s="2" t="s">
        <v>21</v>
      </c>
      <c r="I5169" s="2" t="s">
        <v>10289</v>
      </c>
      <c r="J5169" s="3" t="str">
        <f>HYPERLINK("https://www.boe.es/gazeta/dias/1820/08/18/pdfs/GGB-1820-51.pdf#page=4","Abrir facsímil")</f>
        <v>Abrir facsímil</v>
      </c>
      <c r="K5169" s="3" t="s">
        <v>23</v>
      </c>
    </row>
    <row r="5170" spans="1:11" ht="42" customHeight="1">
      <c r="A5170" s="2" t="s">
        <v>10288</v>
      </c>
      <c r="B5170" s="2" t="s">
        <v>10288</v>
      </c>
      <c r="C5170" s="2" t="s">
        <v>35</v>
      </c>
      <c r="D5170" s="2" t="s">
        <v>36</v>
      </c>
      <c r="E5170" s="5">
        <v>-28968</v>
      </c>
      <c r="F5170" s="3" t="s">
        <v>66</v>
      </c>
      <c r="G5170" s="3" t="s">
        <v>403</v>
      </c>
      <c r="H5170" s="2" t="s">
        <v>21</v>
      </c>
      <c r="I5170" s="2" t="s">
        <v>10290</v>
      </c>
      <c r="J5170" s="3" t="str">
        <f>HYPERLINK("https://www.boe.es/gazeta/dias/1820/09/07/pdfs/GGB-1820-71.pdf#page=4","Abrir facsímil")</f>
        <v>Abrir facsímil</v>
      </c>
      <c r="K5170" s="3" t="s">
        <v>23</v>
      </c>
    </row>
    <row r="5171" spans="1:11" ht="42" customHeight="1">
      <c r="A5171" s="2" t="s">
        <v>10288</v>
      </c>
      <c r="B5171" s="2" t="s">
        <v>10288</v>
      </c>
      <c r="C5171" s="2" t="s">
        <v>17</v>
      </c>
      <c r="D5171" s="2" t="s">
        <v>18</v>
      </c>
      <c r="E5171" s="5">
        <v>-28959</v>
      </c>
      <c r="F5171" s="3" t="s">
        <v>37</v>
      </c>
      <c r="G5171" s="3" t="s">
        <v>38</v>
      </c>
      <c r="H5171" s="2" t="s">
        <v>21</v>
      </c>
      <c r="I5171" s="2" t="s">
        <v>10291</v>
      </c>
      <c r="J5171" s="3" t="str">
        <f>HYPERLINK("https://www.boe.es/gazeta/dias/1820/09/16/pdfs/GGB-1820-80.pdf#page=6","Abrir facsímil")</f>
        <v>Abrir facsímil</v>
      </c>
      <c r="K5171" s="3" t="s">
        <v>23</v>
      </c>
    </row>
    <row r="5172" spans="1:11" ht="42" customHeight="1">
      <c r="A5172" s="2" t="s">
        <v>10288</v>
      </c>
      <c r="B5172" s="2" t="s">
        <v>10288</v>
      </c>
      <c r="C5172" s="2" t="s">
        <v>17</v>
      </c>
      <c r="D5172" s="2" t="s">
        <v>18</v>
      </c>
      <c r="E5172" s="5">
        <v>-28901</v>
      </c>
      <c r="F5172" s="3" t="s">
        <v>1492</v>
      </c>
      <c r="G5172" s="3" t="s">
        <v>20</v>
      </c>
      <c r="H5172" s="2" t="s">
        <v>21</v>
      </c>
      <c r="I5172" s="2" t="s">
        <v>10292</v>
      </c>
      <c r="J5172" s="3" t="str">
        <f>HYPERLINK("https://www.boe.es/gazeta/dias/1820/11/13/pdfs/GGB-1820-139.pdf#page=4","Abrir facsímil")</f>
        <v>Abrir facsímil</v>
      </c>
      <c r="K5172" s="3" t="s">
        <v>23</v>
      </c>
    </row>
    <row r="5173" spans="1:11" ht="42" customHeight="1">
      <c r="A5173" s="2" t="s">
        <v>10288</v>
      </c>
      <c r="B5173" s="2" t="s">
        <v>10288</v>
      </c>
      <c r="C5173" s="2" t="s">
        <v>17</v>
      </c>
      <c r="D5173" s="2" t="s">
        <v>18</v>
      </c>
      <c r="E5173" s="5">
        <v>-28868</v>
      </c>
      <c r="F5173" s="3" t="s">
        <v>4191</v>
      </c>
      <c r="G5173" s="3" t="s">
        <v>20</v>
      </c>
      <c r="H5173" s="2" t="s">
        <v>21</v>
      </c>
      <c r="I5173" s="2" t="s">
        <v>10293</v>
      </c>
      <c r="J5173" s="3" t="str">
        <f>HYPERLINK("https://www.boe.es/gazeta/dias/1820/12/16/pdfs/GGB-1820-173.pdf#page=4","Abrir facsímil")</f>
        <v>Abrir facsímil</v>
      </c>
      <c r="K5173" s="3" t="s">
        <v>23</v>
      </c>
    </row>
    <row r="5174" spans="1:11" ht="42" customHeight="1">
      <c r="A5174" s="2" t="s">
        <v>10288</v>
      </c>
      <c r="B5174" s="2" t="s">
        <v>10288</v>
      </c>
      <c r="C5174" s="2" t="s">
        <v>47</v>
      </c>
      <c r="D5174" s="2" t="s">
        <v>18</v>
      </c>
      <c r="E5174" s="5">
        <v>-28860</v>
      </c>
      <c r="F5174" s="3" t="s">
        <v>4487</v>
      </c>
      <c r="G5174" s="3" t="s">
        <v>20</v>
      </c>
      <c r="H5174" s="2" t="s">
        <v>21</v>
      </c>
      <c r="I5174" s="2" t="s">
        <v>10294</v>
      </c>
      <c r="J5174" s="3" t="str">
        <f>HYPERLINK("https://www.boe.es/gazeta/dias/1820/12/24/pdfs/GGB-1820-181.pdf#page=4","Abrir facsímil")</f>
        <v>Abrir facsímil</v>
      </c>
      <c r="K5174" s="3" t="s">
        <v>23</v>
      </c>
    </row>
    <row r="5175" spans="1:11" ht="42" customHeight="1">
      <c r="A5175" s="2" t="s">
        <v>10295</v>
      </c>
      <c r="B5175" s="2" t="s">
        <v>10296</v>
      </c>
      <c r="C5175" s="2" t="s">
        <v>26</v>
      </c>
      <c r="D5175" s="2" t="s">
        <v>27</v>
      </c>
      <c r="E5175" s="5">
        <v>-28865</v>
      </c>
      <c r="F5175" s="3" t="s">
        <v>136</v>
      </c>
      <c r="G5175" s="3" t="s">
        <v>137</v>
      </c>
      <c r="H5175" s="2" t="s">
        <v>21</v>
      </c>
      <c r="I5175" s="2" t="s">
        <v>10297</v>
      </c>
      <c r="J5175" s="3" t="str">
        <f>HYPERLINK("https://www.boe.es/gazeta/dias/1820/12/19/pdfs/GGB-1820-176.pdf#page=3","Abrir facsímil")</f>
        <v>Abrir facsímil</v>
      </c>
      <c r="K5175" s="3" t="s">
        <v>23</v>
      </c>
    </row>
    <row r="5176" spans="1:11" ht="42" customHeight="1">
      <c r="A5176" s="2" t="s">
        <v>10298</v>
      </c>
      <c r="B5176" s="2" t="s">
        <v>10299</v>
      </c>
      <c r="C5176" s="2" t="s">
        <v>17</v>
      </c>
      <c r="D5176" s="2" t="s">
        <v>18</v>
      </c>
      <c r="E5176" s="5">
        <v>-28963</v>
      </c>
      <c r="F5176" s="3" t="s">
        <v>94</v>
      </c>
      <c r="G5176" s="3" t="s">
        <v>95</v>
      </c>
      <c r="H5176" s="2" t="s">
        <v>30</v>
      </c>
      <c r="I5176" s="2" t="s">
        <v>10300</v>
      </c>
      <c r="J5176" s="3" t="str">
        <f>HYPERLINK("https://www.boe.es/gazeta/dias/1820/09/12/pdfs/GGB-1820-76.pdf#page=4","Abrir facsímil")</f>
        <v>Abrir facsímil</v>
      </c>
      <c r="K5176" s="3" t="s">
        <v>32</v>
      </c>
    </row>
    <row r="5177" spans="1:11" ht="42" customHeight="1">
      <c r="A5177" s="2" t="s">
        <v>10301</v>
      </c>
      <c r="B5177" s="2" t="s">
        <v>10302</v>
      </c>
      <c r="C5177" s="2" t="s">
        <v>26</v>
      </c>
      <c r="D5177" s="2" t="s">
        <v>27</v>
      </c>
      <c r="E5177" s="5">
        <v>-28865</v>
      </c>
      <c r="F5177" s="3" t="s">
        <v>136</v>
      </c>
      <c r="G5177" s="3" t="s">
        <v>137</v>
      </c>
      <c r="H5177" s="2" t="s">
        <v>21</v>
      </c>
      <c r="I5177" s="2" t="s">
        <v>10303</v>
      </c>
      <c r="J5177" s="3" t="str">
        <f>HYPERLINK("https://www.boe.es/gazeta/dias/1820/12/19/pdfs/GGB-1820-176.pdf#page=3","Abrir facsímil")</f>
        <v>Abrir facsímil</v>
      </c>
      <c r="K5177" s="3" t="s">
        <v>23</v>
      </c>
    </row>
    <row r="5178" spans="1:11" ht="42" customHeight="1">
      <c r="A5178" s="2" t="s">
        <v>10304</v>
      </c>
      <c r="B5178" s="2" t="s">
        <v>10305</v>
      </c>
      <c r="C5178" s="2" t="s">
        <v>26</v>
      </c>
      <c r="D5178" s="2" t="s">
        <v>27</v>
      </c>
      <c r="E5178" s="5">
        <v>-28865</v>
      </c>
      <c r="F5178" s="3" t="s">
        <v>136</v>
      </c>
      <c r="G5178" s="3" t="s">
        <v>137</v>
      </c>
      <c r="H5178" s="2" t="s">
        <v>21</v>
      </c>
      <c r="I5178" s="2" t="s">
        <v>10306</v>
      </c>
      <c r="J5178" s="3" t="str">
        <f>HYPERLINK("https://www.boe.es/gazeta/dias/1820/12/19/pdfs/GGB-1820-176.pdf#page=3","Abrir facsímil")</f>
        <v>Abrir facsímil</v>
      </c>
      <c r="K5178" s="3" t="s">
        <v>23</v>
      </c>
    </row>
    <row r="5179" spans="1:11" ht="42" customHeight="1">
      <c r="A5179" s="2" t="s">
        <v>10307</v>
      </c>
      <c r="B5179" s="2" t="s">
        <v>10308</v>
      </c>
      <c r="C5179" s="2" t="s">
        <v>107</v>
      </c>
      <c r="D5179" s="2" t="s">
        <v>18</v>
      </c>
      <c r="E5179" s="5">
        <v>-28986</v>
      </c>
      <c r="F5179" s="3" t="s">
        <v>488</v>
      </c>
      <c r="G5179" s="3" t="s">
        <v>2659</v>
      </c>
      <c r="H5179" s="2" t="s">
        <v>21</v>
      </c>
      <c r="I5179" s="2" t="s">
        <v>10309</v>
      </c>
      <c r="J5179" s="3" t="str">
        <f>HYPERLINK("https://www.boe.es/gazeta/dias/1820/08/20/pdfs/GGB-1820-53.pdf#page=4","Abrir facsímil")</f>
        <v>Abrir facsímil</v>
      </c>
      <c r="K5179" s="3" t="s">
        <v>23</v>
      </c>
    </row>
    <row r="5180" spans="1:11" ht="42" customHeight="1">
      <c r="A5180" s="2" t="s">
        <v>10310</v>
      </c>
      <c r="B5180" s="2" t="s">
        <v>10311</v>
      </c>
      <c r="C5180" s="2" t="s">
        <v>35</v>
      </c>
      <c r="D5180" s="2" t="s">
        <v>36</v>
      </c>
      <c r="E5180" s="5">
        <v>-28865</v>
      </c>
      <c r="F5180" s="3" t="s">
        <v>136</v>
      </c>
      <c r="G5180" s="3" t="s">
        <v>137</v>
      </c>
      <c r="H5180" s="2" t="s">
        <v>21</v>
      </c>
      <c r="I5180" s="2" t="s">
        <v>10312</v>
      </c>
      <c r="J5180" s="3" t="str">
        <f>HYPERLINK("https://www.boe.es/gazeta/dias/1820/12/19/pdfs/GGB-1820-176.pdf#page=3","Abrir facsímil")</f>
        <v>Abrir facsímil</v>
      </c>
      <c r="K5180" s="3" t="s">
        <v>23</v>
      </c>
    </row>
    <row r="5181" spans="1:11" ht="42" customHeight="1">
      <c r="A5181" s="2" t="s">
        <v>10313</v>
      </c>
      <c r="B5181" s="2" t="s">
        <v>10313</v>
      </c>
      <c r="C5181" s="2" t="s">
        <v>26</v>
      </c>
      <c r="D5181" s="2" t="s">
        <v>27</v>
      </c>
      <c r="E5181" s="5">
        <v>-29007</v>
      </c>
      <c r="F5181" s="3" t="s">
        <v>251</v>
      </c>
      <c r="G5181" s="3" t="s">
        <v>43</v>
      </c>
      <c r="H5181" s="2" t="s">
        <v>21</v>
      </c>
      <c r="I5181" s="2" t="s">
        <v>10314</v>
      </c>
      <c r="J5181" s="3" t="str">
        <f>HYPERLINK("https://www.boe.es/gazeta/dias/1820/07/30/pdfs/GGB-1820-32.pdf#page=2","Abrir facsímil")</f>
        <v>Abrir facsímil</v>
      </c>
      <c r="K5181" s="3" t="s">
        <v>23</v>
      </c>
    </row>
    <row r="5182" spans="1:11" ht="42" customHeight="1">
      <c r="A5182" s="2" t="s">
        <v>10313</v>
      </c>
      <c r="B5182" s="2" t="s">
        <v>10313</v>
      </c>
      <c r="C5182" s="2" t="s">
        <v>74</v>
      </c>
      <c r="D5182" s="2" t="s">
        <v>18</v>
      </c>
      <c r="E5182" s="5">
        <v>-28949</v>
      </c>
      <c r="F5182" s="3" t="s">
        <v>178</v>
      </c>
      <c r="G5182" s="3" t="s">
        <v>43</v>
      </c>
      <c r="H5182" s="2" t="s">
        <v>21</v>
      </c>
      <c r="I5182" s="2" t="s">
        <v>10315</v>
      </c>
      <c r="J5182" s="3" t="str">
        <f>HYPERLINK("https://www.boe.es/gazeta/dias/1820/09/26/pdfs/GGB-1820-90.pdf#page=2","Abrir facsímil")</f>
        <v>Abrir facsímil</v>
      </c>
      <c r="K5182" s="3" t="s">
        <v>23</v>
      </c>
    </row>
    <row r="5183" spans="1:11" ht="42" customHeight="1">
      <c r="A5183" s="2" t="s">
        <v>10316</v>
      </c>
      <c r="B5183" s="2" t="s">
        <v>10316</v>
      </c>
      <c r="C5183" s="2" t="s">
        <v>35</v>
      </c>
      <c r="D5183" s="2" t="s">
        <v>36</v>
      </c>
      <c r="E5183" s="5">
        <v>-28925</v>
      </c>
      <c r="F5183" s="3" t="s">
        <v>228</v>
      </c>
      <c r="G5183" s="3" t="s">
        <v>62</v>
      </c>
      <c r="H5183" s="2" t="s">
        <v>21</v>
      </c>
      <c r="I5183" s="2" t="s">
        <v>10317</v>
      </c>
      <c r="J5183" s="3" t="str">
        <f>HYPERLINK("https://www.boe.es/gazeta/dias/1820/10/20/pdfs/GGB-1820-114.pdf#page=3","Abrir facsímil")</f>
        <v>Abrir facsímil</v>
      </c>
      <c r="K5183" s="3" t="s">
        <v>23</v>
      </c>
    </row>
    <row r="5184" spans="1:11" ht="42" customHeight="1">
      <c r="A5184" s="2" t="s">
        <v>10318</v>
      </c>
      <c r="B5184" s="2" t="s">
        <v>10318</v>
      </c>
      <c r="C5184" s="2" t="s">
        <v>17</v>
      </c>
      <c r="D5184" s="2" t="s">
        <v>18</v>
      </c>
      <c r="E5184" s="5">
        <v>-28884</v>
      </c>
      <c r="F5184" s="3" t="s">
        <v>882</v>
      </c>
      <c r="G5184" s="3" t="s">
        <v>128</v>
      </c>
      <c r="H5184" s="2" t="s">
        <v>21</v>
      </c>
      <c r="I5184" s="2" t="s">
        <v>10319</v>
      </c>
      <c r="J5184" s="3" t="str">
        <f>HYPERLINK("https://www.boe.es/gazeta/dias/1820/11/30/pdfs/GGB-1820-157.pdf#page=1","Abrir facsímil")</f>
        <v>Abrir facsímil</v>
      </c>
      <c r="K5184" s="3" t="s">
        <v>23</v>
      </c>
    </row>
    <row r="5185" spans="1:11" ht="42" customHeight="1">
      <c r="A5185" s="2" t="s">
        <v>10320</v>
      </c>
      <c r="B5185" s="2" t="s">
        <v>10321</v>
      </c>
      <c r="C5185" s="2" t="s">
        <v>35</v>
      </c>
      <c r="D5185" s="2" t="s">
        <v>36</v>
      </c>
      <c r="E5185" s="5">
        <v>-28977</v>
      </c>
      <c r="F5185" s="3" t="s">
        <v>687</v>
      </c>
      <c r="G5185" s="3" t="s">
        <v>20</v>
      </c>
      <c r="H5185" s="2" t="s">
        <v>21</v>
      </c>
      <c r="I5185" s="2" t="s">
        <v>10322</v>
      </c>
      <c r="J5185" s="3" t="str">
        <f>HYPERLINK("https://www.boe.es/gazeta/dias/1820/08/29/pdfs/GGB-1820-62.pdf#page=4","Abrir facsímil")</f>
        <v>Abrir facsímil</v>
      </c>
      <c r="K5185" s="3" t="s">
        <v>23</v>
      </c>
    </row>
    <row r="5186" spans="1:11" ht="42" customHeight="1">
      <c r="A5186" s="2" t="s">
        <v>10323</v>
      </c>
      <c r="B5186" s="2" t="s">
        <v>10324</v>
      </c>
      <c r="C5186" s="2" t="s">
        <v>26</v>
      </c>
      <c r="D5186" s="2" t="s">
        <v>27</v>
      </c>
      <c r="E5186" s="5">
        <v>-29028</v>
      </c>
      <c r="F5186" s="3" t="s">
        <v>132</v>
      </c>
      <c r="G5186" s="3" t="s">
        <v>20</v>
      </c>
      <c r="H5186" s="2" t="s">
        <v>21</v>
      </c>
      <c r="I5186" s="2" t="s">
        <v>10325</v>
      </c>
      <c r="J5186" s="3" t="str">
        <f>HYPERLINK("https://www.boe.es/gazeta/dias/1820/07/09/pdfs/GGB-1820-10.pdf#page=4","Abrir facsímil")</f>
        <v>Abrir facsímil</v>
      </c>
      <c r="K5186" s="3" t="s">
        <v>23</v>
      </c>
    </row>
    <row r="5187" spans="1:11" ht="42" customHeight="1">
      <c r="A5187" s="2" t="s">
        <v>10326</v>
      </c>
      <c r="B5187" s="2" t="s">
        <v>10326</v>
      </c>
      <c r="C5187" s="2" t="s">
        <v>26</v>
      </c>
      <c r="D5187" s="2" t="s">
        <v>27</v>
      </c>
      <c r="E5187" s="5">
        <v>-28948</v>
      </c>
      <c r="F5187" s="3" t="s">
        <v>1069</v>
      </c>
      <c r="G5187" s="3" t="s">
        <v>43</v>
      </c>
      <c r="H5187" s="2" t="s">
        <v>21</v>
      </c>
      <c r="I5187" s="2" t="s">
        <v>10327</v>
      </c>
      <c r="J5187" s="3" t="str">
        <f>HYPERLINK("https://www.boe.es/gazeta/dias/1820/09/27/pdfs/GGB-1820-91.pdf#page=2","Abrir facsímil")</f>
        <v>Abrir facsímil</v>
      </c>
      <c r="K5187" s="3" t="s">
        <v>23</v>
      </c>
    </row>
    <row r="5188" spans="1:11" ht="42" customHeight="1">
      <c r="A5188" s="2" t="s">
        <v>10328</v>
      </c>
      <c r="B5188" s="2" t="s">
        <v>10329</v>
      </c>
      <c r="C5188" s="2" t="s">
        <v>26</v>
      </c>
      <c r="D5188" s="2" t="s">
        <v>27</v>
      </c>
      <c r="E5188" s="5">
        <v>-28977</v>
      </c>
      <c r="F5188" s="3" t="s">
        <v>687</v>
      </c>
      <c r="G5188" s="3" t="s">
        <v>62</v>
      </c>
      <c r="H5188" s="2" t="s">
        <v>21</v>
      </c>
      <c r="I5188" s="2" t="s">
        <v>10330</v>
      </c>
      <c r="J5188" s="3" t="str">
        <f>HYPERLINK("https://www.boe.es/gazeta/dias/1820/08/29/pdfs/GGB-1820-62.pdf#page=3","Abrir facsímil")</f>
        <v>Abrir facsímil</v>
      </c>
      <c r="K5188" s="3" t="s">
        <v>23</v>
      </c>
    </row>
    <row r="5189" spans="1:11" ht="42" customHeight="1">
      <c r="A5189" s="2" t="s">
        <v>10331</v>
      </c>
      <c r="B5189" s="2" t="s">
        <v>10332</v>
      </c>
      <c r="C5189" s="2" t="s">
        <v>293</v>
      </c>
      <c r="D5189" s="2" t="s">
        <v>18</v>
      </c>
      <c r="E5189" s="5">
        <v>-28894</v>
      </c>
      <c r="F5189" s="3" t="s">
        <v>469</v>
      </c>
      <c r="G5189" s="3" t="s">
        <v>20</v>
      </c>
      <c r="H5189" s="2" t="s">
        <v>30</v>
      </c>
      <c r="I5189" s="2" t="s">
        <v>10333</v>
      </c>
      <c r="J5189" s="3" t="str">
        <f>HYPERLINK("https://www.boe.es/gazeta/dias/1820/11/20/pdfs/GGB-1820-147.pdf#page=4","Abrir facsímil")</f>
        <v>Abrir facsímil</v>
      </c>
      <c r="K5189" s="3" t="s">
        <v>32</v>
      </c>
    </row>
    <row r="5190" spans="1:11" ht="42" customHeight="1">
      <c r="A5190" s="2" t="s">
        <v>10334</v>
      </c>
      <c r="B5190" s="2" t="s">
        <v>10334</v>
      </c>
      <c r="C5190" s="2" t="s">
        <v>17</v>
      </c>
      <c r="D5190" s="2" t="s">
        <v>18</v>
      </c>
      <c r="E5190" s="5">
        <v>-28923</v>
      </c>
      <c r="F5190" s="3" t="s">
        <v>648</v>
      </c>
      <c r="G5190" s="3" t="s">
        <v>128</v>
      </c>
      <c r="H5190" s="2" t="s">
        <v>21</v>
      </c>
      <c r="I5190" s="2" t="s">
        <v>10335</v>
      </c>
      <c r="J5190" s="3" t="str">
        <f>HYPERLINK("https://www.boe.es/gazeta/dias/1820/10/22/pdfs/GGB-1820-116.pdf#page=1","Abrir facsímil")</f>
        <v>Abrir facsímil</v>
      </c>
      <c r="K5190" s="3" t="s">
        <v>23</v>
      </c>
    </row>
    <row r="5191" spans="1:11" ht="42" customHeight="1">
      <c r="A5191" s="2" t="s">
        <v>10336</v>
      </c>
      <c r="B5191" s="2" t="s">
        <v>10336</v>
      </c>
      <c r="C5191" s="2" t="s">
        <v>107</v>
      </c>
      <c r="D5191" s="2" t="s">
        <v>18</v>
      </c>
      <c r="E5191" s="5">
        <v>-29138</v>
      </c>
      <c r="F5191" s="3" t="s">
        <v>200</v>
      </c>
      <c r="G5191" s="3" t="s">
        <v>201</v>
      </c>
      <c r="H5191" s="2" t="s">
        <v>21</v>
      </c>
      <c r="I5191" s="2" t="s">
        <v>10337</v>
      </c>
      <c r="J5191" s="3" t="str">
        <f>HYPERLINK("https://www.boe.es/gazeta/dias/1820/03/21/pdfs/GMD-1820-46.pdf#page=7","Abrir facsímil")</f>
        <v>Abrir facsímil</v>
      </c>
      <c r="K5191" s="3" t="s">
        <v>23</v>
      </c>
    </row>
    <row r="5192" spans="1:11" ht="42" customHeight="1">
      <c r="A5192" s="2" t="s">
        <v>10336</v>
      </c>
      <c r="B5192" s="2" t="s">
        <v>10336</v>
      </c>
      <c r="C5192" s="2" t="s">
        <v>17</v>
      </c>
      <c r="D5192" s="2" t="s">
        <v>18</v>
      </c>
      <c r="E5192" s="5">
        <v>-28906</v>
      </c>
      <c r="F5192" s="3" t="s">
        <v>232</v>
      </c>
      <c r="G5192" s="3" t="s">
        <v>62</v>
      </c>
      <c r="H5192" s="2" t="s">
        <v>21</v>
      </c>
      <c r="I5192" s="2" t="s">
        <v>10338</v>
      </c>
      <c r="J5192" s="3" t="str">
        <f>HYPERLINK("https://www.boe.es/gazeta/dias/1820/11/08/pdfs/GGB-1820-133.pdf#page=3","Abrir facsímil")</f>
        <v>Abrir facsímil</v>
      </c>
      <c r="K5192" s="3" t="s">
        <v>23</v>
      </c>
    </row>
    <row r="5193" spans="1:11" ht="42" customHeight="1">
      <c r="A5193" s="2" t="s">
        <v>10339</v>
      </c>
      <c r="B5193" s="2" t="s">
        <v>10340</v>
      </c>
      <c r="C5193" s="2" t="s">
        <v>26</v>
      </c>
      <c r="D5193" s="2" t="s">
        <v>27</v>
      </c>
      <c r="E5193" s="5">
        <v>-28973</v>
      </c>
      <c r="F5193" s="3" t="s">
        <v>151</v>
      </c>
      <c r="G5193" s="3" t="s">
        <v>20</v>
      </c>
      <c r="H5193" s="2" t="s">
        <v>21</v>
      </c>
      <c r="I5193" s="2" t="s">
        <v>10341</v>
      </c>
      <c r="J5193" s="3" t="str">
        <f>HYPERLINK("https://www.boe.es/gazeta/dias/1820/09/02/pdfs/GGB-1820-66.pdf#page=4","Abrir facsímil")</f>
        <v>Abrir facsímil</v>
      </c>
      <c r="K5193" s="3" t="s">
        <v>23</v>
      </c>
    </row>
    <row r="5194" spans="1:11" ht="42" customHeight="1">
      <c r="A5194" s="2" t="s">
        <v>10342</v>
      </c>
      <c r="B5194" s="2" t="s">
        <v>10342</v>
      </c>
      <c r="C5194" s="2" t="s">
        <v>293</v>
      </c>
      <c r="D5194" s="2" t="s">
        <v>18</v>
      </c>
      <c r="E5194" s="5">
        <v>-29080</v>
      </c>
      <c r="F5194" s="3" t="s">
        <v>1031</v>
      </c>
      <c r="G5194" s="3" t="s">
        <v>128</v>
      </c>
      <c r="H5194" s="2" t="s">
        <v>21</v>
      </c>
      <c r="I5194" s="2" t="s">
        <v>10343</v>
      </c>
      <c r="J5194" s="3" t="str">
        <f>HYPERLINK("https://www.boe.es/gazeta/dias/1820/05/18/pdfs/GMD-1820-82.pdf#page=1","Abrir facsímil")</f>
        <v>Abrir facsímil</v>
      </c>
      <c r="K5194" s="3" t="s">
        <v>23</v>
      </c>
    </row>
    <row r="5195" spans="1:11" ht="42" customHeight="1">
      <c r="A5195" s="2" t="s">
        <v>10344</v>
      </c>
      <c r="B5195" s="2" t="s">
        <v>10345</v>
      </c>
      <c r="C5195" s="2" t="s">
        <v>107</v>
      </c>
      <c r="D5195" s="2" t="s">
        <v>18</v>
      </c>
      <c r="E5195" s="5">
        <v>-28918</v>
      </c>
      <c r="F5195" s="3" t="s">
        <v>160</v>
      </c>
      <c r="G5195" s="3" t="s">
        <v>20</v>
      </c>
      <c r="H5195" s="2" t="s">
        <v>21</v>
      </c>
      <c r="I5195" s="2" t="s">
        <v>10346</v>
      </c>
      <c r="J5195" s="3" t="str">
        <f>HYPERLINK("https://www.boe.es/gazeta/dias/1820/10/27/pdfs/GGB-1820-121.pdf#page=4","Abrir facsímil")</f>
        <v>Abrir facsímil</v>
      </c>
      <c r="K5195" s="3" t="s">
        <v>23</v>
      </c>
    </row>
    <row r="5196" spans="1:11" ht="42" customHeight="1">
      <c r="A5196" s="2" t="s">
        <v>10347</v>
      </c>
      <c r="B5196" s="2" t="s">
        <v>10348</v>
      </c>
      <c r="C5196" s="2" t="s">
        <v>293</v>
      </c>
      <c r="D5196" s="2" t="s">
        <v>18</v>
      </c>
      <c r="E5196" s="5">
        <v>-28922</v>
      </c>
      <c r="F5196" s="3" t="s">
        <v>735</v>
      </c>
      <c r="G5196" s="3" t="s">
        <v>20</v>
      </c>
      <c r="H5196" s="2" t="s">
        <v>21</v>
      </c>
      <c r="I5196" s="2" t="s">
        <v>10349</v>
      </c>
      <c r="J5196" s="3" t="str">
        <f>HYPERLINK("https://www.boe.es/gazeta/dias/1820/10/23/pdfs/GGB-1820-117.pdf#page=4","Abrir facsímil")</f>
        <v>Abrir facsímil</v>
      </c>
      <c r="K5196" s="3" t="s">
        <v>23</v>
      </c>
    </row>
    <row r="5197" spans="1:11" ht="42" customHeight="1">
      <c r="A5197" s="2" t="s">
        <v>10350</v>
      </c>
      <c r="B5197" s="2" t="s">
        <v>10351</v>
      </c>
      <c r="C5197" s="2" t="s">
        <v>17</v>
      </c>
      <c r="D5197" s="2" t="s">
        <v>18</v>
      </c>
      <c r="E5197" s="5">
        <v>-29018</v>
      </c>
      <c r="F5197" s="3" t="s">
        <v>601</v>
      </c>
      <c r="G5197" s="3" t="s">
        <v>62</v>
      </c>
      <c r="H5197" s="2" t="s">
        <v>21</v>
      </c>
      <c r="I5197" s="2" t="s">
        <v>10352</v>
      </c>
      <c r="J5197" s="3" t="str">
        <f>HYPERLINK("https://www.boe.es/gazeta/dias/1820/07/19/pdfs/GGB-1820-21.pdf#page=3","Abrir facsímil")</f>
        <v>Abrir facsímil</v>
      </c>
      <c r="K5197" s="3" t="s">
        <v>23</v>
      </c>
    </row>
    <row r="5198" spans="1:11" ht="42" customHeight="1">
      <c r="A5198" s="2" t="s">
        <v>10353</v>
      </c>
      <c r="B5198" s="2" t="s">
        <v>10354</v>
      </c>
      <c r="C5198" s="2" t="s">
        <v>47</v>
      </c>
      <c r="D5198" s="2" t="s">
        <v>18</v>
      </c>
      <c r="E5198" s="5">
        <v>-28881</v>
      </c>
      <c r="F5198" s="3" t="s">
        <v>57</v>
      </c>
      <c r="G5198" s="3" t="s">
        <v>20</v>
      </c>
      <c r="H5198" s="2" t="s">
        <v>21</v>
      </c>
      <c r="I5198" s="2" t="s">
        <v>10355</v>
      </c>
      <c r="J5198" s="3" t="str">
        <f>HYPERLINK("https://www.boe.es/gazeta/dias/1820/12/03/pdfs/GGB-1820-160.pdf#page=4","Abrir facsímil")</f>
        <v>Abrir facsímil</v>
      </c>
      <c r="K5198" s="3" t="s">
        <v>23</v>
      </c>
    </row>
    <row r="5199" spans="1:11" ht="42" customHeight="1">
      <c r="A5199" s="2" t="s">
        <v>10356</v>
      </c>
      <c r="B5199" s="2" t="s">
        <v>10357</v>
      </c>
      <c r="C5199" s="2" t="s">
        <v>35</v>
      </c>
      <c r="D5199" s="2" t="s">
        <v>36</v>
      </c>
      <c r="E5199" s="5">
        <v>-29047</v>
      </c>
      <c r="F5199" s="3" t="s">
        <v>1033</v>
      </c>
      <c r="G5199" s="3" t="s">
        <v>256</v>
      </c>
      <c r="H5199" s="2" t="s">
        <v>21</v>
      </c>
      <c r="I5199" s="2" t="s">
        <v>10358</v>
      </c>
      <c r="J5199" s="3" t="str">
        <f>HYPERLINK("https://www.boe.es/gazeta/dias/1820/06/20/pdfs/GMD-1820-96.pdf#page=5","Abrir facsímil")</f>
        <v>Abrir facsímil</v>
      </c>
      <c r="K5199" s="3" t="s">
        <v>23</v>
      </c>
    </row>
    <row r="5200" spans="1:11" ht="42" customHeight="1">
      <c r="A5200" s="2" t="s">
        <v>10359</v>
      </c>
      <c r="B5200" s="2" t="s">
        <v>10360</v>
      </c>
      <c r="C5200" s="2" t="s">
        <v>293</v>
      </c>
      <c r="D5200" s="2" t="s">
        <v>18</v>
      </c>
      <c r="E5200" s="5">
        <v>-28991</v>
      </c>
      <c r="F5200" s="3" t="s">
        <v>213</v>
      </c>
      <c r="G5200" s="3" t="s">
        <v>214</v>
      </c>
      <c r="H5200" s="2" t="s">
        <v>21</v>
      </c>
      <c r="I5200" s="2" t="s">
        <v>10361</v>
      </c>
      <c r="J5200" s="3" t="str">
        <f>HYPERLINK("https://www.boe.es/gazeta/dias/1820/08/15/pdfs/GGB-1820-48.pdf#page=2","Abrir facsímil")</f>
        <v>Abrir facsímil</v>
      </c>
      <c r="K5200" s="3" t="s">
        <v>23</v>
      </c>
    </row>
    <row r="5201" spans="1:11" ht="42" customHeight="1">
      <c r="A5201" s="2" t="s">
        <v>10359</v>
      </c>
      <c r="B5201" s="2" t="s">
        <v>10360</v>
      </c>
      <c r="C5201" s="2" t="s">
        <v>26</v>
      </c>
      <c r="D5201" s="2" t="s">
        <v>27</v>
      </c>
      <c r="E5201" s="5">
        <v>-28979</v>
      </c>
      <c r="F5201" s="3" t="s">
        <v>218</v>
      </c>
      <c r="G5201" s="3" t="s">
        <v>62</v>
      </c>
      <c r="H5201" s="2" t="s">
        <v>21</v>
      </c>
      <c r="I5201" s="2" t="s">
        <v>10362</v>
      </c>
      <c r="J5201" s="3" t="str">
        <f>HYPERLINK("https://www.boe.es/gazeta/dias/1820/08/27/pdfs/GGB-1820-60.pdf#page=3","Abrir facsímil")</f>
        <v>Abrir facsímil</v>
      </c>
      <c r="K5201" s="3" t="s">
        <v>23</v>
      </c>
    </row>
    <row r="5202" spans="1:11" ht="42" customHeight="1">
      <c r="A5202" s="2" t="s">
        <v>10359</v>
      </c>
      <c r="B5202" s="2" t="s">
        <v>10360</v>
      </c>
      <c r="C5202" s="2" t="s">
        <v>107</v>
      </c>
      <c r="D5202" s="2" t="s">
        <v>18</v>
      </c>
      <c r="E5202" s="5">
        <v>-28970</v>
      </c>
      <c r="F5202" s="3" t="s">
        <v>693</v>
      </c>
      <c r="G5202" s="3" t="s">
        <v>43</v>
      </c>
      <c r="H5202" s="2" t="s">
        <v>21</v>
      </c>
      <c r="I5202" s="2" t="s">
        <v>10363</v>
      </c>
      <c r="J5202" s="3" t="str">
        <f>HYPERLINK("https://www.boe.es/gazeta/dias/1820/09/05/pdfs/GGB-1820-69.pdf#page=2","Abrir facsímil")</f>
        <v>Abrir facsímil</v>
      </c>
      <c r="K5202" s="3" t="s">
        <v>23</v>
      </c>
    </row>
    <row r="5203" spans="1:11" ht="42" customHeight="1">
      <c r="A5203" s="2" t="s">
        <v>10359</v>
      </c>
      <c r="B5203" s="2" t="s">
        <v>10360</v>
      </c>
      <c r="C5203" s="2" t="s">
        <v>17</v>
      </c>
      <c r="D5203" s="2" t="s">
        <v>18</v>
      </c>
      <c r="E5203" s="5">
        <v>-28967</v>
      </c>
      <c r="F5203" s="3" t="s">
        <v>238</v>
      </c>
      <c r="G5203" s="3" t="s">
        <v>256</v>
      </c>
      <c r="H5203" s="2" t="s">
        <v>21</v>
      </c>
      <c r="I5203" s="2" t="s">
        <v>10364</v>
      </c>
      <c r="J5203" s="3" t="str">
        <f>HYPERLINK("https://www.boe.es/gazeta/dias/1820/09/08/pdfs/GGB-1820-72.pdf#page=5","Abrir facsímil")</f>
        <v>Abrir facsímil</v>
      </c>
      <c r="K5203" s="3" t="s">
        <v>23</v>
      </c>
    </row>
    <row r="5204" spans="1:11" ht="42" customHeight="1">
      <c r="A5204" s="2" t="s">
        <v>10359</v>
      </c>
      <c r="B5204" s="2" t="s">
        <v>10360</v>
      </c>
      <c r="C5204" s="2" t="s">
        <v>26</v>
      </c>
      <c r="D5204" s="2" t="s">
        <v>27</v>
      </c>
      <c r="E5204" s="5">
        <v>-28955</v>
      </c>
      <c r="F5204" s="3" t="s">
        <v>175</v>
      </c>
      <c r="G5204" s="3" t="s">
        <v>62</v>
      </c>
      <c r="H5204" s="2" t="s">
        <v>21</v>
      </c>
      <c r="I5204" s="2" t="s">
        <v>10365</v>
      </c>
      <c r="J5204" s="3" t="str">
        <f>HYPERLINK("https://www.boe.es/gazeta/dias/1820/09/20/pdfs/GGB-1820-84.pdf#page=3","Abrir facsímil")</f>
        <v>Abrir facsímil</v>
      </c>
      <c r="K5204" s="3" t="s">
        <v>23</v>
      </c>
    </row>
    <row r="5205" spans="1:11" ht="42" customHeight="1">
      <c r="A5205" s="2" t="s">
        <v>10359</v>
      </c>
      <c r="B5205" s="2" t="s">
        <v>10360</v>
      </c>
      <c r="C5205" s="2" t="s">
        <v>74</v>
      </c>
      <c r="D5205" s="2" t="s">
        <v>18</v>
      </c>
      <c r="E5205" s="5">
        <v>-28952</v>
      </c>
      <c r="F5205" s="3" t="s">
        <v>370</v>
      </c>
      <c r="G5205" s="3" t="s">
        <v>20</v>
      </c>
      <c r="H5205" s="2" t="s">
        <v>21</v>
      </c>
      <c r="I5205" s="2" t="s">
        <v>10366</v>
      </c>
      <c r="J5205" s="3" t="str">
        <f>HYPERLINK("https://www.boe.es/gazeta/dias/1820/09/23/pdfs/GGB-1820-87.pdf#page=4","Abrir facsímil")</f>
        <v>Abrir facsímil</v>
      </c>
      <c r="K5205" s="3" t="s">
        <v>23</v>
      </c>
    </row>
    <row r="5206" spans="1:11" ht="42" customHeight="1">
      <c r="A5206" s="2" t="s">
        <v>10367</v>
      </c>
      <c r="B5206" s="2" t="s">
        <v>10368</v>
      </c>
      <c r="C5206" s="2" t="s">
        <v>17</v>
      </c>
      <c r="D5206" s="2" t="s">
        <v>18</v>
      </c>
      <c r="E5206" s="5">
        <v>-29213</v>
      </c>
      <c r="F5206" s="3" t="s">
        <v>195</v>
      </c>
      <c r="G5206" s="3" t="s">
        <v>196</v>
      </c>
      <c r="H5206" s="2" t="s">
        <v>30</v>
      </c>
      <c r="I5206" s="2" t="s">
        <v>10369</v>
      </c>
      <c r="J5206" s="3" t="str">
        <f>HYPERLINK("https://www.boe.es/gazeta/dias/1820/01/06/pdfs/GMD-1820-3.pdf#page=11","Abrir facsímil")</f>
        <v>Abrir facsímil</v>
      </c>
      <c r="K5206" s="3" t="s">
        <v>32</v>
      </c>
    </row>
    <row r="5207" spans="1:11" ht="42" customHeight="1">
      <c r="A5207" s="2" t="s">
        <v>10370</v>
      </c>
      <c r="B5207" s="2" t="s">
        <v>10370</v>
      </c>
      <c r="C5207" s="2" t="s">
        <v>26</v>
      </c>
      <c r="D5207" s="2" t="s">
        <v>27</v>
      </c>
      <c r="E5207" s="5">
        <v>-28994</v>
      </c>
      <c r="F5207" s="3" t="s">
        <v>1612</v>
      </c>
      <c r="G5207" s="3" t="s">
        <v>20</v>
      </c>
      <c r="H5207" s="2" t="s">
        <v>21</v>
      </c>
      <c r="I5207" s="2" t="s">
        <v>10371</v>
      </c>
      <c r="J5207" s="3" t="str">
        <f>HYPERLINK("https://www.boe.es/gazeta/dias/1820/08/12/pdfs/GGB-1820-45.pdf#page=4","Abrir facsímil")</f>
        <v>Abrir facsímil</v>
      </c>
      <c r="K5207" s="3" t="s">
        <v>23</v>
      </c>
    </row>
    <row r="5208" spans="1:11" ht="42" customHeight="1">
      <c r="A5208" s="2" t="s">
        <v>10370</v>
      </c>
      <c r="B5208" s="2" t="s">
        <v>10370</v>
      </c>
      <c r="C5208" s="2" t="s">
        <v>35</v>
      </c>
      <c r="D5208" s="2" t="s">
        <v>36</v>
      </c>
      <c r="E5208" s="5">
        <v>-28917</v>
      </c>
      <c r="F5208" s="3" t="s">
        <v>19</v>
      </c>
      <c r="G5208" s="3" t="s">
        <v>20</v>
      </c>
      <c r="H5208" s="2" t="s">
        <v>21</v>
      </c>
      <c r="I5208" s="2" t="s">
        <v>10372</v>
      </c>
      <c r="J5208" s="3" t="str">
        <f>HYPERLINK("https://www.boe.es/gazeta/dias/1820/10/28/pdfs/GGB-1820-122.pdf#page=4","Abrir facsímil")</f>
        <v>Abrir facsímil</v>
      </c>
      <c r="K5208" s="3" t="s">
        <v>23</v>
      </c>
    </row>
    <row r="5209" spans="1:11" ht="42" customHeight="1">
      <c r="A5209" s="2" t="s">
        <v>10373</v>
      </c>
      <c r="B5209" s="2" t="s">
        <v>10373</v>
      </c>
      <c r="C5209" s="2" t="s">
        <v>111</v>
      </c>
      <c r="D5209" s="2" t="s">
        <v>18</v>
      </c>
      <c r="E5209" s="5">
        <v>-29190</v>
      </c>
      <c r="F5209" s="3" t="s">
        <v>537</v>
      </c>
      <c r="G5209" s="3" t="s">
        <v>128</v>
      </c>
      <c r="H5209" s="2" t="s">
        <v>21</v>
      </c>
      <c r="I5209" s="2" t="s">
        <v>10374</v>
      </c>
      <c r="J5209" s="3" t="str">
        <f>HYPERLINK("https://www.boe.es/gazeta/dias/1820/01/29/pdfs/GMD-1820-13.pdf#page=1","Abrir facsímil")</f>
        <v>Abrir facsímil</v>
      </c>
      <c r="K5209" s="3" t="s">
        <v>23</v>
      </c>
    </row>
    <row r="5210" spans="1:11" ht="42" customHeight="1">
      <c r="A5210" s="2" t="s">
        <v>10375</v>
      </c>
      <c r="B5210" s="2" t="s">
        <v>10376</v>
      </c>
      <c r="C5210" s="2" t="s">
        <v>74</v>
      </c>
      <c r="D5210" s="2" t="s">
        <v>18</v>
      </c>
      <c r="E5210" s="5">
        <v>-28991</v>
      </c>
      <c r="F5210" s="3" t="s">
        <v>213</v>
      </c>
      <c r="G5210" s="3" t="s">
        <v>62</v>
      </c>
      <c r="H5210" s="2" t="s">
        <v>21</v>
      </c>
      <c r="I5210" s="2" t="s">
        <v>10377</v>
      </c>
      <c r="J5210" s="3" t="str">
        <f>HYPERLINK("https://www.boe.es/gazeta/dias/1820/08/15/pdfs/GGB-1820-48.pdf#page=3","Abrir facsímil")</f>
        <v>Abrir facsímil</v>
      </c>
      <c r="K5210" s="3" t="s">
        <v>23</v>
      </c>
    </row>
    <row r="5211" spans="1:11" ht="42" customHeight="1">
      <c r="A5211" s="2" t="s">
        <v>10375</v>
      </c>
      <c r="B5211" s="2" t="s">
        <v>10376</v>
      </c>
      <c r="C5211" s="2" t="s">
        <v>17</v>
      </c>
      <c r="D5211" s="2" t="s">
        <v>18</v>
      </c>
      <c r="E5211" s="5">
        <v>-28909</v>
      </c>
      <c r="F5211" s="3" t="s">
        <v>278</v>
      </c>
      <c r="G5211" s="3" t="s">
        <v>62</v>
      </c>
      <c r="H5211" s="2" t="s">
        <v>21</v>
      </c>
      <c r="I5211" s="2" t="s">
        <v>10378</v>
      </c>
      <c r="J5211" s="3" t="str">
        <f>HYPERLINK("https://www.boe.es/gazeta/dias/1820/11/05/pdfs/GGB-1820-130.pdf#page=3","Abrir facsímil")</f>
        <v>Abrir facsímil</v>
      </c>
      <c r="K5211" s="3" t="s">
        <v>23</v>
      </c>
    </row>
    <row r="5212" spans="1:11" ht="42" customHeight="1">
      <c r="A5212" s="2" t="s">
        <v>10379</v>
      </c>
      <c r="B5212" s="2" t="s">
        <v>10379</v>
      </c>
      <c r="C5212" s="2" t="s">
        <v>35</v>
      </c>
      <c r="D5212" s="2" t="s">
        <v>36</v>
      </c>
      <c r="E5212" s="5">
        <v>-29015</v>
      </c>
      <c r="F5212" s="3" t="s">
        <v>359</v>
      </c>
      <c r="G5212" s="3" t="s">
        <v>43</v>
      </c>
      <c r="H5212" s="2" t="s">
        <v>21</v>
      </c>
      <c r="I5212" s="2" t="s">
        <v>10380</v>
      </c>
      <c r="J5212" s="3" t="str">
        <f>HYPERLINK("https://www.boe.es/gazeta/dias/1820/07/22/pdfs/GGB-1820-24.pdf#page=2","Abrir facsímil")</f>
        <v>Abrir facsímil</v>
      </c>
      <c r="K5212" s="3" t="s">
        <v>23</v>
      </c>
    </row>
    <row r="5213" spans="1:11" ht="42" customHeight="1">
      <c r="A5213" s="2" t="s">
        <v>10379</v>
      </c>
      <c r="B5213" s="2" t="s">
        <v>10379</v>
      </c>
      <c r="C5213" s="2" t="s">
        <v>26</v>
      </c>
      <c r="D5213" s="2" t="s">
        <v>27</v>
      </c>
      <c r="E5213" s="5">
        <v>-28933</v>
      </c>
      <c r="F5213" s="3" t="s">
        <v>720</v>
      </c>
      <c r="G5213" s="3" t="s">
        <v>20</v>
      </c>
      <c r="H5213" s="2" t="s">
        <v>21</v>
      </c>
      <c r="I5213" s="2" t="s">
        <v>10381</v>
      </c>
      <c r="J5213" s="3" t="str">
        <f>HYPERLINK("https://www.boe.es/gazeta/dias/1820/10/12/pdfs/GGB-1820-106.pdf#page=4","Abrir facsímil")</f>
        <v>Abrir facsímil</v>
      </c>
      <c r="K5213" s="3" t="s">
        <v>23</v>
      </c>
    </row>
    <row r="5214" spans="1:11" ht="42" customHeight="1">
      <c r="A5214" s="2" t="s">
        <v>10379</v>
      </c>
      <c r="B5214" s="2" t="s">
        <v>10379</v>
      </c>
      <c r="C5214" s="2" t="s">
        <v>74</v>
      </c>
      <c r="D5214" s="2" t="s">
        <v>18</v>
      </c>
      <c r="E5214" s="5">
        <v>-28931</v>
      </c>
      <c r="F5214" s="3" t="s">
        <v>724</v>
      </c>
      <c r="G5214" s="3" t="s">
        <v>725</v>
      </c>
      <c r="H5214" s="2" t="s">
        <v>21</v>
      </c>
      <c r="I5214" s="2" t="s">
        <v>10382</v>
      </c>
      <c r="J5214" s="3" t="str">
        <f>HYPERLINK("https://www.boe.es/gazeta/dias/1820/10/14/pdfs/GGB-1820-108.pdf#page=3","Abrir facsímil")</f>
        <v>Abrir facsímil</v>
      </c>
      <c r="K5214" s="3" t="s">
        <v>23</v>
      </c>
    </row>
    <row r="5215" spans="1:11" ht="42" customHeight="1">
      <c r="A5215" s="2" t="s">
        <v>10379</v>
      </c>
      <c r="B5215" s="2" t="s">
        <v>10379</v>
      </c>
      <c r="C5215" s="2" t="s">
        <v>26</v>
      </c>
      <c r="D5215" s="2" t="s">
        <v>27</v>
      </c>
      <c r="E5215" s="5">
        <v>-28922</v>
      </c>
      <c r="F5215" s="3" t="s">
        <v>735</v>
      </c>
      <c r="G5215" s="3" t="s">
        <v>62</v>
      </c>
      <c r="H5215" s="2" t="s">
        <v>21</v>
      </c>
      <c r="I5215" s="2" t="s">
        <v>10383</v>
      </c>
      <c r="J5215" s="3" t="str">
        <f>HYPERLINK("https://www.boe.es/gazeta/dias/1820/10/23/pdfs/GGB-1820-117.pdf#page=3","Abrir facsímil")</f>
        <v>Abrir facsímil</v>
      </c>
      <c r="K5215" s="3" t="s">
        <v>23</v>
      </c>
    </row>
    <row r="5216" spans="1:11" ht="42" customHeight="1">
      <c r="A5216" s="2" t="s">
        <v>10379</v>
      </c>
      <c r="B5216" s="2" t="s">
        <v>10379</v>
      </c>
      <c r="C5216" s="2" t="s">
        <v>26</v>
      </c>
      <c r="D5216" s="2" t="s">
        <v>27</v>
      </c>
      <c r="E5216" s="5">
        <v>-28905</v>
      </c>
      <c r="F5216" s="3" t="s">
        <v>749</v>
      </c>
      <c r="G5216" s="3" t="s">
        <v>62</v>
      </c>
      <c r="H5216" s="2" t="s">
        <v>21</v>
      </c>
      <c r="I5216" s="2" t="s">
        <v>10384</v>
      </c>
      <c r="J5216" s="3" t="str">
        <f>HYPERLINK("https://www.boe.es/gazeta/dias/1820/11/09/pdfs/GGB-1820-134.pdf#page=3","Abrir facsímil")</f>
        <v>Abrir facsímil</v>
      </c>
      <c r="K5216" s="3" t="s">
        <v>23</v>
      </c>
    </row>
    <row r="5217" spans="1:11" ht="42" customHeight="1">
      <c r="A5217" s="2" t="s">
        <v>10385</v>
      </c>
      <c r="B5217" s="2" t="s">
        <v>10385</v>
      </c>
      <c r="C5217" s="2" t="s">
        <v>26</v>
      </c>
      <c r="D5217" s="2" t="s">
        <v>27</v>
      </c>
      <c r="E5217" s="5">
        <v>-28967</v>
      </c>
      <c r="F5217" s="3" t="s">
        <v>238</v>
      </c>
      <c r="G5217" s="3" t="s">
        <v>675</v>
      </c>
      <c r="H5217" s="2" t="s">
        <v>21</v>
      </c>
      <c r="I5217" s="2" t="s">
        <v>10386</v>
      </c>
      <c r="J5217" s="3" t="str">
        <f>HYPERLINK("https://www.boe.es/gazeta/dias/1820/09/08/pdfs/GGB-1820-72.pdf#page=2","Abrir facsímil")</f>
        <v>Abrir facsímil</v>
      </c>
      <c r="K5217" s="3" t="s">
        <v>23</v>
      </c>
    </row>
    <row r="5218" spans="1:11" ht="42" customHeight="1">
      <c r="A5218" s="2" t="s">
        <v>10387</v>
      </c>
      <c r="B5218" s="2" t="s">
        <v>10387</v>
      </c>
      <c r="C5218" s="2" t="s">
        <v>35</v>
      </c>
      <c r="D5218" s="2" t="s">
        <v>36</v>
      </c>
      <c r="E5218" s="5">
        <v>-28991</v>
      </c>
      <c r="F5218" s="3" t="s">
        <v>213</v>
      </c>
      <c r="G5218" s="3" t="s">
        <v>62</v>
      </c>
      <c r="H5218" s="2" t="s">
        <v>21</v>
      </c>
      <c r="I5218" s="2" t="s">
        <v>10388</v>
      </c>
      <c r="J5218" s="3" t="str">
        <f>HYPERLINK("https://www.boe.es/gazeta/dias/1820/08/15/pdfs/GGB-1820-48.pdf#page=3","Abrir facsímil")</f>
        <v>Abrir facsímil</v>
      </c>
      <c r="K5218" s="3" t="s">
        <v>23</v>
      </c>
    </row>
    <row r="5219" spans="1:11" ht="42" customHeight="1">
      <c r="A5219" s="2" t="s">
        <v>10389</v>
      </c>
      <c r="B5219" s="2" t="s">
        <v>10390</v>
      </c>
      <c r="C5219" s="2" t="s">
        <v>26</v>
      </c>
      <c r="D5219" s="2" t="s">
        <v>27</v>
      </c>
      <c r="E5219" s="5">
        <v>-28865</v>
      </c>
      <c r="F5219" s="3" t="s">
        <v>136</v>
      </c>
      <c r="G5219" s="3" t="s">
        <v>137</v>
      </c>
      <c r="H5219" s="2" t="s">
        <v>21</v>
      </c>
      <c r="I5219" s="2" t="s">
        <v>10391</v>
      </c>
      <c r="J5219" s="3" t="str">
        <f>HYPERLINK("https://www.boe.es/gazeta/dias/1820/12/19/pdfs/GGB-1820-176.pdf#page=3","Abrir facsímil")</f>
        <v>Abrir facsímil</v>
      </c>
      <c r="K5219" s="3" t="s">
        <v>23</v>
      </c>
    </row>
    <row r="5220" spans="1:11" ht="42" customHeight="1">
      <c r="A5220" s="2" t="s">
        <v>10392</v>
      </c>
      <c r="B5220" s="2" t="s">
        <v>10393</v>
      </c>
      <c r="C5220" s="2" t="s">
        <v>35</v>
      </c>
      <c r="D5220" s="2" t="s">
        <v>36</v>
      </c>
      <c r="E5220" s="5">
        <v>-28975</v>
      </c>
      <c r="F5220" s="3" t="s">
        <v>182</v>
      </c>
      <c r="G5220" s="3" t="s">
        <v>62</v>
      </c>
      <c r="H5220" s="2" t="s">
        <v>21</v>
      </c>
      <c r="I5220" s="2" t="s">
        <v>10394</v>
      </c>
      <c r="J5220" s="3" t="str">
        <f>HYPERLINK("https://www.boe.es/gazeta/dias/1820/08/31/pdfs/GGB-1820-64.pdf#page=3","Abrir facsímil")</f>
        <v>Abrir facsímil</v>
      </c>
      <c r="K5220" s="3" t="s">
        <v>23</v>
      </c>
    </row>
    <row r="5221" spans="1:11" ht="42" customHeight="1">
      <c r="A5221" s="2" t="s">
        <v>10395</v>
      </c>
      <c r="B5221" s="2" t="s">
        <v>10396</v>
      </c>
      <c r="C5221" s="2" t="s">
        <v>107</v>
      </c>
      <c r="D5221" s="2" t="s">
        <v>18</v>
      </c>
      <c r="E5221" s="5">
        <v>-29190</v>
      </c>
      <c r="F5221" s="3" t="s">
        <v>537</v>
      </c>
      <c r="G5221" s="3" t="s">
        <v>295</v>
      </c>
      <c r="H5221" s="2" t="s">
        <v>21</v>
      </c>
      <c r="I5221" s="2" t="s">
        <v>10397</v>
      </c>
      <c r="J5221" s="3" t="str">
        <f>HYPERLINK("https://www.boe.es/gazeta/dias/1820/01/29/pdfs/GMD-1820-13.pdf#page=8","Abrir facsímil")</f>
        <v>Abrir facsímil</v>
      </c>
      <c r="K5221" s="3" t="s">
        <v>23</v>
      </c>
    </row>
    <row r="5222" spans="1:11" ht="42" customHeight="1">
      <c r="A5222" s="2" t="s">
        <v>10398</v>
      </c>
      <c r="B5222" s="2" t="s">
        <v>10399</v>
      </c>
      <c r="C5222" s="2" t="s">
        <v>35</v>
      </c>
      <c r="D5222" s="2" t="s">
        <v>36</v>
      </c>
      <c r="E5222" s="5">
        <v>-28973</v>
      </c>
      <c r="F5222" s="3" t="s">
        <v>151</v>
      </c>
      <c r="G5222" s="3" t="s">
        <v>43</v>
      </c>
      <c r="H5222" s="2" t="s">
        <v>21</v>
      </c>
      <c r="I5222" s="2" t="s">
        <v>10400</v>
      </c>
      <c r="J5222" s="3" t="str">
        <f>HYPERLINK("https://www.boe.es/gazeta/dias/1820/09/02/pdfs/GGB-1820-66.pdf#page=2","Abrir facsímil")</f>
        <v>Abrir facsímil</v>
      </c>
      <c r="K5222" s="3" t="s">
        <v>23</v>
      </c>
    </row>
    <row r="5223" spans="1:11" ht="42" customHeight="1">
      <c r="A5223" s="2" t="s">
        <v>10401</v>
      </c>
      <c r="B5223" s="2" t="s">
        <v>10402</v>
      </c>
      <c r="C5223" s="2" t="s">
        <v>35</v>
      </c>
      <c r="D5223" s="2" t="s">
        <v>36</v>
      </c>
      <c r="E5223" s="5">
        <v>-29215</v>
      </c>
      <c r="F5223" s="3" t="s">
        <v>827</v>
      </c>
      <c r="G5223" s="3" t="s">
        <v>256</v>
      </c>
      <c r="H5223" s="2" t="s">
        <v>21</v>
      </c>
      <c r="I5223" s="2" t="s">
        <v>10403</v>
      </c>
      <c r="J5223" s="3" t="str">
        <f>HYPERLINK("https://www.boe.es/gazeta/dias/1820/01/04/pdfs/GMD-1820-2.pdf#page=5","Abrir facsímil")</f>
        <v>Abrir facsímil</v>
      </c>
      <c r="K5223" s="3" t="s">
        <v>23</v>
      </c>
    </row>
    <row r="5224" spans="1:11" ht="42" customHeight="1">
      <c r="A5224" s="2" t="s">
        <v>10404</v>
      </c>
      <c r="B5224" s="2" t="s">
        <v>10405</v>
      </c>
      <c r="C5224" s="2" t="s">
        <v>26</v>
      </c>
      <c r="D5224" s="2" t="s">
        <v>27</v>
      </c>
      <c r="E5224" s="5">
        <v>-28908</v>
      </c>
      <c r="F5224" s="3" t="s">
        <v>1060</v>
      </c>
      <c r="G5224" s="3" t="s">
        <v>43</v>
      </c>
      <c r="H5224" s="2" t="s">
        <v>21</v>
      </c>
      <c r="I5224" s="2" t="s">
        <v>10406</v>
      </c>
      <c r="J5224" s="3" t="str">
        <f>HYPERLINK("https://www.boe.es/gazeta/dias/1820/11/06/pdfs/GGB-1820-131.pdf#page=2","Abrir facsímil")</f>
        <v>Abrir facsímil</v>
      </c>
      <c r="K5224" s="3" t="s">
        <v>23</v>
      </c>
    </row>
    <row r="5225" spans="1:11" ht="42" customHeight="1">
      <c r="A5225" s="2" t="s">
        <v>10407</v>
      </c>
      <c r="B5225" s="2" t="s">
        <v>10408</v>
      </c>
      <c r="C5225" s="2" t="s">
        <v>26</v>
      </c>
      <c r="D5225" s="2" t="s">
        <v>27</v>
      </c>
      <c r="E5225" s="5">
        <v>-29029</v>
      </c>
      <c r="F5225" s="3" t="s">
        <v>282</v>
      </c>
      <c r="G5225" s="3" t="s">
        <v>20</v>
      </c>
      <c r="H5225" s="2" t="s">
        <v>21</v>
      </c>
      <c r="I5225" s="2" t="s">
        <v>10409</v>
      </c>
      <c r="J5225" s="3" t="str">
        <f>HYPERLINK("https://www.boe.es/gazeta/dias/1820/07/08/pdfs/GGB-1820-9.pdf#page=4","Abrir facsímil")</f>
        <v>Abrir facsímil</v>
      </c>
      <c r="K5225" s="3" t="s">
        <v>23</v>
      </c>
    </row>
    <row r="5226" spans="1:11" ht="42" customHeight="1">
      <c r="A5226" s="2" t="s">
        <v>10410</v>
      </c>
      <c r="B5226" s="2" t="s">
        <v>10410</v>
      </c>
      <c r="C5226" s="2" t="s">
        <v>26</v>
      </c>
      <c r="D5226" s="2" t="s">
        <v>27</v>
      </c>
      <c r="E5226" s="5">
        <v>-29159</v>
      </c>
      <c r="F5226" s="3" t="s">
        <v>1022</v>
      </c>
      <c r="G5226" s="3" t="s">
        <v>1023</v>
      </c>
      <c r="H5226" s="2" t="s">
        <v>21</v>
      </c>
      <c r="I5226" s="2" t="s">
        <v>10411</v>
      </c>
      <c r="J5226" s="3" t="str">
        <f>HYPERLINK("https://www.boe.es/gazeta/dias/1820/02/29/pdfs/GMD-1820-26.pdf#page=4","Abrir facsímil")</f>
        <v>Abrir facsímil</v>
      </c>
      <c r="K5226" s="3" t="s">
        <v>23</v>
      </c>
    </row>
    <row r="5227" spans="1:11" ht="42" customHeight="1">
      <c r="A5227" s="2" t="s">
        <v>10412</v>
      </c>
      <c r="B5227" s="2" t="s">
        <v>10413</v>
      </c>
      <c r="C5227" s="2" t="s">
        <v>26</v>
      </c>
      <c r="D5227" s="2" t="s">
        <v>27</v>
      </c>
      <c r="E5227" s="5">
        <v>-29082</v>
      </c>
      <c r="F5227" s="3" t="s">
        <v>478</v>
      </c>
      <c r="G5227" s="3" t="s">
        <v>38</v>
      </c>
      <c r="H5227" s="2" t="s">
        <v>21</v>
      </c>
      <c r="I5227" s="2" t="s">
        <v>10414</v>
      </c>
      <c r="J5227" s="3" t="str">
        <f>HYPERLINK("https://www.boe.es/gazeta/dias/1820/05/16/pdfs/GMD-1820-80.pdf#page=6","Abrir facsímil")</f>
        <v>Abrir facsímil</v>
      </c>
      <c r="K5227" s="3" t="s">
        <v>23</v>
      </c>
    </row>
    <row r="5228" spans="1:11" ht="42" customHeight="1">
      <c r="A5228" s="2" t="s">
        <v>10412</v>
      </c>
      <c r="B5228" s="2" t="s">
        <v>10413</v>
      </c>
      <c r="C5228" s="2" t="s">
        <v>26</v>
      </c>
      <c r="D5228" s="2" t="s">
        <v>27</v>
      </c>
      <c r="E5228" s="5">
        <v>-28977</v>
      </c>
      <c r="F5228" s="3" t="s">
        <v>687</v>
      </c>
      <c r="G5228" s="3" t="s">
        <v>62</v>
      </c>
      <c r="H5228" s="2" t="s">
        <v>21</v>
      </c>
      <c r="I5228" s="2" t="s">
        <v>10415</v>
      </c>
      <c r="J5228" s="3" t="str">
        <f>HYPERLINK("https://www.boe.es/gazeta/dias/1820/08/29/pdfs/GGB-1820-62.pdf#page=3","Abrir facsímil")</f>
        <v>Abrir facsímil</v>
      </c>
      <c r="K5228" s="3" t="s">
        <v>23</v>
      </c>
    </row>
    <row r="5229" spans="1:11" ht="42" customHeight="1">
      <c r="A5229" s="2" t="s">
        <v>10416</v>
      </c>
      <c r="B5229" s="2" t="s">
        <v>10417</v>
      </c>
      <c r="C5229" s="2" t="s">
        <v>35</v>
      </c>
      <c r="D5229" s="2" t="s">
        <v>36</v>
      </c>
      <c r="E5229" s="5">
        <v>-29159</v>
      </c>
      <c r="F5229" s="3" t="s">
        <v>1022</v>
      </c>
      <c r="G5229" s="3" t="s">
        <v>3766</v>
      </c>
      <c r="H5229" s="2" t="s">
        <v>21</v>
      </c>
      <c r="I5229" s="2" t="s">
        <v>10418</v>
      </c>
      <c r="J5229" s="3" t="str">
        <f>HYPERLINK("https://www.boe.es/gazeta/dias/1820/02/29/pdfs/GMD-1820-26.pdf#page=8","Abrir facsímil")</f>
        <v>Abrir facsímil</v>
      </c>
      <c r="K5229" s="3" t="s">
        <v>23</v>
      </c>
    </row>
    <row r="5230" spans="1:11" ht="42" customHeight="1">
      <c r="A5230" s="2" t="s">
        <v>10419</v>
      </c>
      <c r="B5230" s="2" t="s">
        <v>10419</v>
      </c>
      <c r="C5230" s="2" t="s">
        <v>26</v>
      </c>
      <c r="D5230" s="2" t="s">
        <v>27</v>
      </c>
      <c r="E5230" s="5">
        <v>-28960</v>
      </c>
      <c r="F5230" s="3" t="s">
        <v>704</v>
      </c>
      <c r="G5230" s="3" t="s">
        <v>62</v>
      </c>
      <c r="H5230" s="2" t="s">
        <v>21</v>
      </c>
      <c r="I5230" s="2" t="s">
        <v>10420</v>
      </c>
      <c r="J5230" s="3" t="str">
        <f>HYPERLINK("https://www.boe.es/gazeta/dias/1820/09/15/pdfs/GGB-1820-79.pdf#page=3","Abrir facsímil")</f>
        <v>Abrir facsímil</v>
      </c>
      <c r="K5230" s="3" t="s">
        <v>23</v>
      </c>
    </row>
    <row r="5231" spans="1:11" ht="42" customHeight="1">
      <c r="A5231" s="2" t="s">
        <v>10421</v>
      </c>
      <c r="B5231" s="2" t="s">
        <v>10421</v>
      </c>
      <c r="C5231" s="2" t="s">
        <v>17</v>
      </c>
      <c r="D5231" s="2" t="s">
        <v>18</v>
      </c>
      <c r="E5231" s="5">
        <v>-28994</v>
      </c>
      <c r="F5231" s="3" t="s">
        <v>1612</v>
      </c>
      <c r="G5231" s="3" t="s">
        <v>62</v>
      </c>
      <c r="H5231" s="2" t="s">
        <v>21</v>
      </c>
      <c r="I5231" s="2" t="s">
        <v>10422</v>
      </c>
      <c r="J5231" s="3" t="str">
        <f>HYPERLINK("https://www.boe.es/gazeta/dias/1820/08/12/pdfs/GGB-1820-45.pdf#page=3","Abrir facsímil")</f>
        <v>Abrir facsímil</v>
      </c>
      <c r="K5231" s="3" t="s">
        <v>23</v>
      </c>
    </row>
    <row r="5232" spans="1:11" ht="42" customHeight="1">
      <c r="A5232" s="2" t="s">
        <v>10423</v>
      </c>
      <c r="B5232" s="2" t="s">
        <v>10423</v>
      </c>
      <c r="C5232" s="2" t="s">
        <v>74</v>
      </c>
      <c r="D5232" s="2" t="s">
        <v>18</v>
      </c>
      <c r="E5232" s="5">
        <v>-29026</v>
      </c>
      <c r="F5232" s="3" t="s">
        <v>1197</v>
      </c>
      <c r="G5232" s="3" t="s">
        <v>62</v>
      </c>
      <c r="H5232" s="2" t="s">
        <v>21</v>
      </c>
      <c r="I5232" s="2" t="s">
        <v>10424</v>
      </c>
      <c r="J5232" s="3" t="str">
        <f>HYPERLINK("https://www.boe.es/gazeta/dias/1820/07/11/pdfs/GGB-1820-13.pdf#page=3","Abrir facsímil")</f>
        <v>Abrir facsímil</v>
      </c>
      <c r="K5232" s="3" t="s">
        <v>23</v>
      </c>
    </row>
    <row r="5233" spans="1:11" ht="42" customHeight="1">
      <c r="A5233" s="2" t="s">
        <v>10423</v>
      </c>
      <c r="B5233" s="2" t="s">
        <v>10423</v>
      </c>
      <c r="C5233" s="2" t="s">
        <v>17</v>
      </c>
      <c r="D5233" s="2" t="s">
        <v>18</v>
      </c>
      <c r="E5233" s="5">
        <v>-29013</v>
      </c>
      <c r="F5233" s="3" t="s">
        <v>52</v>
      </c>
      <c r="G5233" s="3" t="s">
        <v>53</v>
      </c>
      <c r="H5233" s="2" t="s">
        <v>21</v>
      </c>
      <c r="I5233" s="2" t="s">
        <v>10425</v>
      </c>
      <c r="J5233" s="3" t="str">
        <f>HYPERLINK("https://www.boe.es/gazeta/dias/1820/07/24/pdfs/GGB-1820-26.pdf#page=3","Abrir facsímil")</f>
        <v>Abrir facsímil</v>
      </c>
      <c r="K5233" s="3" t="s">
        <v>23</v>
      </c>
    </row>
    <row r="5234" spans="1:11" ht="42" customHeight="1">
      <c r="A5234" s="2" t="s">
        <v>10423</v>
      </c>
      <c r="B5234" s="2" t="s">
        <v>10423</v>
      </c>
      <c r="C5234" s="2" t="s">
        <v>74</v>
      </c>
      <c r="D5234" s="2" t="s">
        <v>18</v>
      </c>
      <c r="E5234" s="5">
        <v>-29012</v>
      </c>
      <c r="F5234" s="3" t="s">
        <v>72</v>
      </c>
      <c r="G5234" s="3" t="s">
        <v>62</v>
      </c>
      <c r="H5234" s="2" t="s">
        <v>21</v>
      </c>
      <c r="I5234" s="2" t="s">
        <v>10426</v>
      </c>
      <c r="J5234" s="3" t="str">
        <f>HYPERLINK("https://www.boe.es/gazeta/dias/1820/07/25/pdfs/GGB-1820-27.pdf#page=3","Abrir facsímil")</f>
        <v>Abrir facsímil</v>
      </c>
      <c r="K5234" s="3" t="s">
        <v>23</v>
      </c>
    </row>
    <row r="5235" spans="1:11" ht="42" customHeight="1">
      <c r="A5235" s="2" t="s">
        <v>10423</v>
      </c>
      <c r="B5235" s="2" t="s">
        <v>10423</v>
      </c>
      <c r="C5235" s="2" t="s">
        <v>35</v>
      </c>
      <c r="D5235" s="2" t="s">
        <v>36</v>
      </c>
      <c r="E5235" s="5">
        <v>-29010</v>
      </c>
      <c r="F5235" s="3" t="s">
        <v>664</v>
      </c>
      <c r="G5235" s="3" t="s">
        <v>773</v>
      </c>
      <c r="H5235" s="2" t="s">
        <v>21</v>
      </c>
      <c r="I5235" s="2" t="s">
        <v>10427</v>
      </c>
      <c r="J5235" s="3" t="str">
        <f>HYPERLINK("https://www.boe.es/gazeta/dias/1820/07/27/pdfs/GGB-1820-29.pdf#page=4","Abrir facsímil")</f>
        <v>Abrir facsímil</v>
      </c>
      <c r="K5235" s="3" t="s">
        <v>23</v>
      </c>
    </row>
    <row r="5236" spans="1:11" ht="42" customHeight="1">
      <c r="A5236" s="2" t="s">
        <v>10423</v>
      </c>
      <c r="B5236" s="2" t="s">
        <v>10423</v>
      </c>
      <c r="C5236" s="2" t="s">
        <v>35</v>
      </c>
      <c r="D5236" s="2" t="s">
        <v>36</v>
      </c>
      <c r="E5236" s="5">
        <v>-29010</v>
      </c>
      <c r="F5236" s="3" t="s">
        <v>664</v>
      </c>
      <c r="G5236" s="3" t="s">
        <v>62</v>
      </c>
      <c r="H5236" s="2" t="s">
        <v>21</v>
      </c>
      <c r="I5236" s="2" t="s">
        <v>10428</v>
      </c>
      <c r="J5236" s="3" t="str">
        <f>HYPERLINK("https://www.boe.es/gazeta/dias/1820/07/27/pdfs/GGB-1820-29.pdf#page=3","Abrir facsímil")</f>
        <v>Abrir facsímil</v>
      </c>
      <c r="K5236" s="3" t="s">
        <v>23</v>
      </c>
    </row>
    <row r="5237" spans="1:11" ht="42" customHeight="1">
      <c r="A5237" s="2" t="s">
        <v>10423</v>
      </c>
      <c r="B5237" s="2" t="s">
        <v>10423</v>
      </c>
      <c r="C5237" s="2" t="s">
        <v>35</v>
      </c>
      <c r="D5237" s="2" t="s">
        <v>36</v>
      </c>
      <c r="E5237" s="5">
        <v>-29007</v>
      </c>
      <c r="F5237" s="3" t="s">
        <v>251</v>
      </c>
      <c r="G5237" s="3" t="s">
        <v>20</v>
      </c>
      <c r="H5237" s="2" t="s">
        <v>21</v>
      </c>
      <c r="I5237" s="2" t="s">
        <v>10429</v>
      </c>
      <c r="J5237" s="3" t="str">
        <f>HYPERLINK("https://www.boe.es/gazeta/dias/1820/07/30/pdfs/GGB-1820-32.pdf#page=4","Abrir facsímil")</f>
        <v>Abrir facsímil</v>
      </c>
      <c r="K5237" s="3" t="s">
        <v>23</v>
      </c>
    </row>
    <row r="5238" spans="1:11" ht="42" customHeight="1">
      <c r="A5238" s="2" t="s">
        <v>10423</v>
      </c>
      <c r="B5238" s="2" t="s">
        <v>10423</v>
      </c>
      <c r="C5238" s="2" t="s">
        <v>293</v>
      </c>
      <c r="D5238" s="2" t="s">
        <v>18</v>
      </c>
      <c r="E5238" s="5">
        <v>-29006</v>
      </c>
      <c r="F5238" s="3" t="s">
        <v>609</v>
      </c>
      <c r="G5238" s="3" t="s">
        <v>43</v>
      </c>
      <c r="H5238" s="2" t="s">
        <v>21</v>
      </c>
      <c r="I5238" s="2" t="s">
        <v>10430</v>
      </c>
      <c r="J5238" s="3" t="str">
        <f>HYPERLINK("https://www.boe.es/gazeta/dias/1820/07/31/pdfs/GGB-1820-33.pdf#page=2","Abrir facsímil")</f>
        <v>Abrir facsímil</v>
      </c>
      <c r="K5238" s="3" t="s">
        <v>23</v>
      </c>
    </row>
    <row r="5239" spans="1:11" ht="42" customHeight="1">
      <c r="A5239" s="2" t="s">
        <v>10423</v>
      </c>
      <c r="B5239" s="2" t="s">
        <v>10423</v>
      </c>
      <c r="C5239" s="2" t="s">
        <v>17</v>
      </c>
      <c r="D5239" s="2" t="s">
        <v>18</v>
      </c>
      <c r="E5239" s="5">
        <v>-29003</v>
      </c>
      <c r="F5239" s="3" t="s">
        <v>340</v>
      </c>
      <c r="G5239" s="3" t="s">
        <v>43</v>
      </c>
      <c r="H5239" s="2" t="s">
        <v>21</v>
      </c>
      <c r="I5239" s="2" t="s">
        <v>10431</v>
      </c>
      <c r="J5239" s="3" t="str">
        <f>HYPERLINK("https://www.boe.es/gazeta/dias/1820/08/03/pdfs/GGB-1820-36.pdf#page=2","Abrir facsímil")</f>
        <v>Abrir facsímil</v>
      </c>
      <c r="K5239" s="3" t="s">
        <v>23</v>
      </c>
    </row>
    <row r="5240" spans="1:11" ht="42" customHeight="1">
      <c r="A5240" s="2" t="s">
        <v>10423</v>
      </c>
      <c r="B5240" s="2" t="s">
        <v>10423</v>
      </c>
      <c r="C5240" s="2" t="s">
        <v>35</v>
      </c>
      <c r="D5240" s="2" t="s">
        <v>36</v>
      </c>
      <c r="E5240" s="5">
        <v>-29002</v>
      </c>
      <c r="F5240" s="3" t="s">
        <v>124</v>
      </c>
      <c r="G5240" s="3" t="s">
        <v>62</v>
      </c>
      <c r="H5240" s="2" t="s">
        <v>21</v>
      </c>
      <c r="I5240" s="2" t="s">
        <v>10432</v>
      </c>
      <c r="J5240" s="3" t="str">
        <f>HYPERLINK("https://www.boe.es/gazeta/dias/1820/08/04/pdfs/GGB-1820-37.pdf#page=3","Abrir facsímil")</f>
        <v>Abrir facsímil</v>
      </c>
      <c r="K5240" s="3" t="s">
        <v>23</v>
      </c>
    </row>
    <row r="5241" spans="1:11" ht="42" customHeight="1">
      <c r="A5241" s="2" t="s">
        <v>10423</v>
      </c>
      <c r="B5241" s="2" t="s">
        <v>10423</v>
      </c>
      <c r="C5241" s="2" t="s">
        <v>17</v>
      </c>
      <c r="D5241" s="2" t="s">
        <v>18</v>
      </c>
      <c r="E5241" s="5">
        <v>-29001</v>
      </c>
      <c r="F5241" s="3" t="s">
        <v>633</v>
      </c>
      <c r="G5241" s="3" t="s">
        <v>43</v>
      </c>
      <c r="H5241" s="2" t="s">
        <v>21</v>
      </c>
      <c r="I5241" s="2" t="s">
        <v>10433</v>
      </c>
      <c r="J5241" s="3" t="str">
        <f>HYPERLINK("https://www.boe.es/gazeta/dias/1820/08/05/pdfs/GGB-1820-38.pdf#page=2","Abrir facsímil")</f>
        <v>Abrir facsímil</v>
      </c>
      <c r="K5241" s="3" t="s">
        <v>23</v>
      </c>
    </row>
    <row r="5242" spans="1:11" ht="42" customHeight="1">
      <c r="A5242" s="2" t="s">
        <v>10423</v>
      </c>
      <c r="B5242" s="2" t="s">
        <v>10423</v>
      </c>
      <c r="C5242" s="2" t="s">
        <v>26</v>
      </c>
      <c r="D5242" s="2" t="s">
        <v>27</v>
      </c>
      <c r="E5242" s="5">
        <v>-29001</v>
      </c>
      <c r="F5242" s="3" t="s">
        <v>633</v>
      </c>
      <c r="G5242" s="3" t="s">
        <v>62</v>
      </c>
      <c r="H5242" s="2" t="s">
        <v>21</v>
      </c>
      <c r="I5242" s="2" t="s">
        <v>10434</v>
      </c>
      <c r="J5242" s="3" t="str">
        <f>HYPERLINK("https://www.boe.es/gazeta/dias/1820/08/05/pdfs/GGB-1820-38.pdf#page=3","Abrir facsímil")</f>
        <v>Abrir facsímil</v>
      </c>
      <c r="K5242" s="3" t="s">
        <v>23</v>
      </c>
    </row>
    <row r="5243" spans="1:11" ht="42" customHeight="1">
      <c r="A5243" s="2" t="s">
        <v>10423</v>
      </c>
      <c r="B5243" s="2" t="s">
        <v>10423</v>
      </c>
      <c r="C5243" s="2" t="s">
        <v>17</v>
      </c>
      <c r="D5243" s="2" t="s">
        <v>18</v>
      </c>
      <c r="E5243" s="5">
        <v>-28999</v>
      </c>
      <c r="F5243" s="3" t="s">
        <v>342</v>
      </c>
      <c r="G5243" s="3" t="s">
        <v>62</v>
      </c>
      <c r="H5243" s="2" t="s">
        <v>21</v>
      </c>
      <c r="I5243" s="2" t="s">
        <v>10435</v>
      </c>
      <c r="J5243" s="3" t="str">
        <f>HYPERLINK("https://www.boe.es/gazeta/dias/1820/08/07/pdfs/GGB-1820-40.pdf#page=3","Abrir facsímil")</f>
        <v>Abrir facsímil</v>
      </c>
      <c r="K5243" s="3" t="s">
        <v>23</v>
      </c>
    </row>
    <row r="5244" spans="1:11" ht="42" customHeight="1">
      <c r="A5244" s="2" t="s">
        <v>10423</v>
      </c>
      <c r="B5244" s="2" t="s">
        <v>10423</v>
      </c>
      <c r="C5244" s="2" t="s">
        <v>26</v>
      </c>
      <c r="D5244" s="2" t="s">
        <v>27</v>
      </c>
      <c r="E5244" s="5">
        <v>-28994</v>
      </c>
      <c r="F5244" s="3" t="s">
        <v>1612</v>
      </c>
      <c r="G5244" s="3" t="s">
        <v>62</v>
      </c>
      <c r="H5244" s="2" t="s">
        <v>21</v>
      </c>
      <c r="I5244" s="2" t="s">
        <v>10436</v>
      </c>
      <c r="J5244" s="3" t="str">
        <f>HYPERLINK("https://www.boe.es/gazeta/dias/1820/08/12/pdfs/GGB-1820-45.pdf#page=3","Abrir facsímil")</f>
        <v>Abrir facsímil</v>
      </c>
      <c r="K5244" s="3" t="s">
        <v>23</v>
      </c>
    </row>
    <row r="5245" spans="1:11" ht="42" customHeight="1">
      <c r="A5245" s="2" t="s">
        <v>10423</v>
      </c>
      <c r="B5245" s="2" t="s">
        <v>10423</v>
      </c>
      <c r="C5245" s="2" t="s">
        <v>74</v>
      </c>
      <c r="D5245" s="2" t="s">
        <v>18</v>
      </c>
      <c r="E5245" s="5">
        <v>-28993</v>
      </c>
      <c r="F5245" s="3" t="s">
        <v>465</v>
      </c>
      <c r="G5245" s="3" t="s">
        <v>62</v>
      </c>
      <c r="H5245" s="2" t="s">
        <v>21</v>
      </c>
      <c r="I5245" s="2" t="s">
        <v>10437</v>
      </c>
      <c r="J5245" s="3" t="str">
        <f>HYPERLINK("https://www.boe.es/gazeta/dias/1820/08/13/pdfs/GGB-1820-46.pdf#page=3","Abrir facsímil")</f>
        <v>Abrir facsímil</v>
      </c>
      <c r="K5245" s="3" t="s">
        <v>23</v>
      </c>
    </row>
    <row r="5246" spans="1:11" ht="42" customHeight="1">
      <c r="A5246" s="2" t="s">
        <v>10423</v>
      </c>
      <c r="B5246" s="2" t="s">
        <v>10423</v>
      </c>
      <c r="C5246" s="2" t="s">
        <v>74</v>
      </c>
      <c r="D5246" s="2" t="s">
        <v>18</v>
      </c>
      <c r="E5246" s="5">
        <v>-28990</v>
      </c>
      <c r="F5246" s="3" t="s">
        <v>61</v>
      </c>
      <c r="G5246" s="3" t="s">
        <v>62</v>
      </c>
      <c r="H5246" s="2" t="s">
        <v>21</v>
      </c>
      <c r="I5246" s="2" t="s">
        <v>10438</v>
      </c>
      <c r="J5246" s="3" t="str">
        <f>HYPERLINK("https://www.boe.es/gazeta/dias/1820/08/16/pdfs/GGB-1820-49.pdf#page=3","Abrir facsímil")</f>
        <v>Abrir facsímil</v>
      </c>
      <c r="K5246" s="3" t="s">
        <v>23</v>
      </c>
    </row>
    <row r="5247" spans="1:11" ht="42" customHeight="1">
      <c r="A5247" s="2" t="s">
        <v>10423</v>
      </c>
      <c r="B5247" s="2" t="s">
        <v>10423</v>
      </c>
      <c r="C5247" s="2" t="s">
        <v>47</v>
      </c>
      <c r="D5247" s="2" t="s">
        <v>18</v>
      </c>
      <c r="E5247" s="5">
        <v>-28982</v>
      </c>
      <c r="F5247" s="3" t="s">
        <v>173</v>
      </c>
      <c r="G5247" s="3" t="s">
        <v>529</v>
      </c>
      <c r="H5247" s="2" t="s">
        <v>21</v>
      </c>
      <c r="I5247" s="2" t="s">
        <v>10439</v>
      </c>
      <c r="J5247" s="3" t="str">
        <f>HYPERLINK("https://www.boe.es/gazeta/dias/1820/08/24/pdfs/GGB-1820-57.pdf#page=4","Abrir facsímil")</f>
        <v>Abrir facsímil</v>
      </c>
      <c r="K5247" s="3" t="s">
        <v>23</v>
      </c>
    </row>
    <row r="5248" spans="1:11" ht="42" customHeight="1">
      <c r="A5248" s="2" t="s">
        <v>10423</v>
      </c>
      <c r="B5248" s="2" t="s">
        <v>10423</v>
      </c>
      <c r="C5248" s="2" t="s">
        <v>293</v>
      </c>
      <c r="D5248" s="2" t="s">
        <v>18</v>
      </c>
      <c r="E5248" s="5">
        <v>-28976</v>
      </c>
      <c r="F5248" s="3" t="s">
        <v>689</v>
      </c>
      <c r="G5248" s="3" t="s">
        <v>43</v>
      </c>
      <c r="H5248" s="2" t="s">
        <v>21</v>
      </c>
      <c r="I5248" s="2" t="s">
        <v>10440</v>
      </c>
      <c r="J5248" s="3" t="str">
        <f>HYPERLINK("https://www.boe.es/gazeta/dias/1820/08/30/pdfs/GGB-1820-63.pdf#page=2","Abrir facsímil")</f>
        <v>Abrir facsímil</v>
      </c>
      <c r="K5248" s="3" t="s">
        <v>23</v>
      </c>
    </row>
    <row r="5249" spans="1:11" ht="42" customHeight="1">
      <c r="A5249" s="2" t="s">
        <v>10423</v>
      </c>
      <c r="B5249" s="2" t="s">
        <v>10423</v>
      </c>
      <c r="C5249" s="2" t="s">
        <v>26</v>
      </c>
      <c r="D5249" s="2" t="s">
        <v>27</v>
      </c>
      <c r="E5249" s="5">
        <v>-28972</v>
      </c>
      <c r="F5249" s="3" t="s">
        <v>522</v>
      </c>
      <c r="G5249" s="3" t="s">
        <v>62</v>
      </c>
      <c r="H5249" s="2" t="s">
        <v>21</v>
      </c>
      <c r="I5249" s="2" t="s">
        <v>10441</v>
      </c>
      <c r="J5249" s="3" t="str">
        <f>HYPERLINK("https://www.boe.es/gazeta/dias/1820/09/03/pdfs/GGB-1820-67.pdf#page=3","Abrir facsímil")</f>
        <v>Abrir facsímil</v>
      </c>
      <c r="K5249" s="3" t="s">
        <v>23</v>
      </c>
    </row>
    <row r="5250" spans="1:11" ht="42" customHeight="1">
      <c r="A5250" s="2" t="s">
        <v>10423</v>
      </c>
      <c r="B5250" s="2" t="s">
        <v>10423</v>
      </c>
      <c r="C5250" s="2" t="s">
        <v>26</v>
      </c>
      <c r="D5250" s="2" t="s">
        <v>27</v>
      </c>
      <c r="E5250" s="5">
        <v>-28972</v>
      </c>
      <c r="F5250" s="3" t="s">
        <v>522</v>
      </c>
      <c r="G5250" s="3" t="s">
        <v>20</v>
      </c>
      <c r="H5250" s="2" t="s">
        <v>21</v>
      </c>
      <c r="I5250" s="2" t="s">
        <v>10442</v>
      </c>
      <c r="J5250" s="3" t="str">
        <f>HYPERLINK("https://www.boe.es/gazeta/dias/1820/09/03/pdfs/GGB-1820-67.pdf#page=4","Abrir facsímil")</f>
        <v>Abrir facsímil</v>
      </c>
      <c r="K5250" s="3" t="s">
        <v>23</v>
      </c>
    </row>
    <row r="5251" spans="1:11" ht="42" customHeight="1">
      <c r="A5251" s="2" t="s">
        <v>10423</v>
      </c>
      <c r="B5251" s="2" t="s">
        <v>10423</v>
      </c>
      <c r="C5251" s="2" t="s">
        <v>35</v>
      </c>
      <c r="D5251" s="2" t="s">
        <v>36</v>
      </c>
      <c r="E5251" s="5">
        <v>-28967</v>
      </c>
      <c r="F5251" s="3" t="s">
        <v>238</v>
      </c>
      <c r="G5251" s="3" t="s">
        <v>675</v>
      </c>
      <c r="H5251" s="2" t="s">
        <v>21</v>
      </c>
      <c r="I5251" s="2" t="s">
        <v>10443</v>
      </c>
      <c r="J5251" s="3" t="str">
        <f>HYPERLINK("https://www.boe.es/gazeta/dias/1820/09/08/pdfs/GGB-1820-72.pdf#page=2","Abrir facsímil")</f>
        <v>Abrir facsímil</v>
      </c>
      <c r="K5251" s="3" t="s">
        <v>23</v>
      </c>
    </row>
    <row r="5252" spans="1:11" ht="42" customHeight="1">
      <c r="A5252" s="2" t="s">
        <v>10423</v>
      </c>
      <c r="B5252" s="2" t="s">
        <v>10423</v>
      </c>
      <c r="C5252" s="2" t="s">
        <v>26</v>
      </c>
      <c r="D5252" s="2" t="s">
        <v>27</v>
      </c>
      <c r="E5252" s="5">
        <v>-28967</v>
      </c>
      <c r="F5252" s="3" t="s">
        <v>238</v>
      </c>
      <c r="G5252" s="3" t="s">
        <v>62</v>
      </c>
      <c r="H5252" s="2" t="s">
        <v>21</v>
      </c>
      <c r="I5252" s="2" t="s">
        <v>10444</v>
      </c>
      <c r="J5252" s="3" t="str">
        <f>HYPERLINK("https://www.boe.es/gazeta/dias/1820/09/08/pdfs/GGB-1820-72.pdf#page=3","Abrir facsímil")</f>
        <v>Abrir facsímil</v>
      </c>
      <c r="K5252" s="3" t="s">
        <v>23</v>
      </c>
    </row>
    <row r="5253" spans="1:11" ht="42" customHeight="1">
      <c r="A5253" s="2" t="s">
        <v>10423</v>
      </c>
      <c r="B5253" s="2" t="s">
        <v>10423</v>
      </c>
      <c r="C5253" s="2" t="s">
        <v>26</v>
      </c>
      <c r="D5253" s="2" t="s">
        <v>27</v>
      </c>
      <c r="E5253" s="5">
        <v>-28967</v>
      </c>
      <c r="F5253" s="3" t="s">
        <v>238</v>
      </c>
      <c r="G5253" s="3" t="s">
        <v>256</v>
      </c>
      <c r="H5253" s="2" t="s">
        <v>21</v>
      </c>
      <c r="I5253" s="2" t="s">
        <v>10445</v>
      </c>
      <c r="J5253" s="3" t="str">
        <f>HYPERLINK("https://www.boe.es/gazeta/dias/1820/09/08/pdfs/GGB-1820-72.pdf#page=5","Abrir facsímil")</f>
        <v>Abrir facsímil</v>
      </c>
      <c r="K5253" s="3" t="s">
        <v>23</v>
      </c>
    </row>
    <row r="5254" spans="1:11" ht="42" customHeight="1">
      <c r="A5254" s="2" t="s">
        <v>10423</v>
      </c>
      <c r="B5254" s="2" t="s">
        <v>10423</v>
      </c>
      <c r="C5254" s="2" t="s">
        <v>17</v>
      </c>
      <c r="D5254" s="2" t="s">
        <v>18</v>
      </c>
      <c r="E5254" s="5">
        <v>-28965</v>
      </c>
      <c r="F5254" s="3" t="s">
        <v>1520</v>
      </c>
      <c r="G5254" s="3" t="s">
        <v>62</v>
      </c>
      <c r="H5254" s="2" t="s">
        <v>21</v>
      </c>
      <c r="I5254" s="2" t="s">
        <v>10446</v>
      </c>
      <c r="J5254" s="3" t="str">
        <f>HYPERLINK("https://www.boe.es/gazeta/dias/1820/09/10/pdfs/GGB-1820-74.pdf#page=3","Abrir facsímil")</f>
        <v>Abrir facsímil</v>
      </c>
      <c r="K5254" s="3" t="s">
        <v>23</v>
      </c>
    </row>
    <row r="5255" spans="1:11" ht="42" customHeight="1">
      <c r="A5255" s="2" t="s">
        <v>10423</v>
      </c>
      <c r="B5255" s="2" t="s">
        <v>10423</v>
      </c>
      <c r="C5255" s="2" t="s">
        <v>26</v>
      </c>
      <c r="D5255" s="2" t="s">
        <v>27</v>
      </c>
      <c r="E5255" s="5">
        <v>-28964</v>
      </c>
      <c r="F5255" s="3" t="s">
        <v>240</v>
      </c>
      <c r="G5255" s="3" t="s">
        <v>43</v>
      </c>
      <c r="H5255" s="2" t="s">
        <v>21</v>
      </c>
      <c r="I5255" s="2" t="s">
        <v>10447</v>
      </c>
      <c r="J5255" s="3" t="str">
        <f>HYPERLINK("https://www.boe.es/gazeta/dias/1820/09/11/pdfs/GGB-1820-75.pdf#page=2","Abrir facsímil")</f>
        <v>Abrir facsímil</v>
      </c>
      <c r="K5255" s="3" t="s">
        <v>23</v>
      </c>
    </row>
    <row r="5256" spans="1:11" ht="42" customHeight="1">
      <c r="A5256" s="2" t="s">
        <v>10423</v>
      </c>
      <c r="B5256" s="2" t="s">
        <v>10423</v>
      </c>
      <c r="C5256" s="2" t="s">
        <v>35</v>
      </c>
      <c r="D5256" s="2" t="s">
        <v>36</v>
      </c>
      <c r="E5256" s="5">
        <v>-28960</v>
      </c>
      <c r="F5256" s="3" t="s">
        <v>704</v>
      </c>
      <c r="G5256" s="3" t="s">
        <v>43</v>
      </c>
      <c r="H5256" s="2" t="s">
        <v>21</v>
      </c>
      <c r="I5256" s="2" t="s">
        <v>10448</v>
      </c>
      <c r="J5256" s="3" t="str">
        <f>HYPERLINK("https://www.boe.es/gazeta/dias/1820/09/15/pdfs/GGB-1820-79.pdf#page=2","Abrir facsímil")</f>
        <v>Abrir facsímil</v>
      </c>
      <c r="K5256" s="3" t="s">
        <v>23</v>
      </c>
    </row>
    <row r="5257" spans="1:11" ht="42" customHeight="1">
      <c r="A5257" s="2" t="s">
        <v>10423</v>
      </c>
      <c r="B5257" s="2" t="s">
        <v>10423</v>
      </c>
      <c r="C5257" s="2" t="s">
        <v>47</v>
      </c>
      <c r="D5257" s="2" t="s">
        <v>18</v>
      </c>
      <c r="E5257" s="5">
        <v>-28959</v>
      </c>
      <c r="F5257" s="3" t="s">
        <v>37</v>
      </c>
      <c r="G5257" s="3" t="s">
        <v>38</v>
      </c>
      <c r="H5257" s="2" t="s">
        <v>21</v>
      </c>
      <c r="I5257" s="2" t="s">
        <v>10449</v>
      </c>
      <c r="J5257" s="3" t="str">
        <f>HYPERLINK("https://www.boe.es/gazeta/dias/1820/09/16/pdfs/GGB-1820-80.pdf#page=6","Abrir facsímil")</f>
        <v>Abrir facsímil</v>
      </c>
      <c r="K5257" s="3" t="s">
        <v>23</v>
      </c>
    </row>
    <row r="5258" spans="1:11" ht="42" customHeight="1">
      <c r="A5258" s="2" t="s">
        <v>10423</v>
      </c>
      <c r="B5258" s="2" t="s">
        <v>10423</v>
      </c>
      <c r="C5258" s="2" t="s">
        <v>26</v>
      </c>
      <c r="D5258" s="2" t="s">
        <v>27</v>
      </c>
      <c r="E5258" s="5">
        <v>-28958</v>
      </c>
      <c r="F5258" s="3" t="s">
        <v>706</v>
      </c>
      <c r="G5258" s="3" t="s">
        <v>43</v>
      </c>
      <c r="H5258" s="2" t="s">
        <v>21</v>
      </c>
      <c r="I5258" s="2" t="s">
        <v>10450</v>
      </c>
      <c r="J5258" s="3" t="str">
        <f>HYPERLINK("https://www.boe.es/gazeta/dias/1820/09/17/pdfs/GGB-1820-81.pdf#page=2","Abrir facsímil")</f>
        <v>Abrir facsímil</v>
      </c>
      <c r="K5258" s="3" t="s">
        <v>23</v>
      </c>
    </row>
    <row r="5259" spans="1:11" ht="42" customHeight="1">
      <c r="A5259" s="2" t="s">
        <v>10423</v>
      </c>
      <c r="B5259" s="2" t="s">
        <v>10423</v>
      </c>
      <c r="C5259" s="2" t="s">
        <v>17</v>
      </c>
      <c r="D5259" s="2" t="s">
        <v>18</v>
      </c>
      <c r="E5259" s="5">
        <v>-28958</v>
      </c>
      <c r="F5259" s="3" t="s">
        <v>706</v>
      </c>
      <c r="G5259" s="3" t="s">
        <v>62</v>
      </c>
      <c r="H5259" s="2" t="s">
        <v>21</v>
      </c>
      <c r="I5259" s="2" t="s">
        <v>10451</v>
      </c>
      <c r="J5259" s="3" t="str">
        <f>HYPERLINK("https://www.boe.es/gazeta/dias/1820/09/17/pdfs/GGB-1820-81.pdf#page=3","Abrir facsímil")</f>
        <v>Abrir facsímil</v>
      </c>
      <c r="K5259" s="3" t="s">
        <v>23</v>
      </c>
    </row>
    <row r="5260" spans="1:11" ht="42" customHeight="1">
      <c r="A5260" s="2" t="s">
        <v>10423</v>
      </c>
      <c r="B5260" s="2" t="s">
        <v>10423</v>
      </c>
      <c r="C5260" s="2" t="s">
        <v>107</v>
      </c>
      <c r="D5260" s="2" t="s">
        <v>18</v>
      </c>
      <c r="E5260" s="5">
        <v>-28957</v>
      </c>
      <c r="F5260" s="3" t="s">
        <v>361</v>
      </c>
      <c r="G5260" s="3" t="s">
        <v>43</v>
      </c>
      <c r="H5260" s="2" t="s">
        <v>21</v>
      </c>
      <c r="I5260" s="2" t="s">
        <v>10452</v>
      </c>
      <c r="J5260" s="3" t="str">
        <f>HYPERLINK("https://www.boe.es/gazeta/dias/1820/09/18/pdfs/GGB-1820-82.pdf#page=2","Abrir facsímil")</f>
        <v>Abrir facsímil</v>
      </c>
      <c r="K5260" s="3" t="s">
        <v>23</v>
      </c>
    </row>
    <row r="5261" spans="1:11" ht="42" customHeight="1">
      <c r="A5261" s="2" t="s">
        <v>10423</v>
      </c>
      <c r="B5261" s="2" t="s">
        <v>10423</v>
      </c>
      <c r="C5261" s="2" t="s">
        <v>26</v>
      </c>
      <c r="D5261" s="2" t="s">
        <v>27</v>
      </c>
      <c r="E5261" s="5">
        <v>-28955</v>
      </c>
      <c r="F5261" s="3" t="s">
        <v>175</v>
      </c>
      <c r="G5261" s="3" t="s">
        <v>62</v>
      </c>
      <c r="H5261" s="2" t="s">
        <v>21</v>
      </c>
      <c r="I5261" s="2" t="s">
        <v>10453</v>
      </c>
      <c r="J5261" s="3" t="str">
        <f>HYPERLINK("https://www.boe.es/gazeta/dias/1820/09/20/pdfs/GGB-1820-84.pdf#page=3","Abrir facsímil")</f>
        <v>Abrir facsímil</v>
      </c>
      <c r="K5261" s="3" t="s">
        <v>23</v>
      </c>
    </row>
    <row r="5262" spans="1:11" ht="42" customHeight="1">
      <c r="A5262" s="2" t="s">
        <v>10423</v>
      </c>
      <c r="B5262" s="2" t="s">
        <v>10423</v>
      </c>
      <c r="C5262" s="2" t="s">
        <v>35</v>
      </c>
      <c r="D5262" s="2" t="s">
        <v>36</v>
      </c>
      <c r="E5262" s="5">
        <v>-28948</v>
      </c>
      <c r="F5262" s="3" t="s">
        <v>1069</v>
      </c>
      <c r="G5262" s="3" t="s">
        <v>62</v>
      </c>
      <c r="H5262" s="2" t="s">
        <v>21</v>
      </c>
      <c r="I5262" s="2" t="s">
        <v>10454</v>
      </c>
      <c r="J5262" s="3" t="str">
        <f>HYPERLINK("https://www.boe.es/gazeta/dias/1820/09/27/pdfs/GGB-1820-91.pdf#page=3","Abrir facsímil")</f>
        <v>Abrir facsímil</v>
      </c>
      <c r="K5262" s="3" t="s">
        <v>23</v>
      </c>
    </row>
    <row r="5263" spans="1:11" ht="42" customHeight="1">
      <c r="A5263" s="2" t="s">
        <v>10423</v>
      </c>
      <c r="B5263" s="2" t="s">
        <v>10423</v>
      </c>
      <c r="C5263" s="2" t="s">
        <v>26</v>
      </c>
      <c r="D5263" s="2" t="s">
        <v>27</v>
      </c>
      <c r="E5263" s="5">
        <v>-28947</v>
      </c>
      <c r="F5263" s="3" t="s">
        <v>127</v>
      </c>
      <c r="G5263" s="3" t="s">
        <v>20</v>
      </c>
      <c r="H5263" s="2" t="s">
        <v>21</v>
      </c>
      <c r="I5263" s="2" t="s">
        <v>10455</v>
      </c>
      <c r="J5263" s="3" t="str">
        <f>HYPERLINK("https://www.boe.es/gazeta/dias/1820/09/28/pdfs/GGB-1820-92.pdf#page=4","Abrir facsímil")</f>
        <v>Abrir facsímil</v>
      </c>
      <c r="K5263" s="3" t="s">
        <v>23</v>
      </c>
    </row>
    <row r="5264" spans="1:11" ht="42" customHeight="1">
      <c r="A5264" s="2" t="s">
        <v>10423</v>
      </c>
      <c r="B5264" s="2" t="s">
        <v>10423</v>
      </c>
      <c r="C5264" s="2" t="s">
        <v>17</v>
      </c>
      <c r="D5264" s="2" t="s">
        <v>18</v>
      </c>
      <c r="E5264" s="5">
        <v>-28944</v>
      </c>
      <c r="F5264" s="3" t="s">
        <v>990</v>
      </c>
      <c r="G5264" s="3" t="s">
        <v>1174</v>
      </c>
      <c r="H5264" s="2" t="s">
        <v>21</v>
      </c>
      <c r="I5264" s="2" t="s">
        <v>10456</v>
      </c>
      <c r="J5264" s="3" t="str">
        <f>HYPERLINK("https://www.boe.es/gazeta/dias/1820/10/01/pdfs/GGB-1820-95.pdf#page=4","Abrir facsímil")</f>
        <v>Abrir facsímil</v>
      </c>
      <c r="K5264" s="3" t="s">
        <v>23</v>
      </c>
    </row>
    <row r="5265" spans="1:11" ht="42" customHeight="1">
      <c r="A5265" s="2" t="s">
        <v>10423</v>
      </c>
      <c r="B5265" s="2" t="s">
        <v>10423</v>
      </c>
      <c r="C5265" s="2" t="s">
        <v>74</v>
      </c>
      <c r="D5265" s="2" t="s">
        <v>18</v>
      </c>
      <c r="E5265" s="5">
        <v>-28942</v>
      </c>
      <c r="F5265" s="3" t="s">
        <v>244</v>
      </c>
      <c r="G5265" s="3" t="s">
        <v>62</v>
      </c>
      <c r="H5265" s="2" t="s">
        <v>21</v>
      </c>
      <c r="I5265" s="2" t="s">
        <v>10457</v>
      </c>
      <c r="J5265" s="3" t="str">
        <f>HYPERLINK("https://www.boe.es/gazeta/dias/1820/10/03/pdfs/GGB-1820-97.pdf#page=3","Abrir facsímil")</f>
        <v>Abrir facsímil</v>
      </c>
      <c r="K5265" s="3" t="s">
        <v>23</v>
      </c>
    </row>
    <row r="5266" spans="1:11" ht="42" customHeight="1">
      <c r="A5266" s="2" t="s">
        <v>10423</v>
      </c>
      <c r="B5266" s="2" t="s">
        <v>10423</v>
      </c>
      <c r="C5266" s="2" t="s">
        <v>17</v>
      </c>
      <c r="D5266" s="2" t="s">
        <v>18</v>
      </c>
      <c r="E5266" s="5">
        <v>-28941</v>
      </c>
      <c r="F5266" s="3" t="s">
        <v>1727</v>
      </c>
      <c r="G5266" s="3" t="s">
        <v>62</v>
      </c>
      <c r="H5266" s="2" t="s">
        <v>21</v>
      </c>
      <c r="I5266" s="2" t="s">
        <v>10458</v>
      </c>
      <c r="J5266" s="3" t="str">
        <f>HYPERLINK("https://www.boe.es/gazeta/dias/1820/10/04/pdfs/GGB-1820-98.pdf#page=3","Abrir facsímil")</f>
        <v>Abrir facsímil</v>
      </c>
      <c r="K5266" s="3" t="s">
        <v>23</v>
      </c>
    </row>
    <row r="5267" spans="1:11" ht="42" customHeight="1">
      <c r="A5267" s="2" t="s">
        <v>10423</v>
      </c>
      <c r="B5267" s="2" t="s">
        <v>10423</v>
      </c>
      <c r="C5267" s="2" t="s">
        <v>26</v>
      </c>
      <c r="D5267" s="2" t="s">
        <v>27</v>
      </c>
      <c r="E5267" s="5">
        <v>-28939</v>
      </c>
      <c r="F5267" s="3" t="s">
        <v>992</v>
      </c>
      <c r="G5267" s="3" t="s">
        <v>62</v>
      </c>
      <c r="H5267" s="2" t="s">
        <v>21</v>
      </c>
      <c r="I5267" s="2" t="s">
        <v>10459</v>
      </c>
      <c r="J5267" s="3" t="str">
        <f>HYPERLINK("https://www.boe.es/gazeta/dias/1820/10/06/pdfs/GGB-1820-100.pdf#page=3","Abrir facsímil")</f>
        <v>Abrir facsímil</v>
      </c>
      <c r="K5267" s="3" t="s">
        <v>23</v>
      </c>
    </row>
    <row r="5268" spans="1:11" ht="42" customHeight="1">
      <c r="A5268" s="2" t="s">
        <v>10423</v>
      </c>
      <c r="B5268" s="2" t="s">
        <v>10423</v>
      </c>
      <c r="C5268" s="2" t="s">
        <v>26</v>
      </c>
      <c r="D5268" s="2" t="s">
        <v>27</v>
      </c>
      <c r="E5268" s="5">
        <v>-28935</v>
      </c>
      <c r="F5268" s="3" t="s">
        <v>2464</v>
      </c>
      <c r="G5268" s="3" t="s">
        <v>43</v>
      </c>
      <c r="H5268" s="2" t="s">
        <v>21</v>
      </c>
      <c r="I5268" s="2" t="s">
        <v>10460</v>
      </c>
      <c r="J5268" s="3" t="str">
        <f>HYPERLINK("https://www.boe.es/gazeta/dias/1820/10/10/pdfs/GGB-1820-104.pdf#page=2","Abrir facsímil")</f>
        <v>Abrir facsímil</v>
      </c>
      <c r="K5268" s="3" t="s">
        <v>23</v>
      </c>
    </row>
    <row r="5269" spans="1:11" ht="42" customHeight="1">
      <c r="A5269" s="2" t="s">
        <v>10423</v>
      </c>
      <c r="B5269" s="2" t="s">
        <v>10423</v>
      </c>
      <c r="C5269" s="2" t="s">
        <v>26</v>
      </c>
      <c r="D5269" s="2" t="s">
        <v>27</v>
      </c>
      <c r="E5269" s="5">
        <v>-28925</v>
      </c>
      <c r="F5269" s="3" t="s">
        <v>228</v>
      </c>
      <c r="G5269" s="3" t="s">
        <v>128</v>
      </c>
      <c r="H5269" s="2" t="s">
        <v>21</v>
      </c>
      <c r="I5269" s="2" t="s">
        <v>10461</v>
      </c>
      <c r="J5269" s="3" t="str">
        <f>HYPERLINK("https://www.boe.es/gazeta/dias/1820/10/20/pdfs/GGB-1820-114.pdf#page=1","Abrir facsímil")</f>
        <v>Abrir facsímil</v>
      </c>
      <c r="K5269" s="3" t="s">
        <v>23</v>
      </c>
    </row>
    <row r="5270" spans="1:11" ht="42" customHeight="1">
      <c r="A5270" s="2" t="s">
        <v>10423</v>
      </c>
      <c r="B5270" s="2" t="s">
        <v>10423</v>
      </c>
      <c r="C5270" s="2" t="s">
        <v>111</v>
      </c>
      <c r="D5270" s="2" t="s">
        <v>18</v>
      </c>
      <c r="E5270" s="5">
        <v>-28922</v>
      </c>
      <c r="F5270" s="3" t="s">
        <v>735</v>
      </c>
      <c r="G5270" s="3" t="s">
        <v>43</v>
      </c>
      <c r="H5270" s="2" t="s">
        <v>21</v>
      </c>
      <c r="I5270" s="2" t="s">
        <v>10462</v>
      </c>
      <c r="J5270" s="3" t="str">
        <f>HYPERLINK("https://www.boe.es/gazeta/dias/1820/10/23/pdfs/GGB-1820-117.pdf#page=2","Abrir facsímil")</f>
        <v>Abrir facsímil</v>
      </c>
      <c r="K5270" s="3" t="s">
        <v>23</v>
      </c>
    </row>
    <row r="5271" spans="1:11" ht="42" customHeight="1">
      <c r="A5271" s="2" t="s">
        <v>10423</v>
      </c>
      <c r="B5271" s="2" t="s">
        <v>10423</v>
      </c>
      <c r="C5271" s="2" t="s">
        <v>293</v>
      </c>
      <c r="D5271" s="2" t="s">
        <v>18</v>
      </c>
      <c r="E5271" s="5">
        <v>-28921</v>
      </c>
      <c r="F5271" s="3" t="s">
        <v>738</v>
      </c>
      <c r="G5271" s="3" t="s">
        <v>3686</v>
      </c>
      <c r="H5271" s="2" t="s">
        <v>21</v>
      </c>
      <c r="I5271" s="2" t="s">
        <v>10463</v>
      </c>
      <c r="J5271" s="3" t="str">
        <f>HYPERLINK("https://www.boe.es/gazeta/dias/1820/10/24/pdfs/GGB-1820-118.pdf#page=3","Abrir facsímil")</f>
        <v>Abrir facsímil</v>
      </c>
      <c r="K5271" s="3" t="s">
        <v>23</v>
      </c>
    </row>
    <row r="5272" spans="1:11" ht="42" customHeight="1">
      <c r="A5272" s="2" t="s">
        <v>10423</v>
      </c>
      <c r="B5272" s="2" t="s">
        <v>10423</v>
      </c>
      <c r="C5272" s="2" t="s">
        <v>26</v>
      </c>
      <c r="D5272" s="2" t="s">
        <v>27</v>
      </c>
      <c r="E5272" s="5">
        <v>-28912</v>
      </c>
      <c r="F5272" s="3" t="s">
        <v>1329</v>
      </c>
      <c r="G5272" s="3" t="s">
        <v>1080</v>
      </c>
      <c r="H5272" s="2" t="s">
        <v>21</v>
      </c>
      <c r="I5272" s="2" t="s">
        <v>10464</v>
      </c>
      <c r="J5272" s="3" t="str">
        <f>HYPERLINK("https://www.boe.es/gazeta/dias/1820/11/02/pdfs/GGB-1820-127.pdf#page=2","Abrir facsímil")</f>
        <v>Abrir facsímil</v>
      </c>
      <c r="K5272" s="3" t="s">
        <v>23</v>
      </c>
    </row>
    <row r="5273" spans="1:11" ht="42" customHeight="1">
      <c r="A5273" s="2" t="s">
        <v>10465</v>
      </c>
      <c r="B5273" s="2" t="s">
        <v>10466</v>
      </c>
      <c r="C5273" s="2" t="s">
        <v>26</v>
      </c>
      <c r="D5273" s="2" t="s">
        <v>27</v>
      </c>
      <c r="E5273" s="5">
        <v>-29143</v>
      </c>
      <c r="F5273" s="3" t="s">
        <v>334</v>
      </c>
      <c r="G5273" s="3" t="s">
        <v>295</v>
      </c>
      <c r="H5273" s="2" t="s">
        <v>21</v>
      </c>
      <c r="I5273" s="2" t="s">
        <v>10467</v>
      </c>
      <c r="J5273" s="3" t="str">
        <f>HYPERLINK("https://www.boe.es/gazeta/dias/1820/03/16/pdfs/GMD-1820-42.pdf#page=8","Abrir facsímil")</f>
        <v>Abrir facsímil</v>
      </c>
      <c r="K5273" s="3" t="s">
        <v>23</v>
      </c>
    </row>
    <row r="5274" spans="1:11" ht="42" customHeight="1">
      <c r="A5274" s="2" t="s">
        <v>10468</v>
      </c>
      <c r="B5274" s="2" t="s">
        <v>10469</v>
      </c>
      <c r="C5274" s="2" t="s">
        <v>26</v>
      </c>
      <c r="D5274" s="2" t="s">
        <v>27</v>
      </c>
      <c r="E5274" s="5">
        <v>-29122</v>
      </c>
      <c r="F5274" s="3" t="s">
        <v>844</v>
      </c>
      <c r="G5274" s="3" t="s">
        <v>1895</v>
      </c>
      <c r="H5274" s="2" t="s">
        <v>21</v>
      </c>
      <c r="I5274" s="2" t="s">
        <v>10470</v>
      </c>
      <c r="J5274" s="3" t="str">
        <f>HYPERLINK("https://www.boe.es/gazeta/dias/1820/04/06/pdfs/GMD-1820-62.pdf#page=4","Abrir facsímil")</f>
        <v>Abrir facsímil</v>
      </c>
      <c r="K5274" s="3" t="s">
        <v>23</v>
      </c>
    </row>
    <row r="5275" spans="1:11" ht="42" customHeight="1">
      <c r="A5275" s="2" t="s">
        <v>10471</v>
      </c>
      <c r="B5275" s="2" t="s">
        <v>10472</v>
      </c>
      <c r="C5275" s="2" t="s">
        <v>35</v>
      </c>
      <c r="D5275" s="2" t="s">
        <v>36</v>
      </c>
      <c r="E5275" s="5">
        <v>-29155</v>
      </c>
      <c r="F5275" s="3" t="s">
        <v>2095</v>
      </c>
      <c r="G5275" s="3" t="s">
        <v>62</v>
      </c>
      <c r="H5275" s="2" t="s">
        <v>21</v>
      </c>
      <c r="I5275" s="2" t="s">
        <v>10473</v>
      </c>
      <c r="J5275" s="3" t="str">
        <f>HYPERLINK("https://www.boe.es/gazeta/dias/1820/03/04/pdfs/GMD-1820-28.pdf#page=3","Abrir facsímil")</f>
        <v>Abrir facsímil</v>
      </c>
      <c r="K5275" s="3" t="s">
        <v>23</v>
      </c>
    </row>
    <row r="5276" spans="1:11" ht="42" customHeight="1">
      <c r="A5276" s="2" t="s">
        <v>10474</v>
      </c>
      <c r="B5276" s="2" t="s">
        <v>10474</v>
      </c>
      <c r="C5276" s="2" t="s">
        <v>26</v>
      </c>
      <c r="D5276" s="2" t="s">
        <v>27</v>
      </c>
      <c r="E5276" s="5">
        <v>-28887</v>
      </c>
      <c r="F5276" s="3" t="s">
        <v>2098</v>
      </c>
      <c r="G5276" s="3" t="s">
        <v>128</v>
      </c>
      <c r="H5276" s="2" t="s">
        <v>21</v>
      </c>
      <c r="I5276" s="2" t="s">
        <v>10475</v>
      </c>
      <c r="J5276" s="3" t="str">
        <f>HYPERLINK("https://www.boe.es/gazeta/dias/1820/11/27/pdfs/GGB-1820-154.pdf#page=1","Abrir facsímil")</f>
        <v>Abrir facsímil</v>
      </c>
      <c r="K5276" s="3" t="s">
        <v>23</v>
      </c>
    </row>
    <row r="5277" spans="1:11" ht="42" customHeight="1">
      <c r="A5277" s="2" t="s">
        <v>10476</v>
      </c>
      <c r="B5277" s="2" t="s">
        <v>10476</v>
      </c>
      <c r="C5277" s="2" t="s">
        <v>26</v>
      </c>
      <c r="D5277" s="2" t="s">
        <v>27</v>
      </c>
      <c r="E5277" s="5">
        <v>-28871</v>
      </c>
      <c r="F5277" s="3" t="s">
        <v>2368</v>
      </c>
      <c r="G5277" s="3" t="s">
        <v>43</v>
      </c>
      <c r="H5277" s="2" t="s">
        <v>21</v>
      </c>
      <c r="I5277" s="2" t="s">
        <v>10477</v>
      </c>
      <c r="J5277" s="3" t="str">
        <f>HYPERLINK("https://www.boe.es/gazeta/dias/1820/12/13/pdfs/GGB-1820-170.pdf#page=2","Abrir facsímil")</f>
        <v>Abrir facsímil</v>
      </c>
      <c r="K5277" s="3" t="s">
        <v>23</v>
      </c>
    </row>
    <row r="5278" spans="1:11" ht="42" customHeight="1">
      <c r="A5278" s="2" t="s">
        <v>10478</v>
      </c>
      <c r="B5278" s="2" t="s">
        <v>10479</v>
      </c>
      <c r="C5278" s="2" t="s">
        <v>111</v>
      </c>
      <c r="D5278" s="2" t="s">
        <v>18</v>
      </c>
      <c r="E5278" s="5">
        <v>-28914</v>
      </c>
      <c r="F5278" s="3" t="s">
        <v>434</v>
      </c>
      <c r="G5278" s="3" t="s">
        <v>62</v>
      </c>
      <c r="H5278" s="2" t="s">
        <v>21</v>
      </c>
      <c r="I5278" s="2" t="s">
        <v>10480</v>
      </c>
      <c r="J5278" s="3" t="str">
        <f>HYPERLINK("https://www.boe.es/gazeta/dias/1820/10/31/pdfs/GGB-1820-125.pdf#page=3","Abrir facsímil")</f>
        <v>Abrir facsímil</v>
      </c>
      <c r="K5278" s="3" t="s">
        <v>23</v>
      </c>
    </row>
    <row r="5279" spans="1:11" ht="42" customHeight="1">
      <c r="A5279" s="2" t="s">
        <v>10481</v>
      </c>
      <c r="B5279" s="2" t="s">
        <v>10482</v>
      </c>
      <c r="C5279" s="2" t="s">
        <v>17</v>
      </c>
      <c r="D5279" s="2" t="s">
        <v>18</v>
      </c>
      <c r="E5279" s="5">
        <v>-28987</v>
      </c>
      <c r="F5279" s="3" t="s">
        <v>680</v>
      </c>
      <c r="G5279" s="3" t="s">
        <v>62</v>
      </c>
      <c r="H5279" s="2" t="s">
        <v>21</v>
      </c>
      <c r="I5279" s="2" t="s">
        <v>10483</v>
      </c>
      <c r="J5279" s="3" t="str">
        <f>HYPERLINK("https://www.boe.es/gazeta/dias/1820/08/19/pdfs/GGB-1820-52.pdf#page=3","Abrir facsímil")</f>
        <v>Abrir facsímil</v>
      </c>
      <c r="K5279" s="3" t="s">
        <v>23</v>
      </c>
    </row>
    <row r="5280" spans="1:11" ht="42" customHeight="1">
      <c r="A5280" s="2" t="s">
        <v>10481</v>
      </c>
      <c r="B5280" s="2" t="s">
        <v>10482</v>
      </c>
      <c r="C5280" s="2" t="s">
        <v>35</v>
      </c>
      <c r="D5280" s="2" t="s">
        <v>36</v>
      </c>
      <c r="E5280" s="5">
        <v>-28911</v>
      </c>
      <c r="F5280" s="3" t="s">
        <v>82</v>
      </c>
      <c r="G5280" s="3" t="s">
        <v>62</v>
      </c>
      <c r="H5280" s="2" t="s">
        <v>21</v>
      </c>
      <c r="I5280" s="2" t="s">
        <v>10484</v>
      </c>
      <c r="J5280" s="3" t="str">
        <f>HYPERLINK("https://www.boe.es/gazeta/dias/1820/11/03/pdfs/GGB-1820-128.pdf#page=3","Abrir facsímil")</f>
        <v>Abrir facsímil</v>
      </c>
      <c r="K5280" s="3" t="s">
        <v>23</v>
      </c>
    </row>
    <row r="5281" spans="1:11" ht="42" customHeight="1">
      <c r="A5281" s="2" t="s">
        <v>10485</v>
      </c>
      <c r="B5281" s="2" t="s">
        <v>10486</v>
      </c>
      <c r="C5281" s="2" t="s">
        <v>35</v>
      </c>
      <c r="D5281" s="2" t="s">
        <v>36</v>
      </c>
      <c r="E5281" s="5">
        <v>-29012</v>
      </c>
      <c r="F5281" s="3" t="s">
        <v>72</v>
      </c>
      <c r="G5281" s="3" t="s">
        <v>661</v>
      </c>
      <c r="H5281" s="2" t="s">
        <v>21</v>
      </c>
      <c r="I5281" s="2" t="s">
        <v>10487</v>
      </c>
      <c r="J5281" s="3" t="str">
        <f>HYPERLINK("https://www.boe.es/gazeta/dias/1820/07/25/pdfs/GGB-1820-27.pdf#page=2","Abrir facsímil")</f>
        <v>Abrir facsímil</v>
      </c>
      <c r="K5281" s="3" t="s">
        <v>23</v>
      </c>
    </row>
    <row r="5282" spans="1:11" ht="42" customHeight="1">
      <c r="A5282" s="2" t="s">
        <v>10488</v>
      </c>
      <c r="B5282" s="2" t="s">
        <v>10489</v>
      </c>
      <c r="C5282" s="2" t="s">
        <v>74</v>
      </c>
      <c r="D5282" s="2" t="s">
        <v>18</v>
      </c>
      <c r="E5282" s="5">
        <v>-28946</v>
      </c>
      <c r="F5282" s="3" t="s">
        <v>1055</v>
      </c>
      <c r="G5282" s="3" t="s">
        <v>4558</v>
      </c>
      <c r="H5282" s="2" t="s">
        <v>21</v>
      </c>
      <c r="I5282" s="2" t="s">
        <v>10490</v>
      </c>
      <c r="J5282" s="3" t="str">
        <f>HYPERLINK("https://www.boe.es/gazeta/dias/1820/09/29/pdfs/GGB-1820-93.pdf#page=3","Abrir facsímil")</f>
        <v>Abrir facsímil</v>
      </c>
      <c r="K5282" s="3" t="s">
        <v>23</v>
      </c>
    </row>
    <row r="5283" spans="1:11" ht="42" customHeight="1">
      <c r="A5283" s="2" t="s">
        <v>10491</v>
      </c>
      <c r="B5283" s="2" t="s">
        <v>10491</v>
      </c>
      <c r="C5283" s="2" t="s">
        <v>35</v>
      </c>
      <c r="D5283" s="2" t="s">
        <v>36</v>
      </c>
      <c r="E5283" s="5">
        <v>-29004</v>
      </c>
      <c r="F5283" s="3" t="s">
        <v>75</v>
      </c>
      <c r="G5283" s="3" t="s">
        <v>62</v>
      </c>
      <c r="H5283" s="2" t="s">
        <v>21</v>
      </c>
      <c r="I5283" s="2" t="s">
        <v>10492</v>
      </c>
      <c r="J5283" s="3" t="str">
        <f>HYPERLINK("https://www.boe.es/gazeta/dias/1820/08/02/pdfs/GGB-1820-35.pdf#page=3","Abrir facsímil")</f>
        <v>Abrir facsímil</v>
      </c>
      <c r="K5283" s="3" t="s">
        <v>23</v>
      </c>
    </row>
    <row r="5284" spans="1:11" ht="42" customHeight="1">
      <c r="A5284" s="2" t="s">
        <v>10493</v>
      </c>
      <c r="B5284" s="2" t="s">
        <v>10494</v>
      </c>
      <c r="C5284" s="2" t="s">
        <v>35</v>
      </c>
      <c r="D5284" s="2" t="s">
        <v>36</v>
      </c>
      <c r="E5284" s="5">
        <v>-29045</v>
      </c>
      <c r="F5284" s="3" t="s">
        <v>155</v>
      </c>
      <c r="G5284" s="3" t="s">
        <v>38</v>
      </c>
      <c r="H5284" s="2" t="s">
        <v>21</v>
      </c>
      <c r="I5284" s="2" t="s">
        <v>10495</v>
      </c>
      <c r="J5284" s="3" t="str">
        <f>HYPERLINK("https://www.boe.es/gazeta/dias/1820/06/22/pdfs/GMD-1820-97.pdf#page=6","Abrir facsímil")</f>
        <v>Abrir facsímil</v>
      </c>
      <c r="K5284" s="3" t="s">
        <v>23</v>
      </c>
    </row>
    <row r="5285" spans="1:11" ht="42" customHeight="1">
      <c r="A5285" s="2" t="s">
        <v>10496</v>
      </c>
      <c r="B5285" s="2" t="s">
        <v>10497</v>
      </c>
      <c r="C5285" s="2" t="s">
        <v>26</v>
      </c>
      <c r="D5285" s="2" t="s">
        <v>27</v>
      </c>
      <c r="E5285" s="5">
        <v>-29045</v>
      </c>
      <c r="F5285" s="3" t="s">
        <v>155</v>
      </c>
      <c r="G5285" s="3" t="s">
        <v>38</v>
      </c>
      <c r="H5285" s="2" t="s">
        <v>21</v>
      </c>
      <c r="I5285" s="2" t="s">
        <v>10498</v>
      </c>
      <c r="J5285" s="3" t="str">
        <f>HYPERLINK("https://www.boe.es/gazeta/dias/1820/06/22/pdfs/GMD-1820-97.pdf#page=6","Abrir facsímil")</f>
        <v>Abrir facsímil</v>
      </c>
      <c r="K5285" s="3" t="s">
        <v>23</v>
      </c>
    </row>
    <row r="5286" spans="1:11" ht="42" customHeight="1">
      <c r="A5286" s="2" t="s">
        <v>10499</v>
      </c>
      <c r="B5286" s="2" t="s">
        <v>10500</v>
      </c>
      <c r="C5286" s="2" t="s">
        <v>35</v>
      </c>
      <c r="D5286" s="2" t="s">
        <v>36</v>
      </c>
      <c r="E5286" s="5">
        <v>-29014</v>
      </c>
      <c r="F5286" s="3" t="s">
        <v>70</v>
      </c>
      <c r="G5286" s="3" t="s">
        <v>62</v>
      </c>
      <c r="H5286" s="2" t="s">
        <v>21</v>
      </c>
      <c r="I5286" s="2" t="s">
        <v>10501</v>
      </c>
      <c r="J5286" s="3" t="str">
        <f>HYPERLINK("https://www.boe.es/gazeta/dias/1820/07/23/pdfs/GGB-1820-25.pdf#page=3","Abrir facsímil")</f>
        <v>Abrir facsímil</v>
      </c>
      <c r="K5286" s="3" t="s">
        <v>23</v>
      </c>
    </row>
    <row r="5287" spans="1:11" ht="42" customHeight="1">
      <c r="A5287" s="2" t="s">
        <v>10499</v>
      </c>
      <c r="B5287" s="2" t="s">
        <v>10500</v>
      </c>
      <c r="C5287" s="2" t="s">
        <v>35</v>
      </c>
      <c r="D5287" s="2" t="s">
        <v>36</v>
      </c>
      <c r="E5287" s="5">
        <v>-29012</v>
      </c>
      <c r="F5287" s="3" t="s">
        <v>72</v>
      </c>
      <c r="G5287" s="3" t="s">
        <v>661</v>
      </c>
      <c r="H5287" s="2" t="s">
        <v>21</v>
      </c>
      <c r="I5287" s="2" t="s">
        <v>10502</v>
      </c>
      <c r="J5287" s="3" t="str">
        <f>HYPERLINK("https://www.boe.es/gazeta/dias/1820/07/25/pdfs/GGB-1820-27.pdf#page=2","Abrir facsímil")</f>
        <v>Abrir facsímil</v>
      </c>
      <c r="K5287" s="3" t="s">
        <v>23</v>
      </c>
    </row>
    <row r="5288" spans="1:11" ht="42" customHeight="1">
      <c r="A5288" s="2" t="s">
        <v>10499</v>
      </c>
      <c r="B5288" s="2" t="s">
        <v>10500</v>
      </c>
      <c r="C5288" s="2" t="s">
        <v>17</v>
      </c>
      <c r="D5288" s="2" t="s">
        <v>18</v>
      </c>
      <c r="E5288" s="5">
        <v>-29010</v>
      </c>
      <c r="F5288" s="3" t="s">
        <v>664</v>
      </c>
      <c r="G5288" s="3" t="s">
        <v>62</v>
      </c>
      <c r="H5288" s="2" t="s">
        <v>21</v>
      </c>
      <c r="I5288" s="2" t="s">
        <v>10503</v>
      </c>
      <c r="J5288" s="3" t="str">
        <f>HYPERLINK("https://www.boe.es/gazeta/dias/1820/07/27/pdfs/GGB-1820-29.pdf#page=3","Abrir facsímil")</f>
        <v>Abrir facsímil</v>
      </c>
      <c r="K5288" s="3" t="s">
        <v>23</v>
      </c>
    </row>
    <row r="5289" spans="1:11" ht="42" customHeight="1">
      <c r="A5289" s="2" t="s">
        <v>10499</v>
      </c>
      <c r="B5289" s="2" t="s">
        <v>10500</v>
      </c>
      <c r="C5289" s="2" t="s">
        <v>26</v>
      </c>
      <c r="D5289" s="2" t="s">
        <v>27</v>
      </c>
      <c r="E5289" s="5">
        <v>-29009</v>
      </c>
      <c r="F5289" s="3" t="s">
        <v>605</v>
      </c>
      <c r="G5289" s="3" t="s">
        <v>20</v>
      </c>
      <c r="H5289" s="2" t="s">
        <v>21</v>
      </c>
      <c r="I5289" s="2" t="s">
        <v>10504</v>
      </c>
      <c r="J5289" s="3" t="str">
        <f>HYPERLINK("https://www.boe.es/gazeta/dias/1820/07/28/pdfs/GGB-1820-30.pdf#page=4","Abrir facsímil")</f>
        <v>Abrir facsímil</v>
      </c>
      <c r="K5289" s="3" t="s">
        <v>23</v>
      </c>
    </row>
    <row r="5290" spans="1:11" ht="42" customHeight="1">
      <c r="A5290" s="2" t="s">
        <v>10499</v>
      </c>
      <c r="B5290" s="2" t="s">
        <v>10500</v>
      </c>
      <c r="C5290" s="2" t="s">
        <v>26</v>
      </c>
      <c r="D5290" s="2" t="s">
        <v>27</v>
      </c>
      <c r="E5290" s="5">
        <v>-29001</v>
      </c>
      <c r="F5290" s="3" t="s">
        <v>633</v>
      </c>
      <c r="G5290" s="3" t="s">
        <v>62</v>
      </c>
      <c r="H5290" s="2" t="s">
        <v>21</v>
      </c>
      <c r="I5290" s="2" t="s">
        <v>10505</v>
      </c>
      <c r="J5290" s="3" t="str">
        <f>HYPERLINK("https://www.boe.es/gazeta/dias/1820/08/05/pdfs/GGB-1820-38.pdf#page=3","Abrir facsímil")</f>
        <v>Abrir facsímil</v>
      </c>
      <c r="K5290" s="3" t="s">
        <v>23</v>
      </c>
    </row>
    <row r="5291" spans="1:11" ht="42" customHeight="1">
      <c r="A5291" s="2" t="s">
        <v>10499</v>
      </c>
      <c r="B5291" s="2" t="s">
        <v>10500</v>
      </c>
      <c r="C5291" s="2" t="s">
        <v>35</v>
      </c>
      <c r="D5291" s="2" t="s">
        <v>36</v>
      </c>
      <c r="E5291" s="5">
        <v>-29000</v>
      </c>
      <c r="F5291" s="3" t="s">
        <v>670</v>
      </c>
      <c r="G5291" s="3" t="s">
        <v>20</v>
      </c>
      <c r="H5291" s="2" t="s">
        <v>21</v>
      </c>
      <c r="I5291" s="2" t="s">
        <v>10506</v>
      </c>
      <c r="J5291" s="3" t="str">
        <f>HYPERLINK("https://www.boe.es/gazeta/dias/1820/08/06/pdfs/GGB-1820-39.pdf#page=4","Abrir facsímil")</f>
        <v>Abrir facsímil</v>
      </c>
      <c r="K5291" s="3" t="s">
        <v>23</v>
      </c>
    </row>
    <row r="5292" spans="1:11" ht="42" customHeight="1">
      <c r="A5292" s="2" t="s">
        <v>10499</v>
      </c>
      <c r="B5292" s="2" t="s">
        <v>10500</v>
      </c>
      <c r="C5292" s="2" t="s">
        <v>26</v>
      </c>
      <c r="D5292" s="2" t="s">
        <v>27</v>
      </c>
      <c r="E5292" s="5">
        <v>-28998</v>
      </c>
      <c r="F5292" s="3" t="s">
        <v>629</v>
      </c>
      <c r="G5292" s="3" t="s">
        <v>62</v>
      </c>
      <c r="H5292" s="2" t="s">
        <v>21</v>
      </c>
      <c r="I5292" s="2" t="s">
        <v>10507</v>
      </c>
      <c r="J5292" s="3" t="str">
        <f>HYPERLINK("https://www.boe.es/gazeta/dias/1820/08/08/pdfs/GGB-1820-41.pdf#page=3","Abrir facsímil")</f>
        <v>Abrir facsímil</v>
      </c>
      <c r="K5292" s="3" t="s">
        <v>23</v>
      </c>
    </row>
    <row r="5293" spans="1:11" ht="42" customHeight="1">
      <c r="A5293" s="2" t="s">
        <v>10499</v>
      </c>
      <c r="B5293" s="2" t="s">
        <v>10500</v>
      </c>
      <c r="C5293" s="2" t="s">
        <v>35</v>
      </c>
      <c r="D5293" s="2" t="s">
        <v>36</v>
      </c>
      <c r="E5293" s="5">
        <v>-28995</v>
      </c>
      <c r="F5293" s="3" t="s">
        <v>672</v>
      </c>
      <c r="G5293" s="3" t="s">
        <v>1557</v>
      </c>
      <c r="H5293" s="2" t="s">
        <v>21</v>
      </c>
      <c r="I5293" s="2" t="s">
        <v>10508</v>
      </c>
      <c r="J5293" s="3" t="str">
        <f>HYPERLINK("https://www.boe.es/gazeta/dias/1820/08/11/pdfs/GGB-1820-44.pdf#page=2","Abrir facsímil")</f>
        <v>Abrir facsímil</v>
      </c>
      <c r="K5293" s="3" t="s">
        <v>23</v>
      </c>
    </row>
    <row r="5294" spans="1:11" ht="42" customHeight="1">
      <c r="A5294" s="2" t="s">
        <v>10499</v>
      </c>
      <c r="B5294" s="2" t="s">
        <v>10500</v>
      </c>
      <c r="C5294" s="2" t="s">
        <v>26</v>
      </c>
      <c r="D5294" s="2" t="s">
        <v>27</v>
      </c>
      <c r="E5294" s="5">
        <v>-28971</v>
      </c>
      <c r="F5294" s="3" t="s">
        <v>691</v>
      </c>
      <c r="G5294" s="3" t="s">
        <v>43</v>
      </c>
      <c r="H5294" s="2" t="s">
        <v>21</v>
      </c>
      <c r="I5294" s="2" t="s">
        <v>10509</v>
      </c>
      <c r="J5294" s="3" t="str">
        <f>HYPERLINK("https://www.boe.es/gazeta/dias/1820/09/04/pdfs/GGB-1820-68.pdf#page=2","Abrir facsímil")</f>
        <v>Abrir facsímil</v>
      </c>
      <c r="K5294" s="3" t="s">
        <v>23</v>
      </c>
    </row>
    <row r="5295" spans="1:11" ht="42" customHeight="1">
      <c r="A5295" s="2" t="s">
        <v>10499</v>
      </c>
      <c r="B5295" s="2" t="s">
        <v>10500</v>
      </c>
      <c r="C5295" s="2" t="s">
        <v>17</v>
      </c>
      <c r="D5295" s="2" t="s">
        <v>18</v>
      </c>
      <c r="E5295" s="5">
        <v>-28960</v>
      </c>
      <c r="F5295" s="3" t="s">
        <v>704</v>
      </c>
      <c r="G5295" s="3" t="s">
        <v>43</v>
      </c>
      <c r="H5295" s="2" t="s">
        <v>21</v>
      </c>
      <c r="I5295" s="2" t="s">
        <v>10510</v>
      </c>
      <c r="J5295" s="3" t="str">
        <f>HYPERLINK("https://www.boe.es/gazeta/dias/1820/09/15/pdfs/GGB-1820-79.pdf#page=2","Abrir facsímil")</f>
        <v>Abrir facsímil</v>
      </c>
      <c r="K5295" s="3" t="s">
        <v>23</v>
      </c>
    </row>
    <row r="5296" spans="1:11" ht="42" customHeight="1">
      <c r="A5296" s="2" t="s">
        <v>10499</v>
      </c>
      <c r="B5296" s="2" t="s">
        <v>10500</v>
      </c>
      <c r="C5296" s="2" t="s">
        <v>17</v>
      </c>
      <c r="D5296" s="2" t="s">
        <v>18</v>
      </c>
      <c r="E5296" s="5">
        <v>-28959</v>
      </c>
      <c r="F5296" s="3" t="s">
        <v>37</v>
      </c>
      <c r="G5296" s="3" t="s">
        <v>20</v>
      </c>
      <c r="H5296" s="2" t="s">
        <v>21</v>
      </c>
      <c r="I5296" s="2" t="s">
        <v>10511</v>
      </c>
      <c r="J5296" s="3" t="str">
        <f>HYPERLINK("https://www.boe.es/gazeta/dias/1820/09/16/pdfs/GGB-1820-80.pdf#page=4","Abrir facsímil")</f>
        <v>Abrir facsímil</v>
      </c>
      <c r="K5296" s="3" t="s">
        <v>23</v>
      </c>
    </row>
    <row r="5297" spans="1:11" ht="42" customHeight="1">
      <c r="A5297" s="2" t="s">
        <v>10499</v>
      </c>
      <c r="B5297" s="2" t="s">
        <v>10500</v>
      </c>
      <c r="C5297" s="2" t="s">
        <v>26</v>
      </c>
      <c r="D5297" s="2" t="s">
        <v>27</v>
      </c>
      <c r="E5297" s="5">
        <v>-28956</v>
      </c>
      <c r="F5297" s="3" t="s">
        <v>190</v>
      </c>
      <c r="G5297" s="3" t="s">
        <v>43</v>
      </c>
      <c r="H5297" s="2" t="s">
        <v>21</v>
      </c>
      <c r="I5297" s="2" t="s">
        <v>10512</v>
      </c>
      <c r="J5297" s="3" t="str">
        <f>HYPERLINK("https://www.boe.es/gazeta/dias/1820/09/19/pdfs/GGB-1820-83.pdf#page=2","Abrir facsímil")</f>
        <v>Abrir facsímil</v>
      </c>
      <c r="K5297" s="3" t="s">
        <v>23</v>
      </c>
    </row>
    <row r="5298" spans="1:11" ht="42" customHeight="1">
      <c r="A5298" s="2" t="s">
        <v>10499</v>
      </c>
      <c r="B5298" s="2" t="s">
        <v>10500</v>
      </c>
      <c r="C5298" s="2" t="s">
        <v>35</v>
      </c>
      <c r="D5298" s="2" t="s">
        <v>36</v>
      </c>
      <c r="E5298" s="5">
        <v>-28948</v>
      </c>
      <c r="F5298" s="3" t="s">
        <v>1069</v>
      </c>
      <c r="G5298" s="3" t="s">
        <v>62</v>
      </c>
      <c r="H5298" s="2" t="s">
        <v>21</v>
      </c>
      <c r="I5298" s="2" t="s">
        <v>10513</v>
      </c>
      <c r="J5298" s="3" t="str">
        <f>HYPERLINK("https://www.boe.es/gazeta/dias/1820/09/27/pdfs/GGB-1820-91.pdf#page=3","Abrir facsímil")</f>
        <v>Abrir facsímil</v>
      </c>
      <c r="K5298" s="3" t="s">
        <v>23</v>
      </c>
    </row>
    <row r="5299" spans="1:11" ht="42" customHeight="1">
      <c r="A5299" s="2" t="s">
        <v>10499</v>
      </c>
      <c r="B5299" s="2" t="s">
        <v>10500</v>
      </c>
      <c r="C5299" s="2" t="s">
        <v>35</v>
      </c>
      <c r="D5299" s="2" t="s">
        <v>36</v>
      </c>
      <c r="E5299" s="5">
        <v>-28947</v>
      </c>
      <c r="F5299" s="3" t="s">
        <v>127</v>
      </c>
      <c r="G5299" s="3" t="s">
        <v>20</v>
      </c>
      <c r="H5299" s="2" t="s">
        <v>21</v>
      </c>
      <c r="I5299" s="2" t="s">
        <v>10514</v>
      </c>
      <c r="J5299" s="3" t="str">
        <f>HYPERLINK("https://www.boe.es/gazeta/dias/1820/09/28/pdfs/GGB-1820-92.pdf#page=4","Abrir facsímil")</f>
        <v>Abrir facsímil</v>
      </c>
      <c r="K5299" s="3" t="s">
        <v>23</v>
      </c>
    </row>
    <row r="5300" spans="1:11" ht="42" customHeight="1">
      <c r="A5300" s="2" t="s">
        <v>10499</v>
      </c>
      <c r="B5300" s="2" t="s">
        <v>10500</v>
      </c>
      <c r="C5300" s="2" t="s">
        <v>35</v>
      </c>
      <c r="D5300" s="2" t="s">
        <v>36</v>
      </c>
      <c r="E5300" s="5">
        <v>-28940</v>
      </c>
      <c r="F5300" s="3" t="s">
        <v>141</v>
      </c>
      <c r="G5300" s="3" t="s">
        <v>142</v>
      </c>
      <c r="H5300" s="2" t="s">
        <v>21</v>
      </c>
      <c r="I5300" s="2" t="s">
        <v>10515</v>
      </c>
      <c r="J5300" s="3" t="str">
        <f>HYPERLINK("https://www.boe.es/gazeta/dias/1820/10/05/pdfs/GGB-1820-99.pdf#page=4","Abrir facsímil")</f>
        <v>Abrir facsímil</v>
      </c>
      <c r="K5300" s="3" t="s">
        <v>23</v>
      </c>
    </row>
    <row r="5301" spans="1:11" ht="42" customHeight="1">
      <c r="A5301" s="2" t="s">
        <v>10499</v>
      </c>
      <c r="B5301" s="2" t="s">
        <v>10500</v>
      </c>
      <c r="C5301" s="2" t="s">
        <v>26</v>
      </c>
      <c r="D5301" s="2" t="s">
        <v>27</v>
      </c>
      <c r="E5301" s="5">
        <v>-28935</v>
      </c>
      <c r="F5301" s="3" t="s">
        <v>2464</v>
      </c>
      <c r="G5301" s="3" t="s">
        <v>62</v>
      </c>
      <c r="H5301" s="2" t="s">
        <v>21</v>
      </c>
      <c r="I5301" s="2" t="s">
        <v>10516</v>
      </c>
      <c r="J5301" s="3" t="str">
        <f>HYPERLINK("https://www.boe.es/gazeta/dias/1820/10/10/pdfs/GGB-1820-104.pdf#page=3","Abrir facsímil")</f>
        <v>Abrir facsímil</v>
      </c>
      <c r="K5301" s="3" t="s">
        <v>23</v>
      </c>
    </row>
    <row r="5302" spans="1:11" ht="42" customHeight="1">
      <c r="A5302" s="2" t="s">
        <v>10499</v>
      </c>
      <c r="B5302" s="2" t="s">
        <v>10500</v>
      </c>
      <c r="C5302" s="2" t="s">
        <v>35</v>
      </c>
      <c r="D5302" s="2" t="s">
        <v>36</v>
      </c>
      <c r="E5302" s="5">
        <v>-28933</v>
      </c>
      <c r="F5302" s="3" t="s">
        <v>720</v>
      </c>
      <c r="G5302" s="3" t="s">
        <v>62</v>
      </c>
      <c r="H5302" s="2" t="s">
        <v>21</v>
      </c>
      <c r="I5302" s="2" t="s">
        <v>10517</v>
      </c>
      <c r="J5302" s="3" t="str">
        <f>HYPERLINK("https://www.boe.es/gazeta/dias/1820/10/12/pdfs/GGB-1820-106.pdf#page=3","Abrir facsímil")</f>
        <v>Abrir facsímil</v>
      </c>
      <c r="K5302" s="3" t="s">
        <v>23</v>
      </c>
    </row>
    <row r="5303" spans="1:11" ht="42" customHeight="1">
      <c r="A5303" s="2" t="s">
        <v>10499</v>
      </c>
      <c r="B5303" s="2" t="s">
        <v>10500</v>
      </c>
      <c r="C5303" s="2" t="s">
        <v>47</v>
      </c>
      <c r="D5303" s="2" t="s">
        <v>18</v>
      </c>
      <c r="E5303" s="5">
        <v>-28931</v>
      </c>
      <c r="F5303" s="3" t="s">
        <v>724</v>
      </c>
      <c r="G5303" s="3" t="s">
        <v>725</v>
      </c>
      <c r="H5303" s="2" t="s">
        <v>21</v>
      </c>
      <c r="I5303" s="2" t="s">
        <v>10518</v>
      </c>
      <c r="J5303" s="3" t="str">
        <f>HYPERLINK("https://www.boe.es/gazeta/dias/1820/10/14/pdfs/GGB-1820-108.pdf#page=3","Abrir facsímil")</f>
        <v>Abrir facsímil</v>
      </c>
      <c r="K5303" s="3" t="s">
        <v>23</v>
      </c>
    </row>
    <row r="5304" spans="1:11" ht="42" customHeight="1">
      <c r="A5304" s="2" t="s">
        <v>10499</v>
      </c>
      <c r="B5304" s="2" t="s">
        <v>10500</v>
      </c>
      <c r="C5304" s="2" t="s">
        <v>35</v>
      </c>
      <c r="D5304" s="2" t="s">
        <v>36</v>
      </c>
      <c r="E5304" s="5">
        <v>-28931</v>
      </c>
      <c r="F5304" s="3" t="s">
        <v>724</v>
      </c>
      <c r="G5304" s="3" t="s">
        <v>43</v>
      </c>
      <c r="H5304" s="2" t="s">
        <v>21</v>
      </c>
      <c r="I5304" s="2" t="s">
        <v>10519</v>
      </c>
      <c r="J5304" s="3" t="str">
        <f>HYPERLINK("https://www.boe.es/gazeta/dias/1820/10/14/pdfs/GGB-1820-108.pdf#page=2","Abrir facsímil")</f>
        <v>Abrir facsímil</v>
      </c>
      <c r="K5304" s="3" t="s">
        <v>23</v>
      </c>
    </row>
    <row r="5305" spans="1:11" ht="42" customHeight="1">
      <c r="A5305" s="2" t="s">
        <v>10499</v>
      </c>
      <c r="B5305" s="2" t="s">
        <v>10500</v>
      </c>
      <c r="C5305" s="2" t="s">
        <v>17</v>
      </c>
      <c r="D5305" s="2" t="s">
        <v>18</v>
      </c>
      <c r="E5305" s="5">
        <v>-28918</v>
      </c>
      <c r="F5305" s="3" t="s">
        <v>160</v>
      </c>
      <c r="G5305" s="3" t="s">
        <v>62</v>
      </c>
      <c r="H5305" s="2" t="s">
        <v>21</v>
      </c>
      <c r="I5305" s="2" t="s">
        <v>10520</v>
      </c>
      <c r="J5305" s="3" t="str">
        <f>HYPERLINK("https://www.boe.es/gazeta/dias/1820/10/27/pdfs/GGB-1820-121.pdf#page=3","Abrir facsímil")</f>
        <v>Abrir facsímil</v>
      </c>
      <c r="K5305" s="3" t="s">
        <v>23</v>
      </c>
    </row>
    <row r="5306" spans="1:11" ht="42" customHeight="1">
      <c r="A5306" s="2" t="s">
        <v>10499</v>
      </c>
      <c r="B5306" s="2" t="s">
        <v>10500</v>
      </c>
      <c r="C5306" s="2" t="s">
        <v>35</v>
      </c>
      <c r="D5306" s="2" t="s">
        <v>36</v>
      </c>
      <c r="E5306" s="5">
        <v>-28914</v>
      </c>
      <c r="F5306" s="3" t="s">
        <v>434</v>
      </c>
      <c r="G5306" s="3" t="s">
        <v>62</v>
      </c>
      <c r="H5306" s="2" t="s">
        <v>21</v>
      </c>
      <c r="I5306" s="2" t="s">
        <v>10521</v>
      </c>
      <c r="J5306" s="3" t="str">
        <f>HYPERLINK("https://www.boe.es/gazeta/dias/1820/10/31/pdfs/GGB-1820-125.pdf#page=3","Abrir facsímil")</f>
        <v>Abrir facsímil</v>
      </c>
      <c r="K5306" s="3" t="s">
        <v>23</v>
      </c>
    </row>
    <row r="5307" spans="1:11" ht="42" customHeight="1">
      <c r="A5307" s="2" t="s">
        <v>10499</v>
      </c>
      <c r="B5307" s="2" t="s">
        <v>10500</v>
      </c>
      <c r="C5307" s="2" t="s">
        <v>47</v>
      </c>
      <c r="D5307" s="2" t="s">
        <v>18</v>
      </c>
      <c r="E5307" s="5">
        <v>-28913</v>
      </c>
      <c r="F5307" s="3" t="s">
        <v>230</v>
      </c>
      <c r="G5307" s="3" t="s">
        <v>62</v>
      </c>
      <c r="H5307" s="2" t="s">
        <v>21</v>
      </c>
      <c r="I5307" s="2" t="s">
        <v>10522</v>
      </c>
      <c r="J5307" s="3" t="str">
        <f>HYPERLINK("https://www.boe.es/gazeta/dias/1820/11/01/pdfs/GGB-1820-126.pdf#page=3","Abrir facsímil")</f>
        <v>Abrir facsímil</v>
      </c>
      <c r="K5307" s="3" t="s">
        <v>23</v>
      </c>
    </row>
    <row r="5308" spans="1:11" ht="42" customHeight="1">
      <c r="A5308" s="2" t="s">
        <v>10499</v>
      </c>
      <c r="B5308" s="2" t="s">
        <v>10500</v>
      </c>
      <c r="C5308" s="2" t="s">
        <v>293</v>
      </c>
      <c r="D5308" s="2" t="s">
        <v>18</v>
      </c>
      <c r="E5308" s="5">
        <v>-28913</v>
      </c>
      <c r="F5308" s="3" t="s">
        <v>230</v>
      </c>
      <c r="G5308" s="3" t="s">
        <v>20</v>
      </c>
      <c r="H5308" s="2" t="s">
        <v>21</v>
      </c>
      <c r="I5308" s="2" t="s">
        <v>10523</v>
      </c>
      <c r="J5308" s="3" t="str">
        <f>HYPERLINK("https://www.boe.es/gazeta/dias/1820/11/01/pdfs/GGB-1820-126.pdf#page=4","Abrir facsímil")</f>
        <v>Abrir facsímil</v>
      </c>
      <c r="K5308" s="3" t="s">
        <v>23</v>
      </c>
    </row>
    <row r="5309" spans="1:11" ht="42" customHeight="1">
      <c r="A5309" s="2" t="s">
        <v>10499</v>
      </c>
      <c r="B5309" s="2" t="s">
        <v>10500</v>
      </c>
      <c r="C5309" s="2" t="s">
        <v>74</v>
      </c>
      <c r="D5309" s="2" t="s">
        <v>18</v>
      </c>
      <c r="E5309" s="5">
        <v>-28912</v>
      </c>
      <c r="F5309" s="3" t="s">
        <v>1329</v>
      </c>
      <c r="G5309" s="3" t="s">
        <v>20</v>
      </c>
      <c r="H5309" s="2" t="s">
        <v>21</v>
      </c>
      <c r="I5309" s="2" t="s">
        <v>10524</v>
      </c>
      <c r="J5309" s="3" t="str">
        <f>HYPERLINK("https://www.boe.es/gazeta/dias/1820/11/02/pdfs/GGB-1820-127.pdf#page=4","Abrir facsímil")</f>
        <v>Abrir facsímil</v>
      </c>
      <c r="K5309" s="3" t="s">
        <v>23</v>
      </c>
    </row>
    <row r="5310" spans="1:11" ht="42" customHeight="1">
      <c r="A5310" s="2" t="s">
        <v>10499</v>
      </c>
      <c r="B5310" s="2" t="s">
        <v>10500</v>
      </c>
      <c r="C5310" s="2" t="s">
        <v>35</v>
      </c>
      <c r="D5310" s="2" t="s">
        <v>36</v>
      </c>
      <c r="E5310" s="5">
        <v>-28910</v>
      </c>
      <c r="F5310" s="3" t="s">
        <v>746</v>
      </c>
      <c r="G5310" s="3" t="s">
        <v>62</v>
      </c>
      <c r="H5310" s="2" t="s">
        <v>21</v>
      </c>
      <c r="I5310" s="2" t="s">
        <v>10525</v>
      </c>
      <c r="J5310" s="3" t="str">
        <f>HYPERLINK("https://www.boe.es/gazeta/dias/1820/11/04/pdfs/GGB-1820-129.pdf#page=3","Abrir facsímil")</f>
        <v>Abrir facsímil</v>
      </c>
      <c r="K5310" s="3" t="s">
        <v>23</v>
      </c>
    </row>
    <row r="5311" spans="1:11" ht="42" customHeight="1">
      <c r="A5311" s="2" t="s">
        <v>10526</v>
      </c>
      <c r="B5311" s="2" t="s">
        <v>10527</v>
      </c>
      <c r="C5311" s="2" t="s">
        <v>35</v>
      </c>
      <c r="D5311" s="2" t="s">
        <v>36</v>
      </c>
      <c r="E5311" s="5">
        <v>-29007</v>
      </c>
      <c r="F5311" s="3" t="s">
        <v>251</v>
      </c>
      <c r="G5311" s="3" t="s">
        <v>62</v>
      </c>
      <c r="H5311" s="2" t="s">
        <v>21</v>
      </c>
      <c r="I5311" s="2" t="s">
        <v>10528</v>
      </c>
      <c r="J5311" s="3" t="str">
        <f>HYPERLINK("https://www.boe.es/gazeta/dias/1820/07/30/pdfs/GGB-1820-32.pdf#page=3","Abrir facsímil")</f>
        <v>Abrir facsímil</v>
      </c>
      <c r="K5311" s="3" t="s">
        <v>23</v>
      </c>
    </row>
    <row r="5312" spans="1:11" ht="42" customHeight="1">
      <c r="A5312" s="2" t="s">
        <v>10529</v>
      </c>
      <c r="B5312" s="2" t="s">
        <v>10530</v>
      </c>
      <c r="C5312" s="2" t="s">
        <v>26</v>
      </c>
      <c r="D5312" s="2" t="s">
        <v>27</v>
      </c>
      <c r="E5312" s="5">
        <v>-28934</v>
      </c>
      <c r="F5312" s="3" t="s">
        <v>163</v>
      </c>
      <c r="G5312" s="3" t="s">
        <v>62</v>
      </c>
      <c r="H5312" s="2" t="s">
        <v>21</v>
      </c>
      <c r="I5312" s="2" t="s">
        <v>10531</v>
      </c>
      <c r="J5312" s="3" t="str">
        <f>HYPERLINK("https://www.boe.es/gazeta/dias/1820/10/11/pdfs/GGB-1820-105.pdf#page=3","Abrir facsímil")</f>
        <v>Abrir facsímil</v>
      </c>
      <c r="K5312" s="3" t="s">
        <v>23</v>
      </c>
    </row>
    <row r="5313" spans="1:11" ht="42" customHeight="1">
      <c r="A5313" s="2" t="s">
        <v>10532</v>
      </c>
      <c r="B5313" s="2" t="s">
        <v>10533</v>
      </c>
      <c r="C5313" s="2" t="s">
        <v>35</v>
      </c>
      <c r="D5313" s="2" t="s">
        <v>36</v>
      </c>
      <c r="E5313" s="5">
        <v>-28935</v>
      </c>
      <c r="F5313" s="3" t="s">
        <v>2464</v>
      </c>
      <c r="G5313" s="3" t="s">
        <v>20</v>
      </c>
      <c r="H5313" s="2" t="s">
        <v>21</v>
      </c>
      <c r="I5313" s="2" t="s">
        <v>10534</v>
      </c>
      <c r="J5313" s="3" t="str">
        <f>HYPERLINK("https://www.boe.es/gazeta/dias/1820/10/10/pdfs/GGB-1820-104.pdf#page=4","Abrir facsímil")</f>
        <v>Abrir facsímil</v>
      </c>
      <c r="K5313" s="3" t="s">
        <v>23</v>
      </c>
    </row>
    <row r="5314" spans="1:11" ht="42" customHeight="1">
      <c r="A5314" s="2" t="s">
        <v>10535</v>
      </c>
      <c r="B5314" s="2" t="s">
        <v>10536</v>
      </c>
      <c r="C5314" s="2" t="s">
        <v>26</v>
      </c>
      <c r="D5314" s="2" t="s">
        <v>27</v>
      </c>
      <c r="E5314" s="5">
        <v>-28941</v>
      </c>
      <c r="F5314" s="3" t="s">
        <v>1727</v>
      </c>
      <c r="G5314" s="3" t="s">
        <v>62</v>
      </c>
      <c r="H5314" s="2" t="s">
        <v>21</v>
      </c>
      <c r="I5314" s="2" t="s">
        <v>10537</v>
      </c>
      <c r="J5314" s="3" t="str">
        <f>HYPERLINK("https://www.boe.es/gazeta/dias/1820/10/04/pdfs/GGB-1820-98.pdf#page=3","Abrir facsímil")</f>
        <v>Abrir facsímil</v>
      </c>
      <c r="K5314" s="3" t="s">
        <v>23</v>
      </c>
    </row>
    <row r="5315" spans="1:11" ht="42" customHeight="1">
      <c r="A5315" s="2" t="s">
        <v>10538</v>
      </c>
      <c r="B5315" s="2" t="s">
        <v>10539</v>
      </c>
      <c r="C5315" s="2" t="s">
        <v>35</v>
      </c>
      <c r="D5315" s="2" t="s">
        <v>36</v>
      </c>
      <c r="E5315" s="5">
        <v>-29190</v>
      </c>
      <c r="F5315" s="3" t="s">
        <v>537</v>
      </c>
      <c r="G5315" s="3" t="s">
        <v>201</v>
      </c>
      <c r="H5315" s="2" t="s">
        <v>21</v>
      </c>
      <c r="I5315" s="2" t="s">
        <v>10540</v>
      </c>
      <c r="J5315" s="3" t="str">
        <f>HYPERLINK("https://www.boe.es/gazeta/dias/1820/01/29/pdfs/GMD-1820-13.pdf#page=7","Abrir facsímil")</f>
        <v>Abrir facsímil</v>
      </c>
      <c r="K5315" s="3" t="s">
        <v>23</v>
      </c>
    </row>
    <row r="5316" spans="1:11" ht="42" customHeight="1">
      <c r="A5316" s="2" t="s">
        <v>10541</v>
      </c>
      <c r="B5316" s="2" t="s">
        <v>10542</v>
      </c>
      <c r="C5316" s="2" t="s">
        <v>35</v>
      </c>
      <c r="D5316" s="2" t="s">
        <v>36</v>
      </c>
      <c r="E5316" s="5">
        <v>-29164</v>
      </c>
      <c r="F5316" s="3" t="s">
        <v>2516</v>
      </c>
      <c r="G5316" s="3" t="s">
        <v>256</v>
      </c>
      <c r="H5316" s="2" t="s">
        <v>21</v>
      </c>
      <c r="I5316" s="2" t="s">
        <v>10543</v>
      </c>
      <c r="J5316" s="3" t="str">
        <f>HYPERLINK("https://www.boe.es/gazeta/dias/1820/02/24/pdfs/GMD-1820-24.pdf#page=5","Abrir facsímil")</f>
        <v>Abrir facsímil</v>
      </c>
      <c r="K5316" s="3" t="s">
        <v>23</v>
      </c>
    </row>
    <row r="5317" spans="1:11" ht="42" customHeight="1">
      <c r="A5317" s="2" t="s">
        <v>10544</v>
      </c>
      <c r="B5317" s="2" t="s">
        <v>10545</v>
      </c>
      <c r="C5317" s="2" t="s">
        <v>26</v>
      </c>
      <c r="D5317" s="2" t="s">
        <v>27</v>
      </c>
      <c r="E5317" s="5">
        <v>-29138</v>
      </c>
      <c r="F5317" s="3" t="s">
        <v>200</v>
      </c>
      <c r="G5317" s="3" t="s">
        <v>38</v>
      </c>
      <c r="H5317" s="2" t="s">
        <v>21</v>
      </c>
      <c r="I5317" s="2" t="s">
        <v>10546</v>
      </c>
      <c r="J5317" s="3" t="str">
        <f>HYPERLINK("https://www.boe.es/gazeta/dias/1820/03/21/pdfs/GMD-1820-46.pdf#page=6","Abrir facsímil")</f>
        <v>Abrir facsímil</v>
      </c>
      <c r="K5317" s="3" t="s">
        <v>23</v>
      </c>
    </row>
    <row r="5318" spans="1:11" ht="42" customHeight="1">
      <c r="A5318" s="2" t="s">
        <v>10547</v>
      </c>
      <c r="B5318" s="2" t="s">
        <v>10547</v>
      </c>
      <c r="C5318" s="2" t="s">
        <v>35</v>
      </c>
      <c r="D5318" s="2" t="s">
        <v>36</v>
      </c>
      <c r="E5318" s="5">
        <v>-29155</v>
      </c>
      <c r="F5318" s="3" t="s">
        <v>2095</v>
      </c>
      <c r="G5318" s="3" t="s">
        <v>256</v>
      </c>
      <c r="H5318" s="2" t="s">
        <v>21</v>
      </c>
      <c r="I5318" s="2" t="s">
        <v>10548</v>
      </c>
      <c r="J5318" s="3" t="str">
        <f>HYPERLINK("https://www.boe.es/gazeta/dias/1820/03/04/pdfs/GMD-1820-28.pdf#page=5","Abrir facsímil")</f>
        <v>Abrir facsímil</v>
      </c>
      <c r="K5318" s="3" t="s">
        <v>23</v>
      </c>
    </row>
    <row r="5319" spans="1:11" ht="42" customHeight="1">
      <c r="A5319" s="2" t="s">
        <v>10549</v>
      </c>
      <c r="B5319" s="2" t="s">
        <v>10550</v>
      </c>
      <c r="C5319" s="2" t="s">
        <v>35</v>
      </c>
      <c r="D5319" s="2" t="s">
        <v>36</v>
      </c>
      <c r="E5319" s="5">
        <v>-28917</v>
      </c>
      <c r="F5319" s="3" t="s">
        <v>19</v>
      </c>
      <c r="G5319" s="3" t="s">
        <v>43</v>
      </c>
      <c r="H5319" s="2" t="s">
        <v>21</v>
      </c>
      <c r="I5319" s="2" t="s">
        <v>10551</v>
      </c>
      <c r="J5319" s="3" t="str">
        <f>HYPERLINK("https://www.boe.es/gazeta/dias/1820/10/28/pdfs/GGB-1820-122.pdf#page=2","Abrir facsímil")</f>
        <v>Abrir facsímil</v>
      </c>
      <c r="K5319" s="3" t="s">
        <v>23</v>
      </c>
    </row>
    <row r="5320" spans="1:11" ht="42" customHeight="1">
      <c r="A5320" s="2" t="s">
        <v>10552</v>
      </c>
      <c r="B5320" s="2" t="s">
        <v>10552</v>
      </c>
      <c r="C5320" s="2" t="s">
        <v>26</v>
      </c>
      <c r="D5320" s="2" t="s">
        <v>27</v>
      </c>
      <c r="E5320" s="5">
        <v>-28907</v>
      </c>
      <c r="F5320" s="3" t="s">
        <v>374</v>
      </c>
      <c r="G5320" s="3" t="s">
        <v>43</v>
      </c>
      <c r="H5320" s="2" t="s">
        <v>21</v>
      </c>
      <c r="I5320" s="2" t="s">
        <v>10553</v>
      </c>
      <c r="J5320" s="3" t="str">
        <f>HYPERLINK("https://www.boe.es/gazeta/dias/1820/11/07/pdfs/GGB-1820-132.pdf#page=2","Abrir facsímil")</f>
        <v>Abrir facsímil</v>
      </c>
      <c r="K5320" s="3" t="s">
        <v>23</v>
      </c>
    </row>
    <row r="5321" spans="1:11" ht="42" customHeight="1">
      <c r="A5321" s="2" t="s">
        <v>10554</v>
      </c>
      <c r="B5321" s="2" t="s">
        <v>10555</v>
      </c>
      <c r="C5321" s="2" t="s">
        <v>74</v>
      </c>
      <c r="D5321" s="2" t="s">
        <v>18</v>
      </c>
      <c r="E5321" s="5">
        <v>-29101</v>
      </c>
      <c r="F5321" s="3" t="s">
        <v>999</v>
      </c>
      <c r="G5321" s="3" t="s">
        <v>38</v>
      </c>
      <c r="H5321" s="2" t="s">
        <v>21</v>
      </c>
      <c r="I5321" s="2" t="s">
        <v>10556</v>
      </c>
      <c r="J5321" s="3" t="str">
        <f>HYPERLINK("https://www.boe.es/gazeta/dias/1820/04/27/pdfs/GMD-1820-72.pdf#page=6","Abrir facsímil")</f>
        <v>Abrir facsímil</v>
      </c>
      <c r="K5321" s="3" t="s">
        <v>23</v>
      </c>
    </row>
    <row r="5322" spans="1:11" ht="42" customHeight="1">
      <c r="A5322" s="2" t="s">
        <v>10557</v>
      </c>
      <c r="B5322" s="2" t="s">
        <v>10558</v>
      </c>
      <c r="C5322" s="2" t="s">
        <v>26</v>
      </c>
      <c r="D5322" s="2" t="s">
        <v>27</v>
      </c>
      <c r="E5322" s="5">
        <v>-29036</v>
      </c>
      <c r="F5322" s="3" t="s">
        <v>1167</v>
      </c>
      <c r="G5322" s="3" t="s">
        <v>20</v>
      </c>
      <c r="H5322" s="2" t="s">
        <v>21</v>
      </c>
      <c r="I5322" s="2" t="s">
        <v>10559</v>
      </c>
      <c r="J5322" s="3" t="str">
        <f>HYPERLINK("https://www.boe.es/gazeta/dias/1820/07/01/pdfs/GGB-1820-1.pdf#page=4","Abrir facsímil")</f>
        <v>Abrir facsímil</v>
      </c>
      <c r="K5322" s="3" t="s">
        <v>23</v>
      </c>
    </row>
    <row r="5323" spans="1:11" ht="42" customHeight="1">
      <c r="A5323" s="2" t="s">
        <v>10560</v>
      </c>
      <c r="B5323" s="2" t="s">
        <v>10561</v>
      </c>
      <c r="C5323" s="2" t="s">
        <v>35</v>
      </c>
      <c r="D5323" s="2" t="s">
        <v>36</v>
      </c>
      <c r="E5323" s="5">
        <v>-28854</v>
      </c>
      <c r="F5323" s="3" t="s">
        <v>147</v>
      </c>
      <c r="G5323" s="3" t="s">
        <v>62</v>
      </c>
      <c r="H5323" s="2" t="s">
        <v>21</v>
      </c>
      <c r="I5323" s="2" t="s">
        <v>10562</v>
      </c>
      <c r="J5323" s="3" t="str">
        <f>HYPERLINK("https://www.boe.es/gazeta/dias/1820/12/30/pdfs/GGB-1820-187.pdf#page=3","Abrir facsímil")</f>
        <v>Abrir facsímil</v>
      </c>
      <c r="K5323" s="3" t="s">
        <v>23</v>
      </c>
    </row>
    <row r="5324" spans="1:11" ht="42" customHeight="1">
      <c r="A5324" s="2" t="s">
        <v>10563</v>
      </c>
      <c r="B5324" s="2" t="s">
        <v>10564</v>
      </c>
      <c r="C5324" s="2" t="s">
        <v>111</v>
      </c>
      <c r="D5324" s="2" t="s">
        <v>18</v>
      </c>
      <c r="E5324" s="5">
        <v>-29176</v>
      </c>
      <c r="F5324" s="3" t="s">
        <v>797</v>
      </c>
      <c r="G5324" s="3" t="s">
        <v>295</v>
      </c>
      <c r="H5324" s="2" t="s">
        <v>21</v>
      </c>
      <c r="I5324" s="2" t="s">
        <v>10565</v>
      </c>
      <c r="J5324" s="3" t="str">
        <f>HYPERLINK("https://www.boe.es/gazeta/dias/1820/02/12/pdfs/GMD-1820-19.pdf#page=8","Abrir facsímil")</f>
        <v>Abrir facsímil</v>
      </c>
      <c r="K5324" s="3" t="s">
        <v>23</v>
      </c>
    </row>
    <row r="5325" spans="1:11" ht="42" customHeight="1">
      <c r="A5325" s="2" t="s">
        <v>10566</v>
      </c>
      <c r="B5325" s="2" t="s">
        <v>10567</v>
      </c>
      <c r="C5325" s="2" t="s">
        <v>26</v>
      </c>
      <c r="D5325" s="2" t="s">
        <v>27</v>
      </c>
      <c r="E5325" s="5">
        <v>-28946</v>
      </c>
      <c r="F5325" s="3" t="s">
        <v>1055</v>
      </c>
      <c r="G5325" s="3" t="s">
        <v>20</v>
      </c>
      <c r="H5325" s="2" t="s">
        <v>21</v>
      </c>
      <c r="I5325" s="2" t="s">
        <v>10568</v>
      </c>
      <c r="J5325" s="3" t="str">
        <f>HYPERLINK("https://www.boe.es/gazeta/dias/1820/09/29/pdfs/GGB-1820-93.pdf#page=4","Abrir facsímil")</f>
        <v>Abrir facsímil</v>
      </c>
      <c r="K5325" s="3" t="s">
        <v>23</v>
      </c>
    </row>
    <row r="5326" spans="1:11" ht="42" customHeight="1">
      <c r="A5326" s="2" t="s">
        <v>10569</v>
      </c>
      <c r="B5326" s="2" t="s">
        <v>10570</v>
      </c>
      <c r="C5326" s="2" t="s">
        <v>293</v>
      </c>
      <c r="D5326" s="2" t="s">
        <v>18</v>
      </c>
      <c r="E5326" s="5">
        <v>-29129</v>
      </c>
      <c r="F5326" s="3" t="s">
        <v>269</v>
      </c>
      <c r="G5326" s="3" t="s">
        <v>256</v>
      </c>
      <c r="H5326" s="2" t="s">
        <v>21</v>
      </c>
      <c r="I5326" s="2" t="s">
        <v>10571</v>
      </c>
      <c r="J5326" s="3" t="str">
        <f>HYPERLINK("https://www.boe.es/gazeta/dias/1820/03/30/pdfs/GMD-1820-58.pdf#page=5","Abrir facsímil")</f>
        <v>Abrir facsímil</v>
      </c>
      <c r="K5326" s="3" t="s">
        <v>23</v>
      </c>
    </row>
    <row r="5327" spans="1:11" ht="42" customHeight="1">
      <c r="A5327" s="2" t="s">
        <v>10572</v>
      </c>
      <c r="B5327" s="2" t="s">
        <v>10573</v>
      </c>
      <c r="C5327" s="2" t="s">
        <v>293</v>
      </c>
      <c r="D5327" s="2" t="s">
        <v>18</v>
      </c>
      <c r="E5327" s="5">
        <v>-29129</v>
      </c>
      <c r="F5327" s="3" t="s">
        <v>269</v>
      </c>
      <c r="G5327" s="3" t="s">
        <v>256</v>
      </c>
      <c r="H5327" s="2" t="s">
        <v>21</v>
      </c>
      <c r="I5327" s="2" t="s">
        <v>10574</v>
      </c>
      <c r="J5327" s="3" t="str">
        <f>HYPERLINK("https://www.boe.es/gazeta/dias/1820/03/30/pdfs/GMD-1820-58.pdf#page=5","Abrir facsímil")</f>
        <v>Abrir facsímil</v>
      </c>
      <c r="K5327" s="3" t="s">
        <v>23</v>
      </c>
    </row>
    <row r="5328" spans="1:11" ht="42" customHeight="1">
      <c r="A5328" s="2" t="s">
        <v>10575</v>
      </c>
      <c r="B5328" s="2" t="s">
        <v>10575</v>
      </c>
      <c r="C5328" s="2" t="s">
        <v>17</v>
      </c>
      <c r="D5328" s="2" t="s">
        <v>18</v>
      </c>
      <c r="E5328" s="5">
        <v>-28933</v>
      </c>
      <c r="F5328" s="3" t="s">
        <v>720</v>
      </c>
      <c r="G5328" s="3" t="s">
        <v>128</v>
      </c>
      <c r="H5328" s="2" t="s">
        <v>21</v>
      </c>
      <c r="I5328" s="2" t="s">
        <v>10576</v>
      </c>
      <c r="J5328" s="3" t="str">
        <f>HYPERLINK("https://www.boe.es/gazeta/dias/1820/10/12/pdfs/GGB-1820-106.pdf#page=1","Abrir facsímil")</f>
        <v>Abrir facsímil</v>
      </c>
      <c r="K5328" s="3" t="s">
        <v>23</v>
      </c>
    </row>
    <row r="5329" spans="1:11" ht="42" customHeight="1">
      <c r="A5329" s="2" t="s">
        <v>10575</v>
      </c>
      <c r="B5329" s="2" t="s">
        <v>10575</v>
      </c>
      <c r="C5329" s="2" t="s">
        <v>107</v>
      </c>
      <c r="D5329" s="2" t="s">
        <v>18</v>
      </c>
      <c r="E5329" s="5">
        <v>-28861</v>
      </c>
      <c r="F5329" s="3" t="s">
        <v>894</v>
      </c>
      <c r="G5329" s="3" t="s">
        <v>43</v>
      </c>
      <c r="H5329" s="2" t="s">
        <v>21</v>
      </c>
      <c r="I5329" s="2" t="s">
        <v>10577</v>
      </c>
      <c r="J5329" s="3" t="str">
        <f>HYPERLINK("https://www.boe.es/gazeta/dias/1820/12/23/pdfs/GGB-1820-180.pdf#page=2","Abrir facsímil")</f>
        <v>Abrir facsímil</v>
      </c>
      <c r="K5329" s="3" t="s">
        <v>23</v>
      </c>
    </row>
    <row r="5330" spans="1:11" ht="42" customHeight="1">
      <c r="A5330" s="2" t="s">
        <v>10578</v>
      </c>
      <c r="B5330" s="2" t="s">
        <v>10579</v>
      </c>
      <c r="C5330" s="2" t="s">
        <v>26</v>
      </c>
      <c r="D5330" s="2" t="s">
        <v>27</v>
      </c>
      <c r="E5330" s="5">
        <v>-28941</v>
      </c>
      <c r="F5330" s="3" t="s">
        <v>1727</v>
      </c>
      <c r="G5330" s="3" t="s">
        <v>43</v>
      </c>
      <c r="H5330" s="2" t="s">
        <v>30</v>
      </c>
      <c r="I5330" s="2" t="s">
        <v>10580</v>
      </c>
      <c r="J5330" s="3" t="str">
        <f>HYPERLINK("https://www.boe.es/gazeta/dias/1820/10/04/pdfs/GGB-1820-98.pdf#page=2","Abrir facsímil")</f>
        <v>Abrir facsímil</v>
      </c>
      <c r="K5330" s="3" t="s">
        <v>32</v>
      </c>
    </row>
    <row r="5331" spans="1:11" ht="42" customHeight="1">
      <c r="A5331" s="2" t="s">
        <v>10581</v>
      </c>
      <c r="B5331" s="2" t="s">
        <v>10582</v>
      </c>
      <c r="C5331" s="2" t="s">
        <v>26</v>
      </c>
      <c r="D5331" s="2" t="s">
        <v>27</v>
      </c>
      <c r="E5331" s="5">
        <v>-29036</v>
      </c>
      <c r="F5331" s="3" t="s">
        <v>1167</v>
      </c>
      <c r="G5331" s="3" t="s">
        <v>20</v>
      </c>
      <c r="H5331" s="2" t="s">
        <v>30</v>
      </c>
      <c r="I5331" s="2" t="s">
        <v>10583</v>
      </c>
      <c r="J5331" s="3" t="str">
        <f>HYPERLINK("https://www.boe.es/gazeta/dias/1820/07/01/pdfs/GGB-1820-1.pdf#page=4","Abrir facsímil")</f>
        <v>Abrir facsímil</v>
      </c>
      <c r="K5331" s="3" t="s">
        <v>32</v>
      </c>
    </row>
    <row r="5332" spans="1:11" ht="42" customHeight="1">
      <c r="A5332" s="2" t="s">
        <v>10584</v>
      </c>
      <c r="B5332" s="2" t="s">
        <v>10585</v>
      </c>
      <c r="C5332" s="2" t="s">
        <v>17</v>
      </c>
      <c r="D5332" s="2" t="s">
        <v>18</v>
      </c>
      <c r="E5332" s="5">
        <v>-28869</v>
      </c>
      <c r="F5332" s="3" t="s">
        <v>449</v>
      </c>
      <c r="G5332" s="3" t="s">
        <v>450</v>
      </c>
      <c r="H5332" s="2" t="s">
        <v>21</v>
      </c>
      <c r="I5332" s="2" t="s">
        <v>10586</v>
      </c>
      <c r="J5332" s="3" t="str">
        <f>HYPERLINK("https://www.boe.es/gazeta/dias/1820/12/15/pdfs/GGB-1820-172.pdf#page=4","Abrir facsímil")</f>
        <v>Abrir facsímil</v>
      </c>
      <c r="K5332" s="3" t="s">
        <v>23</v>
      </c>
    </row>
    <row r="5333" spans="1:11" ht="42" customHeight="1">
      <c r="A5333" s="2" t="s">
        <v>10587</v>
      </c>
      <c r="B5333" s="2" t="s">
        <v>10588</v>
      </c>
      <c r="C5333" s="2" t="s">
        <v>35</v>
      </c>
      <c r="D5333" s="2" t="s">
        <v>36</v>
      </c>
      <c r="E5333" s="5">
        <v>-28909</v>
      </c>
      <c r="F5333" s="3" t="s">
        <v>278</v>
      </c>
      <c r="G5333" s="3" t="s">
        <v>43</v>
      </c>
      <c r="H5333" s="2" t="s">
        <v>21</v>
      </c>
      <c r="I5333" s="2" t="s">
        <v>10589</v>
      </c>
      <c r="J5333" s="3" t="str">
        <f>HYPERLINK("https://www.boe.es/gazeta/dias/1820/11/05/pdfs/GGB-1820-130.pdf#page=2","Abrir facsímil")</f>
        <v>Abrir facsímil</v>
      </c>
      <c r="K5333" s="3" t="s">
        <v>23</v>
      </c>
    </row>
    <row r="5334" spans="1:11" ht="42" customHeight="1">
      <c r="A5334" s="2" t="s">
        <v>10590</v>
      </c>
      <c r="B5334" s="2" t="s">
        <v>10591</v>
      </c>
      <c r="C5334" s="2" t="s">
        <v>26</v>
      </c>
      <c r="D5334" s="2" t="s">
        <v>27</v>
      </c>
      <c r="E5334" s="5">
        <v>-29002</v>
      </c>
      <c r="F5334" s="3" t="s">
        <v>124</v>
      </c>
      <c r="G5334" s="3" t="s">
        <v>43</v>
      </c>
      <c r="H5334" s="2" t="s">
        <v>21</v>
      </c>
      <c r="I5334" s="2" t="s">
        <v>10592</v>
      </c>
      <c r="J5334" s="3" t="str">
        <f>HYPERLINK("https://www.boe.es/gazeta/dias/1820/08/04/pdfs/GGB-1820-37.pdf#page=2","Abrir facsímil")</f>
        <v>Abrir facsímil</v>
      </c>
      <c r="K5334" s="3" t="s">
        <v>23</v>
      </c>
    </row>
    <row r="5335" spans="1:11" ht="42" customHeight="1">
      <c r="A5335" s="2" t="s">
        <v>10593</v>
      </c>
      <c r="B5335" s="2" t="s">
        <v>10594</v>
      </c>
      <c r="C5335" s="2" t="s">
        <v>17</v>
      </c>
      <c r="D5335" s="2" t="s">
        <v>18</v>
      </c>
      <c r="E5335" s="5">
        <v>-28931</v>
      </c>
      <c r="F5335" s="3" t="s">
        <v>724</v>
      </c>
      <c r="G5335" s="3" t="s">
        <v>20</v>
      </c>
      <c r="H5335" s="2" t="s">
        <v>30</v>
      </c>
      <c r="I5335" s="2" t="s">
        <v>10595</v>
      </c>
      <c r="J5335" s="3" t="str">
        <f>HYPERLINK("https://www.boe.es/gazeta/dias/1820/10/14/pdfs/GGB-1820-108.pdf#page=4","Abrir facsímil")</f>
        <v>Abrir facsímil</v>
      </c>
      <c r="K5335" s="3" t="s">
        <v>32</v>
      </c>
    </row>
    <row r="5336" spans="1:11" ht="42" customHeight="1">
      <c r="A5336" s="2" t="s">
        <v>10596</v>
      </c>
      <c r="B5336" s="2" t="s">
        <v>10597</v>
      </c>
      <c r="C5336" s="2" t="s">
        <v>26</v>
      </c>
      <c r="D5336" s="2" t="s">
        <v>27</v>
      </c>
      <c r="E5336" s="5">
        <v>-29002</v>
      </c>
      <c r="F5336" s="3" t="s">
        <v>124</v>
      </c>
      <c r="G5336" s="3" t="s">
        <v>43</v>
      </c>
      <c r="H5336" s="2" t="s">
        <v>21</v>
      </c>
      <c r="I5336" s="2" t="s">
        <v>10598</v>
      </c>
      <c r="J5336" s="3" t="str">
        <f>HYPERLINK("https://www.boe.es/gazeta/dias/1820/08/04/pdfs/GGB-1820-37.pdf#page=2","Abrir facsímil")</f>
        <v>Abrir facsímil</v>
      </c>
      <c r="K5336" s="3" t="s">
        <v>23</v>
      </c>
    </row>
    <row r="5337" spans="1:11" ht="42" customHeight="1">
      <c r="A5337" s="2" t="s">
        <v>10599</v>
      </c>
      <c r="B5337" s="2" t="s">
        <v>10599</v>
      </c>
      <c r="C5337" s="2" t="s">
        <v>26</v>
      </c>
      <c r="D5337" s="2" t="s">
        <v>27</v>
      </c>
      <c r="E5337" s="5">
        <v>-29157</v>
      </c>
      <c r="F5337" s="3" t="s">
        <v>2658</v>
      </c>
      <c r="G5337" s="3" t="s">
        <v>62</v>
      </c>
      <c r="H5337" s="2" t="s">
        <v>21</v>
      </c>
      <c r="I5337" s="2" t="s">
        <v>10600</v>
      </c>
      <c r="J5337" s="3" t="str">
        <f>HYPERLINK("https://www.boe.es/gazeta/dias/1820/03/02/pdfs/GMD-1820-27.pdf#page=3","Abrir facsímil")</f>
        <v>Abrir facsímil</v>
      </c>
      <c r="K5337" s="3" t="s">
        <v>23</v>
      </c>
    </row>
    <row r="5338" spans="1:11" ht="42" customHeight="1">
      <c r="A5338" s="2" t="s">
        <v>10599</v>
      </c>
      <c r="B5338" s="2" t="s">
        <v>10599</v>
      </c>
      <c r="C5338" s="2" t="s">
        <v>26</v>
      </c>
      <c r="D5338" s="2" t="s">
        <v>27</v>
      </c>
      <c r="E5338" s="5">
        <v>-28883</v>
      </c>
      <c r="F5338" s="3" t="s">
        <v>306</v>
      </c>
      <c r="G5338" s="3" t="s">
        <v>20</v>
      </c>
      <c r="H5338" s="2" t="s">
        <v>21</v>
      </c>
      <c r="I5338" s="2" t="s">
        <v>10601</v>
      </c>
      <c r="J5338" s="3" t="str">
        <f>HYPERLINK("https://www.boe.es/gazeta/dias/1820/12/01/pdfs/GGB-1820-158.pdf#page=4","Abrir facsímil")</f>
        <v>Abrir facsímil</v>
      </c>
      <c r="K5338" s="3" t="s">
        <v>23</v>
      </c>
    </row>
    <row r="5339" spans="1:11" ht="42" customHeight="1">
      <c r="A5339" s="2" t="s">
        <v>10602</v>
      </c>
      <c r="B5339" s="2" t="s">
        <v>10603</v>
      </c>
      <c r="C5339" s="2" t="s">
        <v>26</v>
      </c>
      <c r="D5339" s="2" t="s">
        <v>27</v>
      </c>
      <c r="E5339" s="5">
        <v>-28920</v>
      </c>
      <c r="F5339" s="3" t="s">
        <v>399</v>
      </c>
      <c r="G5339" s="3" t="s">
        <v>43</v>
      </c>
      <c r="H5339" s="2" t="s">
        <v>21</v>
      </c>
      <c r="I5339" s="2" t="s">
        <v>10604</v>
      </c>
      <c r="J5339" s="3" t="str">
        <f>HYPERLINK("https://www.boe.es/gazeta/dias/1820/10/25/pdfs/GGB-1820-119.pdf#page=2","Abrir facsímil")</f>
        <v>Abrir facsímil</v>
      </c>
      <c r="K5339" s="3" t="s">
        <v>23</v>
      </c>
    </row>
    <row r="5340" spans="1:11" ht="42" customHeight="1">
      <c r="A5340" s="2" t="s">
        <v>10605</v>
      </c>
      <c r="B5340" s="2" t="s">
        <v>10606</v>
      </c>
      <c r="C5340" s="2" t="s">
        <v>26</v>
      </c>
      <c r="D5340" s="2" t="s">
        <v>27</v>
      </c>
      <c r="E5340" s="5">
        <v>-28871</v>
      </c>
      <c r="F5340" s="3" t="s">
        <v>2368</v>
      </c>
      <c r="G5340" s="3" t="s">
        <v>43</v>
      </c>
      <c r="H5340" s="2" t="s">
        <v>21</v>
      </c>
      <c r="I5340" s="2" t="s">
        <v>10607</v>
      </c>
      <c r="J5340" s="3" t="str">
        <f>HYPERLINK("https://www.boe.es/gazeta/dias/1820/12/13/pdfs/GGB-1820-170.pdf#page=2","Abrir facsímil")</f>
        <v>Abrir facsímil</v>
      </c>
      <c r="K5340" s="3" t="s">
        <v>23</v>
      </c>
    </row>
    <row r="5341" spans="1:11" ht="42" customHeight="1">
      <c r="A5341" s="2" t="s">
        <v>10608</v>
      </c>
      <c r="B5341" s="2" t="s">
        <v>10608</v>
      </c>
      <c r="C5341" s="2" t="s">
        <v>26</v>
      </c>
      <c r="D5341" s="2" t="s">
        <v>27</v>
      </c>
      <c r="E5341" s="5">
        <v>-28990</v>
      </c>
      <c r="F5341" s="3" t="s">
        <v>61</v>
      </c>
      <c r="G5341" s="3" t="s">
        <v>128</v>
      </c>
      <c r="H5341" s="2" t="s">
        <v>21</v>
      </c>
      <c r="I5341" s="2" t="s">
        <v>10609</v>
      </c>
      <c r="J5341" s="3" t="str">
        <f>HYPERLINK("https://www.boe.es/gazeta/dias/1820/08/16/pdfs/GGB-1820-49.pdf#page=1","Abrir facsímil")</f>
        <v>Abrir facsímil</v>
      </c>
      <c r="K5341" s="3" t="s">
        <v>23</v>
      </c>
    </row>
    <row r="5342" spans="1:11" ht="42" customHeight="1">
      <c r="A5342" s="2" t="s">
        <v>10608</v>
      </c>
      <c r="B5342" s="2" t="s">
        <v>10608</v>
      </c>
      <c r="C5342" s="2" t="s">
        <v>35</v>
      </c>
      <c r="D5342" s="2" t="s">
        <v>36</v>
      </c>
      <c r="E5342" s="5">
        <v>-28955</v>
      </c>
      <c r="F5342" s="3" t="s">
        <v>175</v>
      </c>
      <c r="G5342" s="3" t="s">
        <v>62</v>
      </c>
      <c r="H5342" s="2" t="s">
        <v>21</v>
      </c>
      <c r="I5342" s="2" t="s">
        <v>10610</v>
      </c>
      <c r="J5342" s="3" t="str">
        <f>HYPERLINK("https://www.boe.es/gazeta/dias/1820/09/20/pdfs/GGB-1820-84.pdf#page=3","Abrir facsímil")</f>
        <v>Abrir facsímil</v>
      </c>
      <c r="K5342" s="3" t="s">
        <v>23</v>
      </c>
    </row>
    <row r="5343" spans="1:11" ht="42" customHeight="1">
      <c r="A5343" s="2" t="s">
        <v>10608</v>
      </c>
      <c r="B5343" s="2" t="s">
        <v>10608</v>
      </c>
      <c r="C5343" s="2" t="s">
        <v>26</v>
      </c>
      <c r="D5343" s="2" t="s">
        <v>27</v>
      </c>
      <c r="E5343" s="5">
        <v>-28858</v>
      </c>
      <c r="F5343" s="3" t="s">
        <v>117</v>
      </c>
      <c r="G5343" s="3" t="s">
        <v>20</v>
      </c>
      <c r="H5343" s="2" t="s">
        <v>21</v>
      </c>
      <c r="I5343" s="2" t="s">
        <v>10611</v>
      </c>
      <c r="J5343" s="3" t="str">
        <f>HYPERLINK("https://www.boe.es/gazeta/dias/1820/12/26/pdfs/GGB-1820-183.pdf#page=4","Abrir facsímil")</f>
        <v>Abrir facsímil</v>
      </c>
      <c r="K5343" s="3" t="s">
        <v>23</v>
      </c>
    </row>
    <row r="5344" spans="1:11" ht="42" customHeight="1">
      <c r="A5344" s="2" t="s">
        <v>10612</v>
      </c>
      <c r="B5344" s="2" t="s">
        <v>10613</v>
      </c>
      <c r="C5344" s="2" t="s">
        <v>26</v>
      </c>
      <c r="D5344" s="2" t="s">
        <v>27</v>
      </c>
      <c r="E5344" s="5">
        <v>-29194</v>
      </c>
      <c r="F5344" s="3" t="s">
        <v>416</v>
      </c>
      <c r="G5344" s="3" t="s">
        <v>201</v>
      </c>
      <c r="H5344" s="2" t="s">
        <v>30</v>
      </c>
      <c r="I5344" s="2" t="s">
        <v>10614</v>
      </c>
      <c r="J5344" s="3" t="str">
        <f>HYPERLINK("https://www.boe.es/gazeta/dias/1820/01/25/pdfs/GMD-1820-11.pdf#page=7","Abrir facsímil")</f>
        <v>Abrir facsímil</v>
      </c>
      <c r="K5344" s="3" t="s">
        <v>32</v>
      </c>
    </row>
    <row r="5345" spans="1:11" ht="42" customHeight="1">
      <c r="A5345" s="2" t="s">
        <v>10615</v>
      </c>
      <c r="B5345" s="2" t="s">
        <v>10615</v>
      </c>
      <c r="C5345" s="2" t="s">
        <v>111</v>
      </c>
      <c r="D5345" s="2" t="s">
        <v>18</v>
      </c>
      <c r="E5345" s="5">
        <v>-29201</v>
      </c>
      <c r="F5345" s="3" t="s">
        <v>411</v>
      </c>
      <c r="G5345" s="3" t="s">
        <v>2312</v>
      </c>
      <c r="H5345" s="2" t="s">
        <v>21</v>
      </c>
      <c r="I5345" s="2" t="s">
        <v>10616</v>
      </c>
      <c r="J5345" s="3" t="str">
        <f>HYPERLINK("https://www.boe.es/gazeta/dias/1820/01/18/pdfs/GMD-1820-8.pdf#page=8","Abrir facsímil")</f>
        <v>Abrir facsímil</v>
      </c>
      <c r="K5345" s="3" t="s">
        <v>23</v>
      </c>
    </row>
    <row r="5346" spans="1:11" ht="42" customHeight="1">
      <c r="A5346" s="2" t="s">
        <v>10615</v>
      </c>
      <c r="B5346" s="2" t="s">
        <v>10615</v>
      </c>
      <c r="C5346" s="2" t="s">
        <v>26</v>
      </c>
      <c r="D5346" s="2" t="s">
        <v>27</v>
      </c>
      <c r="E5346" s="5">
        <v>-29027</v>
      </c>
      <c r="F5346" s="3" t="s">
        <v>937</v>
      </c>
      <c r="G5346" s="3" t="s">
        <v>20</v>
      </c>
      <c r="H5346" s="2" t="s">
        <v>21</v>
      </c>
      <c r="I5346" s="2" t="s">
        <v>10617</v>
      </c>
      <c r="J5346" s="3" t="str">
        <f>HYPERLINK("https://www.boe.es/gazeta/dias/1820/07/10/pdfs/GGB-1820-11.pdf#page=4","Abrir facsímil")</f>
        <v>Abrir facsímil</v>
      </c>
      <c r="K5346" s="3" t="s">
        <v>23</v>
      </c>
    </row>
    <row r="5347" spans="1:11" ht="42" customHeight="1">
      <c r="A5347" s="2" t="s">
        <v>10615</v>
      </c>
      <c r="B5347" s="2" t="s">
        <v>10615</v>
      </c>
      <c r="C5347" s="2" t="s">
        <v>17</v>
      </c>
      <c r="D5347" s="2" t="s">
        <v>18</v>
      </c>
      <c r="E5347" s="5">
        <v>-28980</v>
      </c>
      <c r="F5347" s="3" t="s">
        <v>614</v>
      </c>
      <c r="G5347" s="3" t="s">
        <v>62</v>
      </c>
      <c r="H5347" s="2" t="s">
        <v>21</v>
      </c>
      <c r="I5347" s="2" t="s">
        <v>10618</v>
      </c>
      <c r="J5347" s="3" t="str">
        <f>HYPERLINK("https://www.boe.es/gazeta/dias/1820/08/26/pdfs/GGB-1820-59.pdf#page=3","Abrir facsímil")</f>
        <v>Abrir facsímil</v>
      </c>
      <c r="K5347" s="3" t="s">
        <v>23</v>
      </c>
    </row>
    <row r="5348" spans="1:11" ht="42" customHeight="1">
      <c r="A5348" s="2" t="s">
        <v>10615</v>
      </c>
      <c r="B5348" s="2" t="s">
        <v>10615</v>
      </c>
      <c r="C5348" s="2" t="s">
        <v>17</v>
      </c>
      <c r="D5348" s="2" t="s">
        <v>18</v>
      </c>
      <c r="E5348" s="5">
        <v>-28931</v>
      </c>
      <c r="F5348" s="3" t="s">
        <v>724</v>
      </c>
      <c r="G5348" s="3" t="s">
        <v>20</v>
      </c>
      <c r="H5348" s="2" t="s">
        <v>21</v>
      </c>
      <c r="I5348" s="2" t="s">
        <v>10619</v>
      </c>
      <c r="J5348" s="3" t="str">
        <f>HYPERLINK("https://www.boe.es/gazeta/dias/1820/10/14/pdfs/GGB-1820-108.pdf#page=4","Abrir facsímil")</f>
        <v>Abrir facsímil</v>
      </c>
      <c r="K5348" s="3" t="s">
        <v>23</v>
      </c>
    </row>
    <row r="5349" spans="1:11" ht="42" customHeight="1">
      <c r="A5349" s="2" t="s">
        <v>10620</v>
      </c>
      <c r="B5349" s="2" t="s">
        <v>10621</v>
      </c>
      <c r="C5349" s="2" t="s">
        <v>293</v>
      </c>
      <c r="D5349" s="2" t="s">
        <v>18</v>
      </c>
      <c r="E5349" s="5">
        <v>-28864</v>
      </c>
      <c r="F5349" s="3" t="s">
        <v>1275</v>
      </c>
      <c r="G5349" s="3" t="s">
        <v>38</v>
      </c>
      <c r="H5349" s="2" t="s">
        <v>21</v>
      </c>
      <c r="I5349" s="2" t="s">
        <v>10622</v>
      </c>
      <c r="J5349" s="3" t="str">
        <f>HYPERLINK("https://www.boe.es/gazeta/dias/1820/12/20/pdfs/GGB-1820-177.pdf#page=6","Abrir facsímil")</f>
        <v>Abrir facsímil</v>
      </c>
      <c r="K5349" s="3" t="s">
        <v>23</v>
      </c>
    </row>
    <row r="5350" spans="1:11" ht="42" customHeight="1">
      <c r="A5350" s="2" t="s">
        <v>10623</v>
      </c>
      <c r="B5350" s="2" t="s">
        <v>10624</v>
      </c>
      <c r="C5350" s="2" t="s">
        <v>17</v>
      </c>
      <c r="D5350" s="2" t="s">
        <v>18</v>
      </c>
      <c r="E5350" s="5">
        <v>-28964</v>
      </c>
      <c r="F5350" s="3" t="s">
        <v>240</v>
      </c>
      <c r="G5350" s="3" t="s">
        <v>43</v>
      </c>
      <c r="H5350" s="2" t="s">
        <v>21</v>
      </c>
      <c r="I5350" s="2" t="s">
        <v>10625</v>
      </c>
      <c r="J5350" s="3" t="str">
        <f>HYPERLINK("https://www.boe.es/gazeta/dias/1820/09/11/pdfs/GGB-1820-75.pdf#page=2","Abrir facsímil")</f>
        <v>Abrir facsímil</v>
      </c>
      <c r="K5350" s="3" t="s">
        <v>23</v>
      </c>
    </row>
    <row r="5351" spans="1:11" ht="42" customHeight="1">
      <c r="A5351" s="2" t="s">
        <v>10626</v>
      </c>
      <c r="B5351" s="2" t="s">
        <v>10627</v>
      </c>
      <c r="C5351" s="2" t="s">
        <v>111</v>
      </c>
      <c r="D5351" s="2" t="s">
        <v>18</v>
      </c>
      <c r="E5351" s="5">
        <v>-28979</v>
      </c>
      <c r="F5351" s="3" t="s">
        <v>218</v>
      </c>
      <c r="G5351" s="3" t="s">
        <v>62</v>
      </c>
      <c r="H5351" s="2" t="s">
        <v>21</v>
      </c>
      <c r="I5351" s="2" t="s">
        <v>10628</v>
      </c>
      <c r="J5351" s="3" t="str">
        <f>HYPERLINK("https://www.boe.es/gazeta/dias/1820/08/27/pdfs/GGB-1820-60.pdf#page=3","Abrir facsímil")</f>
        <v>Abrir facsímil</v>
      </c>
      <c r="K5351" s="3" t="s">
        <v>23</v>
      </c>
    </row>
    <row r="5352" spans="1:11" ht="42" customHeight="1">
      <c r="A5352" s="2" t="s">
        <v>10629</v>
      </c>
      <c r="B5352" s="2" t="s">
        <v>10629</v>
      </c>
      <c r="C5352" s="2" t="s">
        <v>35</v>
      </c>
      <c r="D5352" s="2" t="s">
        <v>36</v>
      </c>
      <c r="E5352" s="5">
        <v>-28905</v>
      </c>
      <c r="F5352" s="3" t="s">
        <v>749</v>
      </c>
      <c r="G5352" s="3" t="s">
        <v>20</v>
      </c>
      <c r="H5352" s="2" t="s">
        <v>21</v>
      </c>
      <c r="I5352" s="2" t="s">
        <v>10630</v>
      </c>
      <c r="J5352" s="3" t="str">
        <f>HYPERLINK("https://www.boe.es/gazeta/dias/1820/11/09/pdfs/GGB-1820-134.pdf#page=4","Abrir facsímil")</f>
        <v>Abrir facsímil</v>
      </c>
      <c r="K5352" s="3" t="s">
        <v>23</v>
      </c>
    </row>
    <row r="5353" spans="1:11" ht="42" customHeight="1">
      <c r="A5353" s="2" t="s">
        <v>10631</v>
      </c>
      <c r="B5353" s="2" t="s">
        <v>10632</v>
      </c>
      <c r="C5353" s="2" t="s">
        <v>26</v>
      </c>
      <c r="D5353" s="2" t="s">
        <v>27</v>
      </c>
      <c r="E5353" s="5">
        <v>-28861</v>
      </c>
      <c r="F5353" s="3" t="s">
        <v>894</v>
      </c>
      <c r="G5353" s="3" t="s">
        <v>128</v>
      </c>
      <c r="H5353" s="2" t="s">
        <v>21</v>
      </c>
      <c r="I5353" s="2" t="s">
        <v>10633</v>
      </c>
      <c r="J5353" s="3" t="str">
        <f>HYPERLINK("https://www.boe.es/gazeta/dias/1820/12/23/pdfs/GGB-1820-180.pdf#page=1","Abrir facsímil")</f>
        <v>Abrir facsímil</v>
      </c>
      <c r="K5353" s="3" t="s">
        <v>23</v>
      </c>
    </row>
    <row r="5354" spans="1:11" ht="42" customHeight="1">
      <c r="A5354" s="2" t="s">
        <v>10634</v>
      </c>
      <c r="B5354" s="2" t="s">
        <v>10635</v>
      </c>
      <c r="C5354" s="2" t="s">
        <v>26</v>
      </c>
      <c r="D5354" s="2" t="s">
        <v>27</v>
      </c>
      <c r="E5354" s="5">
        <v>-28969</v>
      </c>
      <c r="F5354" s="3" t="s">
        <v>225</v>
      </c>
      <c r="G5354" s="3" t="s">
        <v>43</v>
      </c>
      <c r="H5354" s="2" t="s">
        <v>21</v>
      </c>
      <c r="I5354" s="2" t="s">
        <v>10636</v>
      </c>
      <c r="J5354" s="3" t="str">
        <f>HYPERLINK("https://www.boe.es/gazeta/dias/1820/09/06/pdfs/GGB-1820-70.pdf#page=2","Abrir facsímil")</f>
        <v>Abrir facsímil</v>
      </c>
      <c r="K5354" s="3" t="s">
        <v>23</v>
      </c>
    </row>
    <row r="5355" spans="1:11" ht="42" customHeight="1">
      <c r="A5355" s="2" t="s">
        <v>10634</v>
      </c>
      <c r="B5355" s="2" t="s">
        <v>10635</v>
      </c>
      <c r="C5355" s="2" t="s">
        <v>17</v>
      </c>
      <c r="D5355" s="2" t="s">
        <v>18</v>
      </c>
      <c r="E5355" s="5">
        <v>-28956</v>
      </c>
      <c r="F5355" s="3" t="s">
        <v>190</v>
      </c>
      <c r="G5355" s="3" t="s">
        <v>62</v>
      </c>
      <c r="H5355" s="2" t="s">
        <v>21</v>
      </c>
      <c r="I5355" s="2" t="s">
        <v>10637</v>
      </c>
      <c r="J5355" s="3" t="str">
        <f>HYPERLINK("https://www.boe.es/gazeta/dias/1820/09/19/pdfs/GGB-1820-83.pdf#page=3","Abrir facsímil")</f>
        <v>Abrir facsímil</v>
      </c>
      <c r="K5355" s="3" t="s">
        <v>23</v>
      </c>
    </row>
    <row r="5356" spans="1:11" ht="42" customHeight="1">
      <c r="A5356" s="2" t="s">
        <v>10638</v>
      </c>
      <c r="B5356" s="2" t="s">
        <v>10639</v>
      </c>
      <c r="C5356" s="2" t="s">
        <v>26</v>
      </c>
      <c r="D5356" s="2" t="s">
        <v>27</v>
      </c>
      <c r="E5356" s="5">
        <v>-28857</v>
      </c>
      <c r="F5356" s="3" t="s">
        <v>889</v>
      </c>
      <c r="G5356" s="3" t="s">
        <v>890</v>
      </c>
      <c r="H5356" s="2" t="s">
        <v>21</v>
      </c>
      <c r="I5356" s="2" t="s">
        <v>10640</v>
      </c>
      <c r="J5356" s="3" t="str">
        <f>HYPERLINK("https://www.boe.es/gazeta/dias/1820/12/27/pdfs/GGB-1820-184.pdf#page=4","Abrir facsímil")</f>
        <v>Abrir facsímil</v>
      </c>
      <c r="K5356" s="3" t="s">
        <v>23</v>
      </c>
    </row>
    <row r="5357" spans="1:11" ht="42" customHeight="1">
      <c r="A5357" s="2" t="s">
        <v>10641</v>
      </c>
      <c r="B5357" s="2" t="s">
        <v>10641</v>
      </c>
      <c r="C5357" s="2" t="s">
        <v>26</v>
      </c>
      <c r="D5357" s="2" t="s">
        <v>27</v>
      </c>
      <c r="E5357" s="5">
        <v>-28984</v>
      </c>
      <c r="F5357" s="3" t="s">
        <v>520</v>
      </c>
      <c r="G5357" s="3" t="s">
        <v>43</v>
      </c>
      <c r="H5357" s="2" t="s">
        <v>21</v>
      </c>
      <c r="I5357" s="2" t="s">
        <v>10642</v>
      </c>
      <c r="J5357" s="3" t="str">
        <f>HYPERLINK("https://www.boe.es/gazeta/dias/1820/08/22/pdfs/GGB-1820-55.pdf#page=2","Abrir facsímil")</f>
        <v>Abrir facsímil</v>
      </c>
      <c r="K5357" s="3" t="s">
        <v>23</v>
      </c>
    </row>
    <row r="5358" spans="1:11" ht="42" customHeight="1">
      <c r="A5358" s="2" t="s">
        <v>10643</v>
      </c>
      <c r="B5358" s="2" t="s">
        <v>10644</v>
      </c>
      <c r="C5358" s="2" t="s">
        <v>26</v>
      </c>
      <c r="D5358" s="2" t="s">
        <v>27</v>
      </c>
      <c r="E5358" s="5">
        <v>-28964</v>
      </c>
      <c r="F5358" s="3" t="s">
        <v>240</v>
      </c>
      <c r="G5358" s="3" t="s">
        <v>20</v>
      </c>
      <c r="H5358" s="2" t="s">
        <v>21</v>
      </c>
      <c r="I5358" s="2" t="s">
        <v>10645</v>
      </c>
      <c r="J5358" s="3" t="str">
        <f>HYPERLINK("https://www.boe.es/gazeta/dias/1820/09/11/pdfs/GGB-1820-75.pdf#page=4","Abrir facsímil")</f>
        <v>Abrir facsímil</v>
      </c>
      <c r="K5358" s="3" t="s">
        <v>23</v>
      </c>
    </row>
    <row r="5359" spans="1:11" ht="42" customHeight="1">
      <c r="A5359" s="2" t="s">
        <v>10646</v>
      </c>
      <c r="B5359" s="2" t="s">
        <v>10647</v>
      </c>
      <c r="C5359" s="2" t="s">
        <v>17</v>
      </c>
      <c r="D5359" s="2" t="s">
        <v>18</v>
      </c>
      <c r="E5359" s="5">
        <v>-29087</v>
      </c>
      <c r="F5359" s="3" t="s">
        <v>1018</v>
      </c>
      <c r="G5359" s="3" t="s">
        <v>38</v>
      </c>
      <c r="H5359" s="2" t="s">
        <v>21</v>
      </c>
      <c r="I5359" s="2" t="s">
        <v>10648</v>
      </c>
      <c r="J5359" s="3" t="str">
        <f>HYPERLINK("https://www.boe.es/gazeta/dias/1820/05/11/pdfs/GMD-1820-78.pdf#page=6","Abrir facsímil")</f>
        <v>Abrir facsímil</v>
      </c>
      <c r="K5359" s="3" t="s">
        <v>23</v>
      </c>
    </row>
    <row r="5360" spans="1:11" ht="42" customHeight="1">
      <c r="A5360" s="2" t="s">
        <v>10646</v>
      </c>
      <c r="B5360" s="2" t="s">
        <v>10647</v>
      </c>
      <c r="C5360" s="2" t="s">
        <v>26</v>
      </c>
      <c r="D5360" s="2" t="s">
        <v>27</v>
      </c>
      <c r="E5360" s="5">
        <v>-29019</v>
      </c>
      <c r="F5360" s="3" t="s">
        <v>655</v>
      </c>
      <c r="G5360" s="3" t="s">
        <v>945</v>
      </c>
      <c r="H5360" s="2" t="s">
        <v>21</v>
      </c>
      <c r="I5360" s="2" t="s">
        <v>10649</v>
      </c>
      <c r="J5360" s="3" t="str">
        <f>HYPERLINK("https://www.boe.es/gazeta/dias/1820/07/18/pdfs/GGB-1820-20.pdf#page=2","Abrir facsímil")</f>
        <v>Abrir facsímil</v>
      </c>
      <c r="K5360" s="3" t="s">
        <v>23</v>
      </c>
    </row>
    <row r="5361" spans="1:11" ht="42" customHeight="1">
      <c r="A5361" s="2" t="s">
        <v>10646</v>
      </c>
      <c r="B5361" s="2" t="s">
        <v>10647</v>
      </c>
      <c r="C5361" s="2" t="s">
        <v>17</v>
      </c>
      <c r="D5361" s="2" t="s">
        <v>18</v>
      </c>
      <c r="E5361" s="5">
        <v>-29009</v>
      </c>
      <c r="F5361" s="3" t="s">
        <v>605</v>
      </c>
      <c r="G5361" s="3" t="s">
        <v>20</v>
      </c>
      <c r="H5361" s="2" t="s">
        <v>21</v>
      </c>
      <c r="I5361" s="2" t="s">
        <v>10650</v>
      </c>
      <c r="J5361" s="3" t="str">
        <f>HYPERLINK("https://www.boe.es/gazeta/dias/1820/07/28/pdfs/GGB-1820-30.pdf#page=4","Abrir facsímil")</f>
        <v>Abrir facsímil</v>
      </c>
      <c r="K5361" s="3" t="s">
        <v>23</v>
      </c>
    </row>
    <row r="5362" spans="1:11" ht="42" customHeight="1">
      <c r="A5362" s="2" t="s">
        <v>10646</v>
      </c>
      <c r="B5362" s="2" t="s">
        <v>10647</v>
      </c>
      <c r="C5362" s="2" t="s">
        <v>74</v>
      </c>
      <c r="D5362" s="2" t="s">
        <v>18</v>
      </c>
      <c r="E5362" s="5">
        <v>-28882</v>
      </c>
      <c r="F5362" s="3" t="s">
        <v>1245</v>
      </c>
      <c r="G5362" s="3" t="s">
        <v>43</v>
      </c>
      <c r="H5362" s="2" t="s">
        <v>21</v>
      </c>
      <c r="I5362" s="2" t="s">
        <v>10651</v>
      </c>
      <c r="J5362" s="3" t="str">
        <f>HYPERLINK("https://www.boe.es/gazeta/dias/1820/12/02/pdfs/GGB-1820-159.pdf#page=2","Abrir facsímil")</f>
        <v>Abrir facsímil</v>
      </c>
      <c r="K5362" s="3" t="s">
        <v>23</v>
      </c>
    </row>
    <row r="5363" spans="1:11" ht="42" customHeight="1">
      <c r="A5363" s="2" t="s">
        <v>10652</v>
      </c>
      <c r="B5363" s="2" t="s">
        <v>10653</v>
      </c>
      <c r="C5363" s="2" t="s">
        <v>17</v>
      </c>
      <c r="D5363" s="2" t="s">
        <v>18</v>
      </c>
      <c r="E5363" s="5">
        <v>-28869</v>
      </c>
      <c r="F5363" s="3" t="s">
        <v>449</v>
      </c>
      <c r="G5363" s="3" t="s">
        <v>450</v>
      </c>
      <c r="H5363" s="2" t="s">
        <v>21</v>
      </c>
      <c r="I5363" s="2" t="s">
        <v>10654</v>
      </c>
      <c r="J5363" s="3" t="str">
        <f>HYPERLINK("https://www.boe.es/gazeta/dias/1820/12/15/pdfs/GGB-1820-172.pdf#page=4","Abrir facsímil")</f>
        <v>Abrir facsímil</v>
      </c>
      <c r="K5363" s="3" t="s">
        <v>23</v>
      </c>
    </row>
    <row r="5364" spans="1:11" ht="42" customHeight="1">
      <c r="A5364" s="2" t="s">
        <v>10655</v>
      </c>
      <c r="B5364" s="2" t="s">
        <v>10656</v>
      </c>
      <c r="C5364" s="2" t="s">
        <v>26</v>
      </c>
      <c r="D5364" s="2" t="s">
        <v>27</v>
      </c>
      <c r="E5364" s="5">
        <v>-28865</v>
      </c>
      <c r="F5364" s="3" t="s">
        <v>136</v>
      </c>
      <c r="G5364" s="3" t="s">
        <v>137</v>
      </c>
      <c r="H5364" s="2" t="s">
        <v>21</v>
      </c>
      <c r="I5364" s="2" t="s">
        <v>10657</v>
      </c>
      <c r="J5364" s="3" t="str">
        <f>HYPERLINK("https://www.boe.es/gazeta/dias/1820/12/19/pdfs/GGB-1820-176.pdf#page=3","Abrir facsímil")</f>
        <v>Abrir facsímil</v>
      </c>
      <c r="K5364" s="3" t="s">
        <v>23</v>
      </c>
    </row>
    <row r="5365" spans="1:11" ht="42" customHeight="1">
      <c r="A5365" s="2" t="s">
        <v>10658</v>
      </c>
      <c r="B5365" s="2" t="s">
        <v>10659</v>
      </c>
      <c r="C5365" s="2" t="s">
        <v>26</v>
      </c>
      <c r="D5365" s="2" t="s">
        <v>27</v>
      </c>
      <c r="E5365" s="5">
        <v>-28865</v>
      </c>
      <c r="F5365" s="3" t="s">
        <v>136</v>
      </c>
      <c r="G5365" s="3" t="s">
        <v>137</v>
      </c>
      <c r="H5365" s="2" t="s">
        <v>21</v>
      </c>
      <c r="I5365" s="2" t="s">
        <v>10660</v>
      </c>
      <c r="J5365" s="3" t="str">
        <f>HYPERLINK("https://www.boe.es/gazeta/dias/1820/12/19/pdfs/GGB-1820-176.pdf#page=3","Abrir facsímil")</f>
        <v>Abrir facsímil</v>
      </c>
      <c r="K5365" s="3" t="s">
        <v>23</v>
      </c>
    </row>
    <row r="5366" spans="1:11" ht="42" customHeight="1">
      <c r="A5366" s="2" t="s">
        <v>10661</v>
      </c>
      <c r="B5366" s="2" t="s">
        <v>10662</v>
      </c>
      <c r="C5366" s="2" t="s">
        <v>26</v>
      </c>
      <c r="D5366" s="2" t="s">
        <v>27</v>
      </c>
      <c r="E5366" s="5">
        <v>-29194</v>
      </c>
      <c r="F5366" s="3" t="s">
        <v>416</v>
      </c>
      <c r="G5366" s="3" t="s">
        <v>38</v>
      </c>
      <c r="H5366" s="2" t="s">
        <v>30</v>
      </c>
      <c r="I5366" s="2" t="s">
        <v>10663</v>
      </c>
      <c r="J5366" s="3" t="str">
        <f>HYPERLINK("https://www.boe.es/gazeta/dias/1820/01/25/pdfs/GMD-1820-11.pdf#page=6","Abrir facsímil")</f>
        <v>Abrir facsímil</v>
      </c>
      <c r="K5366" s="3" t="s">
        <v>32</v>
      </c>
    </row>
    <row r="5367" spans="1:11" ht="42" customHeight="1">
      <c r="A5367" s="2" t="s">
        <v>10664</v>
      </c>
      <c r="B5367" s="2" t="s">
        <v>10665</v>
      </c>
      <c r="C5367" s="2" t="s">
        <v>293</v>
      </c>
      <c r="D5367" s="2" t="s">
        <v>18</v>
      </c>
      <c r="E5367" s="5">
        <v>-29211</v>
      </c>
      <c r="F5367" s="3" t="s">
        <v>578</v>
      </c>
      <c r="G5367" s="3" t="s">
        <v>295</v>
      </c>
      <c r="H5367" s="2" t="s">
        <v>30</v>
      </c>
      <c r="I5367" s="2" t="s">
        <v>10666</v>
      </c>
      <c r="J5367" s="3" t="str">
        <f>HYPERLINK("https://www.boe.es/gazeta/dias/1820/01/08/pdfs/GMD-1820-4.pdf#page=8","Abrir facsímil")</f>
        <v>Abrir facsímil</v>
      </c>
      <c r="K5367" s="3" t="s">
        <v>32</v>
      </c>
    </row>
    <row r="5368" spans="1:11" ht="42" customHeight="1">
      <c r="A5368" s="2" t="s">
        <v>10664</v>
      </c>
      <c r="B5368" s="2" t="s">
        <v>10665</v>
      </c>
      <c r="C5368" s="2" t="s">
        <v>293</v>
      </c>
      <c r="D5368" s="2" t="s">
        <v>18</v>
      </c>
      <c r="E5368" s="5">
        <v>-29208</v>
      </c>
      <c r="F5368" s="3" t="s">
        <v>770</v>
      </c>
      <c r="G5368" s="3" t="s">
        <v>295</v>
      </c>
      <c r="H5368" s="2" t="s">
        <v>30</v>
      </c>
      <c r="I5368" s="2" t="s">
        <v>10667</v>
      </c>
      <c r="J5368" s="3" t="str">
        <f>HYPERLINK("https://www.boe.es/gazeta/dias/1820/01/11/pdfs/GMD-1820-5.pdf#page=8","Abrir facsímil")</f>
        <v>Abrir facsímil</v>
      </c>
      <c r="K5368" s="3" t="s">
        <v>32</v>
      </c>
    </row>
    <row r="5369" spans="1:11" ht="42" customHeight="1">
      <c r="A5369" s="2" t="s">
        <v>10664</v>
      </c>
      <c r="B5369" s="2" t="s">
        <v>10665</v>
      </c>
      <c r="C5369" s="2" t="s">
        <v>293</v>
      </c>
      <c r="D5369" s="2" t="s">
        <v>18</v>
      </c>
      <c r="E5369" s="5">
        <v>-29101</v>
      </c>
      <c r="F5369" s="3" t="s">
        <v>999</v>
      </c>
      <c r="G5369" s="3" t="s">
        <v>196</v>
      </c>
      <c r="H5369" s="2" t="s">
        <v>30</v>
      </c>
      <c r="I5369" s="2" t="s">
        <v>10668</v>
      </c>
      <c r="J5369" s="3" t="str">
        <f>HYPERLINK("https://www.boe.es/gazeta/dias/1820/04/27/pdfs/GMD-1820-72.pdf#page=11","Abrir facsímil")</f>
        <v>Abrir facsímil</v>
      </c>
      <c r="K5369" s="3" t="s">
        <v>32</v>
      </c>
    </row>
    <row r="5370" spans="1:11" ht="42" customHeight="1">
      <c r="A5370" s="2" t="s">
        <v>10664</v>
      </c>
      <c r="B5370" s="2" t="s">
        <v>10665</v>
      </c>
      <c r="C5370" s="2" t="s">
        <v>293</v>
      </c>
      <c r="D5370" s="2" t="s">
        <v>18</v>
      </c>
      <c r="E5370" s="5">
        <v>-29038</v>
      </c>
      <c r="F5370" s="3" t="s">
        <v>957</v>
      </c>
      <c r="G5370" s="3" t="s">
        <v>295</v>
      </c>
      <c r="H5370" s="2" t="s">
        <v>30</v>
      </c>
      <c r="I5370" s="2" t="s">
        <v>10669</v>
      </c>
      <c r="J5370" s="3" t="str">
        <f>HYPERLINK("https://www.boe.es/gazeta/dias/1820/06/29/pdfs/GMD-1820-100.pdf#page=8","Abrir facsímil")</f>
        <v>Abrir facsímil</v>
      </c>
      <c r="K5370" s="3" t="s">
        <v>32</v>
      </c>
    </row>
    <row r="5371" spans="1:11" ht="42" customHeight="1">
      <c r="A5371" s="2" t="s">
        <v>10664</v>
      </c>
      <c r="B5371" s="2" t="s">
        <v>10665</v>
      </c>
      <c r="C5371" s="2" t="s">
        <v>293</v>
      </c>
      <c r="D5371" s="2" t="s">
        <v>18</v>
      </c>
      <c r="E5371" s="5">
        <v>-29011</v>
      </c>
      <c r="F5371" s="3" t="s">
        <v>338</v>
      </c>
      <c r="G5371" s="3" t="s">
        <v>20</v>
      </c>
      <c r="H5371" s="2" t="s">
        <v>30</v>
      </c>
      <c r="I5371" s="2" t="s">
        <v>10670</v>
      </c>
      <c r="J5371" s="3" t="str">
        <f>HYPERLINK("https://www.boe.es/gazeta/dias/1820/07/26/pdfs/GGB-1820-28.pdf#page=4","Abrir facsímil")</f>
        <v>Abrir facsímil</v>
      </c>
      <c r="K5371" s="3" t="s">
        <v>32</v>
      </c>
    </row>
    <row r="5372" spans="1:11" ht="42" customHeight="1">
      <c r="A5372" s="2" t="s">
        <v>10664</v>
      </c>
      <c r="B5372" s="2" t="s">
        <v>10665</v>
      </c>
      <c r="C5372" s="2" t="s">
        <v>293</v>
      </c>
      <c r="D5372" s="2" t="s">
        <v>18</v>
      </c>
      <c r="E5372" s="5">
        <v>-28874</v>
      </c>
      <c r="F5372" s="3" t="s">
        <v>103</v>
      </c>
      <c r="G5372" s="3" t="s">
        <v>20</v>
      </c>
      <c r="H5372" s="2" t="s">
        <v>30</v>
      </c>
      <c r="I5372" s="2" t="s">
        <v>10671</v>
      </c>
      <c r="J5372" s="3" t="str">
        <f>HYPERLINK("https://www.boe.es/gazeta/dias/1820/12/10/pdfs/GGB-1820-167.pdf#page=4","Abrir facsímil")</f>
        <v>Abrir facsímil</v>
      </c>
      <c r="K5372" s="3" t="s">
        <v>32</v>
      </c>
    </row>
    <row r="5373" spans="1:11" ht="42" customHeight="1">
      <c r="A5373" s="2" t="s">
        <v>10664</v>
      </c>
      <c r="B5373" s="2" t="s">
        <v>10665</v>
      </c>
      <c r="C5373" s="2" t="s">
        <v>293</v>
      </c>
      <c r="D5373" s="2" t="s">
        <v>18</v>
      </c>
      <c r="E5373" s="5">
        <v>-28869</v>
      </c>
      <c r="F5373" s="3" t="s">
        <v>449</v>
      </c>
      <c r="G5373" s="3" t="s">
        <v>450</v>
      </c>
      <c r="H5373" s="2" t="s">
        <v>30</v>
      </c>
      <c r="I5373" s="2" t="s">
        <v>10672</v>
      </c>
      <c r="J5373" s="3" t="str">
        <f>HYPERLINK("https://www.boe.es/gazeta/dias/1820/12/15/pdfs/GGB-1820-172.pdf#page=4","Abrir facsímil")</f>
        <v>Abrir facsímil</v>
      </c>
      <c r="K5373" s="3" t="s">
        <v>32</v>
      </c>
    </row>
    <row r="5374" spans="1:11" ht="42" customHeight="1">
      <c r="A5374" s="2" t="s">
        <v>10673</v>
      </c>
      <c r="B5374" s="2" t="s">
        <v>10674</v>
      </c>
      <c r="C5374" s="2" t="s">
        <v>35</v>
      </c>
      <c r="D5374" s="2" t="s">
        <v>36</v>
      </c>
      <c r="E5374" s="5">
        <v>-28989</v>
      </c>
      <c r="F5374" s="3" t="s">
        <v>809</v>
      </c>
      <c r="G5374" s="3" t="s">
        <v>62</v>
      </c>
      <c r="H5374" s="2" t="s">
        <v>21</v>
      </c>
      <c r="I5374" s="2" t="s">
        <v>10675</v>
      </c>
      <c r="J5374" s="3" t="str">
        <f>HYPERLINK("https://www.boe.es/gazeta/dias/1820/08/17/pdfs/GGB-1820-50.pdf#page=3","Abrir facsímil")</f>
        <v>Abrir facsímil</v>
      </c>
      <c r="K5374" s="3" t="s">
        <v>23</v>
      </c>
    </row>
    <row r="5375" spans="1:11" ht="42" customHeight="1">
      <c r="A5375" s="2" t="s">
        <v>10676</v>
      </c>
      <c r="B5375" s="2" t="s">
        <v>10677</v>
      </c>
      <c r="C5375" s="2" t="s">
        <v>17</v>
      </c>
      <c r="D5375" s="2" t="s">
        <v>18</v>
      </c>
      <c r="E5375" s="5">
        <v>-29022</v>
      </c>
      <c r="F5375" s="3" t="s">
        <v>1310</v>
      </c>
      <c r="G5375" s="3" t="s">
        <v>20</v>
      </c>
      <c r="H5375" s="2" t="s">
        <v>21</v>
      </c>
      <c r="I5375" s="2" t="s">
        <v>10678</v>
      </c>
      <c r="J5375" s="3" t="str">
        <f>HYPERLINK("https://www.boe.es/gazeta/dias/1820/07/15/pdfs/GGB-1820-17.pdf#page=4","Abrir facsímil")</f>
        <v>Abrir facsímil</v>
      </c>
      <c r="K5375" s="3" t="s">
        <v>23</v>
      </c>
    </row>
    <row r="5376" spans="1:11" ht="42" customHeight="1">
      <c r="A5376" s="2" t="s">
        <v>10679</v>
      </c>
      <c r="B5376" s="2" t="s">
        <v>10679</v>
      </c>
      <c r="C5376" s="2" t="s">
        <v>26</v>
      </c>
      <c r="D5376" s="2" t="s">
        <v>27</v>
      </c>
      <c r="E5376" s="5">
        <v>-28953</v>
      </c>
      <c r="F5376" s="3" t="s">
        <v>367</v>
      </c>
      <c r="G5376" s="3" t="s">
        <v>128</v>
      </c>
      <c r="H5376" s="2" t="s">
        <v>21</v>
      </c>
      <c r="I5376" s="2" t="s">
        <v>10680</v>
      </c>
      <c r="J5376" s="3" t="str">
        <f>HYPERLINK("https://www.boe.es/gazeta/dias/1820/09/22/pdfs/GGB-1820-86.pdf#page=1","Abrir facsímil")</f>
        <v>Abrir facsímil</v>
      </c>
      <c r="K5376" s="3" t="s">
        <v>23</v>
      </c>
    </row>
    <row r="5377" spans="1:11" ht="42" customHeight="1">
      <c r="A5377" s="2" t="s">
        <v>10681</v>
      </c>
      <c r="B5377" s="2" t="s">
        <v>10681</v>
      </c>
      <c r="C5377" s="2" t="s">
        <v>26</v>
      </c>
      <c r="D5377" s="2" t="s">
        <v>27</v>
      </c>
      <c r="E5377" s="5">
        <v>-29138</v>
      </c>
      <c r="F5377" s="3" t="s">
        <v>200</v>
      </c>
      <c r="G5377" s="3" t="s">
        <v>295</v>
      </c>
      <c r="H5377" s="2" t="s">
        <v>21</v>
      </c>
      <c r="I5377" s="2" t="s">
        <v>10682</v>
      </c>
      <c r="J5377" s="3" t="str">
        <f>HYPERLINK("https://www.boe.es/gazeta/dias/1820/03/21/pdfs/GMD-1820-46.pdf#page=8","Abrir facsímil")</f>
        <v>Abrir facsímil</v>
      </c>
      <c r="K5377" s="3" t="s">
        <v>23</v>
      </c>
    </row>
    <row r="5378" spans="1:11" ht="42" customHeight="1">
      <c r="A5378" s="2" t="s">
        <v>10681</v>
      </c>
      <c r="B5378" s="2" t="s">
        <v>10681</v>
      </c>
      <c r="C5378" s="2" t="s">
        <v>26</v>
      </c>
      <c r="D5378" s="2" t="s">
        <v>27</v>
      </c>
      <c r="E5378" s="5">
        <v>-29115</v>
      </c>
      <c r="F5378" s="3" t="s">
        <v>289</v>
      </c>
      <c r="G5378" s="3" t="s">
        <v>256</v>
      </c>
      <c r="H5378" s="2" t="s">
        <v>21</v>
      </c>
      <c r="I5378" s="2" t="s">
        <v>10683</v>
      </c>
      <c r="J5378" s="3" t="str">
        <f>HYPERLINK("https://www.boe.es/gazeta/dias/1820/04/13/pdfs/GMD-1820-65.pdf#page=5","Abrir facsímil")</f>
        <v>Abrir facsímil</v>
      </c>
      <c r="K5378" s="3" t="s">
        <v>23</v>
      </c>
    </row>
    <row r="5379" spans="1:11" ht="42" customHeight="1">
      <c r="A5379" s="2" t="s">
        <v>10681</v>
      </c>
      <c r="B5379" s="2" t="s">
        <v>10681</v>
      </c>
      <c r="C5379" s="2" t="s">
        <v>26</v>
      </c>
      <c r="D5379" s="2" t="s">
        <v>27</v>
      </c>
      <c r="E5379" s="5">
        <v>-29028</v>
      </c>
      <c r="F5379" s="3" t="s">
        <v>132</v>
      </c>
      <c r="G5379" s="3" t="s">
        <v>20</v>
      </c>
      <c r="H5379" s="2" t="s">
        <v>21</v>
      </c>
      <c r="I5379" s="2" t="s">
        <v>10684</v>
      </c>
      <c r="J5379" s="3" t="str">
        <f>HYPERLINK("https://www.boe.es/gazeta/dias/1820/07/09/pdfs/GGB-1820-10.pdf#page=4","Abrir facsímil")</f>
        <v>Abrir facsímil</v>
      </c>
      <c r="K5379" s="3" t="s">
        <v>23</v>
      </c>
    </row>
    <row r="5380" spans="1:11" ht="42" customHeight="1">
      <c r="A5380" s="2" t="s">
        <v>10681</v>
      </c>
      <c r="B5380" s="2" t="s">
        <v>10681</v>
      </c>
      <c r="C5380" s="2" t="s">
        <v>17</v>
      </c>
      <c r="D5380" s="2" t="s">
        <v>18</v>
      </c>
      <c r="E5380" s="5">
        <v>-28964</v>
      </c>
      <c r="F5380" s="3" t="s">
        <v>240</v>
      </c>
      <c r="G5380" s="3" t="s">
        <v>43</v>
      </c>
      <c r="H5380" s="2" t="s">
        <v>21</v>
      </c>
      <c r="I5380" s="2" t="s">
        <v>10685</v>
      </c>
      <c r="J5380" s="3" t="str">
        <f>HYPERLINK("https://www.boe.es/gazeta/dias/1820/09/11/pdfs/GGB-1820-75.pdf#page=2","Abrir facsímil")</f>
        <v>Abrir facsímil</v>
      </c>
      <c r="K5380" s="3" t="s">
        <v>23</v>
      </c>
    </row>
    <row r="5381" spans="1:11" ht="42" customHeight="1">
      <c r="A5381" s="2" t="s">
        <v>10681</v>
      </c>
      <c r="B5381" s="2" t="s">
        <v>10681</v>
      </c>
      <c r="C5381" s="2" t="s">
        <v>293</v>
      </c>
      <c r="D5381" s="2" t="s">
        <v>18</v>
      </c>
      <c r="E5381" s="5">
        <v>-28924</v>
      </c>
      <c r="F5381" s="3" t="s">
        <v>78</v>
      </c>
      <c r="G5381" s="3" t="s">
        <v>62</v>
      </c>
      <c r="H5381" s="2" t="s">
        <v>21</v>
      </c>
      <c r="I5381" s="2" t="s">
        <v>10686</v>
      </c>
      <c r="J5381" s="3" t="str">
        <f>HYPERLINK("https://www.boe.es/gazeta/dias/1820/10/21/pdfs/GGB-1820-115.pdf#page=3","Abrir facsímil")</f>
        <v>Abrir facsímil</v>
      </c>
      <c r="K5381" s="3" t="s">
        <v>23</v>
      </c>
    </row>
    <row r="5382" spans="1:11" ht="42" customHeight="1">
      <c r="A5382" s="2" t="s">
        <v>10681</v>
      </c>
      <c r="B5382" s="2" t="s">
        <v>10681</v>
      </c>
      <c r="C5382" s="2" t="s">
        <v>26</v>
      </c>
      <c r="D5382" s="2" t="s">
        <v>27</v>
      </c>
      <c r="E5382" s="5">
        <v>-28909</v>
      </c>
      <c r="F5382" s="3" t="s">
        <v>278</v>
      </c>
      <c r="G5382" s="3" t="s">
        <v>62</v>
      </c>
      <c r="H5382" s="2" t="s">
        <v>21</v>
      </c>
      <c r="I5382" s="2" t="s">
        <v>10687</v>
      </c>
      <c r="J5382" s="3" t="str">
        <f>HYPERLINK("https://www.boe.es/gazeta/dias/1820/11/05/pdfs/GGB-1820-130.pdf#page=3","Abrir facsímil")</f>
        <v>Abrir facsímil</v>
      </c>
      <c r="K5382" s="3" t="s">
        <v>23</v>
      </c>
    </row>
    <row r="5383" spans="1:11" ht="42" customHeight="1">
      <c r="A5383" s="2" t="s">
        <v>10681</v>
      </c>
      <c r="B5383" s="2" t="s">
        <v>10681</v>
      </c>
      <c r="C5383" s="2" t="s">
        <v>17</v>
      </c>
      <c r="D5383" s="2" t="s">
        <v>18</v>
      </c>
      <c r="E5383" s="5">
        <v>-28905</v>
      </c>
      <c r="F5383" s="3" t="s">
        <v>749</v>
      </c>
      <c r="G5383" s="3" t="s">
        <v>43</v>
      </c>
      <c r="H5383" s="2" t="s">
        <v>21</v>
      </c>
      <c r="I5383" s="2" t="s">
        <v>10688</v>
      </c>
      <c r="J5383" s="3" t="str">
        <f>HYPERLINK("https://www.boe.es/gazeta/dias/1820/11/09/pdfs/GGB-1820-134.pdf#page=2","Abrir facsímil")</f>
        <v>Abrir facsímil</v>
      </c>
      <c r="K5383" s="3" t="s">
        <v>23</v>
      </c>
    </row>
    <row r="5384" spans="1:11" ht="42" customHeight="1">
      <c r="A5384" s="2" t="s">
        <v>10689</v>
      </c>
      <c r="B5384" s="2" t="s">
        <v>10690</v>
      </c>
      <c r="C5384" s="2" t="s">
        <v>26</v>
      </c>
      <c r="D5384" s="2" t="s">
        <v>27</v>
      </c>
      <c r="E5384" s="5">
        <v>-28976</v>
      </c>
      <c r="F5384" s="3" t="s">
        <v>689</v>
      </c>
      <c r="G5384" s="3" t="s">
        <v>20</v>
      </c>
      <c r="H5384" s="2" t="s">
        <v>21</v>
      </c>
      <c r="I5384" s="2" t="s">
        <v>10691</v>
      </c>
      <c r="J5384" s="3" t="str">
        <f>HYPERLINK("https://www.boe.es/gazeta/dias/1820/08/30/pdfs/GGB-1820-63.pdf#page=4","Abrir facsímil")</f>
        <v>Abrir facsímil</v>
      </c>
      <c r="K5384" s="3" t="s">
        <v>23</v>
      </c>
    </row>
    <row r="5385" spans="1:11" ht="42" customHeight="1">
      <c r="A5385" s="2" t="s">
        <v>10692</v>
      </c>
      <c r="B5385" s="2" t="s">
        <v>10693</v>
      </c>
      <c r="C5385" s="2" t="s">
        <v>26</v>
      </c>
      <c r="D5385" s="2" t="s">
        <v>27</v>
      </c>
      <c r="E5385" s="5">
        <v>-29213</v>
      </c>
      <c r="F5385" s="3" t="s">
        <v>195</v>
      </c>
      <c r="G5385" s="3" t="s">
        <v>196</v>
      </c>
      <c r="H5385" s="2" t="s">
        <v>21</v>
      </c>
      <c r="I5385" s="2" t="s">
        <v>10694</v>
      </c>
      <c r="J5385" s="3" t="str">
        <f>HYPERLINK("https://www.boe.es/gazeta/dias/1820/01/06/pdfs/GMD-1820-3.pdf#page=11","Abrir facsímil")</f>
        <v>Abrir facsímil</v>
      </c>
      <c r="K5385" s="3" t="s">
        <v>23</v>
      </c>
    </row>
    <row r="5386" spans="1:11" ht="42" customHeight="1">
      <c r="A5386" s="2" t="s">
        <v>10695</v>
      </c>
      <c r="B5386" s="2" t="s">
        <v>10695</v>
      </c>
      <c r="C5386" s="2" t="s">
        <v>26</v>
      </c>
      <c r="D5386" s="2" t="s">
        <v>27</v>
      </c>
      <c r="E5386" s="5">
        <v>-29103</v>
      </c>
      <c r="F5386" s="3" t="s">
        <v>313</v>
      </c>
      <c r="G5386" s="3" t="s">
        <v>295</v>
      </c>
      <c r="H5386" s="2" t="s">
        <v>21</v>
      </c>
      <c r="I5386" s="2" t="s">
        <v>10696</v>
      </c>
      <c r="J5386" s="3" t="str">
        <f>HYPERLINK("https://www.boe.es/gazeta/dias/1820/04/25/pdfs/GMD-1820-70.pdf#page=8","Abrir facsímil")</f>
        <v>Abrir facsímil</v>
      </c>
      <c r="K5386" s="3" t="s">
        <v>23</v>
      </c>
    </row>
    <row r="5387" spans="1:11" ht="42" customHeight="1">
      <c r="A5387" s="2" t="s">
        <v>10695</v>
      </c>
      <c r="B5387" s="2" t="s">
        <v>10695</v>
      </c>
      <c r="C5387" s="2" t="s">
        <v>17</v>
      </c>
      <c r="D5387" s="2" t="s">
        <v>18</v>
      </c>
      <c r="E5387" s="5">
        <v>-28980</v>
      </c>
      <c r="F5387" s="3" t="s">
        <v>614</v>
      </c>
      <c r="G5387" s="3" t="s">
        <v>3062</v>
      </c>
      <c r="H5387" s="2" t="s">
        <v>21</v>
      </c>
      <c r="I5387" s="2" t="s">
        <v>10697</v>
      </c>
      <c r="J5387" s="3" t="str">
        <f>HYPERLINK("https://www.boe.es/gazeta/dias/1820/08/26/pdfs/GGB-1820-59.pdf#page=2","Abrir facsímil")</f>
        <v>Abrir facsímil</v>
      </c>
      <c r="K5387" s="3" t="s">
        <v>23</v>
      </c>
    </row>
    <row r="5388" spans="1:11" ht="42" customHeight="1">
      <c r="A5388" s="2" t="s">
        <v>10698</v>
      </c>
      <c r="B5388" s="2" t="s">
        <v>10699</v>
      </c>
      <c r="C5388" s="2" t="s">
        <v>35</v>
      </c>
      <c r="D5388" s="2" t="s">
        <v>36</v>
      </c>
      <c r="E5388" s="5">
        <v>-28983</v>
      </c>
      <c r="F5388" s="3" t="s">
        <v>682</v>
      </c>
      <c r="G5388" s="3" t="s">
        <v>62</v>
      </c>
      <c r="H5388" s="2" t="s">
        <v>21</v>
      </c>
      <c r="I5388" s="2" t="s">
        <v>10700</v>
      </c>
      <c r="J5388" s="3" t="str">
        <f>HYPERLINK("https://www.boe.es/gazeta/dias/1820/08/23/pdfs/GGB-1820-56.pdf#page=3","Abrir facsímil")</f>
        <v>Abrir facsímil</v>
      </c>
      <c r="K5388" s="3" t="s">
        <v>23</v>
      </c>
    </row>
    <row r="5389" spans="1:11" ht="42" customHeight="1">
      <c r="A5389" s="2" t="s">
        <v>10701</v>
      </c>
      <c r="B5389" s="2" t="s">
        <v>10701</v>
      </c>
      <c r="C5389" s="2" t="s">
        <v>26</v>
      </c>
      <c r="D5389" s="2" t="s">
        <v>27</v>
      </c>
      <c r="E5389" s="5">
        <v>-28953</v>
      </c>
      <c r="F5389" s="3" t="s">
        <v>367</v>
      </c>
      <c r="G5389" s="3" t="s">
        <v>128</v>
      </c>
      <c r="H5389" s="2" t="s">
        <v>21</v>
      </c>
      <c r="I5389" s="2" t="s">
        <v>10702</v>
      </c>
      <c r="J5389" s="3" t="str">
        <f>HYPERLINK("https://www.boe.es/gazeta/dias/1820/09/22/pdfs/GGB-1820-86.pdf#page=1","Abrir facsímil")</f>
        <v>Abrir facsímil</v>
      </c>
      <c r="K5389" s="3" t="s">
        <v>23</v>
      </c>
    </row>
    <row r="5390" spans="1:11" ht="42" customHeight="1">
      <c r="A5390" s="2" t="s">
        <v>10703</v>
      </c>
      <c r="B5390" s="2" t="s">
        <v>10704</v>
      </c>
      <c r="C5390" s="2" t="s">
        <v>35</v>
      </c>
      <c r="D5390" s="2" t="s">
        <v>36</v>
      </c>
      <c r="E5390" s="5">
        <v>-28945</v>
      </c>
      <c r="F5390" s="3" t="s">
        <v>99</v>
      </c>
      <c r="G5390" s="3" t="s">
        <v>20</v>
      </c>
      <c r="H5390" s="2" t="s">
        <v>21</v>
      </c>
      <c r="I5390" s="2" t="s">
        <v>10705</v>
      </c>
      <c r="J5390" s="3" t="str">
        <f>HYPERLINK("https://www.boe.es/gazeta/dias/1820/09/30/pdfs/GGB-1820-94.pdf#page=4","Abrir facsímil")</f>
        <v>Abrir facsímil</v>
      </c>
      <c r="K5390" s="3" t="s">
        <v>23</v>
      </c>
    </row>
    <row r="5391" spans="1:11" ht="42" customHeight="1">
      <c r="A5391" s="2" t="s">
        <v>10706</v>
      </c>
      <c r="B5391" s="2" t="s">
        <v>10706</v>
      </c>
      <c r="C5391" s="2" t="s">
        <v>26</v>
      </c>
      <c r="D5391" s="2" t="s">
        <v>27</v>
      </c>
      <c r="E5391" s="5">
        <v>-28994</v>
      </c>
      <c r="F5391" s="3" t="s">
        <v>1612</v>
      </c>
      <c r="G5391" s="3" t="s">
        <v>128</v>
      </c>
      <c r="H5391" s="2" t="s">
        <v>21</v>
      </c>
      <c r="I5391" s="2" t="s">
        <v>10707</v>
      </c>
      <c r="J5391" s="3" t="str">
        <f>HYPERLINK("https://www.boe.es/gazeta/dias/1820/08/12/pdfs/GGB-1820-45.pdf#page=1","Abrir facsímil")</f>
        <v>Abrir facsímil</v>
      </c>
      <c r="K5391" s="3" t="s">
        <v>23</v>
      </c>
    </row>
    <row r="5392" spans="1:11" ht="42" customHeight="1">
      <c r="A5392" s="2" t="s">
        <v>10708</v>
      </c>
      <c r="B5392" s="2" t="s">
        <v>10708</v>
      </c>
      <c r="C5392" s="2" t="s">
        <v>35</v>
      </c>
      <c r="D5392" s="2" t="s">
        <v>36</v>
      </c>
      <c r="E5392" s="5">
        <v>-29218</v>
      </c>
      <c r="F5392" s="3" t="s">
        <v>834</v>
      </c>
      <c r="G5392" s="3" t="s">
        <v>20</v>
      </c>
      <c r="H5392" s="2" t="s">
        <v>21</v>
      </c>
      <c r="I5392" s="2" t="s">
        <v>10709</v>
      </c>
      <c r="J5392" s="3" t="str">
        <f>HYPERLINK("https://www.boe.es/gazeta/dias/1820/01/01/pdfs/GMD-1820-1.pdf#page=4","Abrir facsímil")</f>
        <v>Abrir facsímil</v>
      </c>
      <c r="K5392" s="3" t="s">
        <v>23</v>
      </c>
    </row>
    <row r="5393" spans="1:11" ht="42" customHeight="1">
      <c r="A5393" s="2" t="s">
        <v>10708</v>
      </c>
      <c r="B5393" s="2" t="s">
        <v>10708</v>
      </c>
      <c r="C5393" s="2" t="s">
        <v>74</v>
      </c>
      <c r="D5393" s="2" t="s">
        <v>310</v>
      </c>
      <c r="E5393" s="5">
        <v>-29140</v>
      </c>
      <c r="F5393" s="3" t="s">
        <v>533</v>
      </c>
      <c r="G5393" s="3" t="s">
        <v>128</v>
      </c>
      <c r="H5393" s="2" t="s">
        <v>21</v>
      </c>
      <c r="I5393" s="2" t="s">
        <v>10710</v>
      </c>
      <c r="J5393" s="3" t="str">
        <f>HYPERLINK("https://www.boe.es/gazeta/dias/1820/03/19/pdfs/GMD-1820-45E.pdf#page=1","Abrir facsímil")</f>
        <v>Abrir facsímil</v>
      </c>
      <c r="K5393" s="3" t="s">
        <v>23</v>
      </c>
    </row>
    <row r="5394" spans="1:11" ht="42" customHeight="1">
      <c r="A5394" s="2" t="s">
        <v>10708</v>
      </c>
      <c r="B5394" s="2" t="s">
        <v>10708</v>
      </c>
      <c r="C5394" s="2" t="s">
        <v>111</v>
      </c>
      <c r="D5394" s="2" t="s">
        <v>18</v>
      </c>
      <c r="E5394" s="5">
        <v>-29005</v>
      </c>
      <c r="F5394" s="3" t="s">
        <v>1656</v>
      </c>
      <c r="G5394" s="3" t="s">
        <v>1657</v>
      </c>
      <c r="H5394" s="2" t="s">
        <v>21</v>
      </c>
      <c r="I5394" s="2" t="s">
        <v>10711</v>
      </c>
      <c r="J5394" s="3" t="str">
        <f>HYPERLINK("https://www.boe.es/gazeta/dias/1820/08/01/pdfs/GGB-1820-34.pdf#page=4","Abrir facsímil")</f>
        <v>Abrir facsímil</v>
      </c>
      <c r="K5394" s="3" t="s">
        <v>23</v>
      </c>
    </row>
    <row r="5395" spans="1:11" ht="42" customHeight="1">
      <c r="A5395" s="2" t="s">
        <v>10708</v>
      </c>
      <c r="B5395" s="2" t="s">
        <v>10708</v>
      </c>
      <c r="C5395" s="2" t="s">
        <v>293</v>
      </c>
      <c r="D5395" s="2" t="s">
        <v>18</v>
      </c>
      <c r="E5395" s="5">
        <v>-28995</v>
      </c>
      <c r="F5395" s="3" t="s">
        <v>672</v>
      </c>
      <c r="G5395" s="3" t="s">
        <v>20</v>
      </c>
      <c r="H5395" s="2" t="s">
        <v>21</v>
      </c>
      <c r="I5395" s="2" t="s">
        <v>10712</v>
      </c>
      <c r="J5395" s="3" t="str">
        <f>HYPERLINK("https://www.boe.es/gazeta/dias/1820/08/11/pdfs/GGB-1820-44.pdf#page=4","Abrir facsímil")</f>
        <v>Abrir facsímil</v>
      </c>
      <c r="K5395" s="3" t="s">
        <v>23</v>
      </c>
    </row>
    <row r="5396" spans="1:11" ht="42" customHeight="1">
      <c r="A5396" s="2" t="s">
        <v>10708</v>
      </c>
      <c r="B5396" s="2" t="s">
        <v>10708</v>
      </c>
      <c r="C5396" s="2" t="s">
        <v>26</v>
      </c>
      <c r="D5396" s="2" t="s">
        <v>27</v>
      </c>
      <c r="E5396" s="5">
        <v>-28991</v>
      </c>
      <c r="F5396" s="3" t="s">
        <v>213</v>
      </c>
      <c r="G5396" s="3" t="s">
        <v>62</v>
      </c>
      <c r="H5396" s="2" t="s">
        <v>21</v>
      </c>
      <c r="I5396" s="2" t="s">
        <v>10713</v>
      </c>
      <c r="J5396" s="3" t="str">
        <f>HYPERLINK("https://www.boe.es/gazeta/dias/1820/08/15/pdfs/GGB-1820-48.pdf#page=3","Abrir facsímil")</f>
        <v>Abrir facsímil</v>
      </c>
      <c r="K5396" s="3" t="s">
        <v>23</v>
      </c>
    </row>
    <row r="5397" spans="1:11" ht="42" customHeight="1">
      <c r="A5397" s="2" t="s">
        <v>10708</v>
      </c>
      <c r="B5397" s="2" t="s">
        <v>10708</v>
      </c>
      <c r="C5397" s="2" t="s">
        <v>26</v>
      </c>
      <c r="D5397" s="2" t="s">
        <v>27</v>
      </c>
      <c r="E5397" s="5">
        <v>-28968</v>
      </c>
      <c r="F5397" s="3" t="s">
        <v>66</v>
      </c>
      <c r="G5397" s="3" t="s">
        <v>62</v>
      </c>
      <c r="H5397" s="2" t="s">
        <v>21</v>
      </c>
      <c r="I5397" s="2" t="s">
        <v>10714</v>
      </c>
      <c r="J5397" s="3" t="str">
        <f>HYPERLINK("https://www.boe.es/gazeta/dias/1820/09/07/pdfs/GGB-1820-71.pdf#page=3","Abrir facsímil")</f>
        <v>Abrir facsímil</v>
      </c>
      <c r="K5397" s="3" t="s">
        <v>23</v>
      </c>
    </row>
    <row r="5398" spans="1:11" ht="42" customHeight="1">
      <c r="A5398" s="2" t="s">
        <v>10708</v>
      </c>
      <c r="B5398" s="2" t="s">
        <v>10708</v>
      </c>
      <c r="C5398" s="2" t="s">
        <v>17</v>
      </c>
      <c r="D5398" s="2" t="s">
        <v>18</v>
      </c>
      <c r="E5398" s="5">
        <v>-28931</v>
      </c>
      <c r="F5398" s="3" t="s">
        <v>724</v>
      </c>
      <c r="G5398" s="3" t="s">
        <v>20</v>
      </c>
      <c r="H5398" s="2" t="s">
        <v>21</v>
      </c>
      <c r="I5398" s="2" t="s">
        <v>10715</v>
      </c>
      <c r="J5398" s="3" t="str">
        <f>HYPERLINK("https://www.boe.es/gazeta/dias/1820/10/14/pdfs/GGB-1820-108.pdf#page=4","Abrir facsímil")</f>
        <v>Abrir facsímil</v>
      </c>
      <c r="K5398" s="3" t="s">
        <v>23</v>
      </c>
    </row>
    <row r="5399" spans="1:11" ht="42" customHeight="1">
      <c r="A5399" s="2" t="s">
        <v>10708</v>
      </c>
      <c r="B5399" s="2" t="s">
        <v>10708</v>
      </c>
      <c r="C5399" s="2" t="s">
        <v>35</v>
      </c>
      <c r="D5399" s="2" t="s">
        <v>36</v>
      </c>
      <c r="E5399" s="5">
        <v>-28914</v>
      </c>
      <c r="F5399" s="3" t="s">
        <v>434</v>
      </c>
      <c r="G5399" s="3" t="s">
        <v>43</v>
      </c>
      <c r="H5399" s="2" t="s">
        <v>21</v>
      </c>
      <c r="I5399" s="2" t="s">
        <v>10716</v>
      </c>
      <c r="J5399" s="3" t="str">
        <f>HYPERLINK("https://www.boe.es/gazeta/dias/1820/10/31/pdfs/GGB-1820-125.pdf#page=2","Abrir facsímil")</f>
        <v>Abrir facsímil</v>
      </c>
      <c r="K5399" s="3" t="s">
        <v>23</v>
      </c>
    </row>
    <row r="5400" spans="1:11" ht="42" customHeight="1">
      <c r="A5400" s="2" t="s">
        <v>10708</v>
      </c>
      <c r="B5400" s="2" t="s">
        <v>10708</v>
      </c>
      <c r="C5400" s="2" t="s">
        <v>35</v>
      </c>
      <c r="D5400" s="2" t="s">
        <v>36</v>
      </c>
      <c r="E5400" s="5">
        <v>-28911</v>
      </c>
      <c r="F5400" s="3" t="s">
        <v>82</v>
      </c>
      <c r="G5400" s="3" t="s">
        <v>43</v>
      </c>
      <c r="H5400" s="2" t="s">
        <v>21</v>
      </c>
      <c r="I5400" s="2" t="s">
        <v>10717</v>
      </c>
      <c r="J5400" s="3" t="str">
        <f>HYPERLINK("https://www.boe.es/gazeta/dias/1820/11/03/pdfs/GGB-1820-128.pdf#page=2","Abrir facsímil")</f>
        <v>Abrir facsímil</v>
      </c>
      <c r="K5400" s="3" t="s">
        <v>23</v>
      </c>
    </row>
    <row r="5401" spans="1:11" ht="42" customHeight="1">
      <c r="A5401" s="2" t="s">
        <v>10708</v>
      </c>
      <c r="B5401" s="2" t="s">
        <v>10708</v>
      </c>
      <c r="C5401" s="2" t="s">
        <v>26</v>
      </c>
      <c r="D5401" s="2" t="s">
        <v>27</v>
      </c>
      <c r="E5401" s="5">
        <v>-28909</v>
      </c>
      <c r="F5401" s="3" t="s">
        <v>278</v>
      </c>
      <c r="G5401" s="3" t="s">
        <v>43</v>
      </c>
      <c r="H5401" s="2" t="s">
        <v>21</v>
      </c>
      <c r="I5401" s="2" t="s">
        <v>10718</v>
      </c>
      <c r="J5401" s="3" t="str">
        <f>HYPERLINK("https://www.boe.es/gazeta/dias/1820/11/05/pdfs/GGB-1820-130.pdf#page=2","Abrir facsímil")</f>
        <v>Abrir facsímil</v>
      </c>
      <c r="K5401" s="3" t="s">
        <v>23</v>
      </c>
    </row>
    <row r="5402" spans="1:11" ht="42" customHeight="1">
      <c r="A5402" s="2" t="s">
        <v>10708</v>
      </c>
      <c r="B5402" s="2" t="s">
        <v>10708</v>
      </c>
      <c r="C5402" s="2" t="s">
        <v>26</v>
      </c>
      <c r="D5402" s="2" t="s">
        <v>27</v>
      </c>
      <c r="E5402" s="5">
        <v>-28908</v>
      </c>
      <c r="F5402" s="3" t="s">
        <v>1060</v>
      </c>
      <c r="G5402" s="3" t="s">
        <v>62</v>
      </c>
      <c r="H5402" s="2" t="s">
        <v>21</v>
      </c>
      <c r="I5402" s="2" t="s">
        <v>10719</v>
      </c>
      <c r="J5402" s="3" t="str">
        <f>HYPERLINK("https://www.boe.es/gazeta/dias/1820/11/06/pdfs/GGB-1820-131.pdf#page=3","Abrir facsímil")</f>
        <v>Abrir facsímil</v>
      </c>
      <c r="K5402" s="3" t="s">
        <v>23</v>
      </c>
    </row>
    <row r="5403" spans="1:11" ht="42" customHeight="1">
      <c r="A5403" s="2" t="s">
        <v>10708</v>
      </c>
      <c r="B5403" s="2" t="s">
        <v>10708</v>
      </c>
      <c r="C5403" s="2" t="s">
        <v>17</v>
      </c>
      <c r="D5403" s="2" t="s">
        <v>18</v>
      </c>
      <c r="E5403" s="5">
        <v>-28906</v>
      </c>
      <c r="F5403" s="3" t="s">
        <v>232</v>
      </c>
      <c r="G5403" s="3" t="s">
        <v>128</v>
      </c>
      <c r="H5403" s="2" t="s">
        <v>21</v>
      </c>
      <c r="I5403" s="2" t="s">
        <v>10720</v>
      </c>
      <c r="J5403" s="3" t="str">
        <f>HYPERLINK("https://www.boe.es/gazeta/dias/1820/11/08/pdfs/GGB-1820-133.pdf#page=1","Abrir facsímil")</f>
        <v>Abrir facsímil</v>
      </c>
      <c r="K5403" s="3" t="s">
        <v>23</v>
      </c>
    </row>
    <row r="5404" spans="1:11" ht="42" customHeight="1">
      <c r="A5404" s="2" t="s">
        <v>10708</v>
      </c>
      <c r="B5404" s="2" t="s">
        <v>10708</v>
      </c>
      <c r="C5404" s="2" t="s">
        <v>74</v>
      </c>
      <c r="D5404" s="2" t="s">
        <v>18</v>
      </c>
      <c r="E5404" s="5">
        <v>-28884</v>
      </c>
      <c r="F5404" s="3" t="s">
        <v>882</v>
      </c>
      <c r="G5404" s="3" t="s">
        <v>1272</v>
      </c>
      <c r="H5404" s="2" t="s">
        <v>21</v>
      </c>
      <c r="I5404" s="2" t="s">
        <v>10721</v>
      </c>
      <c r="J5404" s="3" t="str">
        <f>HYPERLINK("https://www.boe.es/gazeta/dias/1820/11/30/pdfs/GGB-1820-157.pdf#page=4","Abrir facsímil")</f>
        <v>Abrir facsímil</v>
      </c>
      <c r="K5404" s="3" t="s">
        <v>23</v>
      </c>
    </row>
    <row r="5405" spans="1:11" ht="42" customHeight="1">
      <c r="A5405" s="2" t="s">
        <v>10708</v>
      </c>
      <c r="B5405" s="2" t="s">
        <v>10708</v>
      </c>
      <c r="C5405" s="2" t="s">
        <v>26</v>
      </c>
      <c r="D5405" s="2" t="s">
        <v>27</v>
      </c>
      <c r="E5405" s="5">
        <v>-28883</v>
      </c>
      <c r="F5405" s="3" t="s">
        <v>306</v>
      </c>
      <c r="G5405" s="3" t="s">
        <v>20</v>
      </c>
      <c r="H5405" s="2" t="s">
        <v>21</v>
      </c>
      <c r="I5405" s="2" t="s">
        <v>10722</v>
      </c>
      <c r="J5405" s="3" t="str">
        <f>HYPERLINK("https://www.boe.es/gazeta/dias/1820/12/01/pdfs/GGB-1820-158.pdf#page=4","Abrir facsímil")</f>
        <v>Abrir facsímil</v>
      </c>
      <c r="K5405" s="3" t="s">
        <v>23</v>
      </c>
    </row>
    <row r="5406" spans="1:11" ht="42" customHeight="1">
      <c r="A5406" s="2" t="s">
        <v>10708</v>
      </c>
      <c r="B5406" s="2" t="s">
        <v>10708</v>
      </c>
      <c r="C5406" s="2" t="s">
        <v>17</v>
      </c>
      <c r="D5406" s="2" t="s">
        <v>18</v>
      </c>
      <c r="E5406" s="5">
        <v>-28873</v>
      </c>
      <c r="F5406" s="3" t="s">
        <v>4997</v>
      </c>
      <c r="G5406" s="3" t="s">
        <v>20</v>
      </c>
      <c r="H5406" s="2" t="s">
        <v>21</v>
      </c>
      <c r="I5406" s="2" t="s">
        <v>10723</v>
      </c>
      <c r="J5406" s="3" t="str">
        <f>HYPERLINK("https://www.boe.es/gazeta/dias/1820/12/11/pdfs/GGB-1820-168.pdf#page=4","Abrir facsímil")</f>
        <v>Abrir facsímil</v>
      </c>
      <c r="K5406" s="3" t="s">
        <v>23</v>
      </c>
    </row>
    <row r="5407" spans="1:11" ht="42" customHeight="1">
      <c r="A5407" s="2" t="s">
        <v>10724</v>
      </c>
      <c r="B5407" s="2" t="s">
        <v>10725</v>
      </c>
      <c r="C5407" s="2" t="s">
        <v>35</v>
      </c>
      <c r="D5407" s="2" t="s">
        <v>36</v>
      </c>
      <c r="E5407" s="5">
        <v>-28854</v>
      </c>
      <c r="F5407" s="3" t="s">
        <v>147</v>
      </c>
      <c r="G5407" s="3" t="s">
        <v>62</v>
      </c>
      <c r="H5407" s="2" t="s">
        <v>21</v>
      </c>
      <c r="I5407" s="2" t="s">
        <v>10726</v>
      </c>
      <c r="J5407" s="3" t="str">
        <f>HYPERLINK("https://www.boe.es/gazeta/dias/1820/12/30/pdfs/GGB-1820-187.pdf#page=3","Abrir facsímil")</f>
        <v>Abrir facsímil</v>
      </c>
      <c r="K5407" s="3" t="s">
        <v>23</v>
      </c>
    </row>
    <row r="5408" spans="1:11" ht="42" customHeight="1">
      <c r="A5408" s="2" t="s">
        <v>10727</v>
      </c>
      <c r="B5408" s="2" t="s">
        <v>10727</v>
      </c>
      <c r="C5408" s="2" t="s">
        <v>26</v>
      </c>
      <c r="D5408" s="2" t="s">
        <v>27</v>
      </c>
      <c r="E5408" s="5">
        <v>-29024</v>
      </c>
      <c r="F5408" s="3" t="s">
        <v>1916</v>
      </c>
      <c r="G5408" s="3" t="s">
        <v>62</v>
      </c>
      <c r="H5408" s="2" t="s">
        <v>21</v>
      </c>
      <c r="I5408" s="2" t="s">
        <v>10728</v>
      </c>
      <c r="J5408" s="3" t="str">
        <f>HYPERLINK("https://www.boe.es/gazeta/dias/1820/07/13/pdfs/GGB-1820-15.pdf#page=3","Abrir facsímil")</f>
        <v>Abrir facsímil</v>
      </c>
      <c r="K5408" s="3" t="s">
        <v>23</v>
      </c>
    </row>
    <row r="5409" spans="1:11" ht="42" customHeight="1">
      <c r="A5409" s="2" t="s">
        <v>10729</v>
      </c>
      <c r="B5409" s="2" t="s">
        <v>10729</v>
      </c>
      <c r="C5409" s="2" t="s">
        <v>26</v>
      </c>
      <c r="D5409" s="2" t="s">
        <v>27</v>
      </c>
      <c r="E5409" s="5">
        <v>-29025</v>
      </c>
      <c r="F5409" s="3" t="s">
        <v>902</v>
      </c>
      <c r="G5409" s="3" t="s">
        <v>20</v>
      </c>
      <c r="H5409" s="2" t="s">
        <v>21</v>
      </c>
      <c r="I5409" s="2" t="s">
        <v>10730</v>
      </c>
      <c r="J5409" s="3" t="str">
        <f>HYPERLINK("https://www.boe.es/gazeta/dias/1820/07/12/pdfs/GGB-1820-14.pdf#page=4","Abrir facsímil")</f>
        <v>Abrir facsímil</v>
      </c>
      <c r="K5409" s="3" t="s">
        <v>23</v>
      </c>
    </row>
    <row r="5410" spans="1:11" ht="42" customHeight="1">
      <c r="A5410" s="2" t="s">
        <v>10731</v>
      </c>
      <c r="B5410" s="2" t="s">
        <v>10731</v>
      </c>
      <c r="C5410" s="2" t="s">
        <v>35</v>
      </c>
      <c r="D5410" s="2" t="s">
        <v>36</v>
      </c>
      <c r="E5410" s="5">
        <v>-28925</v>
      </c>
      <c r="F5410" s="3" t="s">
        <v>228</v>
      </c>
      <c r="G5410" s="3" t="s">
        <v>62</v>
      </c>
      <c r="H5410" s="2" t="s">
        <v>21</v>
      </c>
      <c r="I5410" s="2" t="s">
        <v>10732</v>
      </c>
      <c r="J5410" s="3" t="str">
        <f>HYPERLINK("https://www.boe.es/gazeta/dias/1820/10/20/pdfs/GGB-1820-114.pdf#page=3","Abrir facsímil")</f>
        <v>Abrir facsímil</v>
      </c>
      <c r="K5410" s="3" t="s">
        <v>23</v>
      </c>
    </row>
    <row r="5411" spans="1:11" ht="42" customHeight="1">
      <c r="A5411" s="2" t="s">
        <v>10733</v>
      </c>
      <c r="B5411" s="2" t="s">
        <v>10734</v>
      </c>
      <c r="C5411" s="2" t="s">
        <v>35</v>
      </c>
      <c r="D5411" s="2" t="s">
        <v>36</v>
      </c>
      <c r="E5411" s="5">
        <v>-29213</v>
      </c>
      <c r="F5411" s="3" t="s">
        <v>195</v>
      </c>
      <c r="G5411" s="3" t="s">
        <v>821</v>
      </c>
      <c r="H5411" s="2" t="s">
        <v>21</v>
      </c>
      <c r="I5411" s="2" t="s">
        <v>10735</v>
      </c>
      <c r="J5411" s="3" t="str">
        <f>HYPERLINK("https://www.boe.es/gazeta/dias/1820/01/06/pdfs/GMD-1820-3.pdf#page=6","Abrir facsímil")</f>
        <v>Abrir facsímil</v>
      </c>
      <c r="K5411" s="3" t="s">
        <v>23</v>
      </c>
    </row>
    <row r="5412" spans="1:11" ht="42" customHeight="1">
      <c r="A5412" s="2" t="s">
        <v>10736</v>
      </c>
      <c r="B5412" s="2" t="s">
        <v>10737</v>
      </c>
      <c r="C5412" s="2" t="s">
        <v>47</v>
      </c>
      <c r="D5412" s="2" t="s">
        <v>18</v>
      </c>
      <c r="E5412" s="5">
        <v>-29007</v>
      </c>
      <c r="F5412" s="3" t="s">
        <v>251</v>
      </c>
      <c r="G5412" s="3" t="s">
        <v>20</v>
      </c>
      <c r="H5412" s="2" t="s">
        <v>21</v>
      </c>
      <c r="I5412" s="2" t="s">
        <v>10738</v>
      </c>
      <c r="J5412" s="3" t="str">
        <f>HYPERLINK("https://www.boe.es/gazeta/dias/1820/07/30/pdfs/GGB-1820-32.pdf#page=4","Abrir facsímil")</f>
        <v>Abrir facsímil</v>
      </c>
      <c r="K5412" s="3" t="s">
        <v>23</v>
      </c>
    </row>
    <row r="5413" spans="1:11" ht="42" customHeight="1">
      <c r="A5413" s="2" t="s">
        <v>10739</v>
      </c>
      <c r="B5413" s="2" t="s">
        <v>10739</v>
      </c>
      <c r="C5413" s="2" t="s">
        <v>35</v>
      </c>
      <c r="D5413" s="2" t="s">
        <v>36</v>
      </c>
      <c r="E5413" s="5">
        <v>-28945</v>
      </c>
      <c r="F5413" s="3" t="s">
        <v>99</v>
      </c>
      <c r="G5413" s="3" t="s">
        <v>62</v>
      </c>
      <c r="H5413" s="2" t="s">
        <v>21</v>
      </c>
      <c r="I5413" s="2" t="s">
        <v>10740</v>
      </c>
      <c r="J5413" s="3" t="str">
        <f>HYPERLINK("https://www.boe.es/gazeta/dias/1820/09/30/pdfs/GGB-1820-94.pdf#page=3","Abrir facsímil")</f>
        <v>Abrir facsímil</v>
      </c>
      <c r="K5413" s="3" t="s">
        <v>23</v>
      </c>
    </row>
    <row r="5414" spans="1:11" ht="42" customHeight="1">
      <c r="A5414" s="2" t="s">
        <v>10741</v>
      </c>
      <c r="B5414" s="2" t="s">
        <v>10741</v>
      </c>
      <c r="C5414" s="2" t="s">
        <v>17</v>
      </c>
      <c r="D5414" s="2" t="s">
        <v>18</v>
      </c>
      <c r="E5414" s="5">
        <v>-28959</v>
      </c>
      <c r="F5414" s="3" t="s">
        <v>37</v>
      </c>
      <c r="G5414" s="3" t="s">
        <v>38</v>
      </c>
      <c r="H5414" s="2" t="s">
        <v>21</v>
      </c>
      <c r="I5414" s="2" t="s">
        <v>10742</v>
      </c>
      <c r="J5414" s="3" t="str">
        <f>HYPERLINK("https://www.boe.es/gazeta/dias/1820/09/16/pdfs/GGB-1820-80.pdf#page=6","Abrir facsímil")</f>
        <v>Abrir facsímil</v>
      </c>
      <c r="K5414" s="3" t="s">
        <v>23</v>
      </c>
    </row>
    <row r="5415" spans="1:11" ht="42" customHeight="1">
      <c r="A5415" s="2" t="s">
        <v>10741</v>
      </c>
      <c r="B5415" s="2" t="s">
        <v>10741</v>
      </c>
      <c r="C5415" s="2" t="s">
        <v>293</v>
      </c>
      <c r="D5415" s="2" t="s">
        <v>18</v>
      </c>
      <c r="E5415" s="5">
        <v>-28905</v>
      </c>
      <c r="F5415" s="3" t="s">
        <v>749</v>
      </c>
      <c r="G5415" s="3" t="s">
        <v>20</v>
      </c>
      <c r="H5415" s="2" t="s">
        <v>21</v>
      </c>
      <c r="I5415" s="2" t="s">
        <v>10743</v>
      </c>
      <c r="J5415" s="3" t="str">
        <f>HYPERLINK("https://www.boe.es/gazeta/dias/1820/11/09/pdfs/GGB-1820-134.pdf#page=4","Abrir facsímil")</f>
        <v>Abrir facsímil</v>
      </c>
      <c r="K5415" s="3" t="s">
        <v>23</v>
      </c>
    </row>
    <row r="5416" spans="1:11" ht="42" customHeight="1">
      <c r="A5416" s="2" t="s">
        <v>10741</v>
      </c>
      <c r="B5416" s="2" t="s">
        <v>10741</v>
      </c>
      <c r="C5416" s="2" t="s">
        <v>26</v>
      </c>
      <c r="D5416" s="2" t="s">
        <v>27</v>
      </c>
      <c r="E5416" s="5">
        <v>-28904</v>
      </c>
      <c r="F5416" s="3" t="s">
        <v>541</v>
      </c>
      <c r="G5416" s="3" t="s">
        <v>43</v>
      </c>
      <c r="H5416" s="2" t="s">
        <v>21</v>
      </c>
      <c r="I5416" s="2" t="s">
        <v>10744</v>
      </c>
      <c r="J5416" s="3" t="str">
        <f>HYPERLINK("https://www.boe.es/gazeta/dias/1820/11/10/pdfs/GGB-1820-136.pdf#page=2","Abrir facsímil")</f>
        <v>Abrir facsímil</v>
      </c>
      <c r="K5416" s="3" t="s">
        <v>23</v>
      </c>
    </row>
    <row r="5417" spans="1:11" ht="42" customHeight="1">
      <c r="A5417" s="2" t="s">
        <v>10745</v>
      </c>
      <c r="B5417" s="2" t="s">
        <v>10746</v>
      </c>
      <c r="C5417" s="2" t="s">
        <v>111</v>
      </c>
      <c r="D5417" s="2" t="s">
        <v>18</v>
      </c>
      <c r="E5417" s="5">
        <v>-28905</v>
      </c>
      <c r="F5417" s="3" t="s">
        <v>749</v>
      </c>
      <c r="G5417" s="3" t="s">
        <v>43</v>
      </c>
      <c r="H5417" s="2" t="s">
        <v>30</v>
      </c>
      <c r="I5417" s="2" t="s">
        <v>10747</v>
      </c>
      <c r="J5417" s="3" t="str">
        <f>HYPERLINK("https://www.boe.es/gazeta/dias/1820/11/09/pdfs/GGB-1820-134.pdf#page=2","Abrir facsímil")</f>
        <v>Abrir facsímil</v>
      </c>
      <c r="K5417" s="3" t="s">
        <v>32</v>
      </c>
    </row>
    <row r="5418" spans="1:11" ht="42" customHeight="1">
      <c r="A5418" s="2" t="s">
        <v>10748</v>
      </c>
      <c r="B5418" s="2" t="s">
        <v>10749</v>
      </c>
      <c r="C5418" s="2" t="s">
        <v>35</v>
      </c>
      <c r="D5418" s="2" t="s">
        <v>36</v>
      </c>
      <c r="E5418" s="5">
        <v>-28896</v>
      </c>
      <c r="F5418" s="3" t="s">
        <v>1268</v>
      </c>
      <c r="G5418" s="3" t="s">
        <v>1269</v>
      </c>
      <c r="H5418" s="2" t="s">
        <v>21</v>
      </c>
      <c r="I5418" s="2" t="s">
        <v>10750</v>
      </c>
      <c r="J5418" s="3" t="str">
        <f>HYPERLINK("https://www.boe.es/gazeta/dias/1820/11/18/pdfs/GGB-1820-144.pdf#page=4","Abrir facsímil")</f>
        <v>Abrir facsímil</v>
      </c>
      <c r="K5418" s="3" t="s">
        <v>23</v>
      </c>
    </row>
    <row r="5419" spans="1:11" ht="42" customHeight="1">
      <c r="A5419" s="2" t="s">
        <v>10751</v>
      </c>
      <c r="B5419" s="2" t="s">
        <v>10752</v>
      </c>
      <c r="C5419" s="2" t="s">
        <v>26</v>
      </c>
      <c r="D5419" s="2" t="s">
        <v>27</v>
      </c>
      <c r="E5419" s="5">
        <v>-28975</v>
      </c>
      <c r="F5419" s="3" t="s">
        <v>182</v>
      </c>
      <c r="G5419" s="3" t="s">
        <v>183</v>
      </c>
      <c r="H5419" s="2" t="s">
        <v>21</v>
      </c>
      <c r="I5419" s="2" t="s">
        <v>10753</v>
      </c>
      <c r="J5419" s="3" t="str">
        <f>HYPERLINK("https://www.boe.es/gazeta/dias/1820/08/31/pdfs/GGB-1820-64.pdf#page=4","Abrir facsímil")</f>
        <v>Abrir facsímil</v>
      </c>
      <c r="K5419" s="3" t="s">
        <v>23</v>
      </c>
    </row>
    <row r="5420" spans="1:11" ht="42" customHeight="1">
      <c r="A5420" s="2" t="s">
        <v>10754</v>
      </c>
      <c r="B5420" s="2" t="s">
        <v>10754</v>
      </c>
      <c r="C5420" s="2" t="s">
        <v>26</v>
      </c>
      <c r="D5420" s="2" t="s">
        <v>27</v>
      </c>
      <c r="E5420" s="5">
        <v>-29002</v>
      </c>
      <c r="F5420" s="3" t="s">
        <v>124</v>
      </c>
      <c r="G5420" s="3" t="s">
        <v>128</v>
      </c>
      <c r="H5420" s="2" t="s">
        <v>21</v>
      </c>
      <c r="I5420" s="2" t="s">
        <v>10755</v>
      </c>
      <c r="J5420" s="3" t="str">
        <f>HYPERLINK("https://www.boe.es/gazeta/dias/1820/08/04/pdfs/GGB-1820-37.pdf#page=1","Abrir facsímil")</f>
        <v>Abrir facsímil</v>
      </c>
      <c r="K5420" s="3" t="s">
        <v>23</v>
      </c>
    </row>
    <row r="5421" spans="1:11" ht="42" customHeight="1">
      <c r="A5421" s="2" t="s">
        <v>10754</v>
      </c>
      <c r="B5421" s="2" t="s">
        <v>10754</v>
      </c>
      <c r="C5421" s="2" t="s">
        <v>26</v>
      </c>
      <c r="D5421" s="2" t="s">
        <v>27</v>
      </c>
      <c r="E5421" s="5">
        <v>-29002</v>
      </c>
      <c r="F5421" s="3" t="s">
        <v>124</v>
      </c>
      <c r="G5421" s="3" t="s">
        <v>43</v>
      </c>
      <c r="H5421" s="2" t="s">
        <v>21</v>
      </c>
      <c r="I5421" s="2" t="s">
        <v>10756</v>
      </c>
      <c r="J5421" s="3" t="str">
        <f>HYPERLINK("https://www.boe.es/gazeta/dias/1820/08/04/pdfs/GGB-1820-37.pdf#page=2","Abrir facsímil")</f>
        <v>Abrir facsímil</v>
      </c>
      <c r="K5421" s="3" t="s">
        <v>23</v>
      </c>
    </row>
    <row r="5422" spans="1:11" ht="42" customHeight="1">
      <c r="A5422" s="2" t="s">
        <v>10754</v>
      </c>
      <c r="B5422" s="2" t="s">
        <v>10754</v>
      </c>
      <c r="C5422" s="2" t="s">
        <v>26</v>
      </c>
      <c r="D5422" s="2" t="s">
        <v>27</v>
      </c>
      <c r="E5422" s="5">
        <v>-28928</v>
      </c>
      <c r="F5422" s="3" t="s">
        <v>86</v>
      </c>
      <c r="G5422" s="3" t="s">
        <v>20</v>
      </c>
      <c r="H5422" s="2" t="s">
        <v>21</v>
      </c>
      <c r="I5422" s="2" t="s">
        <v>10757</v>
      </c>
      <c r="J5422" s="3" t="str">
        <f>HYPERLINK("https://www.boe.es/gazeta/dias/1820/10/17/pdfs/GGB-1820-111.pdf#page=4","Abrir facsímil")</f>
        <v>Abrir facsímil</v>
      </c>
      <c r="K5422" s="3" t="s">
        <v>23</v>
      </c>
    </row>
    <row r="5423" spans="1:11" ht="42" customHeight="1">
      <c r="A5423" s="2" t="s">
        <v>10758</v>
      </c>
      <c r="B5423" s="2" t="s">
        <v>10758</v>
      </c>
      <c r="C5423" s="2" t="s">
        <v>26</v>
      </c>
      <c r="D5423" s="2" t="s">
        <v>27</v>
      </c>
      <c r="E5423" s="5">
        <v>-28921</v>
      </c>
      <c r="F5423" s="3" t="s">
        <v>738</v>
      </c>
      <c r="G5423" s="3" t="s">
        <v>128</v>
      </c>
      <c r="H5423" s="2" t="s">
        <v>21</v>
      </c>
      <c r="I5423" s="2" t="s">
        <v>10759</v>
      </c>
      <c r="J5423" s="3" t="str">
        <f>HYPERLINK("https://www.boe.es/gazeta/dias/1820/10/24/pdfs/GGB-1820-118.pdf#page=1","Abrir facsímil")</f>
        <v>Abrir facsímil</v>
      </c>
      <c r="K5423" s="3" t="s">
        <v>23</v>
      </c>
    </row>
    <row r="5424" spans="1:11" ht="42" customHeight="1">
      <c r="A5424" s="2" t="s">
        <v>10758</v>
      </c>
      <c r="B5424" s="2" t="s">
        <v>10758</v>
      </c>
      <c r="C5424" s="2" t="s">
        <v>26</v>
      </c>
      <c r="D5424" s="2" t="s">
        <v>27</v>
      </c>
      <c r="E5424" s="5">
        <v>-28914</v>
      </c>
      <c r="F5424" s="3" t="s">
        <v>434</v>
      </c>
      <c r="G5424" s="3" t="s">
        <v>20</v>
      </c>
      <c r="H5424" s="2" t="s">
        <v>21</v>
      </c>
      <c r="I5424" s="2" t="s">
        <v>10760</v>
      </c>
      <c r="J5424" s="3" t="str">
        <f>HYPERLINK("https://www.boe.es/gazeta/dias/1820/10/31/pdfs/GGB-1820-125.pdf#page=4","Abrir facsímil")</f>
        <v>Abrir facsímil</v>
      </c>
      <c r="K5424" s="3" t="s">
        <v>23</v>
      </c>
    </row>
    <row r="5425" spans="1:11" ht="42" customHeight="1">
      <c r="A5425" s="2" t="s">
        <v>10758</v>
      </c>
      <c r="B5425" s="2" t="s">
        <v>10758</v>
      </c>
      <c r="C5425" s="2" t="s">
        <v>26</v>
      </c>
      <c r="D5425" s="2" t="s">
        <v>27</v>
      </c>
      <c r="E5425" s="5">
        <v>-28908</v>
      </c>
      <c r="F5425" s="3" t="s">
        <v>1060</v>
      </c>
      <c r="G5425" s="3" t="s">
        <v>128</v>
      </c>
      <c r="H5425" s="2" t="s">
        <v>21</v>
      </c>
      <c r="I5425" s="2" t="s">
        <v>10761</v>
      </c>
      <c r="J5425" s="3" t="str">
        <f>HYPERLINK("https://www.boe.es/gazeta/dias/1820/11/06/pdfs/GGB-1820-131.pdf#page=1","Abrir facsímil")</f>
        <v>Abrir facsímil</v>
      </c>
      <c r="K5425" s="3" t="s">
        <v>23</v>
      </c>
    </row>
    <row r="5426" spans="1:11" ht="42" customHeight="1">
      <c r="A5426" s="2" t="s">
        <v>10758</v>
      </c>
      <c r="B5426" s="2" t="s">
        <v>10758</v>
      </c>
      <c r="C5426" s="2" t="s">
        <v>26</v>
      </c>
      <c r="D5426" s="2" t="s">
        <v>27</v>
      </c>
      <c r="E5426" s="5">
        <v>-28902</v>
      </c>
      <c r="F5426" s="3" t="s">
        <v>440</v>
      </c>
      <c r="G5426" s="3" t="s">
        <v>1080</v>
      </c>
      <c r="H5426" s="2" t="s">
        <v>21</v>
      </c>
      <c r="I5426" s="2" t="s">
        <v>10762</v>
      </c>
      <c r="J5426" s="3" t="str">
        <f>HYPERLINK("https://www.boe.es/gazeta/dias/1820/11/12/pdfs/GGB-1820-138.pdf#page=1","Abrir facsímil")</f>
        <v>Abrir facsímil</v>
      </c>
      <c r="K5426" s="3" t="s">
        <v>23</v>
      </c>
    </row>
    <row r="5427" spans="1:11" ht="42" customHeight="1">
      <c r="A5427" s="2" t="s">
        <v>10758</v>
      </c>
      <c r="B5427" s="2" t="s">
        <v>10758</v>
      </c>
      <c r="C5427" s="2" t="s">
        <v>26</v>
      </c>
      <c r="D5427" s="2" t="s">
        <v>27</v>
      </c>
      <c r="E5427" s="5">
        <v>-28898</v>
      </c>
      <c r="F5427" s="3" t="s">
        <v>1405</v>
      </c>
      <c r="G5427" s="3" t="s">
        <v>1588</v>
      </c>
      <c r="H5427" s="2" t="s">
        <v>21</v>
      </c>
      <c r="I5427" s="2" t="s">
        <v>10763</v>
      </c>
      <c r="J5427" s="3" t="str">
        <f>HYPERLINK("https://www.boe.es/gazeta/dias/1820/11/16/pdfs/GGB-1820-142.pdf#page=2","Abrir facsímil")</f>
        <v>Abrir facsímil</v>
      </c>
      <c r="K5427" s="3" t="s">
        <v>23</v>
      </c>
    </row>
    <row r="5428" spans="1:11" ht="42" customHeight="1">
      <c r="A5428" s="2" t="s">
        <v>10758</v>
      </c>
      <c r="B5428" s="2" t="s">
        <v>10758</v>
      </c>
      <c r="C5428" s="2" t="s">
        <v>26</v>
      </c>
      <c r="D5428" s="2" t="s">
        <v>27</v>
      </c>
      <c r="E5428" s="5">
        <v>-28898</v>
      </c>
      <c r="F5428" s="3" t="s">
        <v>1405</v>
      </c>
      <c r="G5428" s="3" t="s">
        <v>128</v>
      </c>
      <c r="H5428" s="2" t="s">
        <v>21</v>
      </c>
      <c r="I5428" s="2" t="s">
        <v>10764</v>
      </c>
      <c r="J5428" s="3" t="str">
        <f>HYPERLINK("https://www.boe.es/gazeta/dias/1820/11/16/pdfs/GGB-1820-142.pdf#page=1","Abrir facsímil")</f>
        <v>Abrir facsímil</v>
      </c>
      <c r="K5428" s="3" t="s">
        <v>23</v>
      </c>
    </row>
    <row r="5429" spans="1:11" ht="42" customHeight="1">
      <c r="A5429" s="2" t="s">
        <v>10758</v>
      </c>
      <c r="B5429" s="2" t="s">
        <v>10758</v>
      </c>
      <c r="C5429" s="2" t="s">
        <v>26</v>
      </c>
      <c r="D5429" s="2" t="s">
        <v>27</v>
      </c>
      <c r="E5429" s="5">
        <v>-28895</v>
      </c>
      <c r="F5429" s="3" t="s">
        <v>347</v>
      </c>
      <c r="G5429" s="3" t="s">
        <v>128</v>
      </c>
      <c r="H5429" s="2" t="s">
        <v>21</v>
      </c>
      <c r="I5429" s="2" t="s">
        <v>10765</v>
      </c>
      <c r="J5429" s="3" t="str">
        <f>HYPERLINK("https://www.boe.es/gazeta/dias/1820/11/19/pdfs/GGB-1820-146.pdf#page=1","Abrir facsímil")</f>
        <v>Abrir facsímil</v>
      </c>
      <c r="K5429" s="3" t="s">
        <v>23</v>
      </c>
    </row>
    <row r="5430" spans="1:11" ht="42" customHeight="1">
      <c r="A5430" s="2" t="s">
        <v>10754</v>
      </c>
      <c r="B5430" s="2" t="s">
        <v>10754</v>
      </c>
      <c r="C5430" s="2" t="s">
        <v>35</v>
      </c>
      <c r="D5430" s="2" t="s">
        <v>36</v>
      </c>
      <c r="E5430" s="5">
        <v>-28891</v>
      </c>
      <c r="F5430" s="3" t="s">
        <v>965</v>
      </c>
      <c r="G5430" s="3" t="s">
        <v>43</v>
      </c>
      <c r="H5430" s="2" t="s">
        <v>21</v>
      </c>
      <c r="I5430" s="2" t="s">
        <v>10766</v>
      </c>
      <c r="J5430" s="3" t="str">
        <f>HYPERLINK("https://www.boe.es/gazeta/dias/1820/11/23/pdfs/GGB-1820-150.pdf#page=2","Abrir facsímil")</f>
        <v>Abrir facsímil</v>
      </c>
      <c r="K5430" s="3" t="s">
        <v>23</v>
      </c>
    </row>
    <row r="5431" spans="1:11" ht="42" customHeight="1">
      <c r="A5431" s="2" t="s">
        <v>10754</v>
      </c>
      <c r="B5431" s="2" t="s">
        <v>10754</v>
      </c>
      <c r="C5431" s="2" t="s">
        <v>26</v>
      </c>
      <c r="D5431" s="2" t="s">
        <v>27</v>
      </c>
      <c r="E5431" s="5">
        <v>-28889</v>
      </c>
      <c r="F5431" s="3" t="s">
        <v>777</v>
      </c>
      <c r="G5431" s="3" t="s">
        <v>128</v>
      </c>
      <c r="H5431" s="2" t="s">
        <v>21</v>
      </c>
      <c r="I5431" s="2" t="s">
        <v>10767</v>
      </c>
      <c r="J5431" s="3" t="str">
        <f>HYPERLINK("https://www.boe.es/gazeta/dias/1820/11/25/pdfs/GGB-1820-152.pdf#page=1","Abrir facsímil")</f>
        <v>Abrir facsímil</v>
      </c>
      <c r="K5431" s="3" t="s">
        <v>23</v>
      </c>
    </row>
    <row r="5432" spans="1:11" ht="42" customHeight="1">
      <c r="A5432" s="2" t="s">
        <v>10754</v>
      </c>
      <c r="B5432" s="2" t="s">
        <v>10754</v>
      </c>
      <c r="C5432" s="2" t="s">
        <v>35</v>
      </c>
      <c r="D5432" s="2" t="s">
        <v>36</v>
      </c>
      <c r="E5432" s="5">
        <v>-28882</v>
      </c>
      <c r="F5432" s="3" t="s">
        <v>1245</v>
      </c>
      <c r="G5432" s="3" t="s">
        <v>128</v>
      </c>
      <c r="H5432" s="2" t="s">
        <v>21</v>
      </c>
      <c r="I5432" s="2" t="s">
        <v>10768</v>
      </c>
      <c r="J5432" s="3" t="str">
        <f>HYPERLINK("https://www.boe.es/gazeta/dias/1820/12/02/pdfs/GGB-1820-159.pdf#page=1","Abrir facsímil")</f>
        <v>Abrir facsímil</v>
      </c>
      <c r="K5432" s="3" t="s">
        <v>23</v>
      </c>
    </row>
    <row r="5433" spans="1:11" ht="42" customHeight="1">
      <c r="A5433" s="2" t="s">
        <v>10754</v>
      </c>
      <c r="B5433" s="2" t="s">
        <v>10754</v>
      </c>
      <c r="C5433" s="2" t="s">
        <v>26</v>
      </c>
      <c r="D5433" s="2" t="s">
        <v>27</v>
      </c>
      <c r="E5433" s="5">
        <v>-28875</v>
      </c>
      <c r="F5433" s="3" t="s">
        <v>2737</v>
      </c>
      <c r="G5433" s="3" t="s">
        <v>128</v>
      </c>
      <c r="H5433" s="2" t="s">
        <v>21</v>
      </c>
      <c r="I5433" s="2" t="s">
        <v>10769</v>
      </c>
      <c r="J5433" s="3" t="str">
        <f>HYPERLINK("https://www.boe.es/gazeta/dias/1820/12/09/pdfs/GGB-1820-166.pdf#page=1","Abrir facsímil")</f>
        <v>Abrir facsímil</v>
      </c>
      <c r="K5433" s="3" t="s">
        <v>23</v>
      </c>
    </row>
    <row r="5434" spans="1:11" ht="42" customHeight="1">
      <c r="A5434" s="2" t="s">
        <v>10758</v>
      </c>
      <c r="B5434" s="2" t="s">
        <v>10758</v>
      </c>
      <c r="C5434" s="2" t="s">
        <v>26</v>
      </c>
      <c r="D5434" s="2" t="s">
        <v>27</v>
      </c>
      <c r="E5434" s="5">
        <v>-28868</v>
      </c>
      <c r="F5434" s="3" t="s">
        <v>4191</v>
      </c>
      <c r="G5434" s="3" t="s">
        <v>128</v>
      </c>
      <c r="H5434" s="2" t="s">
        <v>21</v>
      </c>
      <c r="I5434" s="2" t="s">
        <v>10770</v>
      </c>
      <c r="J5434" s="3" t="str">
        <f>HYPERLINK("https://www.boe.es/gazeta/dias/1820/12/16/pdfs/GGB-1820-173.pdf#page=1","Abrir facsímil")</f>
        <v>Abrir facsímil</v>
      </c>
      <c r="K5434" s="3" t="s">
        <v>23</v>
      </c>
    </row>
    <row r="5435" spans="1:11" ht="42" customHeight="1">
      <c r="A5435" s="2" t="s">
        <v>10758</v>
      </c>
      <c r="B5435" s="2" t="s">
        <v>10758</v>
      </c>
      <c r="C5435" s="2" t="s">
        <v>26</v>
      </c>
      <c r="D5435" s="2" t="s">
        <v>27</v>
      </c>
      <c r="E5435" s="5">
        <v>-28861</v>
      </c>
      <c r="F5435" s="3" t="s">
        <v>894</v>
      </c>
      <c r="G5435" s="3" t="s">
        <v>128</v>
      </c>
      <c r="H5435" s="2" t="s">
        <v>21</v>
      </c>
      <c r="I5435" s="2" t="s">
        <v>10771</v>
      </c>
      <c r="J5435" s="3" t="str">
        <f>HYPERLINK("https://www.boe.es/gazeta/dias/1820/12/23/pdfs/GGB-1820-180.pdf#page=1","Abrir facsímil")</f>
        <v>Abrir facsímil</v>
      </c>
      <c r="K5435" s="3" t="s">
        <v>23</v>
      </c>
    </row>
    <row r="5436" spans="1:11" ht="42" customHeight="1">
      <c r="A5436" s="2" t="s">
        <v>10772</v>
      </c>
      <c r="B5436" s="2" t="s">
        <v>10773</v>
      </c>
      <c r="C5436" s="2" t="s">
        <v>26</v>
      </c>
      <c r="D5436" s="2" t="s">
        <v>27</v>
      </c>
      <c r="E5436" s="5">
        <v>-28869</v>
      </c>
      <c r="F5436" s="3" t="s">
        <v>449</v>
      </c>
      <c r="G5436" s="3" t="s">
        <v>128</v>
      </c>
      <c r="H5436" s="2" t="s">
        <v>21</v>
      </c>
      <c r="I5436" s="2" t="s">
        <v>10774</v>
      </c>
      <c r="J5436" s="3" t="str">
        <f>HYPERLINK("https://www.boe.es/gazeta/dias/1820/12/15/pdfs/GGB-1820-172.pdf#page=1","Abrir facsímil")</f>
        <v>Abrir facsímil</v>
      </c>
      <c r="K5436" s="3" t="s">
        <v>23</v>
      </c>
    </row>
    <row r="5437" spans="1:11" ht="42" customHeight="1">
      <c r="A5437" s="2" t="s">
        <v>10775</v>
      </c>
      <c r="B5437" s="2" t="s">
        <v>10776</v>
      </c>
      <c r="C5437" s="2" t="s">
        <v>74</v>
      </c>
      <c r="D5437" s="2" t="s">
        <v>18</v>
      </c>
      <c r="E5437" s="5">
        <v>-28899</v>
      </c>
      <c r="F5437" s="3" t="s">
        <v>285</v>
      </c>
      <c r="G5437" s="3" t="s">
        <v>62</v>
      </c>
      <c r="H5437" s="2" t="s">
        <v>21</v>
      </c>
      <c r="I5437" s="2" t="s">
        <v>10777</v>
      </c>
      <c r="J5437" s="3" t="str">
        <f>HYPERLINK("https://www.boe.es/gazeta/dias/1820/11/15/pdfs/GGB-1820-141.pdf#page=3","Abrir facsímil")</f>
        <v>Abrir facsímil</v>
      </c>
      <c r="K5437" s="3" t="s">
        <v>23</v>
      </c>
    </row>
    <row r="5438" spans="1:11" ht="42" customHeight="1">
      <c r="A5438" s="2" t="s">
        <v>10778</v>
      </c>
      <c r="B5438" s="2" t="s">
        <v>10779</v>
      </c>
      <c r="C5438" s="2" t="s">
        <v>26</v>
      </c>
      <c r="D5438" s="2" t="s">
        <v>27</v>
      </c>
      <c r="E5438" s="5">
        <v>-28898</v>
      </c>
      <c r="F5438" s="3" t="s">
        <v>1405</v>
      </c>
      <c r="G5438" s="3" t="s">
        <v>1588</v>
      </c>
      <c r="H5438" s="2" t="s">
        <v>30</v>
      </c>
      <c r="I5438" s="2" t="s">
        <v>10780</v>
      </c>
      <c r="J5438" s="3" t="str">
        <f>HYPERLINK("https://www.boe.es/gazeta/dias/1820/11/16/pdfs/GGB-1820-142.pdf#page=2","Abrir facsímil")</f>
        <v>Abrir facsímil</v>
      </c>
      <c r="K5438" s="3" t="s">
        <v>32</v>
      </c>
    </row>
    <row r="5439" spans="1:11" ht="42" customHeight="1">
      <c r="A5439" s="2" t="s">
        <v>10781</v>
      </c>
      <c r="B5439" s="2" t="s">
        <v>10782</v>
      </c>
      <c r="C5439" s="2" t="s">
        <v>26</v>
      </c>
      <c r="D5439" s="2" t="s">
        <v>27</v>
      </c>
      <c r="E5439" s="5">
        <v>-28895</v>
      </c>
      <c r="F5439" s="3" t="s">
        <v>347</v>
      </c>
      <c r="G5439" s="3" t="s">
        <v>128</v>
      </c>
      <c r="H5439" s="2" t="s">
        <v>30</v>
      </c>
      <c r="I5439" s="2" t="s">
        <v>10783</v>
      </c>
      <c r="J5439" s="3" t="str">
        <f>HYPERLINK("https://www.boe.es/gazeta/dias/1820/11/19/pdfs/GGB-1820-146.pdf#page=1","Abrir facsímil")</f>
        <v>Abrir facsímil</v>
      </c>
      <c r="K5439" s="3" t="s">
        <v>32</v>
      </c>
    </row>
    <row r="5440" spans="1:11" ht="42" customHeight="1">
      <c r="A5440" s="2" t="s">
        <v>10784</v>
      </c>
      <c r="B5440" s="2" t="s">
        <v>10785</v>
      </c>
      <c r="C5440" s="2" t="s">
        <v>26</v>
      </c>
      <c r="D5440" s="2" t="s">
        <v>27</v>
      </c>
      <c r="E5440" s="5">
        <v>-29006</v>
      </c>
      <c r="F5440" s="3" t="s">
        <v>609</v>
      </c>
      <c r="G5440" s="3" t="s">
        <v>1073</v>
      </c>
      <c r="H5440" s="2" t="s">
        <v>21</v>
      </c>
      <c r="I5440" s="2" t="s">
        <v>10786</v>
      </c>
      <c r="J5440" s="3" t="str">
        <f>HYPERLINK("https://www.boe.es/gazeta/dias/1820/07/31/pdfs/GGB-1820-33.pdf#page=4","Abrir facsímil")</f>
        <v>Abrir facsímil</v>
      </c>
      <c r="K5440" s="3" t="s">
        <v>23</v>
      </c>
    </row>
    <row r="5441" spans="1:11" ht="42" customHeight="1">
      <c r="A5441" s="2" t="s">
        <v>10787</v>
      </c>
      <c r="B5441" s="2" t="s">
        <v>10788</v>
      </c>
      <c r="C5441" s="2" t="s">
        <v>26</v>
      </c>
      <c r="D5441" s="2" t="s">
        <v>27</v>
      </c>
      <c r="E5441" s="5">
        <v>-29002</v>
      </c>
      <c r="F5441" s="3" t="s">
        <v>124</v>
      </c>
      <c r="G5441" s="3" t="s">
        <v>43</v>
      </c>
      <c r="H5441" s="2" t="s">
        <v>21</v>
      </c>
      <c r="I5441" s="2" t="s">
        <v>10789</v>
      </c>
      <c r="J5441" s="3" t="str">
        <f>HYPERLINK("https://www.boe.es/gazeta/dias/1820/08/04/pdfs/GGB-1820-37.pdf#page=2","Abrir facsímil")</f>
        <v>Abrir facsímil</v>
      </c>
      <c r="K5441" s="3" t="s">
        <v>23</v>
      </c>
    </row>
    <row r="5442" spans="1:11" ht="42" customHeight="1">
      <c r="A5442" s="2" t="s">
        <v>10787</v>
      </c>
      <c r="B5442" s="2" t="s">
        <v>10788</v>
      </c>
      <c r="C5442" s="2" t="s">
        <v>26</v>
      </c>
      <c r="D5442" s="2" t="s">
        <v>27</v>
      </c>
      <c r="E5442" s="5">
        <v>-28988</v>
      </c>
      <c r="F5442" s="3" t="s">
        <v>618</v>
      </c>
      <c r="G5442" s="3" t="s">
        <v>677</v>
      </c>
      <c r="H5442" s="2" t="s">
        <v>21</v>
      </c>
      <c r="I5442" s="2" t="s">
        <v>10790</v>
      </c>
      <c r="J5442" s="3" t="str">
        <f>HYPERLINK("https://www.boe.es/gazeta/dias/1820/08/18/pdfs/GGB-1820-51.pdf#page=2","Abrir facsímil")</f>
        <v>Abrir facsímil</v>
      </c>
      <c r="K5442" s="3" t="s">
        <v>23</v>
      </c>
    </row>
    <row r="5443" spans="1:11" ht="42" customHeight="1">
      <c r="A5443" s="2" t="s">
        <v>10787</v>
      </c>
      <c r="B5443" s="2" t="s">
        <v>10788</v>
      </c>
      <c r="C5443" s="2" t="s">
        <v>26</v>
      </c>
      <c r="D5443" s="2" t="s">
        <v>27</v>
      </c>
      <c r="E5443" s="5">
        <v>-28952</v>
      </c>
      <c r="F5443" s="3" t="s">
        <v>370</v>
      </c>
      <c r="G5443" s="3" t="s">
        <v>128</v>
      </c>
      <c r="H5443" s="2" t="s">
        <v>21</v>
      </c>
      <c r="I5443" s="2" t="s">
        <v>10791</v>
      </c>
      <c r="J5443" s="3" t="str">
        <f>HYPERLINK("https://www.boe.es/gazeta/dias/1820/09/23/pdfs/GGB-1820-87.pdf#page=1","Abrir facsímil")</f>
        <v>Abrir facsímil</v>
      </c>
      <c r="K5443" s="3" t="s">
        <v>23</v>
      </c>
    </row>
    <row r="5444" spans="1:11" ht="42" customHeight="1">
      <c r="A5444" s="2" t="s">
        <v>10792</v>
      </c>
      <c r="B5444" s="2" t="s">
        <v>10793</v>
      </c>
      <c r="C5444" s="2" t="s">
        <v>26</v>
      </c>
      <c r="D5444" s="2" t="s">
        <v>27</v>
      </c>
      <c r="E5444" s="5">
        <v>-28902</v>
      </c>
      <c r="F5444" s="3" t="s">
        <v>440</v>
      </c>
      <c r="G5444" s="3" t="s">
        <v>1080</v>
      </c>
      <c r="H5444" s="2" t="s">
        <v>21</v>
      </c>
      <c r="I5444" s="2" t="s">
        <v>10794</v>
      </c>
      <c r="J5444" s="3" t="str">
        <f>HYPERLINK("https://www.boe.es/gazeta/dias/1820/11/12/pdfs/GGB-1820-138.pdf#page=1","Abrir facsímil")</f>
        <v>Abrir facsímil</v>
      </c>
      <c r="K5444" s="3" t="s">
        <v>23</v>
      </c>
    </row>
    <row r="5445" spans="1:11" ht="42" customHeight="1">
      <c r="A5445" s="2" t="s">
        <v>10792</v>
      </c>
      <c r="B5445" s="2" t="s">
        <v>10793</v>
      </c>
      <c r="C5445" s="2" t="s">
        <v>26</v>
      </c>
      <c r="D5445" s="2" t="s">
        <v>27</v>
      </c>
      <c r="E5445" s="5">
        <v>-28898</v>
      </c>
      <c r="F5445" s="3" t="s">
        <v>1405</v>
      </c>
      <c r="G5445" s="3" t="s">
        <v>1588</v>
      </c>
      <c r="H5445" s="2" t="s">
        <v>21</v>
      </c>
      <c r="I5445" s="2" t="s">
        <v>10795</v>
      </c>
      <c r="J5445" s="3" t="str">
        <f>HYPERLINK("https://www.boe.es/gazeta/dias/1820/11/16/pdfs/GGB-1820-142.pdf#page=2","Abrir facsímil")</f>
        <v>Abrir facsímil</v>
      </c>
      <c r="K5445" s="3" t="s">
        <v>23</v>
      </c>
    </row>
    <row r="5446" spans="1:11" ht="42" customHeight="1">
      <c r="A5446" s="2" t="s">
        <v>10792</v>
      </c>
      <c r="B5446" s="2" t="s">
        <v>10793</v>
      </c>
      <c r="C5446" s="2" t="s">
        <v>26</v>
      </c>
      <c r="D5446" s="2" t="s">
        <v>27</v>
      </c>
      <c r="E5446" s="5">
        <v>-28898</v>
      </c>
      <c r="F5446" s="3" t="s">
        <v>1405</v>
      </c>
      <c r="G5446" s="3" t="s">
        <v>128</v>
      </c>
      <c r="H5446" s="2" t="s">
        <v>21</v>
      </c>
      <c r="I5446" s="2" t="s">
        <v>10796</v>
      </c>
      <c r="J5446" s="3" t="str">
        <f>HYPERLINK("https://www.boe.es/gazeta/dias/1820/11/16/pdfs/GGB-1820-142.pdf#page=1","Abrir facsímil")</f>
        <v>Abrir facsímil</v>
      </c>
      <c r="K5446" s="3" t="s">
        <v>23</v>
      </c>
    </row>
    <row r="5447" spans="1:11" ht="42" customHeight="1">
      <c r="A5447" s="2" t="s">
        <v>10787</v>
      </c>
      <c r="B5447" s="2" t="s">
        <v>10788</v>
      </c>
      <c r="C5447" s="2" t="s">
        <v>26</v>
      </c>
      <c r="D5447" s="2" t="s">
        <v>27</v>
      </c>
      <c r="E5447" s="5">
        <v>-28897</v>
      </c>
      <c r="F5447" s="3" t="s">
        <v>1935</v>
      </c>
      <c r="G5447" s="3" t="s">
        <v>128</v>
      </c>
      <c r="H5447" s="2" t="s">
        <v>21</v>
      </c>
      <c r="I5447" s="2" t="s">
        <v>10797</v>
      </c>
      <c r="J5447" s="3" t="str">
        <f>HYPERLINK("https://www.boe.es/gazeta/dias/1820/11/17/pdfs/GGB-1820-143.pdf#page=1","Abrir facsímil")</f>
        <v>Abrir facsímil</v>
      </c>
      <c r="K5447" s="3" t="s">
        <v>23</v>
      </c>
    </row>
    <row r="5448" spans="1:11" ht="42" customHeight="1">
      <c r="A5448" s="2" t="s">
        <v>10792</v>
      </c>
      <c r="B5448" s="2" t="s">
        <v>10793</v>
      </c>
      <c r="C5448" s="2" t="s">
        <v>26</v>
      </c>
      <c r="D5448" s="2" t="s">
        <v>27</v>
      </c>
      <c r="E5448" s="5">
        <v>-28895</v>
      </c>
      <c r="F5448" s="3" t="s">
        <v>347</v>
      </c>
      <c r="G5448" s="3" t="s">
        <v>128</v>
      </c>
      <c r="H5448" s="2" t="s">
        <v>21</v>
      </c>
      <c r="I5448" s="2" t="s">
        <v>10798</v>
      </c>
      <c r="J5448" s="3" t="str">
        <f>HYPERLINK("https://www.boe.es/gazeta/dias/1820/11/19/pdfs/GGB-1820-146.pdf#page=1","Abrir facsímil")</f>
        <v>Abrir facsímil</v>
      </c>
      <c r="K5448" s="3" t="s">
        <v>23</v>
      </c>
    </row>
    <row r="5449" spans="1:11" ht="42" customHeight="1">
      <c r="A5449" s="2" t="s">
        <v>10799</v>
      </c>
      <c r="B5449" s="2" t="s">
        <v>10800</v>
      </c>
      <c r="C5449" s="2" t="s">
        <v>26</v>
      </c>
      <c r="D5449" s="2" t="s">
        <v>27</v>
      </c>
      <c r="E5449" s="5">
        <v>-29002</v>
      </c>
      <c r="F5449" s="3" t="s">
        <v>124</v>
      </c>
      <c r="G5449" s="3" t="s">
        <v>128</v>
      </c>
      <c r="H5449" s="2" t="s">
        <v>21</v>
      </c>
      <c r="I5449" s="2" t="s">
        <v>10801</v>
      </c>
      <c r="J5449" s="3" t="str">
        <f>HYPERLINK("https://www.boe.es/gazeta/dias/1820/08/04/pdfs/GGB-1820-37.pdf#page=1","Abrir facsímil")</f>
        <v>Abrir facsímil</v>
      </c>
      <c r="K5449" s="3" t="s">
        <v>23</v>
      </c>
    </row>
    <row r="5450" spans="1:11" ht="42" customHeight="1">
      <c r="A5450" s="2" t="s">
        <v>10802</v>
      </c>
      <c r="B5450" s="2" t="s">
        <v>10803</v>
      </c>
      <c r="C5450" s="2" t="s">
        <v>26</v>
      </c>
      <c r="D5450" s="2" t="s">
        <v>27</v>
      </c>
      <c r="E5450" s="5">
        <v>-28915</v>
      </c>
      <c r="F5450" s="3" t="s">
        <v>525</v>
      </c>
      <c r="G5450" s="3" t="s">
        <v>128</v>
      </c>
      <c r="H5450" s="2" t="s">
        <v>21</v>
      </c>
      <c r="I5450" s="2" t="s">
        <v>10804</v>
      </c>
      <c r="J5450" s="3" t="str">
        <f>HYPERLINK("https://www.boe.es/gazeta/dias/1820/10/30/pdfs/GGB-1820-124.pdf#page=1","Abrir facsímil")</f>
        <v>Abrir facsímil</v>
      </c>
      <c r="K5450" s="3" t="s">
        <v>23</v>
      </c>
    </row>
    <row r="5451" spans="1:11" ht="42" customHeight="1">
      <c r="A5451" s="2" t="s">
        <v>10802</v>
      </c>
      <c r="B5451" s="2" t="s">
        <v>10803</v>
      </c>
      <c r="C5451" s="2" t="s">
        <v>26</v>
      </c>
      <c r="D5451" s="2" t="s">
        <v>27</v>
      </c>
      <c r="E5451" s="5">
        <v>-28898</v>
      </c>
      <c r="F5451" s="3" t="s">
        <v>1405</v>
      </c>
      <c r="G5451" s="3" t="s">
        <v>128</v>
      </c>
      <c r="H5451" s="2" t="s">
        <v>21</v>
      </c>
      <c r="I5451" s="2" t="s">
        <v>10805</v>
      </c>
      <c r="J5451" s="3" t="str">
        <f>HYPERLINK("https://www.boe.es/gazeta/dias/1820/11/16/pdfs/GGB-1820-142.pdf#page=1","Abrir facsímil")</f>
        <v>Abrir facsímil</v>
      </c>
      <c r="K5451" s="3" t="s">
        <v>23</v>
      </c>
    </row>
    <row r="5452" spans="1:11" ht="42" customHeight="1">
      <c r="A5452" s="2" t="s">
        <v>10799</v>
      </c>
      <c r="B5452" s="2" t="s">
        <v>10800</v>
      </c>
      <c r="C5452" s="2" t="s">
        <v>26</v>
      </c>
      <c r="D5452" s="2" t="s">
        <v>27</v>
      </c>
      <c r="E5452" s="5">
        <v>-28897</v>
      </c>
      <c r="F5452" s="3" t="s">
        <v>1935</v>
      </c>
      <c r="G5452" s="3" t="s">
        <v>128</v>
      </c>
      <c r="H5452" s="2" t="s">
        <v>21</v>
      </c>
      <c r="I5452" s="2" t="s">
        <v>10806</v>
      </c>
      <c r="J5452" s="3" t="str">
        <f>HYPERLINK("https://www.boe.es/gazeta/dias/1820/11/17/pdfs/GGB-1820-143.pdf#page=1","Abrir facsímil")</f>
        <v>Abrir facsímil</v>
      </c>
      <c r="K5452" s="3" t="s">
        <v>23</v>
      </c>
    </row>
    <row r="5453" spans="1:11" ht="42" customHeight="1">
      <c r="A5453" s="2" t="s">
        <v>10799</v>
      </c>
      <c r="B5453" s="2" t="s">
        <v>10800</v>
      </c>
      <c r="C5453" s="2" t="s">
        <v>26</v>
      </c>
      <c r="D5453" s="2" t="s">
        <v>27</v>
      </c>
      <c r="E5453" s="5">
        <v>-28870</v>
      </c>
      <c r="F5453" s="3" t="s">
        <v>1014</v>
      </c>
      <c r="G5453" s="3" t="s">
        <v>3007</v>
      </c>
      <c r="H5453" s="2" t="s">
        <v>21</v>
      </c>
      <c r="I5453" s="2" t="s">
        <v>10807</v>
      </c>
      <c r="J5453" s="3" t="str">
        <f>HYPERLINK("https://www.boe.es/gazeta/dias/1820/12/14/pdfs/GGB-1820-171.pdf#page=2","Abrir facsímil")</f>
        <v>Abrir facsímil</v>
      </c>
      <c r="K5453" s="3" t="s">
        <v>23</v>
      </c>
    </row>
    <row r="5454" spans="1:11" ht="42" customHeight="1">
      <c r="A5454" s="2" t="s">
        <v>10808</v>
      </c>
      <c r="B5454" s="2" t="s">
        <v>10809</v>
      </c>
      <c r="C5454" s="2" t="s">
        <v>26</v>
      </c>
      <c r="D5454" s="2" t="s">
        <v>27</v>
      </c>
      <c r="E5454" s="5">
        <v>-28898</v>
      </c>
      <c r="F5454" s="3" t="s">
        <v>1405</v>
      </c>
      <c r="G5454" s="3" t="s">
        <v>128</v>
      </c>
      <c r="H5454" s="2" t="s">
        <v>21</v>
      </c>
      <c r="I5454" s="2" t="s">
        <v>10810</v>
      </c>
      <c r="J5454" s="3" t="str">
        <f>HYPERLINK("https://www.boe.es/gazeta/dias/1820/11/16/pdfs/GGB-1820-142.pdf#page=1","Abrir facsímil")</f>
        <v>Abrir facsímil</v>
      </c>
      <c r="K5454" s="3" t="s">
        <v>23</v>
      </c>
    </row>
    <row r="5455" spans="1:11" ht="42" customHeight="1">
      <c r="A5455" s="2" t="s">
        <v>10811</v>
      </c>
      <c r="B5455" s="2" t="s">
        <v>10812</v>
      </c>
      <c r="C5455" s="2" t="s">
        <v>35</v>
      </c>
      <c r="D5455" s="2" t="s">
        <v>36</v>
      </c>
      <c r="E5455" s="5">
        <v>-28934</v>
      </c>
      <c r="F5455" s="3" t="s">
        <v>163</v>
      </c>
      <c r="G5455" s="3" t="s">
        <v>62</v>
      </c>
      <c r="H5455" s="2" t="s">
        <v>30</v>
      </c>
      <c r="I5455" s="2" t="s">
        <v>10813</v>
      </c>
      <c r="J5455" s="3" t="str">
        <f>HYPERLINK("https://www.boe.es/gazeta/dias/1820/10/11/pdfs/GGB-1820-105.pdf#page=3","Abrir facsímil")</f>
        <v>Abrir facsímil</v>
      </c>
      <c r="K5455" s="3" t="s">
        <v>32</v>
      </c>
    </row>
    <row r="5456" spans="1:11" ht="42" customHeight="1">
      <c r="A5456" s="2" t="s">
        <v>10814</v>
      </c>
      <c r="B5456" s="2" t="s">
        <v>10815</v>
      </c>
      <c r="C5456" s="2" t="s">
        <v>47</v>
      </c>
      <c r="D5456" s="2" t="s">
        <v>18</v>
      </c>
      <c r="E5456" s="5">
        <v>-28883</v>
      </c>
      <c r="F5456" s="3" t="s">
        <v>306</v>
      </c>
      <c r="G5456" s="3" t="s">
        <v>20</v>
      </c>
      <c r="H5456" s="2" t="s">
        <v>21</v>
      </c>
      <c r="I5456" s="2" t="s">
        <v>10816</v>
      </c>
      <c r="J5456" s="3" t="str">
        <f>HYPERLINK("https://www.boe.es/gazeta/dias/1820/12/01/pdfs/GGB-1820-158.pdf#page=4","Abrir facsímil")</f>
        <v>Abrir facsímil</v>
      </c>
      <c r="K5456" s="3" t="s">
        <v>23</v>
      </c>
    </row>
    <row r="5457" spans="1:11" ht="42" customHeight="1">
      <c r="A5457" s="2" t="s">
        <v>10817</v>
      </c>
      <c r="B5457" s="2" t="s">
        <v>10817</v>
      </c>
      <c r="C5457" s="2" t="s">
        <v>26</v>
      </c>
      <c r="D5457" s="2" t="s">
        <v>27</v>
      </c>
      <c r="E5457" s="5">
        <v>-28958</v>
      </c>
      <c r="F5457" s="3" t="s">
        <v>706</v>
      </c>
      <c r="G5457" s="3" t="s">
        <v>43</v>
      </c>
      <c r="H5457" s="2" t="s">
        <v>21</v>
      </c>
      <c r="I5457" s="2" t="s">
        <v>10818</v>
      </c>
      <c r="J5457" s="3" t="str">
        <f>HYPERLINK("https://www.boe.es/gazeta/dias/1820/09/17/pdfs/GGB-1820-81.pdf#page=2","Abrir facsímil")</f>
        <v>Abrir facsímil</v>
      </c>
      <c r="K5457" s="3" t="s">
        <v>23</v>
      </c>
    </row>
    <row r="5458" spans="1:11" ht="42" customHeight="1">
      <c r="A5458" s="2" t="s">
        <v>10819</v>
      </c>
      <c r="B5458" s="2" t="s">
        <v>10820</v>
      </c>
      <c r="C5458" s="2" t="s">
        <v>26</v>
      </c>
      <c r="D5458" s="2" t="s">
        <v>27</v>
      </c>
      <c r="E5458" s="5">
        <v>-29199</v>
      </c>
      <c r="F5458" s="3" t="s">
        <v>1178</v>
      </c>
      <c r="G5458" s="3" t="s">
        <v>4793</v>
      </c>
      <c r="H5458" s="2" t="s">
        <v>21</v>
      </c>
      <c r="I5458" s="2" t="s">
        <v>10821</v>
      </c>
      <c r="J5458" s="3" t="str">
        <f>HYPERLINK("https://www.boe.es/gazeta/dias/1820/01/20/pdfs/GMD-1820-9.pdf#page=8","Abrir facsímil")</f>
        <v>Abrir facsímil</v>
      </c>
      <c r="K5458" s="3" t="s">
        <v>23</v>
      </c>
    </row>
    <row r="5459" spans="1:11" ht="42" customHeight="1">
      <c r="A5459" s="2" t="s">
        <v>10819</v>
      </c>
      <c r="B5459" s="2" t="s">
        <v>10820</v>
      </c>
      <c r="C5459" s="2" t="s">
        <v>26</v>
      </c>
      <c r="D5459" s="2" t="s">
        <v>27</v>
      </c>
      <c r="E5459" s="5">
        <v>-29199</v>
      </c>
      <c r="F5459" s="3" t="s">
        <v>1178</v>
      </c>
      <c r="G5459" s="3" t="s">
        <v>201</v>
      </c>
      <c r="H5459" s="2" t="s">
        <v>21</v>
      </c>
      <c r="I5459" s="2" t="s">
        <v>10822</v>
      </c>
      <c r="J5459" s="3" t="str">
        <f>HYPERLINK("https://www.boe.es/gazeta/dias/1820/01/20/pdfs/GMD-1820-9.pdf#page=7","Abrir facsímil")</f>
        <v>Abrir facsímil</v>
      </c>
      <c r="K5459" s="3" t="s">
        <v>23</v>
      </c>
    </row>
    <row r="5460" spans="1:11" ht="42" customHeight="1">
      <c r="A5460" s="2" t="s">
        <v>10823</v>
      </c>
      <c r="B5460" s="2" t="s">
        <v>10823</v>
      </c>
      <c r="C5460" s="2" t="s">
        <v>26</v>
      </c>
      <c r="D5460" s="2" t="s">
        <v>27</v>
      </c>
      <c r="E5460" s="5">
        <v>-29206</v>
      </c>
      <c r="F5460" s="3" t="s">
        <v>897</v>
      </c>
      <c r="G5460" s="3" t="s">
        <v>20</v>
      </c>
      <c r="H5460" s="2" t="s">
        <v>21</v>
      </c>
      <c r="I5460" s="2" t="s">
        <v>10824</v>
      </c>
      <c r="J5460" s="3" t="str">
        <f>HYPERLINK("https://www.boe.es/gazeta/dias/1820/01/13/pdfs/GMD-1820-6.pdf#page=4","Abrir facsímil")</f>
        <v>Abrir facsímil</v>
      </c>
      <c r="K5460" s="3" t="s">
        <v>23</v>
      </c>
    </row>
    <row r="5461" spans="1:11" ht="42" customHeight="1">
      <c r="A5461" s="2" t="s">
        <v>10825</v>
      </c>
      <c r="B5461" s="2" t="s">
        <v>10826</v>
      </c>
      <c r="C5461" s="2" t="s">
        <v>26</v>
      </c>
      <c r="D5461" s="2" t="s">
        <v>27</v>
      </c>
      <c r="E5461" s="5">
        <v>-29211</v>
      </c>
      <c r="F5461" s="3" t="s">
        <v>578</v>
      </c>
      <c r="G5461" s="3" t="s">
        <v>38</v>
      </c>
      <c r="H5461" s="2" t="s">
        <v>21</v>
      </c>
      <c r="I5461" s="2" t="s">
        <v>10827</v>
      </c>
      <c r="J5461" s="3" t="str">
        <f>HYPERLINK("https://www.boe.es/gazeta/dias/1820/01/08/pdfs/GMD-1820-4.pdf#page=6","Abrir facsímil")</f>
        <v>Abrir facsímil</v>
      </c>
      <c r="K5461" s="3" t="s">
        <v>23</v>
      </c>
    </row>
    <row r="5462" spans="1:11" ht="42" customHeight="1">
      <c r="A5462" s="2" t="s">
        <v>10828</v>
      </c>
      <c r="B5462" s="2" t="s">
        <v>10829</v>
      </c>
      <c r="C5462" s="2" t="s">
        <v>26</v>
      </c>
      <c r="D5462" s="2" t="s">
        <v>27</v>
      </c>
      <c r="E5462" s="5">
        <v>-29206</v>
      </c>
      <c r="F5462" s="3" t="s">
        <v>897</v>
      </c>
      <c r="G5462" s="3" t="s">
        <v>20</v>
      </c>
      <c r="H5462" s="2" t="s">
        <v>21</v>
      </c>
      <c r="I5462" s="2" t="s">
        <v>10830</v>
      </c>
      <c r="J5462" s="3" t="str">
        <f>HYPERLINK("https://www.boe.es/gazeta/dias/1820/01/13/pdfs/GMD-1820-6.pdf#page=4","Abrir facsímil")</f>
        <v>Abrir facsímil</v>
      </c>
      <c r="K5462" s="3" t="s">
        <v>23</v>
      </c>
    </row>
    <row r="5463" spans="1:11" ht="42" customHeight="1">
      <c r="A5463" s="2" t="s">
        <v>10831</v>
      </c>
      <c r="B5463" s="2" t="s">
        <v>10832</v>
      </c>
      <c r="C5463" s="2" t="s">
        <v>107</v>
      </c>
      <c r="D5463" s="2" t="s">
        <v>18</v>
      </c>
      <c r="E5463" s="5">
        <v>-29157</v>
      </c>
      <c r="F5463" s="3" t="s">
        <v>2658</v>
      </c>
      <c r="G5463" s="3" t="s">
        <v>2659</v>
      </c>
      <c r="H5463" s="2" t="s">
        <v>21</v>
      </c>
      <c r="I5463" s="2" t="s">
        <v>10833</v>
      </c>
      <c r="J5463" s="3" t="str">
        <f>HYPERLINK("https://www.boe.es/gazeta/dias/1820/03/02/pdfs/GMD-1820-27.pdf#page=8","Abrir facsímil")</f>
        <v>Abrir facsímil</v>
      </c>
      <c r="K5463" s="3" t="s">
        <v>23</v>
      </c>
    </row>
    <row r="5464" spans="1:11" ht="42" customHeight="1">
      <c r="A5464" s="2" t="s">
        <v>10834</v>
      </c>
      <c r="B5464" s="2" t="s">
        <v>10835</v>
      </c>
      <c r="C5464" s="2" t="s">
        <v>26</v>
      </c>
      <c r="D5464" s="2" t="s">
        <v>27</v>
      </c>
      <c r="E5464" s="5">
        <v>-29024</v>
      </c>
      <c r="F5464" s="3" t="s">
        <v>1916</v>
      </c>
      <c r="G5464" s="3" t="s">
        <v>62</v>
      </c>
      <c r="H5464" s="2" t="s">
        <v>21</v>
      </c>
      <c r="I5464" s="2" t="s">
        <v>10836</v>
      </c>
      <c r="J5464" s="3" t="str">
        <f>HYPERLINK("https://www.boe.es/gazeta/dias/1820/07/13/pdfs/GGB-1820-15.pdf#page=3","Abrir facsímil")</f>
        <v>Abrir facsímil</v>
      </c>
      <c r="K5464" s="3" t="s">
        <v>23</v>
      </c>
    </row>
    <row r="5465" spans="1:11" ht="42" customHeight="1">
      <c r="A5465" s="2" t="s">
        <v>10837</v>
      </c>
      <c r="B5465" s="2" t="s">
        <v>10838</v>
      </c>
      <c r="C5465" s="2" t="s">
        <v>26</v>
      </c>
      <c r="D5465" s="2" t="s">
        <v>27</v>
      </c>
      <c r="E5465" s="5">
        <v>-29117</v>
      </c>
      <c r="F5465" s="3" t="s">
        <v>1451</v>
      </c>
      <c r="G5465" s="3" t="s">
        <v>201</v>
      </c>
      <c r="H5465" s="2" t="s">
        <v>21</v>
      </c>
      <c r="I5465" s="2" t="s">
        <v>10839</v>
      </c>
      <c r="J5465" s="3" t="str">
        <f>HYPERLINK("https://www.boe.es/gazeta/dias/1820/04/11/pdfs/GMD-1820-64.pdf#page=7","Abrir facsímil")</f>
        <v>Abrir facsímil</v>
      </c>
      <c r="K5465" s="3" t="s">
        <v>23</v>
      </c>
    </row>
    <row r="5466" spans="1:11" ht="42" customHeight="1">
      <c r="A5466" s="2" t="s">
        <v>10840</v>
      </c>
      <c r="B5466" s="2" t="s">
        <v>10841</v>
      </c>
      <c r="C5466" s="2" t="s">
        <v>26</v>
      </c>
      <c r="D5466" s="2" t="s">
        <v>27</v>
      </c>
      <c r="E5466" s="5">
        <v>-29117</v>
      </c>
      <c r="F5466" s="3" t="s">
        <v>1451</v>
      </c>
      <c r="G5466" s="3" t="s">
        <v>201</v>
      </c>
      <c r="H5466" s="2" t="s">
        <v>21</v>
      </c>
      <c r="I5466" s="2" t="s">
        <v>10842</v>
      </c>
      <c r="J5466" s="3" t="str">
        <f>HYPERLINK("https://www.boe.es/gazeta/dias/1820/04/11/pdfs/GMD-1820-64.pdf#page=7","Abrir facsímil")</f>
        <v>Abrir facsímil</v>
      </c>
      <c r="K5466" s="3" t="s">
        <v>23</v>
      </c>
    </row>
    <row r="5467" spans="1:11" ht="42" customHeight="1">
      <c r="A5467" s="2" t="s">
        <v>10843</v>
      </c>
      <c r="B5467" s="2" t="s">
        <v>10844</v>
      </c>
      <c r="C5467" s="2" t="s">
        <v>26</v>
      </c>
      <c r="D5467" s="2" t="s">
        <v>27</v>
      </c>
      <c r="E5467" s="5">
        <v>-29206</v>
      </c>
      <c r="F5467" s="3" t="s">
        <v>897</v>
      </c>
      <c r="G5467" s="3" t="s">
        <v>38</v>
      </c>
      <c r="H5467" s="2" t="s">
        <v>21</v>
      </c>
      <c r="I5467" s="2" t="s">
        <v>10845</v>
      </c>
      <c r="J5467" s="3" t="str">
        <f>HYPERLINK("https://www.boe.es/gazeta/dias/1820/01/13/pdfs/GMD-1820-6.pdf#page=6","Abrir facsímil")</f>
        <v>Abrir facsímil</v>
      </c>
      <c r="K5467" s="3" t="s">
        <v>23</v>
      </c>
    </row>
    <row r="5468" spans="1:11" ht="42" customHeight="1">
      <c r="A5468" s="2" t="s">
        <v>10846</v>
      </c>
      <c r="B5468" s="2" t="s">
        <v>10847</v>
      </c>
      <c r="C5468" s="2" t="s">
        <v>17</v>
      </c>
      <c r="D5468" s="2" t="s">
        <v>18</v>
      </c>
      <c r="E5468" s="5">
        <v>-29157</v>
      </c>
      <c r="F5468" s="3" t="s">
        <v>2658</v>
      </c>
      <c r="G5468" s="3" t="s">
        <v>20</v>
      </c>
      <c r="H5468" s="2" t="s">
        <v>30</v>
      </c>
      <c r="I5468" s="2" t="s">
        <v>10848</v>
      </c>
      <c r="J5468" s="3" t="str">
        <f>HYPERLINK("https://www.boe.es/gazeta/dias/1820/03/02/pdfs/GMD-1820-27.pdf#page=4","Abrir facsímil")</f>
        <v>Abrir facsímil</v>
      </c>
      <c r="K5468" s="3" t="s">
        <v>32</v>
      </c>
    </row>
    <row r="5469" spans="1:11" ht="42" customHeight="1">
      <c r="A5469" s="2" t="s">
        <v>10849</v>
      </c>
      <c r="B5469" s="2" t="s">
        <v>10850</v>
      </c>
      <c r="C5469" s="2" t="s">
        <v>111</v>
      </c>
      <c r="D5469" s="2" t="s">
        <v>18</v>
      </c>
      <c r="E5469" s="5">
        <v>-29034</v>
      </c>
      <c r="F5469" s="3" t="s">
        <v>460</v>
      </c>
      <c r="G5469" s="3" t="s">
        <v>461</v>
      </c>
      <c r="H5469" s="2" t="s">
        <v>21</v>
      </c>
      <c r="I5469" s="2" t="s">
        <v>10851</v>
      </c>
      <c r="J5469" s="3" t="str">
        <f>HYPERLINK("https://www.boe.es/gazeta/dias/1820/07/03/pdfs/GGB-1820-3.pdf#page=4","Abrir facsímil")</f>
        <v>Abrir facsímil</v>
      </c>
      <c r="K5469" s="3" t="s">
        <v>23</v>
      </c>
    </row>
    <row r="5470" spans="1:11" ht="42" customHeight="1">
      <c r="A5470" s="2" t="s">
        <v>10849</v>
      </c>
      <c r="B5470" s="2" t="s">
        <v>10850</v>
      </c>
      <c r="C5470" s="2" t="s">
        <v>74</v>
      </c>
      <c r="D5470" s="2" t="s">
        <v>18</v>
      </c>
      <c r="E5470" s="5">
        <v>-28947</v>
      </c>
      <c r="F5470" s="3" t="s">
        <v>127</v>
      </c>
      <c r="G5470" s="3" t="s">
        <v>20</v>
      </c>
      <c r="H5470" s="2" t="s">
        <v>21</v>
      </c>
      <c r="I5470" s="2" t="s">
        <v>10852</v>
      </c>
      <c r="J5470" s="3" t="str">
        <f>HYPERLINK("https://www.boe.es/gazeta/dias/1820/09/28/pdfs/GGB-1820-92.pdf#page=4","Abrir facsímil")</f>
        <v>Abrir facsímil</v>
      </c>
      <c r="K5470" s="3" t="s">
        <v>23</v>
      </c>
    </row>
    <row r="5471" spans="1:11" ht="42" customHeight="1">
      <c r="A5471" s="2" t="s">
        <v>10849</v>
      </c>
      <c r="B5471" s="2" t="s">
        <v>10850</v>
      </c>
      <c r="C5471" s="2" t="s">
        <v>17</v>
      </c>
      <c r="D5471" s="2" t="s">
        <v>18</v>
      </c>
      <c r="E5471" s="5">
        <v>-28865</v>
      </c>
      <c r="F5471" s="3" t="s">
        <v>136</v>
      </c>
      <c r="G5471" s="3" t="s">
        <v>137</v>
      </c>
      <c r="H5471" s="2" t="s">
        <v>21</v>
      </c>
      <c r="I5471" s="2" t="s">
        <v>10853</v>
      </c>
      <c r="J5471" s="3" t="str">
        <f>HYPERLINK("https://www.boe.es/gazeta/dias/1820/12/19/pdfs/GGB-1820-176.pdf#page=3","Abrir facsímil")</f>
        <v>Abrir facsímil</v>
      </c>
      <c r="K5471" s="3" t="s">
        <v>23</v>
      </c>
    </row>
    <row r="5472" spans="1:11" ht="42" customHeight="1">
      <c r="A5472" s="2" t="s">
        <v>10854</v>
      </c>
      <c r="B5472" s="2" t="s">
        <v>10855</v>
      </c>
      <c r="C5472" s="2" t="s">
        <v>26</v>
      </c>
      <c r="D5472" s="2" t="s">
        <v>27</v>
      </c>
      <c r="E5472" s="5">
        <v>-28953</v>
      </c>
      <c r="F5472" s="3" t="s">
        <v>367</v>
      </c>
      <c r="G5472" s="3" t="s">
        <v>2925</v>
      </c>
      <c r="H5472" s="2" t="s">
        <v>21</v>
      </c>
      <c r="I5472" s="2" t="s">
        <v>10856</v>
      </c>
      <c r="J5472" s="3" t="str">
        <f>HYPERLINK("https://www.boe.es/gazeta/dias/1820/09/22/pdfs/GGB-1820-86.pdf#page=2","Abrir facsímil")</f>
        <v>Abrir facsímil</v>
      </c>
      <c r="K5472" s="3" t="s">
        <v>23</v>
      </c>
    </row>
    <row r="5473" spans="1:11" ht="42" customHeight="1">
      <c r="A5473" s="2" t="s">
        <v>10857</v>
      </c>
      <c r="B5473" s="2" t="s">
        <v>10858</v>
      </c>
      <c r="C5473" s="2" t="s">
        <v>26</v>
      </c>
      <c r="D5473" s="2" t="s">
        <v>27</v>
      </c>
      <c r="E5473" s="5">
        <v>-28973</v>
      </c>
      <c r="F5473" s="3" t="s">
        <v>151</v>
      </c>
      <c r="G5473" s="3" t="s">
        <v>20</v>
      </c>
      <c r="H5473" s="2" t="s">
        <v>21</v>
      </c>
      <c r="I5473" s="2" t="s">
        <v>10859</v>
      </c>
      <c r="J5473" s="3" t="str">
        <f>HYPERLINK("https://www.boe.es/gazeta/dias/1820/09/02/pdfs/GGB-1820-66.pdf#page=4","Abrir facsímil")</f>
        <v>Abrir facsímil</v>
      </c>
      <c r="K5473" s="3" t="s">
        <v>23</v>
      </c>
    </row>
    <row r="5474" spans="1:11" ht="42" customHeight="1">
      <c r="A5474" s="2" t="s">
        <v>10860</v>
      </c>
      <c r="B5474" s="2" t="s">
        <v>10861</v>
      </c>
      <c r="C5474" s="2" t="s">
        <v>17</v>
      </c>
      <c r="D5474" s="2" t="s">
        <v>18</v>
      </c>
      <c r="E5474" s="5">
        <v>-28891</v>
      </c>
      <c r="F5474" s="3" t="s">
        <v>965</v>
      </c>
      <c r="G5474" s="3" t="s">
        <v>20</v>
      </c>
      <c r="H5474" s="2" t="s">
        <v>21</v>
      </c>
      <c r="I5474" s="2" t="s">
        <v>10862</v>
      </c>
      <c r="J5474" s="3" t="str">
        <f>HYPERLINK("https://www.boe.es/gazeta/dias/1820/11/23/pdfs/GGB-1820-150.pdf#page=4","Abrir facsímil")</f>
        <v>Abrir facsímil</v>
      </c>
      <c r="K5474" s="3" t="s">
        <v>23</v>
      </c>
    </row>
    <row r="5475" spans="1:11" ht="42" customHeight="1">
      <c r="A5475" s="2" t="s">
        <v>10863</v>
      </c>
      <c r="B5475" s="2" t="s">
        <v>10864</v>
      </c>
      <c r="C5475" s="2" t="s">
        <v>35</v>
      </c>
      <c r="D5475" s="2" t="s">
        <v>36</v>
      </c>
      <c r="E5475" s="5">
        <v>-28944</v>
      </c>
      <c r="F5475" s="3" t="s">
        <v>990</v>
      </c>
      <c r="G5475" s="3" t="s">
        <v>1174</v>
      </c>
      <c r="H5475" s="2" t="s">
        <v>21</v>
      </c>
      <c r="I5475" s="2" t="s">
        <v>10865</v>
      </c>
      <c r="J5475" s="3" t="str">
        <f>HYPERLINK("https://www.boe.es/gazeta/dias/1820/10/01/pdfs/GGB-1820-95.pdf#page=4","Abrir facsímil")</f>
        <v>Abrir facsímil</v>
      </c>
      <c r="K5475" s="3" t="s">
        <v>23</v>
      </c>
    </row>
    <row r="5476" spans="1:11" ht="42" customHeight="1">
      <c r="A5476" s="2" t="s">
        <v>10866</v>
      </c>
      <c r="B5476" s="2" t="s">
        <v>10867</v>
      </c>
      <c r="C5476" s="2" t="s">
        <v>26</v>
      </c>
      <c r="D5476" s="2" t="s">
        <v>27</v>
      </c>
      <c r="E5476" s="5">
        <v>-28927</v>
      </c>
      <c r="F5476" s="3" t="s">
        <v>345</v>
      </c>
      <c r="G5476" s="3" t="s">
        <v>62</v>
      </c>
      <c r="H5476" s="2" t="s">
        <v>21</v>
      </c>
      <c r="I5476" s="2" t="s">
        <v>10868</v>
      </c>
      <c r="J5476" s="3" t="str">
        <f>HYPERLINK("https://www.boe.es/gazeta/dias/1820/10/18/pdfs/GGB-1820-112.pdf#page=3","Abrir facsímil")</f>
        <v>Abrir facsímil</v>
      </c>
      <c r="K5476" s="3" t="s">
        <v>23</v>
      </c>
    </row>
    <row r="5477" spans="1:11" ht="42" customHeight="1">
      <c r="A5477" s="2" t="s">
        <v>10869</v>
      </c>
      <c r="B5477" s="2" t="s">
        <v>10870</v>
      </c>
      <c r="C5477" s="2" t="s">
        <v>35</v>
      </c>
      <c r="D5477" s="2" t="s">
        <v>36</v>
      </c>
      <c r="E5477" s="5">
        <v>-28940</v>
      </c>
      <c r="F5477" s="3" t="s">
        <v>141</v>
      </c>
      <c r="G5477" s="3" t="s">
        <v>62</v>
      </c>
      <c r="H5477" s="2" t="s">
        <v>21</v>
      </c>
      <c r="I5477" s="2" t="s">
        <v>10871</v>
      </c>
      <c r="J5477" s="3" t="str">
        <f>HYPERLINK("https://www.boe.es/gazeta/dias/1820/10/05/pdfs/GGB-1820-99.pdf#page=3","Abrir facsímil")</f>
        <v>Abrir facsímil</v>
      </c>
      <c r="K5477" s="3" t="s">
        <v>23</v>
      </c>
    </row>
    <row r="5478" spans="1:11" ht="42" customHeight="1">
      <c r="A5478" s="2" t="s">
        <v>10872</v>
      </c>
      <c r="B5478" s="2" t="s">
        <v>10873</v>
      </c>
      <c r="C5478" s="2" t="s">
        <v>111</v>
      </c>
      <c r="D5478" s="2" t="s">
        <v>18</v>
      </c>
      <c r="E5478" s="5">
        <v>-28906</v>
      </c>
      <c r="F5478" s="3" t="s">
        <v>232</v>
      </c>
      <c r="G5478" s="3" t="s">
        <v>20</v>
      </c>
      <c r="H5478" s="2" t="s">
        <v>21</v>
      </c>
      <c r="I5478" s="2" t="s">
        <v>10874</v>
      </c>
      <c r="J5478" s="3" t="str">
        <f>HYPERLINK("https://www.boe.es/gazeta/dias/1820/11/08/pdfs/GGB-1820-133.pdf#page=4","Abrir facsímil")</f>
        <v>Abrir facsímil</v>
      </c>
      <c r="K5478" s="3" t="s">
        <v>23</v>
      </c>
    </row>
    <row r="5479" spans="1:11" ht="42" customHeight="1">
      <c r="A5479" s="2" t="s">
        <v>10875</v>
      </c>
      <c r="B5479" s="2" t="s">
        <v>10876</v>
      </c>
      <c r="C5479" s="2" t="s">
        <v>107</v>
      </c>
      <c r="D5479" s="2" t="s">
        <v>18</v>
      </c>
      <c r="E5479" s="5">
        <v>-29040</v>
      </c>
      <c r="F5479" s="3" t="s">
        <v>1125</v>
      </c>
      <c r="G5479" s="3" t="s">
        <v>196</v>
      </c>
      <c r="H5479" s="2" t="s">
        <v>21</v>
      </c>
      <c r="I5479" s="2" t="s">
        <v>10877</v>
      </c>
      <c r="J5479" s="3" t="str">
        <f>HYPERLINK("https://www.boe.es/gazeta/dias/1820/06/27/pdfs/GMD-1820-99.pdf#page=11","Abrir facsímil")</f>
        <v>Abrir facsímil</v>
      </c>
      <c r="K5479" s="3" t="s">
        <v>23</v>
      </c>
    </row>
    <row r="5480" spans="1:11" ht="42" customHeight="1">
      <c r="A5480" s="2" t="s">
        <v>10878</v>
      </c>
      <c r="B5480" s="2" t="s">
        <v>10879</v>
      </c>
      <c r="C5480" s="2" t="s">
        <v>107</v>
      </c>
      <c r="D5480" s="2" t="s">
        <v>18</v>
      </c>
      <c r="E5480" s="5">
        <v>-29171</v>
      </c>
      <c r="F5480" s="3" t="s">
        <v>764</v>
      </c>
      <c r="G5480" s="3" t="s">
        <v>295</v>
      </c>
      <c r="H5480" s="2" t="s">
        <v>21</v>
      </c>
      <c r="I5480" s="2" t="s">
        <v>10880</v>
      </c>
      <c r="J5480" s="3" t="str">
        <f>HYPERLINK("https://www.boe.es/gazeta/dias/1820/02/17/pdfs/GMD-1820-21.pdf#page=8","Abrir facsímil")</f>
        <v>Abrir facsímil</v>
      </c>
      <c r="K5480" s="3" t="s">
        <v>23</v>
      </c>
    </row>
    <row r="5481" spans="1:11" ht="42" customHeight="1">
      <c r="A5481" s="2" t="s">
        <v>10878</v>
      </c>
      <c r="B5481" s="2" t="s">
        <v>10879</v>
      </c>
      <c r="C5481" s="2" t="s">
        <v>107</v>
      </c>
      <c r="D5481" s="2" t="s">
        <v>18</v>
      </c>
      <c r="E5481" s="5">
        <v>-29127</v>
      </c>
      <c r="F5481" s="3" t="s">
        <v>583</v>
      </c>
      <c r="G5481" s="3" t="s">
        <v>295</v>
      </c>
      <c r="H5481" s="2" t="s">
        <v>21</v>
      </c>
      <c r="I5481" s="2" t="s">
        <v>10881</v>
      </c>
      <c r="J5481" s="3" t="str">
        <f>HYPERLINK("https://www.boe.es/gazeta/dias/1820/04/01/pdfs/GMD-1820-59.pdf#page=8","Abrir facsímil")</f>
        <v>Abrir facsímil</v>
      </c>
      <c r="K5481" s="3" t="s">
        <v>23</v>
      </c>
    </row>
    <row r="5482" spans="1:11" ht="42" customHeight="1">
      <c r="A5482" s="2" t="s">
        <v>10882</v>
      </c>
      <c r="B5482" s="2" t="s">
        <v>10883</v>
      </c>
      <c r="C5482" s="2" t="s">
        <v>47</v>
      </c>
      <c r="D5482" s="2" t="s">
        <v>18</v>
      </c>
      <c r="E5482" s="5">
        <v>-28922</v>
      </c>
      <c r="F5482" s="3" t="s">
        <v>735</v>
      </c>
      <c r="G5482" s="3" t="s">
        <v>62</v>
      </c>
      <c r="H5482" s="2" t="s">
        <v>21</v>
      </c>
      <c r="I5482" s="2" t="s">
        <v>10884</v>
      </c>
      <c r="J5482" s="3" t="str">
        <f>HYPERLINK("https://www.boe.es/gazeta/dias/1820/10/23/pdfs/GGB-1820-117.pdf#page=3","Abrir facsímil")</f>
        <v>Abrir facsímil</v>
      </c>
      <c r="K5482" s="3" t="s">
        <v>23</v>
      </c>
    </row>
    <row r="5483" spans="1:11" ht="42" customHeight="1">
      <c r="A5483" s="2" t="s">
        <v>10885</v>
      </c>
      <c r="B5483" s="2" t="s">
        <v>10886</v>
      </c>
      <c r="C5483" s="2" t="s">
        <v>111</v>
      </c>
      <c r="D5483" s="2" t="s">
        <v>18</v>
      </c>
      <c r="E5483" s="5">
        <v>-28965</v>
      </c>
      <c r="F5483" s="3" t="s">
        <v>1520</v>
      </c>
      <c r="G5483" s="3" t="s">
        <v>20</v>
      </c>
      <c r="H5483" s="2" t="s">
        <v>21</v>
      </c>
      <c r="I5483" s="2" t="s">
        <v>10887</v>
      </c>
      <c r="J5483" s="3" t="str">
        <f>HYPERLINK("https://www.boe.es/gazeta/dias/1820/09/10/pdfs/GGB-1820-74.pdf#page=4","Abrir facsímil")</f>
        <v>Abrir facsímil</v>
      </c>
      <c r="K5483" s="3" t="s">
        <v>23</v>
      </c>
    </row>
    <row r="5484" spans="1:11" ht="42" customHeight="1">
      <c r="A5484" s="2" t="s">
        <v>10888</v>
      </c>
      <c r="B5484" s="2" t="s">
        <v>10888</v>
      </c>
      <c r="C5484" s="2" t="s">
        <v>74</v>
      </c>
      <c r="D5484" s="2" t="s">
        <v>18</v>
      </c>
      <c r="E5484" s="5">
        <v>-29110</v>
      </c>
      <c r="F5484" s="3" t="s">
        <v>272</v>
      </c>
      <c r="G5484" s="3" t="s">
        <v>20</v>
      </c>
      <c r="H5484" s="2" t="s">
        <v>21</v>
      </c>
      <c r="I5484" s="2" t="s">
        <v>10889</v>
      </c>
      <c r="J5484" s="3" t="str">
        <f>HYPERLINK("https://www.boe.es/gazeta/dias/1820/04/18/pdfs/GMD-1820-67.pdf#page=4","Abrir facsímil")</f>
        <v>Abrir facsímil</v>
      </c>
      <c r="K5484" s="3" t="s">
        <v>23</v>
      </c>
    </row>
    <row r="5485" spans="1:11" ht="42" customHeight="1">
      <c r="A5485" s="2" t="s">
        <v>10888</v>
      </c>
      <c r="B5485" s="2" t="s">
        <v>10888</v>
      </c>
      <c r="C5485" s="2" t="s">
        <v>74</v>
      </c>
      <c r="D5485" s="2" t="s">
        <v>18</v>
      </c>
      <c r="E5485" s="5">
        <v>-29106</v>
      </c>
      <c r="F5485" s="3" t="s">
        <v>430</v>
      </c>
      <c r="G5485" s="3" t="s">
        <v>62</v>
      </c>
      <c r="H5485" s="2" t="s">
        <v>21</v>
      </c>
      <c r="I5485" s="2" t="s">
        <v>10890</v>
      </c>
      <c r="J5485" s="3" t="str">
        <f>HYPERLINK("https://www.boe.es/gazeta/dias/1820/04/22/pdfs/GMD-1820-69.pdf#page=3","Abrir facsímil")</f>
        <v>Abrir facsímil</v>
      </c>
      <c r="K5485" s="3" t="s">
        <v>23</v>
      </c>
    </row>
    <row r="5486" spans="1:11" ht="42" customHeight="1">
      <c r="A5486" s="2" t="s">
        <v>10888</v>
      </c>
      <c r="B5486" s="2" t="s">
        <v>10888</v>
      </c>
      <c r="C5486" s="2" t="s">
        <v>26</v>
      </c>
      <c r="D5486" s="2" t="s">
        <v>27</v>
      </c>
      <c r="E5486" s="5">
        <v>-29099</v>
      </c>
      <c r="F5486" s="3" t="s">
        <v>871</v>
      </c>
      <c r="G5486" s="3" t="s">
        <v>20</v>
      </c>
      <c r="H5486" s="2" t="s">
        <v>21</v>
      </c>
      <c r="I5486" s="2" t="s">
        <v>10891</v>
      </c>
      <c r="J5486" s="3" t="str">
        <f>HYPERLINK("https://www.boe.es/gazeta/dias/1820/04/29/pdfs/GMD-1820-73.pdf#page=4","Abrir facsímil")</f>
        <v>Abrir facsímil</v>
      </c>
      <c r="K5486" s="3" t="s">
        <v>23</v>
      </c>
    </row>
    <row r="5487" spans="1:11" ht="42" customHeight="1">
      <c r="A5487" s="2" t="s">
        <v>10892</v>
      </c>
      <c r="B5487" s="2" t="s">
        <v>10893</v>
      </c>
      <c r="C5487" s="2" t="s">
        <v>35</v>
      </c>
      <c r="D5487" s="2" t="s">
        <v>36</v>
      </c>
      <c r="E5487" s="5">
        <v>-28900</v>
      </c>
      <c r="F5487" s="3" t="s">
        <v>878</v>
      </c>
      <c r="G5487" s="3" t="s">
        <v>20</v>
      </c>
      <c r="H5487" s="2" t="s">
        <v>21</v>
      </c>
      <c r="I5487" s="2" t="s">
        <v>10894</v>
      </c>
      <c r="J5487" s="3" t="str">
        <f>HYPERLINK("https://www.boe.es/gazeta/dias/1820/11/14/pdfs/GGB-1820-140.pdf#page=4","Abrir facsímil")</f>
        <v>Abrir facsímil</v>
      </c>
      <c r="K5487" s="3" t="s">
        <v>23</v>
      </c>
    </row>
    <row r="5488" spans="1:11" ht="42" customHeight="1">
      <c r="A5488" s="2" t="s">
        <v>10895</v>
      </c>
      <c r="B5488" s="2" t="s">
        <v>10896</v>
      </c>
      <c r="C5488" s="2" t="s">
        <v>17</v>
      </c>
      <c r="D5488" s="2" t="s">
        <v>18</v>
      </c>
      <c r="E5488" s="5">
        <v>-28907</v>
      </c>
      <c r="F5488" s="3" t="s">
        <v>374</v>
      </c>
      <c r="G5488" s="3" t="s">
        <v>62</v>
      </c>
      <c r="H5488" s="2" t="s">
        <v>21</v>
      </c>
      <c r="I5488" s="2" t="s">
        <v>10897</v>
      </c>
      <c r="J5488" s="3" t="str">
        <f>HYPERLINK("https://www.boe.es/gazeta/dias/1820/11/07/pdfs/GGB-1820-132.pdf#page=3","Abrir facsímil")</f>
        <v>Abrir facsímil</v>
      </c>
      <c r="K5488" s="3" t="s">
        <v>23</v>
      </c>
    </row>
    <row r="5489" spans="1:11" ht="42" customHeight="1">
      <c r="A5489" s="2" t="s">
        <v>10898</v>
      </c>
      <c r="B5489" s="2" t="s">
        <v>10899</v>
      </c>
      <c r="C5489" s="2" t="s">
        <v>26</v>
      </c>
      <c r="D5489" s="2" t="s">
        <v>27</v>
      </c>
      <c r="E5489" s="5">
        <v>-28950</v>
      </c>
      <c r="F5489" s="3" t="s">
        <v>1052</v>
      </c>
      <c r="G5489" s="3" t="s">
        <v>20</v>
      </c>
      <c r="H5489" s="2" t="s">
        <v>21</v>
      </c>
      <c r="I5489" s="2" t="s">
        <v>10900</v>
      </c>
      <c r="J5489" s="3" t="str">
        <f>HYPERLINK("https://www.boe.es/gazeta/dias/1820/09/25/pdfs/GGB-1820-89.pdf#page=4","Abrir facsímil")</f>
        <v>Abrir facsímil</v>
      </c>
      <c r="K5489" s="3" t="s">
        <v>23</v>
      </c>
    </row>
    <row r="5490" spans="1:11" ht="42" customHeight="1">
      <c r="A5490" s="2" t="s">
        <v>10901</v>
      </c>
      <c r="B5490" s="2" t="s">
        <v>10902</v>
      </c>
      <c r="C5490" s="2" t="s">
        <v>26</v>
      </c>
      <c r="D5490" s="2" t="s">
        <v>310</v>
      </c>
      <c r="E5490" s="5">
        <v>-29150</v>
      </c>
      <c r="F5490" s="3" t="s">
        <v>4978</v>
      </c>
      <c r="G5490" s="3" t="s">
        <v>128</v>
      </c>
      <c r="H5490" s="2" t="s">
        <v>21</v>
      </c>
      <c r="I5490" s="2" t="s">
        <v>10903</v>
      </c>
      <c r="J5490" s="3" t="str">
        <f>HYPERLINK("https://www.boe.es/gazeta/dias/1820/03/09/pdfs/GMD-1820-34E.pdf#page=1","Abrir facsímil")</f>
        <v>Abrir facsímil</v>
      </c>
      <c r="K5490" s="3" t="s">
        <v>23</v>
      </c>
    </row>
    <row r="5491" spans="1:11" ht="42" customHeight="1">
      <c r="A5491" s="2" t="s">
        <v>10901</v>
      </c>
      <c r="B5491" s="2" t="s">
        <v>10902</v>
      </c>
      <c r="C5491" s="2" t="s">
        <v>35</v>
      </c>
      <c r="D5491" s="2" t="s">
        <v>36</v>
      </c>
      <c r="E5491" s="5">
        <v>-29143</v>
      </c>
      <c r="F5491" s="3" t="s">
        <v>334</v>
      </c>
      <c r="G5491" s="3" t="s">
        <v>38</v>
      </c>
      <c r="H5491" s="2" t="s">
        <v>21</v>
      </c>
      <c r="I5491" s="2" t="s">
        <v>10904</v>
      </c>
      <c r="J5491" s="3" t="str">
        <f>HYPERLINK("https://www.boe.es/gazeta/dias/1820/03/16/pdfs/GMD-1820-42.pdf#page=6","Abrir facsímil")</f>
        <v>Abrir facsímil</v>
      </c>
      <c r="K5491" s="3" t="s">
        <v>23</v>
      </c>
    </row>
    <row r="5492" spans="1:11" ht="42" customHeight="1">
      <c r="A5492" s="2" t="s">
        <v>10905</v>
      </c>
      <c r="B5492" s="2" t="s">
        <v>10906</v>
      </c>
      <c r="C5492" s="2" t="s">
        <v>111</v>
      </c>
      <c r="D5492" s="2" t="s">
        <v>18</v>
      </c>
      <c r="E5492" s="5">
        <v>-29034</v>
      </c>
      <c r="F5492" s="3" t="s">
        <v>460</v>
      </c>
      <c r="G5492" s="3" t="s">
        <v>461</v>
      </c>
      <c r="H5492" s="2" t="s">
        <v>21</v>
      </c>
      <c r="I5492" s="2" t="s">
        <v>10907</v>
      </c>
      <c r="J5492" s="3" t="str">
        <f>HYPERLINK("https://www.boe.es/gazeta/dias/1820/07/03/pdfs/GGB-1820-3.pdf#page=4","Abrir facsímil")</f>
        <v>Abrir facsímil</v>
      </c>
      <c r="K5492" s="3" t="s">
        <v>23</v>
      </c>
    </row>
    <row r="5493" spans="1:11" ht="42" customHeight="1">
      <c r="A5493" s="2" t="s">
        <v>10908</v>
      </c>
      <c r="B5493" s="2" t="s">
        <v>10908</v>
      </c>
      <c r="C5493" s="2" t="s">
        <v>17</v>
      </c>
      <c r="D5493" s="2" t="s">
        <v>18</v>
      </c>
      <c r="E5493" s="5">
        <v>-29034</v>
      </c>
      <c r="F5493" s="3" t="s">
        <v>460</v>
      </c>
      <c r="G5493" s="3" t="s">
        <v>461</v>
      </c>
      <c r="H5493" s="2" t="s">
        <v>21</v>
      </c>
      <c r="I5493" s="2" t="s">
        <v>10909</v>
      </c>
      <c r="J5493" s="3" t="str">
        <f>HYPERLINK("https://www.boe.es/gazeta/dias/1820/07/03/pdfs/GGB-1820-3.pdf#page=4","Abrir facsímil")</f>
        <v>Abrir facsímil</v>
      </c>
      <c r="K5493" s="3" t="s">
        <v>23</v>
      </c>
    </row>
    <row r="5494" spans="1:11" ht="42" customHeight="1">
      <c r="A5494" s="2" t="s">
        <v>10910</v>
      </c>
      <c r="B5494" s="2" t="s">
        <v>10911</v>
      </c>
      <c r="C5494" s="2" t="s">
        <v>17</v>
      </c>
      <c r="D5494" s="2" t="s">
        <v>18</v>
      </c>
      <c r="E5494" s="5">
        <v>-28921</v>
      </c>
      <c r="F5494" s="3" t="s">
        <v>738</v>
      </c>
      <c r="G5494" s="3" t="s">
        <v>3686</v>
      </c>
      <c r="H5494" s="2" t="s">
        <v>21</v>
      </c>
      <c r="I5494" s="2" t="s">
        <v>10912</v>
      </c>
      <c r="J5494" s="3" t="str">
        <f>HYPERLINK("https://www.boe.es/gazeta/dias/1820/10/24/pdfs/GGB-1820-118.pdf#page=3","Abrir facsímil")</f>
        <v>Abrir facsímil</v>
      </c>
      <c r="K5494" s="3" t="s">
        <v>23</v>
      </c>
    </row>
    <row r="5495" spans="1:11" ht="42" customHeight="1">
      <c r="A5495" s="2" t="s">
        <v>10913</v>
      </c>
      <c r="B5495" s="2" t="s">
        <v>10914</v>
      </c>
      <c r="C5495" s="2" t="s">
        <v>26</v>
      </c>
      <c r="D5495" s="2" t="s">
        <v>27</v>
      </c>
      <c r="E5495" s="5">
        <v>-28858</v>
      </c>
      <c r="F5495" s="3" t="s">
        <v>117</v>
      </c>
      <c r="G5495" s="3" t="s">
        <v>20</v>
      </c>
      <c r="H5495" s="2" t="s">
        <v>30</v>
      </c>
      <c r="I5495" s="2" t="s">
        <v>10915</v>
      </c>
      <c r="J5495" s="3" t="str">
        <f>HYPERLINK("https://www.boe.es/gazeta/dias/1820/12/26/pdfs/GGB-1820-183.pdf#page=4","Abrir facsímil")</f>
        <v>Abrir facsímil</v>
      </c>
      <c r="K5495" s="3" t="s">
        <v>32</v>
      </c>
    </row>
    <row r="5496" spans="1:11" ht="42" customHeight="1">
      <c r="A5496" s="2" t="s">
        <v>10916</v>
      </c>
      <c r="B5496" s="2" t="s">
        <v>10917</v>
      </c>
      <c r="C5496" s="2" t="s">
        <v>26</v>
      </c>
      <c r="D5496" s="2" t="s">
        <v>27</v>
      </c>
      <c r="E5496" s="5">
        <v>-29122</v>
      </c>
      <c r="F5496" s="3" t="s">
        <v>844</v>
      </c>
      <c r="G5496" s="3" t="s">
        <v>256</v>
      </c>
      <c r="H5496" s="2" t="s">
        <v>21</v>
      </c>
      <c r="I5496" s="2" t="s">
        <v>10918</v>
      </c>
      <c r="J5496" s="3" t="str">
        <f>HYPERLINK("https://www.boe.es/gazeta/dias/1820/04/06/pdfs/GMD-1820-62.pdf#page=5","Abrir facsímil")</f>
        <v>Abrir facsímil</v>
      </c>
      <c r="K5496" s="3" t="s">
        <v>23</v>
      </c>
    </row>
    <row r="5497" spans="1:11" ht="42" customHeight="1">
      <c r="A5497" s="2" t="s">
        <v>10919</v>
      </c>
      <c r="B5497" s="2" t="s">
        <v>10920</v>
      </c>
      <c r="C5497" s="2" t="s">
        <v>35</v>
      </c>
      <c r="D5497" s="2" t="s">
        <v>36</v>
      </c>
      <c r="E5497" s="5">
        <v>-28889</v>
      </c>
      <c r="F5497" s="3" t="s">
        <v>777</v>
      </c>
      <c r="G5497" s="3" t="s">
        <v>62</v>
      </c>
      <c r="H5497" s="2" t="s">
        <v>21</v>
      </c>
      <c r="I5497" s="2" t="s">
        <v>10921</v>
      </c>
      <c r="J5497" s="3" t="str">
        <f>HYPERLINK("https://www.boe.es/gazeta/dias/1820/11/25/pdfs/GGB-1820-152.pdf#page=3","Abrir facsímil")</f>
        <v>Abrir facsímil</v>
      </c>
      <c r="K5497" s="3" t="s">
        <v>23</v>
      </c>
    </row>
    <row r="5498" spans="1:11" ht="42" customHeight="1">
      <c r="A5498" s="2" t="s">
        <v>10922</v>
      </c>
      <c r="B5498" s="2" t="s">
        <v>10923</v>
      </c>
      <c r="C5498" s="2" t="s">
        <v>26</v>
      </c>
      <c r="D5498" s="2" t="s">
        <v>27</v>
      </c>
      <c r="E5498" s="5">
        <v>-28974</v>
      </c>
      <c r="F5498" s="3" t="s">
        <v>1144</v>
      </c>
      <c r="G5498" s="3" t="s">
        <v>1145</v>
      </c>
      <c r="H5498" s="2" t="s">
        <v>21</v>
      </c>
      <c r="I5498" s="2" t="s">
        <v>10924</v>
      </c>
      <c r="J5498" s="3" t="str">
        <f>HYPERLINK("https://www.boe.es/gazeta/dias/1820/09/01/pdfs/GGB-1820-65.pdf#page=4","Abrir facsímil")</f>
        <v>Abrir facsímil</v>
      </c>
      <c r="K5498" s="3" t="s">
        <v>23</v>
      </c>
    </row>
    <row r="5499" spans="1:11" ht="42" customHeight="1">
      <c r="A5499" s="2" t="s">
        <v>10925</v>
      </c>
      <c r="B5499" s="2" t="s">
        <v>10926</v>
      </c>
      <c r="C5499" s="2" t="s">
        <v>26</v>
      </c>
      <c r="D5499" s="2" t="s">
        <v>27</v>
      </c>
      <c r="E5499" s="5">
        <v>-28913</v>
      </c>
      <c r="F5499" s="3" t="s">
        <v>230</v>
      </c>
      <c r="G5499" s="3" t="s">
        <v>43</v>
      </c>
      <c r="H5499" s="2" t="s">
        <v>21</v>
      </c>
      <c r="I5499" s="2" t="s">
        <v>10927</v>
      </c>
      <c r="J5499" s="3" t="str">
        <f>HYPERLINK("https://www.boe.es/gazeta/dias/1820/11/01/pdfs/GGB-1820-126.pdf#page=2","Abrir facsímil")</f>
        <v>Abrir facsímil</v>
      </c>
      <c r="K5499" s="3" t="s">
        <v>23</v>
      </c>
    </row>
    <row r="5500" spans="1:11" ht="42" customHeight="1">
      <c r="A5500" s="2" t="s">
        <v>10928</v>
      </c>
      <c r="B5500" s="2" t="s">
        <v>10929</v>
      </c>
      <c r="C5500" s="2" t="s">
        <v>293</v>
      </c>
      <c r="D5500" s="2" t="s">
        <v>18</v>
      </c>
      <c r="E5500" s="5">
        <v>-28893</v>
      </c>
      <c r="F5500" s="3" t="s">
        <v>546</v>
      </c>
      <c r="G5500" s="3" t="s">
        <v>20</v>
      </c>
      <c r="H5500" s="2" t="s">
        <v>21</v>
      </c>
      <c r="I5500" s="2" t="s">
        <v>10930</v>
      </c>
      <c r="J5500" s="3" t="str">
        <f>HYPERLINK("https://www.boe.es/gazeta/dias/1820/11/21/pdfs/GGB-1820-148.pdf#page=4","Abrir facsímil")</f>
        <v>Abrir facsímil</v>
      </c>
      <c r="K5500" s="3" t="s">
        <v>23</v>
      </c>
    </row>
    <row r="5501" spans="1:11" ht="42" customHeight="1">
      <c r="A5501" s="2" t="s">
        <v>10931</v>
      </c>
      <c r="B5501" s="2" t="s">
        <v>10931</v>
      </c>
      <c r="C5501" s="2" t="s">
        <v>26</v>
      </c>
      <c r="D5501" s="2" t="s">
        <v>27</v>
      </c>
      <c r="E5501" s="5">
        <v>-28923</v>
      </c>
      <c r="F5501" s="3" t="s">
        <v>648</v>
      </c>
      <c r="G5501" s="3" t="s">
        <v>62</v>
      </c>
      <c r="H5501" s="2" t="s">
        <v>21</v>
      </c>
      <c r="I5501" s="2" t="s">
        <v>10932</v>
      </c>
      <c r="J5501" s="3" t="str">
        <f>HYPERLINK("https://www.boe.es/gazeta/dias/1820/10/22/pdfs/GGB-1820-116.pdf#page=3","Abrir facsímil")</f>
        <v>Abrir facsímil</v>
      </c>
      <c r="K5501" s="3" t="s">
        <v>23</v>
      </c>
    </row>
    <row r="5502" spans="1:11" ht="42" customHeight="1">
      <c r="A5502" s="2" t="s">
        <v>10933</v>
      </c>
      <c r="B5502" s="2" t="s">
        <v>10933</v>
      </c>
      <c r="C5502" s="2" t="s">
        <v>26</v>
      </c>
      <c r="D5502" s="2" t="s">
        <v>27</v>
      </c>
      <c r="E5502" s="5">
        <v>-28994</v>
      </c>
      <c r="F5502" s="3" t="s">
        <v>1612</v>
      </c>
      <c r="G5502" s="3" t="s">
        <v>128</v>
      </c>
      <c r="H5502" s="2" t="s">
        <v>21</v>
      </c>
      <c r="I5502" s="2" t="s">
        <v>10934</v>
      </c>
      <c r="J5502" s="3" t="str">
        <f>HYPERLINK("https://www.boe.es/gazeta/dias/1820/08/12/pdfs/GGB-1820-45.pdf#page=1","Abrir facsímil")</f>
        <v>Abrir facsímil</v>
      </c>
      <c r="K5502" s="3" t="s">
        <v>23</v>
      </c>
    </row>
    <row r="5503" spans="1:11" ht="42" customHeight="1">
      <c r="A5503" s="2" t="s">
        <v>10935</v>
      </c>
      <c r="B5503" s="2" t="s">
        <v>10935</v>
      </c>
      <c r="C5503" s="2" t="s">
        <v>111</v>
      </c>
      <c r="D5503" s="2" t="s">
        <v>18</v>
      </c>
      <c r="E5503" s="5">
        <v>-28949</v>
      </c>
      <c r="F5503" s="3" t="s">
        <v>178</v>
      </c>
      <c r="G5503" s="3" t="s">
        <v>128</v>
      </c>
      <c r="H5503" s="2" t="s">
        <v>21</v>
      </c>
      <c r="I5503" s="2" t="s">
        <v>10936</v>
      </c>
      <c r="J5503" s="3" t="str">
        <f>HYPERLINK("https://www.boe.es/gazeta/dias/1820/09/26/pdfs/GGB-1820-90.pdf#page=1","Abrir facsímil")</f>
        <v>Abrir facsímil</v>
      </c>
      <c r="K5503" s="3" t="s">
        <v>23</v>
      </c>
    </row>
    <row r="5504" spans="1:11" ht="42" customHeight="1">
      <c r="A5504" s="2" t="s">
        <v>10937</v>
      </c>
      <c r="B5504" s="2" t="s">
        <v>10938</v>
      </c>
      <c r="C5504" s="2" t="s">
        <v>26</v>
      </c>
      <c r="D5504" s="2" t="s">
        <v>27</v>
      </c>
      <c r="E5504" s="5">
        <v>-29131</v>
      </c>
      <c r="F5504" s="3" t="s">
        <v>1193</v>
      </c>
      <c r="G5504" s="3" t="s">
        <v>20</v>
      </c>
      <c r="H5504" s="2" t="s">
        <v>21</v>
      </c>
      <c r="I5504" s="2" t="s">
        <v>10939</v>
      </c>
      <c r="J5504" s="3" t="str">
        <f>HYPERLINK("https://www.boe.es/gazeta/dias/1820/03/28/pdfs/GMD-1820-56.pdf#page=4","Abrir facsímil")</f>
        <v>Abrir facsímil</v>
      </c>
      <c r="K5504" s="3" t="s">
        <v>23</v>
      </c>
    </row>
    <row r="5505" spans="1:11" ht="42" customHeight="1">
      <c r="A5505" s="2" t="s">
        <v>10937</v>
      </c>
      <c r="B5505" s="2" t="s">
        <v>10938</v>
      </c>
      <c r="C5505" s="2" t="s">
        <v>26</v>
      </c>
      <c r="D5505" s="2" t="s">
        <v>27</v>
      </c>
      <c r="E5505" s="5">
        <v>-29040</v>
      </c>
      <c r="F5505" s="3" t="s">
        <v>1125</v>
      </c>
      <c r="G5505" s="3" t="s">
        <v>38</v>
      </c>
      <c r="H5505" s="2" t="s">
        <v>21</v>
      </c>
      <c r="I5505" s="2" t="s">
        <v>10940</v>
      </c>
      <c r="J5505" s="3" t="str">
        <f>HYPERLINK("https://www.boe.es/gazeta/dias/1820/06/27/pdfs/GMD-1820-99.pdf#page=6","Abrir facsímil")</f>
        <v>Abrir facsímil</v>
      </c>
      <c r="K5505" s="3" t="s">
        <v>23</v>
      </c>
    </row>
    <row r="5506" spans="1:11" ht="42" customHeight="1">
      <c r="A5506" s="2" t="s">
        <v>10941</v>
      </c>
      <c r="B5506" s="2" t="s">
        <v>10942</v>
      </c>
      <c r="C5506" s="2" t="s">
        <v>26</v>
      </c>
      <c r="D5506" s="2" t="s">
        <v>27</v>
      </c>
      <c r="E5506" s="5">
        <v>-29120</v>
      </c>
      <c r="F5506" s="3" t="s">
        <v>852</v>
      </c>
      <c r="G5506" s="3" t="s">
        <v>295</v>
      </c>
      <c r="H5506" s="2" t="s">
        <v>30</v>
      </c>
      <c r="I5506" s="2" t="s">
        <v>10943</v>
      </c>
      <c r="J5506" s="3" t="str">
        <f>HYPERLINK("https://www.boe.es/gazeta/dias/1820/04/08/pdfs/GMD-1820-63.pdf#page=8","Abrir facsímil")</f>
        <v>Abrir facsímil</v>
      </c>
      <c r="K5506" s="3" t="s">
        <v>32</v>
      </c>
    </row>
    <row r="5507" spans="1:11" ht="42" customHeight="1">
      <c r="A5507" s="2" t="s">
        <v>10944</v>
      </c>
      <c r="B5507" s="2" t="s">
        <v>10944</v>
      </c>
      <c r="C5507" s="2" t="s">
        <v>26</v>
      </c>
      <c r="D5507" s="2" t="s">
        <v>27</v>
      </c>
      <c r="E5507" s="5">
        <v>-28963</v>
      </c>
      <c r="F5507" s="3" t="s">
        <v>94</v>
      </c>
      <c r="G5507" s="3" t="s">
        <v>128</v>
      </c>
      <c r="H5507" s="2" t="s">
        <v>21</v>
      </c>
      <c r="I5507" s="2" t="s">
        <v>10945</v>
      </c>
      <c r="J5507" s="3" t="str">
        <f>HYPERLINK("https://www.boe.es/gazeta/dias/1820/09/12/pdfs/GGB-1820-76.pdf#page=1","Abrir facsímil")</f>
        <v>Abrir facsímil</v>
      </c>
      <c r="K5507" s="3" t="s">
        <v>23</v>
      </c>
    </row>
    <row r="5508" spans="1:11" ht="42" customHeight="1">
      <c r="A5508" s="2" t="s">
        <v>10944</v>
      </c>
      <c r="B5508" s="2" t="s">
        <v>10944</v>
      </c>
      <c r="C5508" s="2" t="s">
        <v>26</v>
      </c>
      <c r="D5508" s="2" t="s">
        <v>27</v>
      </c>
      <c r="E5508" s="5">
        <v>-28954</v>
      </c>
      <c r="F5508" s="3" t="s">
        <v>28</v>
      </c>
      <c r="G5508" s="3" t="s">
        <v>128</v>
      </c>
      <c r="H5508" s="2" t="s">
        <v>21</v>
      </c>
      <c r="I5508" s="2" t="s">
        <v>10946</v>
      </c>
      <c r="J5508" s="3" t="str">
        <f>HYPERLINK("https://www.boe.es/gazeta/dias/1820/09/21/pdfs/GGB-1820-85.pdf#page=1","Abrir facsímil")</f>
        <v>Abrir facsímil</v>
      </c>
      <c r="K5508" s="3" t="s">
        <v>23</v>
      </c>
    </row>
    <row r="5509" spans="1:11" ht="42" customHeight="1">
      <c r="A5509" s="2" t="s">
        <v>10944</v>
      </c>
      <c r="B5509" s="2" t="s">
        <v>10944</v>
      </c>
      <c r="C5509" s="2" t="s">
        <v>26</v>
      </c>
      <c r="D5509" s="2" t="s">
        <v>27</v>
      </c>
      <c r="E5509" s="5">
        <v>-28913</v>
      </c>
      <c r="F5509" s="3" t="s">
        <v>230</v>
      </c>
      <c r="G5509" s="3" t="s">
        <v>128</v>
      </c>
      <c r="H5509" s="2" t="s">
        <v>21</v>
      </c>
      <c r="I5509" s="2" t="s">
        <v>10947</v>
      </c>
      <c r="J5509" s="3" t="str">
        <f>HYPERLINK("https://www.boe.es/gazeta/dias/1820/11/01/pdfs/GGB-1820-126.pdf#page=1","Abrir facsímil")</f>
        <v>Abrir facsímil</v>
      </c>
      <c r="K5509" s="3" t="s">
        <v>23</v>
      </c>
    </row>
    <row r="5510" spans="1:11" ht="42" customHeight="1">
      <c r="A5510" s="2" t="s">
        <v>10944</v>
      </c>
      <c r="B5510" s="2" t="s">
        <v>10944</v>
      </c>
      <c r="C5510" s="2" t="s">
        <v>35</v>
      </c>
      <c r="D5510" s="2" t="s">
        <v>36</v>
      </c>
      <c r="E5510" s="5">
        <v>-28911</v>
      </c>
      <c r="F5510" s="3" t="s">
        <v>82</v>
      </c>
      <c r="G5510" s="3" t="s">
        <v>43</v>
      </c>
      <c r="H5510" s="2" t="s">
        <v>21</v>
      </c>
      <c r="I5510" s="2" t="s">
        <v>10948</v>
      </c>
      <c r="J5510" s="3" t="str">
        <f>HYPERLINK("https://www.boe.es/gazeta/dias/1820/11/03/pdfs/GGB-1820-128.pdf#page=2","Abrir facsímil")</f>
        <v>Abrir facsímil</v>
      </c>
      <c r="K5510" s="3" t="s">
        <v>23</v>
      </c>
    </row>
    <row r="5511" spans="1:11" ht="42" customHeight="1">
      <c r="A5511" s="2" t="s">
        <v>10949</v>
      </c>
      <c r="B5511" s="2" t="s">
        <v>10950</v>
      </c>
      <c r="C5511" s="2" t="s">
        <v>26</v>
      </c>
      <c r="D5511" s="2" t="s">
        <v>27</v>
      </c>
      <c r="E5511" s="5">
        <v>-28879</v>
      </c>
      <c r="F5511" s="3" t="s">
        <v>953</v>
      </c>
      <c r="G5511" s="3" t="s">
        <v>62</v>
      </c>
      <c r="H5511" s="2" t="s">
        <v>21</v>
      </c>
      <c r="I5511" s="2" t="s">
        <v>10951</v>
      </c>
      <c r="J5511" s="3" t="str">
        <f>HYPERLINK("https://www.boe.es/gazeta/dias/1820/12/05/pdfs/GGB-1820-162.pdf#page=3","Abrir facsímil")</f>
        <v>Abrir facsímil</v>
      </c>
      <c r="K5511" s="3" t="s">
        <v>23</v>
      </c>
    </row>
    <row r="5512" spans="1:11" ht="42" customHeight="1">
      <c r="A5512" s="2" t="s">
        <v>10952</v>
      </c>
      <c r="B5512" s="2" t="s">
        <v>10953</v>
      </c>
      <c r="C5512" s="2" t="s">
        <v>26</v>
      </c>
      <c r="D5512" s="2" t="s">
        <v>27</v>
      </c>
      <c r="E5512" s="5">
        <v>-29141</v>
      </c>
      <c r="F5512" s="3" t="s">
        <v>319</v>
      </c>
      <c r="G5512" s="3" t="s">
        <v>295</v>
      </c>
      <c r="H5512" s="2" t="s">
        <v>21</v>
      </c>
      <c r="I5512" s="2" t="s">
        <v>10954</v>
      </c>
      <c r="J5512" s="3" t="str">
        <f>HYPERLINK("https://www.boe.es/gazeta/dias/1820/03/18/pdfs/GMD-1820-44.pdf#page=8","Abrir facsímil")</f>
        <v>Abrir facsímil</v>
      </c>
      <c r="K5512" s="3" t="s">
        <v>23</v>
      </c>
    </row>
    <row r="5513" spans="1:11" ht="42" customHeight="1">
      <c r="A5513" s="2" t="s">
        <v>10955</v>
      </c>
      <c r="B5513" s="2" t="s">
        <v>10956</v>
      </c>
      <c r="C5513" s="2" t="s">
        <v>111</v>
      </c>
      <c r="D5513" s="2" t="s">
        <v>18</v>
      </c>
      <c r="E5513" s="5">
        <v>-28998</v>
      </c>
      <c r="F5513" s="3" t="s">
        <v>629</v>
      </c>
      <c r="G5513" s="3" t="s">
        <v>20</v>
      </c>
      <c r="H5513" s="2" t="s">
        <v>21</v>
      </c>
      <c r="I5513" s="2" t="s">
        <v>10957</v>
      </c>
      <c r="J5513" s="3" t="str">
        <f>HYPERLINK("https://www.boe.es/gazeta/dias/1820/08/08/pdfs/GGB-1820-41.pdf#page=4","Abrir facsímil")</f>
        <v>Abrir facsímil</v>
      </c>
      <c r="K5513" s="3" t="s">
        <v>23</v>
      </c>
    </row>
    <row r="5514" spans="1:11" ht="42" customHeight="1">
      <c r="A5514" s="2" t="s">
        <v>10958</v>
      </c>
      <c r="B5514" s="2" t="s">
        <v>10958</v>
      </c>
      <c r="C5514" s="2" t="s">
        <v>107</v>
      </c>
      <c r="D5514" s="2" t="s">
        <v>18</v>
      </c>
      <c r="E5514" s="5">
        <v>-29215</v>
      </c>
      <c r="F5514" s="3" t="s">
        <v>827</v>
      </c>
      <c r="G5514" s="3" t="s">
        <v>1987</v>
      </c>
      <c r="H5514" s="2" t="s">
        <v>21</v>
      </c>
      <c r="I5514" s="2" t="s">
        <v>10959</v>
      </c>
      <c r="J5514" s="3" t="str">
        <f>HYPERLINK("https://www.boe.es/gazeta/dias/1820/01/04/pdfs/GMD-1820-2.pdf#page=4","Abrir facsímil")</f>
        <v>Abrir facsímil</v>
      </c>
      <c r="K5514" s="3" t="s">
        <v>23</v>
      </c>
    </row>
    <row r="5515" spans="1:11" ht="42" customHeight="1">
      <c r="A5515" s="2" t="s">
        <v>10958</v>
      </c>
      <c r="B5515" s="2" t="s">
        <v>10958</v>
      </c>
      <c r="C5515" s="2" t="s">
        <v>35</v>
      </c>
      <c r="D5515" s="2" t="s">
        <v>36</v>
      </c>
      <c r="E5515" s="5">
        <v>-29192</v>
      </c>
      <c r="F5515" s="3" t="s">
        <v>497</v>
      </c>
      <c r="G5515" s="3" t="s">
        <v>256</v>
      </c>
      <c r="H5515" s="2" t="s">
        <v>21</v>
      </c>
      <c r="I5515" s="2" t="s">
        <v>10960</v>
      </c>
      <c r="J5515" s="3" t="str">
        <f>HYPERLINK("https://www.boe.es/gazeta/dias/1820/01/27/pdfs/GMD-1820-12.pdf#page=5","Abrir facsímil")</f>
        <v>Abrir facsímil</v>
      </c>
      <c r="K5515" s="3" t="s">
        <v>23</v>
      </c>
    </row>
    <row r="5516" spans="1:11" ht="42" customHeight="1">
      <c r="A5516" s="2" t="s">
        <v>10961</v>
      </c>
      <c r="B5516" s="2" t="s">
        <v>10962</v>
      </c>
      <c r="C5516" s="2" t="s">
        <v>111</v>
      </c>
      <c r="D5516" s="2" t="s">
        <v>18</v>
      </c>
      <c r="E5516" s="5">
        <v>-28900</v>
      </c>
      <c r="F5516" s="3" t="s">
        <v>878</v>
      </c>
      <c r="G5516" s="3" t="s">
        <v>20</v>
      </c>
      <c r="H5516" s="2" t="s">
        <v>21</v>
      </c>
      <c r="I5516" s="2" t="s">
        <v>10963</v>
      </c>
      <c r="J5516" s="3" t="str">
        <f>HYPERLINK("https://www.boe.es/gazeta/dias/1820/11/14/pdfs/GGB-1820-140.pdf#page=4","Abrir facsímil")</f>
        <v>Abrir facsímil</v>
      </c>
      <c r="K5516" s="3" t="s">
        <v>23</v>
      </c>
    </row>
    <row r="5517" spans="1:11" ht="42" customHeight="1">
      <c r="A5517" s="2" t="s">
        <v>10964</v>
      </c>
      <c r="B5517" s="2" t="s">
        <v>10965</v>
      </c>
      <c r="C5517" s="2" t="s">
        <v>35</v>
      </c>
      <c r="D5517" s="2" t="s">
        <v>36</v>
      </c>
      <c r="E5517" s="5">
        <v>-29197</v>
      </c>
      <c r="F5517" s="3" t="s">
        <v>48</v>
      </c>
      <c r="G5517" s="3" t="s">
        <v>38</v>
      </c>
      <c r="H5517" s="2" t="s">
        <v>30</v>
      </c>
      <c r="I5517" s="2" t="s">
        <v>10966</v>
      </c>
      <c r="J5517" s="3" t="str">
        <f>HYPERLINK("https://www.boe.es/gazeta/dias/1820/01/22/pdfs/GMD-1820-10.pdf#page=6","Abrir facsímil")</f>
        <v>Abrir facsímil</v>
      </c>
      <c r="K5517" s="3" t="s">
        <v>32</v>
      </c>
    </row>
    <row r="5518" spans="1:11" ht="42" customHeight="1">
      <c r="A5518" s="2" t="s">
        <v>10967</v>
      </c>
      <c r="B5518" s="2" t="s">
        <v>10968</v>
      </c>
      <c r="C5518" s="2" t="s">
        <v>35</v>
      </c>
      <c r="D5518" s="2" t="s">
        <v>36</v>
      </c>
      <c r="E5518" s="5">
        <v>-28910</v>
      </c>
      <c r="F5518" s="3" t="s">
        <v>746</v>
      </c>
      <c r="G5518" s="3" t="s">
        <v>62</v>
      </c>
      <c r="H5518" s="2" t="s">
        <v>21</v>
      </c>
      <c r="I5518" s="2" t="s">
        <v>10969</v>
      </c>
      <c r="J5518" s="3" t="str">
        <f>HYPERLINK("https://www.boe.es/gazeta/dias/1820/11/04/pdfs/GGB-1820-129.pdf#page=3","Abrir facsímil")</f>
        <v>Abrir facsímil</v>
      </c>
      <c r="K5518" s="3" t="s">
        <v>23</v>
      </c>
    </row>
    <row r="5519" spans="1:11" ht="42" customHeight="1">
      <c r="A5519" s="2" t="s">
        <v>10970</v>
      </c>
      <c r="B5519" s="2" t="s">
        <v>10970</v>
      </c>
      <c r="C5519" s="2" t="s">
        <v>293</v>
      </c>
      <c r="D5519" s="2" t="s">
        <v>18</v>
      </c>
      <c r="E5519" s="5">
        <v>-28971</v>
      </c>
      <c r="F5519" s="3" t="s">
        <v>691</v>
      </c>
      <c r="G5519" s="3" t="s">
        <v>5078</v>
      </c>
      <c r="H5519" s="2" t="s">
        <v>21</v>
      </c>
      <c r="I5519" s="2" t="s">
        <v>10971</v>
      </c>
      <c r="J5519" s="3" t="str">
        <f>HYPERLINK("https://www.boe.es/gazeta/dias/1820/09/04/pdfs/GGB-1820-68.pdf#page=4","Abrir facsímil")</f>
        <v>Abrir facsímil</v>
      </c>
      <c r="K5519" s="3" t="s">
        <v>23</v>
      </c>
    </row>
    <row r="5520" spans="1:11" ht="42" customHeight="1">
      <c r="A5520" s="2" t="s">
        <v>10972</v>
      </c>
      <c r="B5520" s="2" t="s">
        <v>10972</v>
      </c>
      <c r="C5520" s="2" t="s">
        <v>35</v>
      </c>
      <c r="D5520" s="2" t="s">
        <v>36</v>
      </c>
      <c r="E5520" s="5">
        <v>-28888</v>
      </c>
      <c r="F5520" s="3" t="s">
        <v>112</v>
      </c>
      <c r="G5520" s="3" t="s">
        <v>20</v>
      </c>
      <c r="H5520" s="2" t="s">
        <v>21</v>
      </c>
      <c r="I5520" s="2" t="s">
        <v>10973</v>
      </c>
      <c r="J5520" s="3" t="str">
        <f>HYPERLINK("https://www.boe.es/gazeta/dias/1820/11/26/pdfs/GGB-1820-153.pdf#page=4","Abrir facsímil")</f>
        <v>Abrir facsímil</v>
      </c>
      <c r="K5520" s="3" t="s">
        <v>23</v>
      </c>
    </row>
    <row r="5521" spans="1:11" ht="42" customHeight="1">
      <c r="A5521" s="2" t="s">
        <v>10974</v>
      </c>
      <c r="B5521" s="2" t="s">
        <v>10975</v>
      </c>
      <c r="C5521" s="2" t="s">
        <v>107</v>
      </c>
      <c r="D5521" s="2" t="s">
        <v>18</v>
      </c>
      <c r="E5521" s="5">
        <v>-28888</v>
      </c>
      <c r="F5521" s="3" t="s">
        <v>112</v>
      </c>
      <c r="G5521" s="3" t="s">
        <v>20</v>
      </c>
      <c r="H5521" s="2" t="s">
        <v>21</v>
      </c>
      <c r="I5521" s="2" t="s">
        <v>10976</v>
      </c>
      <c r="J5521" s="3" t="str">
        <f>HYPERLINK("https://www.boe.es/gazeta/dias/1820/11/26/pdfs/GGB-1820-153.pdf#page=4","Abrir facsímil")</f>
        <v>Abrir facsímil</v>
      </c>
      <c r="K5521" s="3" t="s">
        <v>23</v>
      </c>
    </row>
    <row r="5522" spans="1:11" ht="42" customHeight="1">
      <c r="A5522" s="2" t="s">
        <v>10977</v>
      </c>
      <c r="B5522" s="2" t="s">
        <v>10978</v>
      </c>
      <c r="C5522" s="2" t="s">
        <v>74</v>
      </c>
      <c r="D5522" s="2" t="s">
        <v>18</v>
      </c>
      <c r="E5522" s="5">
        <v>-28928</v>
      </c>
      <c r="F5522" s="3" t="s">
        <v>86</v>
      </c>
      <c r="G5522" s="3" t="s">
        <v>43</v>
      </c>
      <c r="H5522" s="2" t="s">
        <v>21</v>
      </c>
      <c r="I5522" s="2" t="s">
        <v>10979</v>
      </c>
      <c r="J5522" s="3" t="str">
        <f>HYPERLINK("https://www.boe.es/gazeta/dias/1820/10/17/pdfs/GGB-1820-111.pdf#page=2","Abrir facsímil")</f>
        <v>Abrir facsímil</v>
      </c>
      <c r="K5522" s="3" t="s">
        <v>23</v>
      </c>
    </row>
    <row r="5523" spans="1:11" ht="42" customHeight="1">
      <c r="A5523" s="2" t="s">
        <v>10980</v>
      </c>
      <c r="B5523" s="2" t="s">
        <v>10980</v>
      </c>
      <c r="C5523" s="2" t="s">
        <v>26</v>
      </c>
      <c r="D5523" s="2" t="s">
        <v>27</v>
      </c>
      <c r="E5523" s="5">
        <v>-29185</v>
      </c>
      <c r="F5523" s="3" t="s">
        <v>772</v>
      </c>
      <c r="G5523" s="3" t="s">
        <v>128</v>
      </c>
      <c r="H5523" s="2" t="s">
        <v>21</v>
      </c>
      <c r="I5523" s="2" t="s">
        <v>10981</v>
      </c>
      <c r="J5523" s="3" t="str">
        <f>HYPERLINK("https://www.boe.es/gazeta/dias/1820/02/03/pdfs/GMD-1820-15.pdf#page=1","Abrir facsímil")</f>
        <v>Abrir facsímil</v>
      </c>
      <c r="K5523" s="3" t="s">
        <v>23</v>
      </c>
    </row>
    <row r="5524" spans="1:11" ht="42" customHeight="1">
      <c r="A5524" s="2" t="s">
        <v>10982</v>
      </c>
      <c r="B5524" s="2" t="s">
        <v>10983</v>
      </c>
      <c r="C5524" s="2" t="s">
        <v>26</v>
      </c>
      <c r="D5524" s="2" t="s">
        <v>27</v>
      </c>
      <c r="E5524" s="5">
        <v>-29080</v>
      </c>
      <c r="F5524" s="3" t="s">
        <v>1031</v>
      </c>
      <c r="G5524" s="3" t="s">
        <v>256</v>
      </c>
      <c r="H5524" s="2" t="s">
        <v>21</v>
      </c>
      <c r="I5524" s="2" t="s">
        <v>10984</v>
      </c>
      <c r="J5524" s="3" t="str">
        <f>HYPERLINK("https://www.boe.es/gazeta/dias/1820/05/18/pdfs/GMD-1820-82.pdf#page=5","Abrir facsímil")</f>
        <v>Abrir facsímil</v>
      </c>
      <c r="K5524" s="3" t="s">
        <v>23</v>
      </c>
    </row>
    <row r="5525" spans="1:11" ht="42" customHeight="1">
      <c r="A5525" s="2" t="s">
        <v>10985</v>
      </c>
      <c r="B5525" s="2" t="s">
        <v>10986</v>
      </c>
      <c r="C5525" s="2" t="s">
        <v>26</v>
      </c>
      <c r="D5525" s="2" t="s">
        <v>27</v>
      </c>
      <c r="E5525" s="5">
        <v>-29194</v>
      </c>
      <c r="F5525" s="3" t="s">
        <v>416</v>
      </c>
      <c r="G5525" s="3" t="s">
        <v>38</v>
      </c>
      <c r="H5525" s="2" t="s">
        <v>21</v>
      </c>
      <c r="I5525" s="2" t="s">
        <v>10987</v>
      </c>
      <c r="J5525" s="3" t="str">
        <f>HYPERLINK("https://www.boe.es/gazeta/dias/1820/01/25/pdfs/GMD-1820-11.pdf#page=6","Abrir facsímil")</f>
        <v>Abrir facsímil</v>
      </c>
      <c r="K5525" s="3" t="s">
        <v>23</v>
      </c>
    </row>
    <row r="5526" spans="1:11" ht="42" customHeight="1">
      <c r="A5526" s="2" t="s">
        <v>10988</v>
      </c>
      <c r="B5526" s="2" t="s">
        <v>10989</v>
      </c>
      <c r="C5526" s="2" t="s">
        <v>26</v>
      </c>
      <c r="D5526" s="2" t="s">
        <v>310</v>
      </c>
      <c r="E5526" s="5">
        <v>-29136</v>
      </c>
      <c r="F5526" s="3" t="s">
        <v>1089</v>
      </c>
      <c r="G5526" s="3" t="s">
        <v>128</v>
      </c>
      <c r="H5526" s="2" t="s">
        <v>21</v>
      </c>
      <c r="I5526" s="2" t="s">
        <v>10990</v>
      </c>
      <c r="J5526" s="3" t="str">
        <f>HYPERLINK("https://www.boe.es/gazeta/dias/1820/03/23/pdfs/GMD-1820-52E.pdf#page=1","Abrir facsímil")</f>
        <v>Abrir facsímil</v>
      </c>
      <c r="K5526" s="3" t="s">
        <v>23</v>
      </c>
    </row>
    <row r="5527" spans="1:11" ht="42" customHeight="1">
      <c r="A5527" s="2" t="s">
        <v>10991</v>
      </c>
      <c r="B5527" s="2" t="s">
        <v>10992</v>
      </c>
      <c r="C5527" s="2" t="s">
        <v>35</v>
      </c>
      <c r="D5527" s="2" t="s">
        <v>36</v>
      </c>
      <c r="E5527" s="5">
        <v>-28973</v>
      </c>
      <c r="F5527" s="3" t="s">
        <v>151</v>
      </c>
      <c r="G5527" s="3" t="s">
        <v>62</v>
      </c>
      <c r="H5527" s="2" t="s">
        <v>21</v>
      </c>
      <c r="I5527" s="2" t="s">
        <v>10993</v>
      </c>
      <c r="J5527" s="3" t="str">
        <f>HYPERLINK("https://www.boe.es/gazeta/dias/1820/09/02/pdfs/GGB-1820-66.pdf#page=3","Abrir facsímil")</f>
        <v>Abrir facsímil</v>
      </c>
      <c r="K5527" s="3" t="s">
        <v>23</v>
      </c>
    </row>
    <row r="5528" spans="1:11" ht="42" customHeight="1">
      <c r="A5528" s="2" t="s">
        <v>10994</v>
      </c>
      <c r="B5528" s="2" t="s">
        <v>10994</v>
      </c>
      <c r="C5528" s="2" t="s">
        <v>47</v>
      </c>
      <c r="D5528" s="2" t="s">
        <v>18</v>
      </c>
      <c r="E5528" s="5">
        <v>-29136</v>
      </c>
      <c r="F5528" s="3" t="s">
        <v>2972</v>
      </c>
      <c r="G5528" s="3" t="s">
        <v>295</v>
      </c>
      <c r="H5528" s="2" t="s">
        <v>21</v>
      </c>
      <c r="I5528" s="2" t="s">
        <v>10995</v>
      </c>
      <c r="J5528" s="3" t="str">
        <f>HYPERLINK("https://www.boe.es/gazeta/dias/1820/03/23/pdfs/GMD-1820-51.pdf#page=8","Abrir facsímil")</f>
        <v>Abrir facsímil</v>
      </c>
      <c r="K5528" s="3" t="s">
        <v>23</v>
      </c>
    </row>
    <row r="5529" spans="1:11" ht="42" customHeight="1">
      <c r="A5529" s="2" t="s">
        <v>10996</v>
      </c>
      <c r="B5529" s="2" t="s">
        <v>10997</v>
      </c>
      <c r="C5529" s="2" t="s">
        <v>35</v>
      </c>
      <c r="D5529" s="2" t="s">
        <v>36</v>
      </c>
      <c r="E5529" s="5">
        <v>-29120</v>
      </c>
      <c r="F5529" s="3" t="s">
        <v>852</v>
      </c>
      <c r="G5529" s="3" t="s">
        <v>201</v>
      </c>
      <c r="H5529" s="2" t="s">
        <v>21</v>
      </c>
      <c r="I5529" s="2" t="s">
        <v>10998</v>
      </c>
      <c r="J5529" s="3" t="str">
        <f>HYPERLINK("https://www.boe.es/gazeta/dias/1820/04/08/pdfs/GMD-1820-63.pdf#page=7","Abrir facsímil")</f>
        <v>Abrir facsímil</v>
      </c>
      <c r="K5529" s="3" t="s">
        <v>23</v>
      </c>
    </row>
    <row r="5530" spans="1:11" ht="42" customHeight="1">
      <c r="A5530" s="2" t="s">
        <v>10999</v>
      </c>
      <c r="B5530" s="2" t="s">
        <v>11000</v>
      </c>
      <c r="C5530" s="2" t="s">
        <v>17</v>
      </c>
      <c r="D5530" s="2" t="s">
        <v>18</v>
      </c>
      <c r="E5530" s="5">
        <v>-28931</v>
      </c>
      <c r="F5530" s="3" t="s">
        <v>724</v>
      </c>
      <c r="G5530" s="3" t="s">
        <v>20</v>
      </c>
      <c r="H5530" s="2" t="s">
        <v>21</v>
      </c>
      <c r="I5530" s="2" t="s">
        <v>11001</v>
      </c>
      <c r="J5530" s="3" t="str">
        <f>HYPERLINK("https://www.boe.es/gazeta/dias/1820/10/14/pdfs/GGB-1820-108.pdf#page=4","Abrir facsímil")</f>
        <v>Abrir facsímil</v>
      </c>
      <c r="K5530" s="3" t="s">
        <v>23</v>
      </c>
    </row>
    <row r="5531" spans="1:11" ht="42" customHeight="1">
      <c r="A5531" s="2" t="s">
        <v>11002</v>
      </c>
      <c r="B5531" s="2" t="s">
        <v>11003</v>
      </c>
      <c r="C5531" s="2" t="s">
        <v>26</v>
      </c>
      <c r="D5531" s="2" t="s">
        <v>27</v>
      </c>
      <c r="E5531" s="5">
        <v>-28976</v>
      </c>
      <c r="F5531" s="3" t="s">
        <v>689</v>
      </c>
      <c r="G5531" s="3" t="s">
        <v>62</v>
      </c>
      <c r="H5531" s="2" t="s">
        <v>30</v>
      </c>
      <c r="I5531" s="2" t="s">
        <v>11004</v>
      </c>
      <c r="J5531" s="3" t="str">
        <f>HYPERLINK("https://www.boe.es/gazeta/dias/1820/08/30/pdfs/GGB-1820-63.pdf#page=3","Abrir facsímil")</f>
        <v>Abrir facsímil</v>
      </c>
      <c r="K5531" s="3" t="s">
        <v>32</v>
      </c>
    </row>
    <row r="5532" spans="1:11" ht="42" customHeight="1">
      <c r="A5532" s="2" t="s">
        <v>11005</v>
      </c>
      <c r="B5532" s="2" t="s">
        <v>11006</v>
      </c>
      <c r="C5532" s="2" t="s">
        <v>293</v>
      </c>
      <c r="D5532" s="2" t="s">
        <v>18</v>
      </c>
      <c r="E5532" s="5">
        <v>-29192</v>
      </c>
      <c r="F5532" s="3" t="s">
        <v>497</v>
      </c>
      <c r="G5532" s="3" t="s">
        <v>498</v>
      </c>
      <c r="H5532" s="2" t="s">
        <v>21</v>
      </c>
      <c r="I5532" s="2" t="s">
        <v>11007</v>
      </c>
      <c r="J5532" s="3" t="str">
        <f>HYPERLINK("https://www.boe.es/gazeta/dias/1820/01/27/pdfs/GMD-1820-12.pdf#page=7","Abrir facsímil")</f>
        <v>Abrir facsímil</v>
      </c>
      <c r="K5532" s="3" t="s">
        <v>23</v>
      </c>
    </row>
    <row r="5533" spans="1:11" ht="42" customHeight="1">
      <c r="A5533" s="2" t="s">
        <v>11008</v>
      </c>
      <c r="B5533" s="2" t="s">
        <v>11008</v>
      </c>
      <c r="C5533" s="2" t="s">
        <v>26</v>
      </c>
      <c r="D5533" s="2" t="s">
        <v>27</v>
      </c>
      <c r="E5533" s="5">
        <v>-29101</v>
      </c>
      <c r="F5533" s="3" t="s">
        <v>999</v>
      </c>
      <c r="G5533" s="3" t="s">
        <v>43</v>
      </c>
      <c r="H5533" s="2" t="s">
        <v>21</v>
      </c>
      <c r="I5533" s="2" t="s">
        <v>11009</v>
      </c>
      <c r="J5533" s="3" t="str">
        <f>HYPERLINK("https://www.boe.es/gazeta/dias/1820/04/27/pdfs/GMD-1820-72.pdf#page=2","Abrir facsímil")</f>
        <v>Abrir facsímil</v>
      </c>
      <c r="K5533" s="3" t="s">
        <v>23</v>
      </c>
    </row>
    <row r="5534" spans="1:11" ht="42" customHeight="1">
      <c r="A5534" s="2" t="s">
        <v>11010</v>
      </c>
      <c r="B5534" s="2" t="s">
        <v>11010</v>
      </c>
      <c r="C5534" s="2" t="s">
        <v>26</v>
      </c>
      <c r="D5534" s="2" t="s">
        <v>27</v>
      </c>
      <c r="E5534" s="5">
        <v>-28900</v>
      </c>
      <c r="F5534" s="3" t="s">
        <v>878</v>
      </c>
      <c r="G5534" s="3" t="s">
        <v>20</v>
      </c>
      <c r="H5534" s="2" t="s">
        <v>21</v>
      </c>
      <c r="I5534" s="2" t="s">
        <v>11011</v>
      </c>
      <c r="J5534" s="3" t="str">
        <f>HYPERLINK("https://www.boe.es/gazeta/dias/1820/11/14/pdfs/GGB-1820-140.pdf#page=4","Abrir facsímil")</f>
        <v>Abrir facsímil</v>
      </c>
      <c r="K5534" s="3" t="s">
        <v>23</v>
      </c>
    </row>
    <row r="5535" spans="1:11" ht="42" customHeight="1">
      <c r="A5535" s="2" t="s">
        <v>11012</v>
      </c>
      <c r="B5535" s="2" t="s">
        <v>11013</v>
      </c>
      <c r="C5535" s="2" t="s">
        <v>74</v>
      </c>
      <c r="D5535" s="2" t="s">
        <v>18</v>
      </c>
      <c r="E5535" s="5">
        <v>-29004</v>
      </c>
      <c r="F5535" s="3" t="s">
        <v>75</v>
      </c>
      <c r="G5535" s="3" t="s">
        <v>76</v>
      </c>
      <c r="H5535" s="2" t="s">
        <v>21</v>
      </c>
      <c r="I5535" s="2" t="s">
        <v>11014</v>
      </c>
      <c r="J5535" s="3" t="str">
        <f>HYPERLINK("https://www.boe.es/gazeta/dias/1820/08/02/pdfs/GGB-1820-35.pdf#page=2","Abrir facsímil")</f>
        <v>Abrir facsímil</v>
      </c>
      <c r="K5535" s="3" t="s">
        <v>23</v>
      </c>
    </row>
    <row r="5536" spans="1:11" ht="42" customHeight="1">
      <c r="A5536" s="2" t="s">
        <v>11015</v>
      </c>
      <c r="B5536" s="2" t="s">
        <v>11015</v>
      </c>
      <c r="C5536" s="2" t="s">
        <v>26</v>
      </c>
      <c r="D5536" s="2" t="s">
        <v>27</v>
      </c>
      <c r="E5536" s="5">
        <v>-28891</v>
      </c>
      <c r="F5536" s="3" t="s">
        <v>965</v>
      </c>
      <c r="G5536" s="3" t="s">
        <v>128</v>
      </c>
      <c r="H5536" s="2" t="s">
        <v>21</v>
      </c>
      <c r="I5536" s="2" t="s">
        <v>11016</v>
      </c>
      <c r="J5536" s="3" t="str">
        <f>HYPERLINK("https://www.boe.es/gazeta/dias/1820/11/23/pdfs/GGB-1820-150.pdf#page=1","Abrir facsímil")</f>
        <v>Abrir facsímil</v>
      </c>
      <c r="K5536" s="3" t="s">
        <v>23</v>
      </c>
    </row>
    <row r="5537" spans="1:11" ht="42" customHeight="1">
      <c r="A5537" s="2" t="s">
        <v>11015</v>
      </c>
      <c r="B5537" s="2" t="s">
        <v>11015</v>
      </c>
      <c r="C5537" s="2" t="s">
        <v>17</v>
      </c>
      <c r="D5537" s="2" t="s">
        <v>18</v>
      </c>
      <c r="E5537" s="5">
        <v>-28891</v>
      </c>
      <c r="F5537" s="3" t="s">
        <v>965</v>
      </c>
      <c r="G5537" s="3" t="s">
        <v>43</v>
      </c>
      <c r="H5537" s="2" t="s">
        <v>21</v>
      </c>
      <c r="I5537" s="2" t="s">
        <v>11017</v>
      </c>
      <c r="J5537" s="3" t="str">
        <f>HYPERLINK("https://www.boe.es/gazeta/dias/1820/11/23/pdfs/GGB-1820-150.pdf#page=2","Abrir facsímil")</f>
        <v>Abrir facsímil</v>
      </c>
      <c r="K5537" s="3" t="s">
        <v>23</v>
      </c>
    </row>
    <row r="5538" spans="1:11" ht="42" customHeight="1">
      <c r="A5538" s="2" t="s">
        <v>11015</v>
      </c>
      <c r="B5538" s="2" t="s">
        <v>11015</v>
      </c>
      <c r="C5538" s="2" t="s">
        <v>26</v>
      </c>
      <c r="D5538" s="2" t="s">
        <v>27</v>
      </c>
      <c r="E5538" s="5">
        <v>-28882</v>
      </c>
      <c r="F5538" s="3" t="s">
        <v>1245</v>
      </c>
      <c r="G5538" s="3" t="s">
        <v>128</v>
      </c>
      <c r="H5538" s="2" t="s">
        <v>21</v>
      </c>
      <c r="I5538" s="2" t="s">
        <v>11018</v>
      </c>
      <c r="J5538" s="3" t="str">
        <f>HYPERLINK("https://www.boe.es/gazeta/dias/1820/12/02/pdfs/GGB-1820-159.pdf#page=1","Abrir facsímil")</f>
        <v>Abrir facsímil</v>
      </c>
      <c r="K5538" s="3" t="s">
        <v>23</v>
      </c>
    </row>
    <row r="5539" spans="1:11" ht="42" customHeight="1">
      <c r="A5539" s="2" t="s">
        <v>11015</v>
      </c>
      <c r="B5539" s="2" t="s">
        <v>11015</v>
      </c>
      <c r="C5539" s="2" t="s">
        <v>26</v>
      </c>
      <c r="D5539" s="2" t="s">
        <v>27</v>
      </c>
      <c r="E5539" s="5">
        <v>-28874</v>
      </c>
      <c r="F5539" s="3" t="s">
        <v>103</v>
      </c>
      <c r="G5539" s="3" t="s">
        <v>1822</v>
      </c>
      <c r="H5539" s="2" t="s">
        <v>21</v>
      </c>
      <c r="I5539" s="2" t="s">
        <v>11019</v>
      </c>
      <c r="J5539" s="3" t="str">
        <f>HYPERLINK("https://www.boe.es/gazeta/dias/1820/12/10/pdfs/GGB-1820-167.pdf#page=1","Abrir facsímil")</f>
        <v>Abrir facsímil</v>
      </c>
      <c r="K5539" s="3" t="s">
        <v>23</v>
      </c>
    </row>
    <row r="5540" spans="1:11" ht="42" customHeight="1">
      <c r="A5540" s="2" t="s">
        <v>11020</v>
      </c>
      <c r="B5540" s="2" t="s">
        <v>11020</v>
      </c>
      <c r="C5540" s="2" t="s">
        <v>35</v>
      </c>
      <c r="D5540" s="2" t="s">
        <v>36</v>
      </c>
      <c r="E5540" s="5">
        <v>-28882</v>
      </c>
      <c r="F5540" s="3" t="s">
        <v>1245</v>
      </c>
      <c r="G5540" s="3" t="s">
        <v>128</v>
      </c>
      <c r="H5540" s="2" t="s">
        <v>21</v>
      </c>
      <c r="I5540" s="2" t="s">
        <v>11021</v>
      </c>
      <c r="J5540" s="3" t="str">
        <f>HYPERLINK("https://www.boe.es/gazeta/dias/1820/12/02/pdfs/GGB-1820-159.pdf#page=1","Abrir facsímil")</f>
        <v>Abrir facsímil</v>
      </c>
      <c r="K5540" s="3" t="s">
        <v>23</v>
      </c>
    </row>
    <row r="5541" spans="1:11" ht="42" customHeight="1">
      <c r="A5541" s="2" t="s">
        <v>11022</v>
      </c>
      <c r="B5541" s="2" t="s">
        <v>11022</v>
      </c>
      <c r="C5541" s="2" t="s">
        <v>26</v>
      </c>
      <c r="D5541" s="2" t="s">
        <v>27</v>
      </c>
      <c r="E5541" s="5">
        <v>-29199</v>
      </c>
      <c r="F5541" s="3" t="s">
        <v>1178</v>
      </c>
      <c r="G5541" s="3" t="s">
        <v>62</v>
      </c>
      <c r="H5541" s="2" t="s">
        <v>21</v>
      </c>
      <c r="I5541" s="2" t="s">
        <v>11023</v>
      </c>
      <c r="J5541" s="3" t="str">
        <f>HYPERLINK("https://www.boe.es/gazeta/dias/1820/01/20/pdfs/GMD-1820-9.pdf#page=3","Abrir facsímil")</f>
        <v>Abrir facsímil</v>
      </c>
      <c r="K5541" s="3" t="s">
        <v>23</v>
      </c>
    </row>
    <row r="5542" spans="1:11" ht="42" customHeight="1">
      <c r="A5542" s="2" t="s">
        <v>11024</v>
      </c>
      <c r="B5542" s="2" t="s">
        <v>11025</v>
      </c>
      <c r="C5542" s="2" t="s">
        <v>26</v>
      </c>
      <c r="D5542" s="2" t="s">
        <v>310</v>
      </c>
      <c r="E5542" s="5">
        <v>-29102</v>
      </c>
      <c r="F5542" s="3" t="s">
        <v>899</v>
      </c>
      <c r="G5542" s="3" t="s">
        <v>201</v>
      </c>
      <c r="H5542" s="2" t="s">
        <v>21</v>
      </c>
      <c r="I5542" s="2" t="s">
        <v>11026</v>
      </c>
      <c r="J5542" s="3" t="str">
        <f>HYPERLINK("https://www.boe.es/gazeta/dias/1820/04/26/pdfs/GMD-1820-71E.pdf#page=7","Abrir facsímil")</f>
        <v>Abrir facsímil</v>
      </c>
      <c r="K5542" s="3" t="s">
        <v>23</v>
      </c>
    </row>
    <row r="5543" spans="1:11" ht="42" customHeight="1">
      <c r="A5543" s="2" t="s">
        <v>11027</v>
      </c>
      <c r="B5543" s="2" t="s">
        <v>11027</v>
      </c>
      <c r="C5543" s="2" t="s">
        <v>111</v>
      </c>
      <c r="D5543" s="2" t="s">
        <v>18</v>
      </c>
      <c r="E5543" s="5">
        <v>-29034</v>
      </c>
      <c r="F5543" s="3" t="s">
        <v>460</v>
      </c>
      <c r="G5543" s="3" t="s">
        <v>461</v>
      </c>
      <c r="H5543" s="2" t="s">
        <v>21</v>
      </c>
      <c r="I5543" s="2" t="s">
        <v>11028</v>
      </c>
      <c r="J5543" s="3" t="str">
        <f>HYPERLINK("https://www.boe.es/gazeta/dias/1820/07/03/pdfs/GGB-1820-3.pdf#page=4","Abrir facsímil")</f>
        <v>Abrir facsímil</v>
      </c>
      <c r="K5543" s="3" t="s">
        <v>23</v>
      </c>
    </row>
    <row r="5544" spans="1:11" ht="42" customHeight="1">
      <c r="A5544" s="2" t="s">
        <v>11029</v>
      </c>
      <c r="B5544" s="2" t="s">
        <v>11030</v>
      </c>
      <c r="C5544" s="2" t="s">
        <v>35</v>
      </c>
      <c r="D5544" s="2" t="s">
        <v>36</v>
      </c>
      <c r="E5544" s="5">
        <v>-28990</v>
      </c>
      <c r="F5544" s="3" t="s">
        <v>61</v>
      </c>
      <c r="G5544" s="3" t="s">
        <v>62</v>
      </c>
      <c r="H5544" s="2" t="s">
        <v>30</v>
      </c>
      <c r="I5544" s="2" t="s">
        <v>11031</v>
      </c>
      <c r="J5544" s="3" t="str">
        <f>HYPERLINK("https://www.boe.es/gazeta/dias/1820/08/16/pdfs/GGB-1820-49.pdf#page=3","Abrir facsímil")</f>
        <v>Abrir facsímil</v>
      </c>
      <c r="K5544" s="3" t="s">
        <v>32</v>
      </c>
    </row>
    <row r="5545" spans="1:11" ht="42" customHeight="1">
      <c r="A5545" s="2" t="s">
        <v>11032</v>
      </c>
      <c r="B5545" s="2" t="s">
        <v>11032</v>
      </c>
      <c r="C5545" s="2" t="s">
        <v>17</v>
      </c>
      <c r="D5545" s="2" t="s">
        <v>18</v>
      </c>
      <c r="E5545" s="5">
        <v>-29178</v>
      </c>
      <c r="F5545" s="3" t="s">
        <v>782</v>
      </c>
      <c r="G5545" s="3" t="s">
        <v>201</v>
      </c>
      <c r="H5545" s="2" t="s">
        <v>21</v>
      </c>
      <c r="I5545" s="2" t="s">
        <v>11033</v>
      </c>
      <c r="J5545" s="3" t="str">
        <f>HYPERLINK("https://www.boe.es/gazeta/dias/1820/02/10/pdfs/GMD-1820-18.pdf#page=7","Abrir facsímil")</f>
        <v>Abrir facsímil</v>
      </c>
      <c r="K5545" s="3" t="s">
        <v>23</v>
      </c>
    </row>
    <row r="5546" spans="1:11" ht="42" customHeight="1">
      <c r="A5546" s="2" t="s">
        <v>11034</v>
      </c>
      <c r="B5546" s="2" t="s">
        <v>11035</v>
      </c>
      <c r="C5546" s="2" t="s">
        <v>26</v>
      </c>
      <c r="D5546" s="2" t="s">
        <v>27</v>
      </c>
      <c r="E5546" s="5">
        <v>-29192</v>
      </c>
      <c r="F5546" s="3" t="s">
        <v>497</v>
      </c>
      <c r="G5546" s="3" t="s">
        <v>498</v>
      </c>
      <c r="H5546" s="2" t="s">
        <v>21</v>
      </c>
      <c r="I5546" s="2" t="s">
        <v>11036</v>
      </c>
      <c r="J5546" s="3" t="str">
        <f>HYPERLINK("https://www.boe.es/gazeta/dias/1820/01/27/pdfs/GMD-1820-12.pdf#page=7","Abrir facsímil")</f>
        <v>Abrir facsímil</v>
      </c>
      <c r="K5546" s="3" t="s">
        <v>23</v>
      </c>
    </row>
    <row r="5547" spans="1:11" ht="42" customHeight="1">
      <c r="A5547" s="2" t="s">
        <v>11037</v>
      </c>
      <c r="B5547" s="2" t="s">
        <v>11038</v>
      </c>
      <c r="C5547" s="2" t="s">
        <v>35</v>
      </c>
      <c r="D5547" s="2" t="s">
        <v>36</v>
      </c>
      <c r="E5547" s="5">
        <v>-29026</v>
      </c>
      <c r="F5547" s="3" t="s">
        <v>1197</v>
      </c>
      <c r="G5547" s="3" t="s">
        <v>62</v>
      </c>
      <c r="H5547" s="2" t="s">
        <v>21</v>
      </c>
      <c r="I5547" s="2" t="s">
        <v>11039</v>
      </c>
      <c r="J5547" s="3" t="str">
        <f>HYPERLINK("https://www.boe.es/gazeta/dias/1820/07/11/pdfs/GGB-1820-13.pdf#page=3","Abrir facsímil")</f>
        <v>Abrir facsímil</v>
      </c>
      <c r="K5547" s="3" t="s">
        <v>23</v>
      </c>
    </row>
    <row r="5548" spans="1:11" ht="42" customHeight="1">
      <c r="A5548" s="2" t="s">
        <v>11037</v>
      </c>
      <c r="B5548" s="2" t="s">
        <v>11038</v>
      </c>
      <c r="C5548" s="2" t="s">
        <v>74</v>
      </c>
      <c r="D5548" s="2" t="s">
        <v>18</v>
      </c>
      <c r="E5548" s="5">
        <v>-29025</v>
      </c>
      <c r="F5548" s="3" t="s">
        <v>902</v>
      </c>
      <c r="G5548" s="3" t="s">
        <v>62</v>
      </c>
      <c r="H5548" s="2" t="s">
        <v>21</v>
      </c>
      <c r="I5548" s="2" t="s">
        <v>11040</v>
      </c>
      <c r="J5548" s="3" t="str">
        <f>HYPERLINK("https://www.boe.es/gazeta/dias/1820/07/12/pdfs/GGB-1820-14.pdf#page=3","Abrir facsímil")</f>
        <v>Abrir facsímil</v>
      </c>
      <c r="K5548" s="3" t="s">
        <v>23</v>
      </c>
    </row>
    <row r="5549" spans="1:11" ht="42" customHeight="1">
      <c r="A5549" s="2" t="s">
        <v>11037</v>
      </c>
      <c r="B5549" s="2" t="s">
        <v>11038</v>
      </c>
      <c r="C5549" s="2" t="s">
        <v>35</v>
      </c>
      <c r="D5549" s="2" t="s">
        <v>36</v>
      </c>
      <c r="E5549" s="5">
        <v>-29020</v>
      </c>
      <c r="F5549" s="3" t="s">
        <v>756</v>
      </c>
      <c r="G5549" s="3" t="s">
        <v>43</v>
      </c>
      <c r="H5549" s="2" t="s">
        <v>21</v>
      </c>
      <c r="I5549" s="2" t="s">
        <v>11041</v>
      </c>
      <c r="J5549" s="3" t="str">
        <f>HYPERLINK("https://www.boe.es/gazeta/dias/1820/07/17/pdfs/GGB-1820-19.pdf#page=2","Abrir facsímil")</f>
        <v>Abrir facsímil</v>
      </c>
      <c r="K5549" s="3" t="s">
        <v>23</v>
      </c>
    </row>
    <row r="5550" spans="1:11" ht="42" customHeight="1">
      <c r="A5550" s="2" t="s">
        <v>11037</v>
      </c>
      <c r="B5550" s="2" t="s">
        <v>11038</v>
      </c>
      <c r="C5550" s="2" t="s">
        <v>35</v>
      </c>
      <c r="D5550" s="2" t="s">
        <v>36</v>
      </c>
      <c r="E5550" s="5">
        <v>-29020</v>
      </c>
      <c r="F5550" s="3" t="s">
        <v>756</v>
      </c>
      <c r="G5550" s="3" t="s">
        <v>62</v>
      </c>
      <c r="H5550" s="2" t="s">
        <v>21</v>
      </c>
      <c r="I5550" s="2" t="s">
        <v>11042</v>
      </c>
      <c r="J5550" s="3" t="str">
        <f>HYPERLINK("https://www.boe.es/gazeta/dias/1820/07/17/pdfs/GGB-1820-19.pdf#page=3","Abrir facsímil")</f>
        <v>Abrir facsímil</v>
      </c>
      <c r="K5550" s="3" t="s">
        <v>23</v>
      </c>
    </row>
    <row r="5551" spans="1:11" ht="42" customHeight="1">
      <c r="A5551" s="2" t="s">
        <v>11037</v>
      </c>
      <c r="B5551" s="2" t="s">
        <v>11038</v>
      </c>
      <c r="C5551" s="2" t="s">
        <v>35</v>
      </c>
      <c r="D5551" s="2" t="s">
        <v>36</v>
      </c>
      <c r="E5551" s="5">
        <v>-29015</v>
      </c>
      <c r="F5551" s="3" t="s">
        <v>359</v>
      </c>
      <c r="G5551" s="3" t="s">
        <v>43</v>
      </c>
      <c r="H5551" s="2" t="s">
        <v>21</v>
      </c>
      <c r="I5551" s="2" t="s">
        <v>11043</v>
      </c>
      <c r="J5551" s="3" t="str">
        <f>HYPERLINK("https://www.boe.es/gazeta/dias/1820/07/22/pdfs/GGB-1820-24.pdf#page=2","Abrir facsímil")</f>
        <v>Abrir facsímil</v>
      </c>
      <c r="K5551" s="3" t="s">
        <v>23</v>
      </c>
    </row>
    <row r="5552" spans="1:11" ht="42" customHeight="1">
      <c r="A5552" s="2" t="s">
        <v>11037</v>
      </c>
      <c r="B5552" s="2" t="s">
        <v>11038</v>
      </c>
      <c r="C5552" s="2" t="s">
        <v>74</v>
      </c>
      <c r="D5552" s="2" t="s">
        <v>18</v>
      </c>
      <c r="E5552" s="5">
        <v>-29010</v>
      </c>
      <c r="F5552" s="3" t="s">
        <v>664</v>
      </c>
      <c r="G5552" s="3" t="s">
        <v>773</v>
      </c>
      <c r="H5552" s="2" t="s">
        <v>21</v>
      </c>
      <c r="I5552" s="2" t="s">
        <v>11044</v>
      </c>
      <c r="J5552" s="3" t="str">
        <f>HYPERLINK("https://www.boe.es/gazeta/dias/1820/07/27/pdfs/GGB-1820-29.pdf#page=4","Abrir facsímil")</f>
        <v>Abrir facsímil</v>
      </c>
      <c r="K5552" s="3" t="s">
        <v>23</v>
      </c>
    </row>
    <row r="5553" spans="1:11" ht="42" customHeight="1">
      <c r="A5553" s="2" t="s">
        <v>11037</v>
      </c>
      <c r="B5553" s="2" t="s">
        <v>11038</v>
      </c>
      <c r="C5553" s="2" t="s">
        <v>107</v>
      </c>
      <c r="D5553" s="2" t="s">
        <v>18</v>
      </c>
      <c r="E5553" s="5">
        <v>-29007</v>
      </c>
      <c r="F5553" s="3" t="s">
        <v>251</v>
      </c>
      <c r="G5553" s="3" t="s">
        <v>20</v>
      </c>
      <c r="H5553" s="2" t="s">
        <v>21</v>
      </c>
      <c r="I5553" s="2" t="s">
        <v>11045</v>
      </c>
      <c r="J5553" s="3" t="str">
        <f>HYPERLINK("https://www.boe.es/gazeta/dias/1820/07/30/pdfs/GGB-1820-32.pdf#page=4","Abrir facsímil")</f>
        <v>Abrir facsímil</v>
      </c>
      <c r="K5553" s="3" t="s">
        <v>23</v>
      </c>
    </row>
    <row r="5554" spans="1:11" ht="42" customHeight="1">
      <c r="A5554" s="2" t="s">
        <v>11037</v>
      </c>
      <c r="B5554" s="2" t="s">
        <v>11038</v>
      </c>
      <c r="C5554" s="2" t="s">
        <v>17</v>
      </c>
      <c r="D5554" s="2" t="s">
        <v>18</v>
      </c>
      <c r="E5554" s="5">
        <v>-29006</v>
      </c>
      <c r="F5554" s="3" t="s">
        <v>609</v>
      </c>
      <c r="G5554" s="3" t="s">
        <v>43</v>
      </c>
      <c r="H5554" s="2" t="s">
        <v>21</v>
      </c>
      <c r="I5554" s="2" t="s">
        <v>11046</v>
      </c>
      <c r="J5554" s="3" t="str">
        <f>HYPERLINK("https://www.boe.es/gazeta/dias/1820/07/31/pdfs/GGB-1820-33.pdf#page=2","Abrir facsímil")</f>
        <v>Abrir facsímil</v>
      </c>
      <c r="K5554" s="3" t="s">
        <v>23</v>
      </c>
    </row>
    <row r="5555" spans="1:11" ht="42" customHeight="1">
      <c r="A5555" s="2" t="s">
        <v>11037</v>
      </c>
      <c r="B5555" s="2" t="s">
        <v>11038</v>
      </c>
      <c r="C5555" s="2" t="s">
        <v>26</v>
      </c>
      <c r="D5555" s="2" t="s">
        <v>27</v>
      </c>
      <c r="E5555" s="5">
        <v>-29006</v>
      </c>
      <c r="F5555" s="3" t="s">
        <v>609</v>
      </c>
      <c r="G5555" s="3" t="s">
        <v>62</v>
      </c>
      <c r="H5555" s="2" t="s">
        <v>21</v>
      </c>
      <c r="I5555" s="2" t="s">
        <v>11047</v>
      </c>
      <c r="J5555" s="3" t="str">
        <f>HYPERLINK("https://www.boe.es/gazeta/dias/1820/07/31/pdfs/GGB-1820-33.pdf#page=3","Abrir facsímil")</f>
        <v>Abrir facsímil</v>
      </c>
      <c r="K5555" s="3" t="s">
        <v>23</v>
      </c>
    </row>
    <row r="5556" spans="1:11" ht="42" customHeight="1">
      <c r="A5556" s="2" t="s">
        <v>11037</v>
      </c>
      <c r="B5556" s="2" t="s">
        <v>11038</v>
      </c>
      <c r="C5556" s="2" t="s">
        <v>47</v>
      </c>
      <c r="D5556" s="2" t="s">
        <v>18</v>
      </c>
      <c r="E5556" s="5">
        <v>-29001</v>
      </c>
      <c r="F5556" s="3" t="s">
        <v>633</v>
      </c>
      <c r="G5556" s="3" t="s">
        <v>43</v>
      </c>
      <c r="H5556" s="2" t="s">
        <v>21</v>
      </c>
      <c r="I5556" s="2" t="s">
        <v>11048</v>
      </c>
      <c r="J5556" s="3" t="str">
        <f>HYPERLINK("https://www.boe.es/gazeta/dias/1820/08/05/pdfs/GGB-1820-38.pdf#page=2","Abrir facsímil")</f>
        <v>Abrir facsímil</v>
      </c>
      <c r="K5556" s="3" t="s">
        <v>23</v>
      </c>
    </row>
    <row r="5557" spans="1:11" ht="42" customHeight="1">
      <c r="A5557" s="2" t="s">
        <v>11037</v>
      </c>
      <c r="B5557" s="2" t="s">
        <v>11038</v>
      </c>
      <c r="C5557" s="2" t="s">
        <v>293</v>
      </c>
      <c r="D5557" s="2" t="s">
        <v>18</v>
      </c>
      <c r="E5557" s="5">
        <v>-28994</v>
      </c>
      <c r="F5557" s="3" t="s">
        <v>1612</v>
      </c>
      <c r="G5557" s="3" t="s">
        <v>43</v>
      </c>
      <c r="H5557" s="2" t="s">
        <v>21</v>
      </c>
      <c r="I5557" s="2" t="s">
        <v>11049</v>
      </c>
      <c r="J5557" s="3" t="str">
        <f>HYPERLINK("https://www.boe.es/gazeta/dias/1820/08/12/pdfs/GGB-1820-45.pdf#page=2","Abrir facsímil")</f>
        <v>Abrir facsímil</v>
      </c>
      <c r="K5557" s="3" t="s">
        <v>23</v>
      </c>
    </row>
    <row r="5558" spans="1:11" ht="42" customHeight="1">
      <c r="A5558" s="2" t="s">
        <v>11037</v>
      </c>
      <c r="B5558" s="2" t="s">
        <v>11038</v>
      </c>
      <c r="C5558" s="2" t="s">
        <v>17</v>
      </c>
      <c r="D5558" s="2" t="s">
        <v>18</v>
      </c>
      <c r="E5558" s="5">
        <v>-28992</v>
      </c>
      <c r="F5558" s="3" t="s">
        <v>587</v>
      </c>
      <c r="G5558" s="3" t="s">
        <v>43</v>
      </c>
      <c r="H5558" s="2" t="s">
        <v>21</v>
      </c>
      <c r="I5558" s="2" t="s">
        <v>11050</v>
      </c>
      <c r="J5558" s="3" t="str">
        <f>HYPERLINK("https://www.boe.es/gazeta/dias/1820/08/14/pdfs/GGB-1820-47.pdf#page=2","Abrir facsímil")</f>
        <v>Abrir facsímil</v>
      </c>
      <c r="K5558" s="3" t="s">
        <v>23</v>
      </c>
    </row>
    <row r="5559" spans="1:11" ht="42" customHeight="1">
      <c r="A5559" s="2" t="s">
        <v>11037</v>
      </c>
      <c r="B5559" s="2" t="s">
        <v>11038</v>
      </c>
      <c r="C5559" s="2" t="s">
        <v>35</v>
      </c>
      <c r="D5559" s="2" t="s">
        <v>36</v>
      </c>
      <c r="E5559" s="5">
        <v>-28989</v>
      </c>
      <c r="F5559" s="3" t="s">
        <v>809</v>
      </c>
      <c r="G5559" s="3" t="s">
        <v>62</v>
      </c>
      <c r="H5559" s="2" t="s">
        <v>21</v>
      </c>
      <c r="I5559" s="2" t="s">
        <v>11051</v>
      </c>
      <c r="J5559" s="3" t="str">
        <f>HYPERLINK("https://www.boe.es/gazeta/dias/1820/08/17/pdfs/GGB-1820-50.pdf#page=3","Abrir facsímil")</f>
        <v>Abrir facsímil</v>
      </c>
      <c r="K5559" s="3" t="s">
        <v>23</v>
      </c>
    </row>
    <row r="5560" spans="1:11" ht="42" customHeight="1">
      <c r="A5560" s="2" t="s">
        <v>11037</v>
      </c>
      <c r="B5560" s="2" t="s">
        <v>11038</v>
      </c>
      <c r="C5560" s="2" t="s">
        <v>35</v>
      </c>
      <c r="D5560" s="2" t="s">
        <v>36</v>
      </c>
      <c r="E5560" s="5">
        <v>-28987</v>
      </c>
      <c r="F5560" s="3" t="s">
        <v>680</v>
      </c>
      <c r="G5560" s="3" t="s">
        <v>1300</v>
      </c>
      <c r="H5560" s="2" t="s">
        <v>21</v>
      </c>
      <c r="I5560" s="2" t="s">
        <v>11052</v>
      </c>
      <c r="J5560" s="3" t="str">
        <f>HYPERLINK("https://www.boe.es/gazeta/dias/1820/08/19/pdfs/GGB-1820-52.pdf#page=2","Abrir facsímil")</f>
        <v>Abrir facsímil</v>
      </c>
      <c r="K5560" s="3" t="s">
        <v>23</v>
      </c>
    </row>
    <row r="5561" spans="1:11" ht="42" customHeight="1">
      <c r="A5561" s="2" t="s">
        <v>11037</v>
      </c>
      <c r="B5561" s="2" t="s">
        <v>11038</v>
      </c>
      <c r="C5561" s="2" t="s">
        <v>26</v>
      </c>
      <c r="D5561" s="2" t="s">
        <v>27</v>
      </c>
      <c r="E5561" s="5">
        <v>-28986</v>
      </c>
      <c r="F5561" s="3" t="s">
        <v>488</v>
      </c>
      <c r="G5561" s="3" t="s">
        <v>62</v>
      </c>
      <c r="H5561" s="2" t="s">
        <v>21</v>
      </c>
      <c r="I5561" s="2" t="s">
        <v>11053</v>
      </c>
      <c r="J5561" s="3" t="str">
        <f>HYPERLINK("https://www.boe.es/gazeta/dias/1820/08/20/pdfs/GGB-1820-53.pdf#page=3","Abrir facsímil")</f>
        <v>Abrir facsímil</v>
      </c>
      <c r="K5561" s="3" t="s">
        <v>23</v>
      </c>
    </row>
    <row r="5562" spans="1:11" ht="42" customHeight="1">
      <c r="A5562" s="2" t="s">
        <v>11037</v>
      </c>
      <c r="B5562" s="2" t="s">
        <v>11038</v>
      </c>
      <c r="C5562" s="2" t="s">
        <v>17</v>
      </c>
      <c r="D5562" s="2" t="s">
        <v>18</v>
      </c>
      <c r="E5562" s="5">
        <v>-28983</v>
      </c>
      <c r="F5562" s="3" t="s">
        <v>682</v>
      </c>
      <c r="G5562" s="3" t="s">
        <v>20</v>
      </c>
      <c r="H5562" s="2" t="s">
        <v>21</v>
      </c>
      <c r="I5562" s="2" t="s">
        <v>11054</v>
      </c>
      <c r="J5562" s="3" t="str">
        <f>HYPERLINK("https://www.boe.es/gazeta/dias/1820/08/23/pdfs/GGB-1820-56.pdf#page=4","Abrir facsímil")</f>
        <v>Abrir facsímil</v>
      </c>
      <c r="K5562" s="3" t="s">
        <v>23</v>
      </c>
    </row>
    <row r="5563" spans="1:11" ht="42" customHeight="1">
      <c r="A5563" s="2" t="s">
        <v>11037</v>
      </c>
      <c r="B5563" s="2" t="s">
        <v>11038</v>
      </c>
      <c r="C5563" s="2" t="s">
        <v>26</v>
      </c>
      <c r="D5563" s="2" t="s">
        <v>27</v>
      </c>
      <c r="E5563" s="5">
        <v>-28982</v>
      </c>
      <c r="F5563" s="3" t="s">
        <v>173</v>
      </c>
      <c r="G5563" s="3" t="s">
        <v>62</v>
      </c>
      <c r="H5563" s="2" t="s">
        <v>21</v>
      </c>
      <c r="I5563" s="2" t="s">
        <v>11055</v>
      </c>
      <c r="J5563" s="3" t="str">
        <f>HYPERLINK("https://www.boe.es/gazeta/dias/1820/08/24/pdfs/GGB-1820-57.pdf#page=3","Abrir facsímil")</f>
        <v>Abrir facsímil</v>
      </c>
      <c r="K5563" s="3" t="s">
        <v>23</v>
      </c>
    </row>
    <row r="5564" spans="1:11" ht="42" customHeight="1">
      <c r="A5564" s="2" t="s">
        <v>11037</v>
      </c>
      <c r="B5564" s="2" t="s">
        <v>11038</v>
      </c>
      <c r="C5564" s="2" t="s">
        <v>26</v>
      </c>
      <c r="D5564" s="2" t="s">
        <v>27</v>
      </c>
      <c r="E5564" s="5">
        <v>-28978</v>
      </c>
      <c r="F5564" s="3" t="s">
        <v>203</v>
      </c>
      <c r="G5564" s="3" t="s">
        <v>43</v>
      </c>
      <c r="H5564" s="2" t="s">
        <v>21</v>
      </c>
      <c r="I5564" s="2" t="s">
        <v>11056</v>
      </c>
      <c r="J5564" s="3" t="str">
        <f>HYPERLINK("https://www.boe.es/gazeta/dias/1820/08/28/pdfs/GGB-1820-61.pdf#page=2","Abrir facsímil")</f>
        <v>Abrir facsímil</v>
      </c>
      <c r="K5564" s="3" t="s">
        <v>23</v>
      </c>
    </row>
    <row r="5565" spans="1:11" ht="42" customHeight="1">
      <c r="A5565" s="2" t="s">
        <v>11037</v>
      </c>
      <c r="B5565" s="2" t="s">
        <v>11038</v>
      </c>
      <c r="C5565" s="2" t="s">
        <v>35</v>
      </c>
      <c r="D5565" s="2" t="s">
        <v>36</v>
      </c>
      <c r="E5565" s="5">
        <v>-28975</v>
      </c>
      <c r="F5565" s="3" t="s">
        <v>182</v>
      </c>
      <c r="G5565" s="3" t="s">
        <v>62</v>
      </c>
      <c r="H5565" s="2" t="s">
        <v>21</v>
      </c>
      <c r="I5565" s="2" t="s">
        <v>11057</v>
      </c>
      <c r="J5565" s="3" t="str">
        <f>HYPERLINK("https://www.boe.es/gazeta/dias/1820/08/31/pdfs/GGB-1820-64.pdf#page=3","Abrir facsímil")</f>
        <v>Abrir facsímil</v>
      </c>
      <c r="K5565" s="3" t="s">
        <v>23</v>
      </c>
    </row>
    <row r="5566" spans="1:11" ht="42" customHeight="1">
      <c r="A5566" s="2" t="s">
        <v>11037</v>
      </c>
      <c r="B5566" s="2" t="s">
        <v>11038</v>
      </c>
      <c r="C5566" s="2" t="s">
        <v>293</v>
      </c>
      <c r="D5566" s="2" t="s">
        <v>18</v>
      </c>
      <c r="E5566" s="5">
        <v>-28957</v>
      </c>
      <c r="F5566" s="3" t="s">
        <v>361</v>
      </c>
      <c r="G5566" s="3" t="s">
        <v>62</v>
      </c>
      <c r="H5566" s="2" t="s">
        <v>21</v>
      </c>
      <c r="I5566" s="2" t="s">
        <v>11058</v>
      </c>
      <c r="J5566" s="3" t="str">
        <f>HYPERLINK("https://www.boe.es/gazeta/dias/1820/09/18/pdfs/GGB-1820-82.pdf#page=3","Abrir facsímil")</f>
        <v>Abrir facsímil</v>
      </c>
      <c r="K5566" s="3" t="s">
        <v>23</v>
      </c>
    </row>
    <row r="5567" spans="1:11" ht="42" customHeight="1">
      <c r="A5567" s="2" t="s">
        <v>11037</v>
      </c>
      <c r="B5567" s="2" t="s">
        <v>11038</v>
      </c>
      <c r="C5567" s="2" t="s">
        <v>35</v>
      </c>
      <c r="D5567" s="2" t="s">
        <v>36</v>
      </c>
      <c r="E5567" s="5">
        <v>-28954</v>
      </c>
      <c r="F5567" s="3" t="s">
        <v>28</v>
      </c>
      <c r="G5567" s="3" t="s">
        <v>62</v>
      </c>
      <c r="H5567" s="2" t="s">
        <v>21</v>
      </c>
      <c r="I5567" s="2" t="s">
        <v>11059</v>
      </c>
      <c r="J5567" s="3" t="str">
        <f>HYPERLINK("https://www.boe.es/gazeta/dias/1820/09/21/pdfs/GGB-1820-85.pdf#page=3","Abrir facsímil")</f>
        <v>Abrir facsímil</v>
      </c>
      <c r="K5567" s="3" t="s">
        <v>23</v>
      </c>
    </row>
    <row r="5568" spans="1:11" ht="42" customHeight="1">
      <c r="A5568" s="2" t="s">
        <v>11037</v>
      </c>
      <c r="B5568" s="2" t="s">
        <v>11038</v>
      </c>
      <c r="C5568" s="2" t="s">
        <v>35</v>
      </c>
      <c r="D5568" s="2" t="s">
        <v>36</v>
      </c>
      <c r="E5568" s="5">
        <v>-28948</v>
      </c>
      <c r="F5568" s="3" t="s">
        <v>1069</v>
      </c>
      <c r="G5568" s="3" t="s">
        <v>62</v>
      </c>
      <c r="H5568" s="2" t="s">
        <v>21</v>
      </c>
      <c r="I5568" s="2" t="s">
        <v>11060</v>
      </c>
      <c r="J5568" s="3" t="str">
        <f>HYPERLINK("https://www.boe.es/gazeta/dias/1820/09/27/pdfs/GGB-1820-91.pdf#page=3","Abrir facsímil")</f>
        <v>Abrir facsímil</v>
      </c>
      <c r="K5568" s="3" t="s">
        <v>23</v>
      </c>
    </row>
    <row r="5569" spans="1:11" ht="42" customHeight="1">
      <c r="A5569" s="2" t="s">
        <v>11037</v>
      </c>
      <c r="B5569" s="2" t="s">
        <v>11038</v>
      </c>
      <c r="C5569" s="2" t="s">
        <v>293</v>
      </c>
      <c r="D5569" s="2" t="s">
        <v>18</v>
      </c>
      <c r="E5569" s="5">
        <v>-28946</v>
      </c>
      <c r="F5569" s="3" t="s">
        <v>1055</v>
      </c>
      <c r="G5569" s="3" t="s">
        <v>4558</v>
      </c>
      <c r="H5569" s="2" t="s">
        <v>21</v>
      </c>
      <c r="I5569" s="2" t="s">
        <v>11061</v>
      </c>
      <c r="J5569" s="3" t="str">
        <f>HYPERLINK("https://www.boe.es/gazeta/dias/1820/09/29/pdfs/GGB-1820-93.pdf#page=3","Abrir facsímil")</f>
        <v>Abrir facsímil</v>
      </c>
      <c r="K5569" s="3" t="s">
        <v>23</v>
      </c>
    </row>
    <row r="5570" spans="1:11" ht="42" customHeight="1">
      <c r="A5570" s="2" t="s">
        <v>11037</v>
      </c>
      <c r="B5570" s="2" t="s">
        <v>11038</v>
      </c>
      <c r="C5570" s="2" t="s">
        <v>17</v>
      </c>
      <c r="D5570" s="2" t="s">
        <v>18</v>
      </c>
      <c r="E5570" s="5">
        <v>-28941</v>
      </c>
      <c r="F5570" s="3" t="s">
        <v>1727</v>
      </c>
      <c r="G5570" s="3" t="s">
        <v>43</v>
      </c>
      <c r="H5570" s="2" t="s">
        <v>21</v>
      </c>
      <c r="I5570" s="2" t="s">
        <v>11062</v>
      </c>
      <c r="J5570" s="3" t="str">
        <f>HYPERLINK("https://www.boe.es/gazeta/dias/1820/10/04/pdfs/GGB-1820-98.pdf#page=2","Abrir facsímil")</f>
        <v>Abrir facsímil</v>
      </c>
      <c r="K5570" s="3" t="s">
        <v>23</v>
      </c>
    </row>
    <row r="5571" spans="1:11" ht="42" customHeight="1">
      <c r="A5571" s="2" t="s">
        <v>11037</v>
      </c>
      <c r="B5571" s="2" t="s">
        <v>11038</v>
      </c>
      <c r="C5571" s="2" t="s">
        <v>74</v>
      </c>
      <c r="D5571" s="2" t="s">
        <v>18</v>
      </c>
      <c r="E5571" s="5">
        <v>-28938</v>
      </c>
      <c r="F5571" s="3" t="s">
        <v>716</v>
      </c>
      <c r="G5571" s="3" t="s">
        <v>62</v>
      </c>
      <c r="H5571" s="2" t="s">
        <v>21</v>
      </c>
      <c r="I5571" s="2" t="s">
        <v>11063</v>
      </c>
      <c r="J5571" s="3" t="str">
        <f>HYPERLINK("https://www.boe.es/gazeta/dias/1820/10/07/pdfs/GGB-1820-101.pdf#page=3","Abrir facsímil")</f>
        <v>Abrir facsímil</v>
      </c>
      <c r="K5571" s="3" t="s">
        <v>23</v>
      </c>
    </row>
    <row r="5572" spans="1:11" ht="42" customHeight="1">
      <c r="A5572" s="2" t="s">
        <v>11037</v>
      </c>
      <c r="B5572" s="2" t="s">
        <v>11038</v>
      </c>
      <c r="C5572" s="2" t="s">
        <v>26</v>
      </c>
      <c r="D5572" s="2" t="s">
        <v>27</v>
      </c>
      <c r="E5572" s="5">
        <v>-28931</v>
      </c>
      <c r="F5572" s="3" t="s">
        <v>724</v>
      </c>
      <c r="G5572" s="3" t="s">
        <v>43</v>
      </c>
      <c r="H5572" s="2" t="s">
        <v>21</v>
      </c>
      <c r="I5572" s="2" t="s">
        <v>11064</v>
      </c>
      <c r="J5572" s="3" t="str">
        <f>HYPERLINK("https://www.boe.es/gazeta/dias/1820/10/14/pdfs/GGB-1820-108.pdf#page=2","Abrir facsímil")</f>
        <v>Abrir facsímil</v>
      </c>
      <c r="K5572" s="3" t="s">
        <v>23</v>
      </c>
    </row>
    <row r="5573" spans="1:11" ht="42" customHeight="1">
      <c r="A5573" s="2" t="s">
        <v>11037</v>
      </c>
      <c r="B5573" s="2" t="s">
        <v>11038</v>
      </c>
      <c r="C5573" s="2" t="s">
        <v>17</v>
      </c>
      <c r="D5573" s="2" t="s">
        <v>18</v>
      </c>
      <c r="E5573" s="5">
        <v>-28923</v>
      </c>
      <c r="F5573" s="3" t="s">
        <v>648</v>
      </c>
      <c r="G5573" s="3" t="s">
        <v>128</v>
      </c>
      <c r="H5573" s="2" t="s">
        <v>21</v>
      </c>
      <c r="I5573" s="2" t="s">
        <v>11065</v>
      </c>
      <c r="J5573" s="3" t="str">
        <f>HYPERLINK("https://www.boe.es/gazeta/dias/1820/10/22/pdfs/GGB-1820-116.pdf#page=1","Abrir facsímil")</f>
        <v>Abrir facsímil</v>
      </c>
      <c r="K5573" s="3" t="s">
        <v>23</v>
      </c>
    </row>
    <row r="5574" spans="1:11" ht="42" customHeight="1">
      <c r="A5574" s="2" t="s">
        <v>11066</v>
      </c>
      <c r="B5574" s="2" t="s">
        <v>11067</v>
      </c>
      <c r="C5574" s="2" t="s">
        <v>26</v>
      </c>
      <c r="D5574" s="2" t="s">
        <v>27</v>
      </c>
      <c r="E5574" s="5">
        <v>-28967</v>
      </c>
      <c r="F5574" s="3" t="s">
        <v>238</v>
      </c>
      <c r="G5574" s="3" t="s">
        <v>256</v>
      </c>
      <c r="H5574" s="2" t="s">
        <v>21</v>
      </c>
      <c r="I5574" s="2" t="s">
        <v>11068</v>
      </c>
      <c r="J5574" s="3" t="str">
        <f>HYPERLINK("https://www.boe.es/gazeta/dias/1820/09/08/pdfs/GGB-1820-72.pdf#page=5","Abrir facsímil")</f>
        <v>Abrir facsímil</v>
      </c>
      <c r="K5574" s="3" t="s">
        <v>23</v>
      </c>
    </row>
    <row r="5575" spans="1:11" ht="42" customHeight="1">
      <c r="A5575" s="2" t="s">
        <v>11069</v>
      </c>
      <c r="B5575" s="2" t="s">
        <v>11070</v>
      </c>
      <c r="C5575" s="2" t="s">
        <v>26</v>
      </c>
      <c r="D5575" s="2" t="s">
        <v>27</v>
      </c>
      <c r="E5575" s="5">
        <v>-29007</v>
      </c>
      <c r="F5575" s="3" t="s">
        <v>251</v>
      </c>
      <c r="G5575" s="3" t="s">
        <v>62</v>
      </c>
      <c r="H5575" s="2" t="s">
        <v>21</v>
      </c>
      <c r="I5575" s="2" t="s">
        <v>11071</v>
      </c>
      <c r="J5575" s="3" t="str">
        <f>HYPERLINK("https://www.boe.es/gazeta/dias/1820/07/30/pdfs/GGB-1820-32.pdf#page=3","Abrir facsímil")</f>
        <v>Abrir facsímil</v>
      </c>
      <c r="K5575" s="3" t="s">
        <v>23</v>
      </c>
    </row>
    <row r="5576" spans="1:11" ht="42" customHeight="1">
      <c r="A5576" s="2" t="s">
        <v>11072</v>
      </c>
      <c r="B5576" s="2" t="s">
        <v>11072</v>
      </c>
      <c r="C5576" s="2" t="s">
        <v>111</v>
      </c>
      <c r="D5576" s="2" t="s">
        <v>18</v>
      </c>
      <c r="E5576" s="5">
        <v>-29034</v>
      </c>
      <c r="F5576" s="3" t="s">
        <v>460</v>
      </c>
      <c r="G5576" s="3" t="s">
        <v>461</v>
      </c>
      <c r="H5576" s="2" t="s">
        <v>21</v>
      </c>
      <c r="I5576" s="2" t="s">
        <v>11073</v>
      </c>
      <c r="J5576" s="3" t="str">
        <f>HYPERLINK("https://www.boe.es/gazeta/dias/1820/07/03/pdfs/GGB-1820-3.pdf#page=4","Abrir facsímil")</f>
        <v>Abrir facsímil</v>
      </c>
      <c r="K5576" s="3" t="s">
        <v>23</v>
      </c>
    </row>
    <row r="5577" spans="1:11" ht="42" customHeight="1">
      <c r="A5577" s="2" t="s">
        <v>11074</v>
      </c>
      <c r="B5577" s="2" t="s">
        <v>11075</v>
      </c>
      <c r="C5577" s="2" t="s">
        <v>17</v>
      </c>
      <c r="D5577" s="2" t="s">
        <v>18</v>
      </c>
      <c r="E5577" s="5">
        <v>-29011</v>
      </c>
      <c r="F5577" s="3" t="s">
        <v>338</v>
      </c>
      <c r="G5577" s="3" t="s">
        <v>43</v>
      </c>
      <c r="H5577" s="2" t="s">
        <v>21</v>
      </c>
      <c r="I5577" s="2" t="s">
        <v>11076</v>
      </c>
      <c r="J5577" s="3" t="str">
        <f>HYPERLINK("https://www.boe.es/gazeta/dias/1820/07/26/pdfs/GGB-1820-28.pdf#page=2","Abrir facsímil")</f>
        <v>Abrir facsímil</v>
      </c>
      <c r="K5577" s="3" t="s">
        <v>23</v>
      </c>
    </row>
    <row r="5578" spans="1:11" ht="42" customHeight="1">
      <c r="A5578" s="2" t="s">
        <v>11077</v>
      </c>
      <c r="B5578" s="2" t="s">
        <v>11078</v>
      </c>
      <c r="C5578" s="2" t="s">
        <v>293</v>
      </c>
      <c r="D5578" s="2" t="s">
        <v>18</v>
      </c>
      <c r="E5578" s="5">
        <v>-28904</v>
      </c>
      <c r="F5578" s="3" t="s">
        <v>541</v>
      </c>
      <c r="G5578" s="3" t="s">
        <v>43</v>
      </c>
      <c r="H5578" s="2" t="s">
        <v>21</v>
      </c>
      <c r="I5578" s="2" t="s">
        <v>11079</v>
      </c>
      <c r="J5578" s="3" t="str">
        <f>HYPERLINK("https://www.boe.es/gazeta/dias/1820/11/10/pdfs/GGB-1820-136.pdf#page=2","Abrir facsímil")</f>
        <v>Abrir facsímil</v>
      </c>
      <c r="K5578" s="3" t="s">
        <v>23</v>
      </c>
    </row>
    <row r="5579" spans="1:11" ht="42" customHeight="1">
      <c r="A5579" s="2" t="s">
        <v>11080</v>
      </c>
      <c r="B5579" s="2" t="s">
        <v>11081</v>
      </c>
      <c r="C5579" s="2" t="s">
        <v>26</v>
      </c>
      <c r="D5579" s="2" t="s">
        <v>27</v>
      </c>
      <c r="E5579" s="5">
        <v>-28870</v>
      </c>
      <c r="F5579" s="3" t="s">
        <v>1014</v>
      </c>
      <c r="G5579" s="3" t="s">
        <v>62</v>
      </c>
      <c r="H5579" s="2" t="s">
        <v>21</v>
      </c>
      <c r="I5579" s="2" t="s">
        <v>11082</v>
      </c>
      <c r="J5579" s="3" t="str">
        <f>HYPERLINK("https://www.boe.es/gazeta/dias/1820/12/14/pdfs/GGB-1820-171.pdf#page=3","Abrir facsímil")</f>
        <v>Abrir facsímil</v>
      </c>
      <c r="K5579" s="3" t="s">
        <v>23</v>
      </c>
    </row>
    <row r="5580" spans="1:11" ht="42" customHeight="1">
      <c r="A5580" s="2" t="s">
        <v>11083</v>
      </c>
      <c r="B5580" s="2" t="s">
        <v>11084</v>
      </c>
      <c r="C5580" s="2" t="s">
        <v>35</v>
      </c>
      <c r="D5580" s="2" t="s">
        <v>36</v>
      </c>
      <c r="E5580" s="5">
        <v>-29120</v>
      </c>
      <c r="F5580" s="3" t="s">
        <v>852</v>
      </c>
      <c r="G5580" s="3" t="s">
        <v>201</v>
      </c>
      <c r="H5580" s="2" t="s">
        <v>21</v>
      </c>
      <c r="I5580" s="2" t="s">
        <v>11085</v>
      </c>
      <c r="J5580" s="3" t="str">
        <f>HYPERLINK("https://www.boe.es/gazeta/dias/1820/04/08/pdfs/GMD-1820-63.pdf#page=7","Abrir facsímil")</f>
        <v>Abrir facsímil</v>
      </c>
      <c r="K5580" s="3" t="s">
        <v>23</v>
      </c>
    </row>
    <row r="5581" spans="1:11" ht="42" customHeight="1">
      <c r="A5581" s="2" t="s">
        <v>11086</v>
      </c>
      <c r="B5581" s="2" t="s">
        <v>11087</v>
      </c>
      <c r="C5581" s="2" t="s">
        <v>35</v>
      </c>
      <c r="D5581" s="2" t="s">
        <v>310</v>
      </c>
      <c r="E5581" s="5">
        <v>-29140</v>
      </c>
      <c r="F5581" s="3" t="s">
        <v>533</v>
      </c>
      <c r="G5581" s="3" t="s">
        <v>43</v>
      </c>
      <c r="H5581" s="2" t="s">
        <v>21</v>
      </c>
      <c r="I5581" s="2" t="s">
        <v>11088</v>
      </c>
      <c r="J5581" s="3" t="str">
        <f>HYPERLINK("https://www.boe.es/gazeta/dias/1820/03/19/pdfs/GMD-1820-45E.pdf#page=2","Abrir facsímil")</f>
        <v>Abrir facsímil</v>
      </c>
      <c r="K5581" s="3" t="s">
        <v>23</v>
      </c>
    </row>
    <row r="5582" spans="1:11" ht="42" customHeight="1">
      <c r="A5582" s="2" t="s">
        <v>11089</v>
      </c>
      <c r="B5582" s="2" t="s">
        <v>11089</v>
      </c>
      <c r="C5582" s="2" t="s">
        <v>17</v>
      </c>
      <c r="D5582" s="2" t="s">
        <v>18</v>
      </c>
      <c r="E5582" s="5">
        <v>-29007</v>
      </c>
      <c r="F5582" s="3" t="s">
        <v>251</v>
      </c>
      <c r="G5582" s="3" t="s">
        <v>62</v>
      </c>
      <c r="H5582" s="2" t="s">
        <v>21</v>
      </c>
      <c r="I5582" s="2" t="s">
        <v>11090</v>
      </c>
      <c r="J5582" s="3" t="str">
        <f>HYPERLINK("https://www.boe.es/gazeta/dias/1820/07/30/pdfs/GGB-1820-32.pdf#page=3","Abrir facsímil")</f>
        <v>Abrir facsímil</v>
      </c>
      <c r="K5582" s="3" t="s">
        <v>23</v>
      </c>
    </row>
    <row r="5583" spans="1:11" ht="42" customHeight="1">
      <c r="A5583" s="2" t="s">
        <v>11089</v>
      </c>
      <c r="B5583" s="2" t="s">
        <v>11089</v>
      </c>
      <c r="C5583" s="2" t="s">
        <v>35</v>
      </c>
      <c r="D5583" s="2" t="s">
        <v>36</v>
      </c>
      <c r="E5583" s="5">
        <v>-28970</v>
      </c>
      <c r="F5583" s="3" t="s">
        <v>693</v>
      </c>
      <c r="G5583" s="3" t="s">
        <v>62</v>
      </c>
      <c r="H5583" s="2" t="s">
        <v>21</v>
      </c>
      <c r="I5583" s="2" t="s">
        <v>11091</v>
      </c>
      <c r="J5583" s="3" t="str">
        <f>HYPERLINK("https://www.boe.es/gazeta/dias/1820/09/05/pdfs/GGB-1820-69.pdf#page=3","Abrir facsímil")</f>
        <v>Abrir facsímil</v>
      </c>
      <c r="K5583" s="3" t="s">
        <v>23</v>
      </c>
    </row>
    <row r="5584" spans="1:11" ht="42" customHeight="1">
      <c r="A5584" s="2" t="s">
        <v>11089</v>
      </c>
      <c r="B5584" s="2" t="s">
        <v>11089</v>
      </c>
      <c r="C5584" s="2" t="s">
        <v>35</v>
      </c>
      <c r="D5584" s="2" t="s">
        <v>36</v>
      </c>
      <c r="E5584" s="5">
        <v>-28948</v>
      </c>
      <c r="F5584" s="3" t="s">
        <v>1069</v>
      </c>
      <c r="G5584" s="3" t="s">
        <v>62</v>
      </c>
      <c r="H5584" s="2" t="s">
        <v>21</v>
      </c>
      <c r="I5584" s="2" t="s">
        <v>11092</v>
      </c>
      <c r="J5584" s="3" t="str">
        <f>HYPERLINK("https://www.boe.es/gazeta/dias/1820/09/27/pdfs/GGB-1820-91.pdf#page=3","Abrir facsímil")</f>
        <v>Abrir facsímil</v>
      </c>
      <c r="K5584" s="3" t="s">
        <v>23</v>
      </c>
    </row>
    <row r="5585" spans="1:11" ht="42" customHeight="1">
      <c r="A5585" s="2" t="s">
        <v>11089</v>
      </c>
      <c r="B5585" s="2" t="s">
        <v>11089</v>
      </c>
      <c r="C5585" s="2" t="s">
        <v>74</v>
      </c>
      <c r="D5585" s="2" t="s">
        <v>18</v>
      </c>
      <c r="E5585" s="5">
        <v>-28927</v>
      </c>
      <c r="F5585" s="3" t="s">
        <v>345</v>
      </c>
      <c r="G5585" s="3" t="s">
        <v>62</v>
      </c>
      <c r="H5585" s="2" t="s">
        <v>21</v>
      </c>
      <c r="I5585" s="2" t="s">
        <v>11093</v>
      </c>
      <c r="J5585" s="3" t="str">
        <f>HYPERLINK("https://www.boe.es/gazeta/dias/1820/10/18/pdfs/GGB-1820-112.pdf#page=3","Abrir facsímil")</f>
        <v>Abrir facsímil</v>
      </c>
      <c r="K5585" s="3" t="s">
        <v>23</v>
      </c>
    </row>
    <row r="5586" spans="1:11" ht="42" customHeight="1">
      <c r="A5586" s="2" t="s">
        <v>11094</v>
      </c>
      <c r="B5586" s="2" t="s">
        <v>11095</v>
      </c>
      <c r="C5586" s="2" t="s">
        <v>26</v>
      </c>
      <c r="D5586" s="2" t="s">
        <v>27</v>
      </c>
      <c r="E5586" s="5">
        <v>-29099</v>
      </c>
      <c r="F5586" s="3" t="s">
        <v>871</v>
      </c>
      <c r="G5586" s="3" t="s">
        <v>256</v>
      </c>
      <c r="H5586" s="2" t="s">
        <v>21</v>
      </c>
      <c r="I5586" s="2" t="s">
        <v>11096</v>
      </c>
      <c r="J5586" s="3" t="str">
        <f>HYPERLINK("https://www.boe.es/gazeta/dias/1820/04/29/pdfs/GMD-1820-73.pdf#page=5","Abrir facsímil")</f>
        <v>Abrir facsímil</v>
      </c>
      <c r="K5586" s="3" t="s">
        <v>23</v>
      </c>
    </row>
    <row r="5587" spans="1:11" ht="42" customHeight="1">
      <c r="A5587" s="2" t="s">
        <v>11094</v>
      </c>
      <c r="B5587" s="2" t="s">
        <v>11095</v>
      </c>
      <c r="C5587" s="2" t="s">
        <v>17</v>
      </c>
      <c r="D5587" s="2" t="s">
        <v>18</v>
      </c>
      <c r="E5587" s="5">
        <v>-29096</v>
      </c>
      <c r="F5587" s="3" t="s">
        <v>315</v>
      </c>
      <c r="G5587" s="3" t="s">
        <v>38</v>
      </c>
      <c r="H5587" s="2" t="s">
        <v>21</v>
      </c>
      <c r="I5587" s="2" t="s">
        <v>11097</v>
      </c>
      <c r="J5587" s="3" t="str">
        <f>HYPERLINK("https://www.boe.es/gazeta/dias/1820/05/02/pdfs/GMD-1820-74.pdf#page=6","Abrir facsímil")</f>
        <v>Abrir facsímil</v>
      </c>
      <c r="K5587" s="3" t="s">
        <v>23</v>
      </c>
    </row>
    <row r="5588" spans="1:11" ht="42" customHeight="1">
      <c r="A5588" s="2" t="s">
        <v>11098</v>
      </c>
      <c r="B5588" s="2" t="s">
        <v>11099</v>
      </c>
      <c r="C5588" s="2" t="s">
        <v>17</v>
      </c>
      <c r="D5588" s="2" t="s">
        <v>310</v>
      </c>
      <c r="E5588" s="5">
        <v>-29136</v>
      </c>
      <c r="F5588" s="3" t="s">
        <v>1089</v>
      </c>
      <c r="G5588" s="3" t="s">
        <v>128</v>
      </c>
      <c r="H5588" s="2" t="s">
        <v>21</v>
      </c>
      <c r="I5588" s="2" t="s">
        <v>11100</v>
      </c>
      <c r="J5588" s="3" t="str">
        <f>HYPERLINK("https://www.boe.es/gazeta/dias/1820/03/23/pdfs/GMD-1820-52E.pdf#page=1","Abrir facsímil")</f>
        <v>Abrir facsímil</v>
      </c>
      <c r="K5588" s="3" t="s">
        <v>23</v>
      </c>
    </row>
    <row r="5589" spans="1:11" ht="42" customHeight="1">
      <c r="A5589" s="2" t="s">
        <v>11101</v>
      </c>
      <c r="B5589" s="2" t="s">
        <v>11101</v>
      </c>
      <c r="C5589" s="2" t="s">
        <v>26</v>
      </c>
      <c r="D5589" s="2" t="s">
        <v>27</v>
      </c>
      <c r="E5589" s="5">
        <v>-28982</v>
      </c>
      <c r="F5589" s="3" t="s">
        <v>173</v>
      </c>
      <c r="G5589" s="3" t="s">
        <v>43</v>
      </c>
      <c r="H5589" s="2" t="s">
        <v>21</v>
      </c>
      <c r="I5589" s="2" t="s">
        <v>11102</v>
      </c>
      <c r="J5589" s="3" t="str">
        <f>HYPERLINK("https://www.boe.es/gazeta/dias/1820/08/24/pdfs/GGB-1820-57.pdf#page=2","Abrir facsímil")</f>
        <v>Abrir facsímil</v>
      </c>
      <c r="K5589" s="3" t="s">
        <v>23</v>
      </c>
    </row>
    <row r="5590" spans="1:11" ht="42" customHeight="1">
      <c r="A5590" s="2" t="s">
        <v>11101</v>
      </c>
      <c r="B5590" s="2" t="s">
        <v>11101</v>
      </c>
      <c r="C5590" s="2" t="s">
        <v>26</v>
      </c>
      <c r="D5590" s="2" t="s">
        <v>27</v>
      </c>
      <c r="E5590" s="5">
        <v>-28982</v>
      </c>
      <c r="F5590" s="3" t="s">
        <v>173</v>
      </c>
      <c r="G5590" s="3" t="s">
        <v>62</v>
      </c>
      <c r="H5590" s="2" t="s">
        <v>21</v>
      </c>
      <c r="I5590" s="2" t="s">
        <v>11103</v>
      </c>
      <c r="J5590" s="3" t="str">
        <f>HYPERLINK("https://www.boe.es/gazeta/dias/1820/08/24/pdfs/GGB-1820-57.pdf#page=3","Abrir facsímil")</f>
        <v>Abrir facsímil</v>
      </c>
      <c r="K5590" s="3" t="s">
        <v>23</v>
      </c>
    </row>
    <row r="5591" spans="1:11" ht="42" customHeight="1">
      <c r="A5591" s="2" t="s">
        <v>11101</v>
      </c>
      <c r="B5591" s="2" t="s">
        <v>11101</v>
      </c>
      <c r="C5591" s="2" t="s">
        <v>26</v>
      </c>
      <c r="D5591" s="2" t="s">
        <v>27</v>
      </c>
      <c r="E5591" s="5">
        <v>-28955</v>
      </c>
      <c r="F5591" s="3" t="s">
        <v>175</v>
      </c>
      <c r="G5591" s="3" t="s">
        <v>43</v>
      </c>
      <c r="H5591" s="2" t="s">
        <v>21</v>
      </c>
      <c r="I5591" s="2" t="s">
        <v>11104</v>
      </c>
      <c r="J5591" s="3" t="str">
        <f>HYPERLINK("https://www.boe.es/gazeta/dias/1820/09/20/pdfs/GGB-1820-84.pdf#page=2","Abrir facsímil")</f>
        <v>Abrir facsímil</v>
      </c>
      <c r="K5591" s="3" t="s">
        <v>23</v>
      </c>
    </row>
    <row r="5592" spans="1:11" ht="42" customHeight="1">
      <c r="A5592" s="2" t="s">
        <v>11101</v>
      </c>
      <c r="B5592" s="2" t="s">
        <v>11101</v>
      </c>
      <c r="C5592" s="2" t="s">
        <v>26</v>
      </c>
      <c r="D5592" s="2" t="s">
        <v>27</v>
      </c>
      <c r="E5592" s="5">
        <v>-28951</v>
      </c>
      <c r="F5592" s="3" t="s">
        <v>622</v>
      </c>
      <c r="G5592" s="3" t="s">
        <v>1370</v>
      </c>
      <c r="H5592" s="2" t="s">
        <v>21</v>
      </c>
      <c r="I5592" s="2" t="s">
        <v>11105</v>
      </c>
      <c r="J5592" s="3" t="str">
        <f>HYPERLINK("https://www.boe.es/gazeta/dias/1820/09/24/pdfs/GGB-1820-88.pdf#page=2","Abrir facsímil")</f>
        <v>Abrir facsímil</v>
      </c>
      <c r="K5592" s="3" t="s">
        <v>23</v>
      </c>
    </row>
    <row r="5593" spans="1:11" ht="42" customHeight="1">
      <c r="A5593" s="2" t="s">
        <v>11101</v>
      </c>
      <c r="B5593" s="2" t="s">
        <v>11101</v>
      </c>
      <c r="C5593" s="2" t="s">
        <v>26</v>
      </c>
      <c r="D5593" s="2" t="s">
        <v>27</v>
      </c>
      <c r="E5593" s="5">
        <v>-28923</v>
      </c>
      <c r="F5593" s="3" t="s">
        <v>648</v>
      </c>
      <c r="G5593" s="3" t="s">
        <v>62</v>
      </c>
      <c r="H5593" s="2" t="s">
        <v>21</v>
      </c>
      <c r="I5593" s="2" t="s">
        <v>11106</v>
      </c>
      <c r="J5593" s="3" t="str">
        <f>HYPERLINK("https://www.boe.es/gazeta/dias/1820/10/22/pdfs/GGB-1820-116.pdf#page=3","Abrir facsímil")</f>
        <v>Abrir facsímil</v>
      </c>
      <c r="K5593" s="3" t="s">
        <v>23</v>
      </c>
    </row>
    <row r="5594" spans="1:11" ht="42" customHeight="1">
      <c r="A5594" s="2" t="s">
        <v>11101</v>
      </c>
      <c r="B5594" s="2" t="s">
        <v>11101</v>
      </c>
      <c r="C5594" s="2" t="s">
        <v>26</v>
      </c>
      <c r="D5594" s="2" t="s">
        <v>27</v>
      </c>
      <c r="E5594" s="5">
        <v>-28910</v>
      </c>
      <c r="F5594" s="3" t="s">
        <v>746</v>
      </c>
      <c r="G5594" s="3" t="s">
        <v>43</v>
      </c>
      <c r="H5594" s="2" t="s">
        <v>21</v>
      </c>
      <c r="I5594" s="2" t="s">
        <v>11107</v>
      </c>
      <c r="J5594" s="3" t="str">
        <f>HYPERLINK("https://www.boe.es/gazeta/dias/1820/11/04/pdfs/GGB-1820-129.pdf#page=2","Abrir facsímil")</f>
        <v>Abrir facsímil</v>
      </c>
      <c r="K5594" s="3" t="s">
        <v>23</v>
      </c>
    </row>
    <row r="5595" spans="1:11" ht="42" customHeight="1">
      <c r="A5595" s="2" t="s">
        <v>11101</v>
      </c>
      <c r="B5595" s="2" t="s">
        <v>11101</v>
      </c>
      <c r="C5595" s="2" t="s">
        <v>26</v>
      </c>
      <c r="D5595" s="2" t="s">
        <v>27</v>
      </c>
      <c r="E5595" s="5">
        <v>-28908</v>
      </c>
      <c r="F5595" s="3" t="s">
        <v>1060</v>
      </c>
      <c r="G5595" s="3" t="s">
        <v>62</v>
      </c>
      <c r="H5595" s="2" t="s">
        <v>21</v>
      </c>
      <c r="I5595" s="2" t="s">
        <v>11108</v>
      </c>
      <c r="J5595" s="3" t="str">
        <f>HYPERLINK("https://www.boe.es/gazeta/dias/1820/11/06/pdfs/GGB-1820-131.pdf#page=3","Abrir facsímil")</f>
        <v>Abrir facsímil</v>
      </c>
      <c r="K5595" s="3" t="s">
        <v>23</v>
      </c>
    </row>
    <row r="5596" spans="1:11" ht="42" customHeight="1">
      <c r="A5596" s="2" t="s">
        <v>11109</v>
      </c>
      <c r="B5596" s="2" t="s">
        <v>11110</v>
      </c>
      <c r="C5596" s="2" t="s">
        <v>26</v>
      </c>
      <c r="D5596" s="2" t="s">
        <v>27</v>
      </c>
      <c r="E5596" s="5">
        <v>-29129</v>
      </c>
      <c r="F5596" s="3" t="s">
        <v>269</v>
      </c>
      <c r="G5596" s="3" t="s">
        <v>270</v>
      </c>
      <c r="H5596" s="2" t="s">
        <v>21</v>
      </c>
      <c r="I5596" s="2" t="s">
        <v>11111</v>
      </c>
      <c r="J5596" s="3" t="str">
        <f>HYPERLINK("https://www.boe.es/gazeta/dias/1820/03/30/pdfs/GMD-1820-58.pdf#page=9","Abrir facsímil")</f>
        <v>Abrir facsímil</v>
      </c>
      <c r="K5596" s="3" t="s">
        <v>23</v>
      </c>
    </row>
    <row r="5597" spans="1:11" ht="42" customHeight="1">
      <c r="A5597" s="2" t="s">
        <v>11112</v>
      </c>
      <c r="B5597" s="2" t="s">
        <v>11113</v>
      </c>
      <c r="C5597" s="2" t="s">
        <v>26</v>
      </c>
      <c r="D5597" s="2" t="s">
        <v>27</v>
      </c>
      <c r="E5597" s="5">
        <v>-29136</v>
      </c>
      <c r="F5597" s="3" t="s">
        <v>2972</v>
      </c>
      <c r="G5597" s="3" t="s">
        <v>256</v>
      </c>
      <c r="H5597" s="2" t="s">
        <v>21</v>
      </c>
      <c r="I5597" s="2" t="s">
        <v>11114</v>
      </c>
      <c r="J5597" s="3" t="str">
        <f>HYPERLINK("https://www.boe.es/gazeta/dias/1820/03/23/pdfs/GMD-1820-51.pdf#page=5","Abrir facsímil")</f>
        <v>Abrir facsímil</v>
      </c>
      <c r="K5597" s="3" t="s">
        <v>23</v>
      </c>
    </row>
    <row r="5598" spans="1:11" ht="42" customHeight="1">
      <c r="A5598" s="2" t="s">
        <v>11115</v>
      </c>
      <c r="B5598" s="2" t="s">
        <v>11116</v>
      </c>
      <c r="C5598" s="2" t="s">
        <v>74</v>
      </c>
      <c r="D5598" s="2" t="s">
        <v>18</v>
      </c>
      <c r="E5598" s="5">
        <v>-28967</v>
      </c>
      <c r="F5598" s="3" t="s">
        <v>238</v>
      </c>
      <c r="G5598" s="3" t="s">
        <v>38</v>
      </c>
      <c r="H5598" s="2" t="s">
        <v>21</v>
      </c>
      <c r="I5598" s="2" t="s">
        <v>11117</v>
      </c>
      <c r="J5598" s="3" t="str">
        <f>HYPERLINK("https://www.boe.es/gazeta/dias/1820/09/08/pdfs/GGB-1820-72.pdf#page=6","Abrir facsímil")</f>
        <v>Abrir facsímil</v>
      </c>
      <c r="K5598" s="3" t="s">
        <v>23</v>
      </c>
    </row>
    <row r="5599" spans="1:11" ht="42" customHeight="1">
      <c r="A5599" s="2" t="s">
        <v>11118</v>
      </c>
      <c r="B5599" s="2" t="s">
        <v>11118</v>
      </c>
      <c r="C5599" s="2" t="s">
        <v>17</v>
      </c>
      <c r="D5599" s="2" t="s">
        <v>18</v>
      </c>
      <c r="E5599" s="5">
        <v>-29061</v>
      </c>
      <c r="F5599" s="3" t="s">
        <v>4467</v>
      </c>
      <c r="G5599" s="3" t="s">
        <v>128</v>
      </c>
      <c r="H5599" s="2" t="s">
        <v>21</v>
      </c>
      <c r="I5599" s="2" t="s">
        <v>11119</v>
      </c>
      <c r="J5599" s="3" t="str">
        <f>HYPERLINK("https://www.boe.es/gazeta/dias/1820/06/06/pdfs/GMD-1820-90.pdf#page=1","Abrir facsímil")</f>
        <v>Abrir facsímil</v>
      </c>
      <c r="K5599" s="3" t="s">
        <v>23</v>
      </c>
    </row>
    <row r="5600" spans="1:11" ht="42" customHeight="1">
      <c r="A5600" s="2" t="s">
        <v>11120</v>
      </c>
      <c r="B5600" s="2" t="s">
        <v>11120</v>
      </c>
      <c r="C5600" s="2" t="s">
        <v>26</v>
      </c>
      <c r="D5600" s="2" t="s">
        <v>27</v>
      </c>
      <c r="E5600" s="5">
        <v>-28994</v>
      </c>
      <c r="F5600" s="3" t="s">
        <v>1612</v>
      </c>
      <c r="G5600" s="3" t="s">
        <v>43</v>
      </c>
      <c r="H5600" s="2" t="s">
        <v>21</v>
      </c>
      <c r="I5600" s="2" t="s">
        <v>11121</v>
      </c>
      <c r="J5600" s="3" t="str">
        <f>HYPERLINK("https://www.boe.es/gazeta/dias/1820/08/12/pdfs/GGB-1820-45.pdf#page=2","Abrir facsímil")</f>
        <v>Abrir facsímil</v>
      </c>
      <c r="K5600" s="3" t="s">
        <v>23</v>
      </c>
    </row>
    <row r="5601" spans="1:11" ht="42" customHeight="1">
      <c r="A5601" s="2" t="s">
        <v>11120</v>
      </c>
      <c r="B5601" s="2" t="s">
        <v>11120</v>
      </c>
      <c r="C5601" s="2" t="s">
        <v>26</v>
      </c>
      <c r="D5601" s="2" t="s">
        <v>27</v>
      </c>
      <c r="E5601" s="5">
        <v>-28913</v>
      </c>
      <c r="F5601" s="3" t="s">
        <v>230</v>
      </c>
      <c r="G5601" s="3" t="s">
        <v>43</v>
      </c>
      <c r="H5601" s="2" t="s">
        <v>21</v>
      </c>
      <c r="I5601" s="2" t="s">
        <v>11122</v>
      </c>
      <c r="J5601" s="3" t="str">
        <f>HYPERLINK("https://www.boe.es/gazeta/dias/1820/11/01/pdfs/GGB-1820-126.pdf#page=2","Abrir facsímil")</f>
        <v>Abrir facsímil</v>
      </c>
      <c r="K5601" s="3" t="s">
        <v>23</v>
      </c>
    </row>
    <row r="5602" spans="1:11" ht="42" customHeight="1">
      <c r="A5602" s="2" t="s">
        <v>11120</v>
      </c>
      <c r="B5602" s="2" t="s">
        <v>11120</v>
      </c>
      <c r="C5602" s="2" t="s">
        <v>26</v>
      </c>
      <c r="D5602" s="2" t="s">
        <v>27</v>
      </c>
      <c r="E5602" s="5">
        <v>-28908</v>
      </c>
      <c r="F5602" s="3" t="s">
        <v>1060</v>
      </c>
      <c r="G5602" s="3" t="s">
        <v>62</v>
      </c>
      <c r="H5602" s="2" t="s">
        <v>21</v>
      </c>
      <c r="I5602" s="2" t="s">
        <v>11123</v>
      </c>
      <c r="J5602" s="3" t="str">
        <f>HYPERLINK("https://www.boe.es/gazeta/dias/1820/11/06/pdfs/GGB-1820-131.pdf#page=3","Abrir facsímil")</f>
        <v>Abrir facsímil</v>
      </c>
      <c r="K5602" s="3" t="s">
        <v>23</v>
      </c>
    </row>
    <row r="5603" spans="1:11" ht="42" customHeight="1">
      <c r="A5603" s="2" t="s">
        <v>11124</v>
      </c>
      <c r="B5603" s="2" t="s">
        <v>11125</v>
      </c>
      <c r="C5603" s="2" t="s">
        <v>17</v>
      </c>
      <c r="D5603" s="2" t="s">
        <v>18</v>
      </c>
      <c r="E5603" s="5">
        <v>-28872</v>
      </c>
      <c r="F5603" s="3" t="s">
        <v>1939</v>
      </c>
      <c r="G5603" s="3" t="s">
        <v>20</v>
      </c>
      <c r="H5603" s="2" t="s">
        <v>21</v>
      </c>
      <c r="I5603" s="2" t="s">
        <v>11126</v>
      </c>
      <c r="J5603" s="3" t="str">
        <f>HYPERLINK("https://www.boe.es/gazeta/dias/1820/12/12/pdfs/GGB-1820-169.pdf#page=4","Abrir facsímil")</f>
        <v>Abrir facsímil</v>
      </c>
      <c r="K5603" s="3" t="s">
        <v>23</v>
      </c>
    </row>
    <row r="5604" spans="1:11" ht="42" customHeight="1">
      <c r="A5604" s="2" t="s">
        <v>11127</v>
      </c>
      <c r="B5604" s="2" t="s">
        <v>11128</v>
      </c>
      <c r="C5604" s="2" t="s">
        <v>111</v>
      </c>
      <c r="D5604" s="2" t="s">
        <v>18</v>
      </c>
      <c r="E5604" s="5">
        <v>-28902</v>
      </c>
      <c r="F5604" s="3" t="s">
        <v>440</v>
      </c>
      <c r="G5604" s="3" t="s">
        <v>20</v>
      </c>
      <c r="H5604" s="2" t="s">
        <v>30</v>
      </c>
      <c r="I5604" s="2" t="s">
        <v>11129</v>
      </c>
      <c r="J5604" s="3" t="str">
        <f>HYPERLINK("https://www.boe.es/gazeta/dias/1820/11/12/pdfs/GGB-1820-138.pdf#page=4","Abrir facsímil")</f>
        <v>Abrir facsímil</v>
      </c>
      <c r="K5604" s="3" t="s">
        <v>32</v>
      </c>
    </row>
    <row r="5605" spans="1:11" ht="42" customHeight="1">
      <c r="A5605" s="2" t="s">
        <v>11130</v>
      </c>
      <c r="B5605" s="2" t="s">
        <v>11131</v>
      </c>
      <c r="C5605" s="2" t="s">
        <v>35</v>
      </c>
      <c r="D5605" s="2" t="s">
        <v>36</v>
      </c>
      <c r="E5605" s="5">
        <v>-28929</v>
      </c>
      <c r="F5605" s="3" t="s">
        <v>728</v>
      </c>
      <c r="G5605" s="3" t="s">
        <v>20</v>
      </c>
      <c r="H5605" s="2" t="s">
        <v>21</v>
      </c>
      <c r="I5605" s="2" t="s">
        <v>11132</v>
      </c>
      <c r="J5605" s="3" t="str">
        <f>HYPERLINK("https://www.boe.es/gazeta/dias/1820/10/16/pdfs/GGB-1820-110.pdf#page=4","Abrir facsímil")</f>
        <v>Abrir facsímil</v>
      </c>
      <c r="K5605" s="3" t="s">
        <v>23</v>
      </c>
    </row>
    <row r="5606" spans="1:11" ht="42" customHeight="1">
      <c r="A5606" s="2" t="s">
        <v>11133</v>
      </c>
      <c r="B5606" s="2" t="s">
        <v>11133</v>
      </c>
      <c r="C5606" s="2" t="s">
        <v>26</v>
      </c>
      <c r="D5606" s="2" t="s">
        <v>27</v>
      </c>
      <c r="E5606" s="5">
        <v>-28877</v>
      </c>
      <c r="F5606" s="3" t="s">
        <v>5611</v>
      </c>
      <c r="G5606" s="3" t="s">
        <v>43</v>
      </c>
      <c r="H5606" s="2" t="s">
        <v>21</v>
      </c>
      <c r="I5606" s="2" t="s">
        <v>11134</v>
      </c>
      <c r="J5606" s="3" t="str">
        <f>HYPERLINK("https://www.boe.es/gazeta/dias/1820/12/07/pdfs/GGB-1820-164.pdf#page=2","Abrir facsímil")</f>
        <v>Abrir facsímil</v>
      </c>
      <c r="K5606" s="3" t="s">
        <v>23</v>
      </c>
    </row>
    <row r="5607" spans="1:11" ht="42" customHeight="1">
      <c r="A5607" s="2" t="s">
        <v>11135</v>
      </c>
      <c r="B5607" s="2" t="s">
        <v>11136</v>
      </c>
      <c r="C5607" s="2" t="s">
        <v>26</v>
      </c>
      <c r="D5607" s="2" t="s">
        <v>27</v>
      </c>
      <c r="E5607" s="5">
        <v>-29192</v>
      </c>
      <c r="F5607" s="3" t="s">
        <v>497</v>
      </c>
      <c r="G5607" s="3" t="s">
        <v>295</v>
      </c>
      <c r="H5607" s="2" t="s">
        <v>21</v>
      </c>
      <c r="I5607" s="2" t="s">
        <v>11137</v>
      </c>
      <c r="J5607" s="3" t="str">
        <f>HYPERLINK("https://www.boe.es/gazeta/dias/1820/01/27/pdfs/GMD-1820-12.pdf#page=8","Abrir facsímil")</f>
        <v>Abrir facsímil</v>
      </c>
      <c r="K5607" s="3" t="s">
        <v>23</v>
      </c>
    </row>
    <row r="5608" spans="1:11" ht="42" customHeight="1">
      <c r="A5608" s="2" t="s">
        <v>11138</v>
      </c>
      <c r="B5608" s="2" t="s">
        <v>11139</v>
      </c>
      <c r="C5608" s="2" t="s">
        <v>107</v>
      </c>
      <c r="D5608" s="2" t="s">
        <v>18</v>
      </c>
      <c r="E5608" s="5">
        <v>-28929</v>
      </c>
      <c r="F5608" s="3" t="s">
        <v>728</v>
      </c>
      <c r="G5608" s="3" t="s">
        <v>62</v>
      </c>
      <c r="H5608" s="2" t="s">
        <v>30</v>
      </c>
      <c r="I5608" s="2" t="s">
        <v>11140</v>
      </c>
      <c r="J5608" s="3" t="str">
        <f>HYPERLINK("https://www.boe.es/gazeta/dias/1820/10/16/pdfs/GGB-1820-110.pdf#page=3","Abrir facsímil")</f>
        <v>Abrir facsímil</v>
      </c>
      <c r="K5608" s="3" t="s">
        <v>32</v>
      </c>
    </row>
    <row r="5609" spans="1:11" ht="42" customHeight="1">
      <c r="A5609" s="2" t="s">
        <v>11141</v>
      </c>
      <c r="B5609" s="2" t="s">
        <v>11142</v>
      </c>
      <c r="C5609" s="2" t="s">
        <v>26</v>
      </c>
      <c r="D5609" s="2" t="s">
        <v>27</v>
      </c>
      <c r="E5609" s="5">
        <v>-29194</v>
      </c>
      <c r="F5609" s="3" t="s">
        <v>416</v>
      </c>
      <c r="G5609" s="3" t="s">
        <v>201</v>
      </c>
      <c r="H5609" s="2" t="s">
        <v>21</v>
      </c>
      <c r="I5609" s="2" t="s">
        <v>11143</v>
      </c>
      <c r="J5609" s="3" t="str">
        <f>HYPERLINK("https://www.boe.es/gazeta/dias/1820/01/25/pdfs/GMD-1820-11.pdf#page=7","Abrir facsímil")</f>
        <v>Abrir facsímil</v>
      </c>
      <c r="K5609" s="3" t="s">
        <v>23</v>
      </c>
    </row>
    <row r="5610" spans="1:11" ht="42" customHeight="1">
      <c r="A5610" s="2" t="s">
        <v>11144</v>
      </c>
      <c r="B5610" s="2" t="s">
        <v>11145</v>
      </c>
      <c r="C5610" s="2" t="s">
        <v>26</v>
      </c>
      <c r="D5610" s="2" t="s">
        <v>27</v>
      </c>
      <c r="E5610" s="5">
        <v>-29120</v>
      </c>
      <c r="F5610" s="3" t="s">
        <v>852</v>
      </c>
      <c r="G5610" s="3" t="s">
        <v>295</v>
      </c>
      <c r="H5610" s="2" t="s">
        <v>30</v>
      </c>
      <c r="I5610" s="2" t="s">
        <v>11146</v>
      </c>
      <c r="J5610" s="3" t="str">
        <f>HYPERLINK("https://www.boe.es/gazeta/dias/1820/04/08/pdfs/GMD-1820-63.pdf#page=8","Abrir facsímil")</f>
        <v>Abrir facsímil</v>
      </c>
      <c r="K5610" s="3" t="s">
        <v>32</v>
      </c>
    </row>
    <row r="5611" spans="1:11" ht="42" customHeight="1">
      <c r="A5611" s="2" t="s">
        <v>11147</v>
      </c>
      <c r="B5611" s="2" t="s">
        <v>11147</v>
      </c>
      <c r="C5611" s="2" t="s">
        <v>26</v>
      </c>
      <c r="D5611" s="2" t="s">
        <v>27</v>
      </c>
      <c r="E5611" s="5">
        <v>-28874</v>
      </c>
      <c r="F5611" s="3" t="s">
        <v>103</v>
      </c>
      <c r="G5611" s="3" t="s">
        <v>43</v>
      </c>
      <c r="H5611" s="2" t="s">
        <v>21</v>
      </c>
      <c r="I5611" s="2" t="s">
        <v>11148</v>
      </c>
      <c r="J5611" s="3" t="str">
        <f>HYPERLINK("https://www.boe.es/gazeta/dias/1820/12/10/pdfs/GGB-1820-167.pdf#page=2","Abrir facsímil")</f>
        <v>Abrir facsímil</v>
      </c>
      <c r="K5611" s="3" t="s">
        <v>23</v>
      </c>
    </row>
    <row r="5612" spans="1:11" ht="42" customHeight="1">
      <c r="A5612" s="2" t="s">
        <v>11149</v>
      </c>
      <c r="B5612" s="2" t="s">
        <v>11149</v>
      </c>
      <c r="C5612" s="2" t="s">
        <v>26</v>
      </c>
      <c r="D5612" s="2" t="s">
        <v>27</v>
      </c>
      <c r="E5612" s="5">
        <v>-29108</v>
      </c>
      <c r="F5612" s="3" t="s">
        <v>304</v>
      </c>
      <c r="G5612" s="3" t="s">
        <v>62</v>
      </c>
      <c r="H5612" s="2" t="s">
        <v>21</v>
      </c>
      <c r="I5612" s="2" t="s">
        <v>11150</v>
      </c>
      <c r="J5612" s="3" t="str">
        <f>HYPERLINK("https://www.boe.es/gazeta/dias/1820/04/20/pdfs/GMD-1820-68.pdf#page=3","Abrir facsímil")</f>
        <v>Abrir facsímil</v>
      </c>
      <c r="K5612" s="3" t="s">
        <v>23</v>
      </c>
    </row>
    <row r="5613" spans="1:11" ht="42" customHeight="1">
      <c r="A5613" s="2" t="s">
        <v>11151</v>
      </c>
      <c r="B5613" s="2" t="s">
        <v>11152</v>
      </c>
      <c r="C5613" s="2" t="s">
        <v>17</v>
      </c>
      <c r="D5613" s="2" t="s">
        <v>18</v>
      </c>
      <c r="E5613" s="5">
        <v>-28865</v>
      </c>
      <c r="F5613" s="3" t="s">
        <v>136</v>
      </c>
      <c r="G5613" s="3" t="s">
        <v>137</v>
      </c>
      <c r="H5613" s="2" t="s">
        <v>21</v>
      </c>
      <c r="I5613" s="2" t="s">
        <v>11153</v>
      </c>
      <c r="J5613" s="3" t="str">
        <f>HYPERLINK("https://www.boe.es/gazeta/dias/1820/12/19/pdfs/GGB-1820-176.pdf#page=3","Abrir facsímil")</f>
        <v>Abrir facsímil</v>
      </c>
      <c r="K5613" s="3" t="s">
        <v>23</v>
      </c>
    </row>
    <row r="5614" spans="1:11" ht="42" customHeight="1">
      <c r="A5614" s="2" t="s">
        <v>11154</v>
      </c>
      <c r="B5614" s="2" t="s">
        <v>11155</v>
      </c>
      <c r="C5614" s="2" t="s">
        <v>35</v>
      </c>
      <c r="D5614" s="2" t="s">
        <v>310</v>
      </c>
      <c r="E5614" s="5">
        <v>-29145</v>
      </c>
      <c r="F5614" s="3" t="s">
        <v>392</v>
      </c>
      <c r="G5614" s="3" t="s">
        <v>43</v>
      </c>
      <c r="H5614" s="2" t="s">
        <v>30</v>
      </c>
      <c r="I5614" s="2" t="s">
        <v>11156</v>
      </c>
      <c r="J5614" s="3" t="str">
        <f>HYPERLINK("https://www.boe.es/gazeta/dias/1820/03/14/pdfs/GMD-1820-40E.pdf#page=2","Abrir facsímil")</f>
        <v>Abrir facsímil</v>
      </c>
      <c r="K5614" s="3" t="s">
        <v>32</v>
      </c>
    </row>
    <row r="5615" spans="1:11" ht="42" customHeight="1">
      <c r="A5615" s="2" t="s">
        <v>11157</v>
      </c>
      <c r="B5615" s="2" t="s">
        <v>11158</v>
      </c>
      <c r="C5615" s="2" t="s">
        <v>26</v>
      </c>
      <c r="D5615" s="2" t="s">
        <v>27</v>
      </c>
      <c r="E5615" s="5">
        <v>-28908</v>
      </c>
      <c r="F5615" s="3" t="s">
        <v>1060</v>
      </c>
      <c r="G5615" s="3" t="s">
        <v>62</v>
      </c>
      <c r="H5615" s="2" t="s">
        <v>21</v>
      </c>
      <c r="I5615" s="2" t="s">
        <v>11159</v>
      </c>
      <c r="J5615" s="3" t="str">
        <f>HYPERLINK("https://www.boe.es/gazeta/dias/1820/11/06/pdfs/GGB-1820-131.pdf#page=3","Abrir facsímil")</f>
        <v>Abrir facsímil</v>
      </c>
      <c r="K5615" s="3" t="s">
        <v>23</v>
      </c>
    </row>
    <row r="5616" spans="1:11" ht="42" customHeight="1">
      <c r="A5616" s="2" t="s">
        <v>11160</v>
      </c>
      <c r="B5616" s="2" t="s">
        <v>11161</v>
      </c>
      <c r="C5616" s="2" t="s">
        <v>35</v>
      </c>
      <c r="D5616" s="2" t="s">
        <v>36</v>
      </c>
      <c r="E5616" s="5">
        <v>-28931</v>
      </c>
      <c r="F5616" s="3" t="s">
        <v>724</v>
      </c>
      <c r="G5616" s="3" t="s">
        <v>43</v>
      </c>
      <c r="H5616" s="2" t="s">
        <v>21</v>
      </c>
      <c r="I5616" s="2" t="s">
        <v>11162</v>
      </c>
      <c r="J5616" s="3" t="str">
        <f>HYPERLINK("https://www.boe.es/gazeta/dias/1820/10/14/pdfs/GGB-1820-108.pdf#page=2","Abrir facsímil")</f>
        <v>Abrir facsímil</v>
      </c>
      <c r="K5616" s="3" t="s">
        <v>23</v>
      </c>
    </row>
    <row r="5617" spans="1:11" ht="42" customHeight="1">
      <c r="A5617" s="2" t="s">
        <v>11163</v>
      </c>
      <c r="B5617" s="2" t="s">
        <v>11164</v>
      </c>
      <c r="C5617" s="2" t="s">
        <v>107</v>
      </c>
      <c r="D5617" s="2" t="s">
        <v>18</v>
      </c>
      <c r="E5617" s="5">
        <v>-29157</v>
      </c>
      <c r="F5617" s="3" t="s">
        <v>2658</v>
      </c>
      <c r="G5617" s="3" t="s">
        <v>2659</v>
      </c>
      <c r="H5617" s="2" t="s">
        <v>30</v>
      </c>
      <c r="I5617" s="2" t="s">
        <v>11165</v>
      </c>
      <c r="J5617" s="3" t="str">
        <f>HYPERLINK("https://www.boe.es/gazeta/dias/1820/03/02/pdfs/GMD-1820-27.pdf#page=8","Abrir facsímil")</f>
        <v>Abrir facsímil</v>
      </c>
      <c r="K5617" s="3" t="s">
        <v>32</v>
      </c>
    </row>
    <row r="5618" spans="1:11" ht="42" customHeight="1">
      <c r="A5618" s="2" t="s">
        <v>11166</v>
      </c>
      <c r="B5618" s="2" t="s">
        <v>11167</v>
      </c>
      <c r="C5618" s="2" t="s">
        <v>26</v>
      </c>
      <c r="D5618" s="2" t="s">
        <v>27</v>
      </c>
      <c r="E5618" s="5">
        <v>-28946</v>
      </c>
      <c r="F5618" s="3" t="s">
        <v>1055</v>
      </c>
      <c r="G5618" s="3" t="s">
        <v>20</v>
      </c>
      <c r="H5618" s="2" t="s">
        <v>21</v>
      </c>
      <c r="I5618" s="2" t="s">
        <v>11168</v>
      </c>
      <c r="J5618" s="3" t="str">
        <f>HYPERLINK("https://www.boe.es/gazeta/dias/1820/09/29/pdfs/GGB-1820-93.pdf#page=4","Abrir facsímil")</f>
        <v>Abrir facsímil</v>
      </c>
      <c r="K5618" s="3" t="s">
        <v>23</v>
      </c>
    </row>
    <row r="5619" spans="1:11" ht="42" customHeight="1">
      <c r="A5619" s="2" t="s">
        <v>11169</v>
      </c>
      <c r="B5619" s="2" t="s">
        <v>11170</v>
      </c>
      <c r="C5619" s="2" t="s">
        <v>111</v>
      </c>
      <c r="D5619" s="2" t="s">
        <v>18</v>
      </c>
      <c r="E5619" s="5">
        <v>-28998</v>
      </c>
      <c r="F5619" s="3" t="s">
        <v>629</v>
      </c>
      <c r="G5619" s="3" t="s">
        <v>20</v>
      </c>
      <c r="H5619" s="2" t="s">
        <v>21</v>
      </c>
      <c r="I5619" s="2" t="s">
        <v>11171</v>
      </c>
      <c r="J5619" s="3" t="str">
        <f>HYPERLINK("https://www.boe.es/gazeta/dias/1820/08/08/pdfs/GGB-1820-41.pdf#page=4","Abrir facsímil")</f>
        <v>Abrir facsímil</v>
      </c>
      <c r="K5619" s="3" t="s">
        <v>23</v>
      </c>
    </row>
    <row r="5620" spans="1:11" ht="42" customHeight="1">
      <c r="A5620" s="2" t="s">
        <v>11172</v>
      </c>
      <c r="B5620" s="2" t="s">
        <v>11172</v>
      </c>
      <c r="C5620" s="2" t="s">
        <v>35</v>
      </c>
      <c r="D5620" s="2" t="s">
        <v>36</v>
      </c>
      <c r="E5620" s="5">
        <v>-28912</v>
      </c>
      <c r="F5620" s="3" t="s">
        <v>1329</v>
      </c>
      <c r="G5620" s="3" t="s">
        <v>62</v>
      </c>
      <c r="H5620" s="2" t="s">
        <v>21</v>
      </c>
      <c r="I5620" s="2" t="s">
        <v>11173</v>
      </c>
      <c r="J5620" s="3" t="str">
        <f>HYPERLINK("https://www.boe.es/gazeta/dias/1820/11/02/pdfs/GGB-1820-127.pdf#page=3","Abrir facsímil")</f>
        <v>Abrir facsímil</v>
      </c>
      <c r="K5620" s="3" t="s">
        <v>23</v>
      </c>
    </row>
    <row r="5621" spans="1:11" ht="42" customHeight="1">
      <c r="A5621" s="2" t="s">
        <v>11174</v>
      </c>
      <c r="B5621" s="2" t="s">
        <v>11174</v>
      </c>
      <c r="C5621" s="2" t="s">
        <v>74</v>
      </c>
      <c r="D5621" s="2" t="s">
        <v>18</v>
      </c>
      <c r="E5621" s="5">
        <v>-29011</v>
      </c>
      <c r="F5621" s="3" t="s">
        <v>338</v>
      </c>
      <c r="G5621" s="3" t="s">
        <v>62</v>
      </c>
      <c r="H5621" s="2" t="s">
        <v>21</v>
      </c>
      <c r="I5621" s="2" t="s">
        <v>11175</v>
      </c>
      <c r="J5621" s="3" t="str">
        <f>HYPERLINK("https://www.boe.es/gazeta/dias/1820/07/26/pdfs/GGB-1820-28.pdf#page=3","Abrir facsímil")</f>
        <v>Abrir facsímil</v>
      </c>
      <c r="K5621" s="3" t="s">
        <v>23</v>
      </c>
    </row>
    <row r="5622" spans="1:11" ht="42" customHeight="1">
      <c r="A5622" s="2" t="s">
        <v>11174</v>
      </c>
      <c r="B5622" s="2" t="s">
        <v>11174</v>
      </c>
      <c r="C5622" s="2" t="s">
        <v>1808</v>
      </c>
      <c r="D5622" s="2" t="s">
        <v>36</v>
      </c>
      <c r="E5622" s="5">
        <v>-29001</v>
      </c>
      <c r="F5622" s="3" t="s">
        <v>633</v>
      </c>
      <c r="G5622" s="3" t="s">
        <v>62</v>
      </c>
      <c r="H5622" s="2" t="s">
        <v>21</v>
      </c>
      <c r="I5622" s="2" t="s">
        <v>11176</v>
      </c>
      <c r="J5622" s="3" t="str">
        <f>HYPERLINK("https://www.boe.es/gazeta/dias/1820/08/05/pdfs/GGB-1820-38.pdf#page=3","Abrir facsímil")</f>
        <v>Abrir facsímil</v>
      </c>
      <c r="K5622" s="3" t="s">
        <v>23</v>
      </c>
    </row>
    <row r="5623" spans="1:11" ht="42" customHeight="1">
      <c r="A5623" s="2" t="s">
        <v>11174</v>
      </c>
      <c r="B5623" s="2" t="s">
        <v>11174</v>
      </c>
      <c r="C5623" s="2" t="s">
        <v>26</v>
      </c>
      <c r="D5623" s="2" t="s">
        <v>27</v>
      </c>
      <c r="E5623" s="5">
        <v>-28997</v>
      </c>
      <c r="F5623" s="3" t="s">
        <v>1471</v>
      </c>
      <c r="G5623" s="3" t="s">
        <v>62</v>
      </c>
      <c r="H5623" s="2" t="s">
        <v>21</v>
      </c>
      <c r="I5623" s="2" t="s">
        <v>11177</v>
      </c>
      <c r="J5623" s="3" t="str">
        <f>HYPERLINK("https://www.boe.es/gazeta/dias/1820/08/09/pdfs/GGB-1820-42.pdf#page=3","Abrir facsímil")</f>
        <v>Abrir facsímil</v>
      </c>
      <c r="K5623" s="3" t="s">
        <v>23</v>
      </c>
    </row>
    <row r="5624" spans="1:11" ht="42" customHeight="1">
      <c r="A5624" s="2" t="s">
        <v>11174</v>
      </c>
      <c r="B5624" s="2" t="s">
        <v>11174</v>
      </c>
      <c r="C5624" s="2" t="s">
        <v>17</v>
      </c>
      <c r="D5624" s="2" t="s">
        <v>18</v>
      </c>
      <c r="E5624" s="5">
        <v>-28954</v>
      </c>
      <c r="F5624" s="3" t="s">
        <v>28</v>
      </c>
      <c r="G5624" s="3" t="s">
        <v>20</v>
      </c>
      <c r="H5624" s="2" t="s">
        <v>21</v>
      </c>
      <c r="I5624" s="2" t="s">
        <v>11178</v>
      </c>
      <c r="J5624" s="3" t="str">
        <f>HYPERLINK("https://www.boe.es/gazeta/dias/1820/09/21/pdfs/GGB-1820-85.pdf#page=4","Abrir facsímil")</f>
        <v>Abrir facsímil</v>
      </c>
      <c r="K5624" s="3" t="s">
        <v>23</v>
      </c>
    </row>
    <row r="5625" spans="1:11" ht="42" customHeight="1">
      <c r="A5625" s="2" t="s">
        <v>11174</v>
      </c>
      <c r="B5625" s="2" t="s">
        <v>11174</v>
      </c>
      <c r="C5625" s="2" t="s">
        <v>74</v>
      </c>
      <c r="D5625" s="2" t="s">
        <v>18</v>
      </c>
      <c r="E5625" s="5">
        <v>-28950</v>
      </c>
      <c r="F5625" s="3" t="s">
        <v>1052</v>
      </c>
      <c r="G5625" s="3" t="s">
        <v>1372</v>
      </c>
      <c r="H5625" s="2" t="s">
        <v>21</v>
      </c>
      <c r="I5625" s="2" t="s">
        <v>11179</v>
      </c>
      <c r="J5625" s="3" t="str">
        <f>HYPERLINK("https://www.boe.es/gazeta/dias/1820/09/25/pdfs/GGB-1820-89.pdf#page=2","Abrir facsímil")</f>
        <v>Abrir facsímil</v>
      </c>
      <c r="K5625" s="3" t="s">
        <v>23</v>
      </c>
    </row>
    <row r="5626" spans="1:11" ht="42" customHeight="1">
      <c r="A5626" s="2" t="s">
        <v>11174</v>
      </c>
      <c r="B5626" s="2" t="s">
        <v>11174</v>
      </c>
      <c r="C5626" s="2" t="s">
        <v>47</v>
      </c>
      <c r="D5626" s="2" t="s">
        <v>18</v>
      </c>
      <c r="E5626" s="5">
        <v>-28933</v>
      </c>
      <c r="F5626" s="3" t="s">
        <v>720</v>
      </c>
      <c r="G5626" s="3" t="s">
        <v>20</v>
      </c>
      <c r="H5626" s="2" t="s">
        <v>21</v>
      </c>
      <c r="I5626" s="2" t="s">
        <v>11180</v>
      </c>
      <c r="J5626" s="3" t="str">
        <f>HYPERLINK("https://www.boe.es/gazeta/dias/1820/10/12/pdfs/GGB-1820-106.pdf#page=4","Abrir facsímil")</f>
        <v>Abrir facsímil</v>
      </c>
      <c r="K5626" s="3" t="s">
        <v>23</v>
      </c>
    </row>
    <row r="5627" spans="1:11" ht="42" customHeight="1">
      <c r="A5627" s="2" t="s">
        <v>11181</v>
      </c>
      <c r="B5627" s="2" t="s">
        <v>11181</v>
      </c>
      <c r="C5627" s="2" t="s">
        <v>17</v>
      </c>
      <c r="D5627" s="2" t="s">
        <v>18</v>
      </c>
      <c r="E5627" s="5">
        <v>-28949</v>
      </c>
      <c r="F5627" s="3" t="s">
        <v>178</v>
      </c>
      <c r="G5627" s="3" t="s">
        <v>62</v>
      </c>
      <c r="H5627" s="2" t="s">
        <v>21</v>
      </c>
      <c r="I5627" s="2" t="s">
        <v>11182</v>
      </c>
      <c r="J5627" s="3" t="str">
        <f>HYPERLINK("https://www.boe.es/gazeta/dias/1820/09/26/pdfs/GGB-1820-90.pdf#page=3","Abrir facsímil")</f>
        <v>Abrir facsímil</v>
      </c>
      <c r="K5627" s="3" t="s">
        <v>23</v>
      </c>
    </row>
    <row r="5628" spans="1:11" ht="42" customHeight="1">
      <c r="A5628" s="2" t="s">
        <v>11183</v>
      </c>
      <c r="B5628" s="2" t="s">
        <v>11183</v>
      </c>
      <c r="C5628" s="2" t="s">
        <v>74</v>
      </c>
      <c r="D5628" s="2" t="s">
        <v>18</v>
      </c>
      <c r="E5628" s="5">
        <v>-29012</v>
      </c>
      <c r="F5628" s="3" t="s">
        <v>72</v>
      </c>
      <c r="G5628" s="3" t="s">
        <v>661</v>
      </c>
      <c r="H5628" s="2" t="s">
        <v>21</v>
      </c>
      <c r="I5628" s="2" t="s">
        <v>11184</v>
      </c>
      <c r="J5628" s="3" t="str">
        <f>HYPERLINK("https://www.boe.es/gazeta/dias/1820/07/25/pdfs/GGB-1820-27.pdf#page=2","Abrir facsímil")</f>
        <v>Abrir facsímil</v>
      </c>
      <c r="K5628" s="3" t="s">
        <v>23</v>
      </c>
    </row>
    <row r="5629" spans="1:11" ht="42" customHeight="1">
      <c r="A5629" s="2" t="s">
        <v>11183</v>
      </c>
      <c r="B5629" s="2" t="s">
        <v>11183</v>
      </c>
      <c r="C5629" s="2" t="s">
        <v>35</v>
      </c>
      <c r="D5629" s="2" t="s">
        <v>36</v>
      </c>
      <c r="E5629" s="5">
        <v>-29009</v>
      </c>
      <c r="F5629" s="3" t="s">
        <v>605</v>
      </c>
      <c r="G5629" s="3" t="s">
        <v>62</v>
      </c>
      <c r="H5629" s="2" t="s">
        <v>21</v>
      </c>
      <c r="I5629" s="2" t="s">
        <v>11185</v>
      </c>
      <c r="J5629" s="3" t="str">
        <f>HYPERLINK("https://www.boe.es/gazeta/dias/1820/07/28/pdfs/GGB-1820-30.pdf#page=3","Abrir facsímil")</f>
        <v>Abrir facsímil</v>
      </c>
      <c r="K5629" s="3" t="s">
        <v>23</v>
      </c>
    </row>
    <row r="5630" spans="1:11" ht="42" customHeight="1">
      <c r="A5630" s="2" t="s">
        <v>11183</v>
      </c>
      <c r="B5630" s="2" t="s">
        <v>11183</v>
      </c>
      <c r="C5630" s="2" t="s">
        <v>74</v>
      </c>
      <c r="D5630" s="2" t="s">
        <v>18</v>
      </c>
      <c r="E5630" s="5">
        <v>-29006</v>
      </c>
      <c r="F5630" s="3" t="s">
        <v>609</v>
      </c>
      <c r="G5630" s="3" t="s">
        <v>43</v>
      </c>
      <c r="H5630" s="2" t="s">
        <v>21</v>
      </c>
      <c r="I5630" s="2" t="s">
        <v>11186</v>
      </c>
      <c r="J5630" s="3" t="str">
        <f>HYPERLINK("https://www.boe.es/gazeta/dias/1820/07/31/pdfs/GGB-1820-33.pdf#page=2","Abrir facsímil")</f>
        <v>Abrir facsímil</v>
      </c>
      <c r="K5630" s="3" t="s">
        <v>23</v>
      </c>
    </row>
    <row r="5631" spans="1:11" ht="42" customHeight="1">
      <c r="A5631" s="2" t="s">
        <v>11183</v>
      </c>
      <c r="B5631" s="2" t="s">
        <v>11183</v>
      </c>
      <c r="C5631" s="2" t="s">
        <v>26</v>
      </c>
      <c r="D5631" s="2" t="s">
        <v>27</v>
      </c>
      <c r="E5631" s="5">
        <v>-29003</v>
      </c>
      <c r="F5631" s="3" t="s">
        <v>340</v>
      </c>
      <c r="G5631" s="3" t="s">
        <v>128</v>
      </c>
      <c r="H5631" s="2" t="s">
        <v>21</v>
      </c>
      <c r="I5631" s="2" t="s">
        <v>11187</v>
      </c>
      <c r="J5631" s="3" t="str">
        <f>HYPERLINK("https://www.boe.es/gazeta/dias/1820/08/03/pdfs/GGB-1820-36.pdf#page=1","Abrir facsímil")</f>
        <v>Abrir facsímil</v>
      </c>
      <c r="K5631" s="3" t="s">
        <v>23</v>
      </c>
    </row>
    <row r="5632" spans="1:11" ht="42" customHeight="1">
      <c r="A5632" s="2" t="s">
        <v>11183</v>
      </c>
      <c r="B5632" s="2" t="s">
        <v>11183</v>
      </c>
      <c r="C5632" s="2" t="s">
        <v>74</v>
      </c>
      <c r="D5632" s="2" t="s">
        <v>18</v>
      </c>
      <c r="E5632" s="5">
        <v>-29003</v>
      </c>
      <c r="F5632" s="3" t="s">
        <v>340</v>
      </c>
      <c r="G5632" s="3" t="s">
        <v>43</v>
      </c>
      <c r="H5632" s="2" t="s">
        <v>21</v>
      </c>
      <c r="I5632" s="2" t="s">
        <v>11188</v>
      </c>
      <c r="J5632" s="3" t="str">
        <f>HYPERLINK("https://www.boe.es/gazeta/dias/1820/08/03/pdfs/GGB-1820-36.pdf#page=2","Abrir facsímil")</f>
        <v>Abrir facsímil</v>
      </c>
      <c r="K5632" s="3" t="s">
        <v>23</v>
      </c>
    </row>
    <row r="5633" spans="1:11" ht="42" customHeight="1">
      <c r="A5633" s="2" t="s">
        <v>11183</v>
      </c>
      <c r="B5633" s="2" t="s">
        <v>11183</v>
      </c>
      <c r="C5633" s="2" t="s">
        <v>35</v>
      </c>
      <c r="D5633" s="2" t="s">
        <v>36</v>
      </c>
      <c r="E5633" s="5">
        <v>-29002</v>
      </c>
      <c r="F5633" s="3" t="s">
        <v>124</v>
      </c>
      <c r="G5633" s="3" t="s">
        <v>20</v>
      </c>
      <c r="H5633" s="2" t="s">
        <v>21</v>
      </c>
      <c r="I5633" s="2" t="s">
        <v>11189</v>
      </c>
      <c r="J5633" s="3" t="str">
        <f>HYPERLINK("https://www.boe.es/gazeta/dias/1820/08/04/pdfs/GGB-1820-37.pdf#page=4","Abrir facsímil")</f>
        <v>Abrir facsímil</v>
      </c>
      <c r="K5633" s="3" t="s">
        <v>23</v>
      </c>
    </row>
    <row r="5634" spans="1:11" ht="42" customHeight="1">
      <c r="A5634" s="2" t="s">
        <v>11183</v>
      </c>
      <c r="B5634" s="2" t="s">
        <v>11183</v>
      </c>
      <c r="C5634" s="2" t="s">
        <v>17</v>
      </c>
      <c r="D5634" s="2" t="s">
        <v>18</v>
      </c>
      <c r="E5634" s="5">
        <v>-29001</v>
      </c>
      <c r="F5634" s="3" t="s">
        <v>633</v>
      </c>
      <c r="G5634" s="3" t="s">
        <v>43</v>
      </c>
      <c r="H5634" s="2" t="s">
        <v>21</v>
      </c>
      <c r="I5634" s="2" t="s">
        <v>11190</v>
      </c>
      <c r="J5634" s="3" t="str">
        <f>HYPERLINK("https://www.boe.es/gazeta/dias/1820/08/05/pdfs/GGB-1820-38.pdf#page=2","Abrir facsímil")</f>
        <v>Abrir facsímil</v>
      </c>
      <c r="K5634" s="3" t="s">
        <v>23</v>
      </c>
    </row>
    <row r="5635" spans="1:11" ht="42" customHeight="1">
      <c r="A5635" s="2" t="s">
        <v>11183</v>
      </c>
      <c r="B5635" s="2" t="s">
        <v>11183</v>
      </c>
      <c r="C5635" s="2" t="s">
        <v>111</v>
      </c>
      <c r="D5635" s="2" t="s">
        <v>18</v>
      </c>
      <c r="E5635" s="5">
        <v>-28999</v>
      </c>
      <c r="F5635" s="3" t="s">
        <v>342</v>
      </c>
      <c r="G5635" s="3" t="s">
        <v>62</v>
      </c>
      <c r="H5635" s="2" t="s">
        <v>21</v>
      </c>
      <c r="I5635" s="2" t="s">
        <v>11191</v>
      </c>
      <c r="J5635" s="3" t="str">
        <f>HYPERLINK("https://www.boe.es/gazeta/dias/1820/08/07/pdfs/GGB-1820-40.pdf#page=3","Abrir facsímil")</f>
        <v>Abrir facsímil</v>
      </c>
      <c r="K5635" s="3" t="s">
        <v>23</v>
      </c>
    </row>
    <row r="5636" spans="1:11" ht="42" customHeight="1">
      <c r="A5636" s="2" t="s">
        <v>11183</v>
      </c>
      <c r="B5636" s="2" t="s">
        <v>11183</v>
      </c>
      <c r="C5636" s="2" t="s">
        <v>17</v>
      </c>
      <c r="D5636" s="2" t="s">
        <v>18</v>
      </c>
      <c r="E5636" s="5">
        <v>-28995</v>
      </c>
      <c r="F5636" s="3" t="s">
        <v>672</v>
      </c>
      <c r="G5636" s="3" t="s">
        <v>20</v>
      </c>
      <c r="H5636" s="2" t="s">
        <v>21</v>
      </c>
      <c r="I5636" s="2" t="s">
        <v>11192</v>
      </c>
      <c r="J5636" s="3" t="str">
        <f>HYPERLINK("https://www.boe.es/gazeta/dias/1820/08/11/pdfs/GGB-1820-44.pdf#page=4","Abrir facsímil")</f>
        <v>Abrir facsímil</v>
      </c>
      <c r="K5636" s="3" t="s">
        <v>23</v>
      </c>
    </row>
    <row r="5637" spans="1:11" ht="42" customHeight="1">
      <c r="A5637" s="2" t="s">
        <v>11183</v>
      </c>
      <c r="B5637" s="2" t="s">
        <v>11183</v>
      </c>
      <c r="C5637" s="2" t="s">
        <v>26</v>
      </c>
      <c r="D5637" s="2" t="s">
        <v>27</v>
      </c>
      <c r="E5637" s="5">
        <v>-28989</v>
      </c>
      <c r="F5637" s="3" t="s">
        <v>809</v>
      </c>
      <c r="G5637" s="3" t="s">
        <v>43</v>
      </c>
      <c r="H5637" s="2" t="s">
        <v>21</v>
      </c>
      <c r="I5637" s="2" t="s">
        <v>11193</v>
      </c>
      <c r="J5637" s="3" t="str">
        <f>HYPERLINK("https://www.boe.es/gazeta/dias/1820/08/17/pdfs/GGB-1820-50.pdf#page=2","Abrir facsímil")</f>
        <v>Abrir facsímil</v>
      </c>
      <c r="K5637" s="3" t="s">
        <v>23</v>
      </c>
    </row>
    <row r="5638" spans="1:11" ht="42" customHeight="1">
      <c r="A5638" s="2" t="s">
        <v>11183</v>
      </c>
      <c r="B5638" s="2" t="s">
        <v>11183</v>
      </c>
      <c r="C5638" s="2" t="s">
        <v>17</v>
      </c>
      <c r="D5638" s="2" t="s">
        <v>18</v>
      </c>
      <c r="E5638" s="5">
        <v>-28988</v>
      </c>
      <c r="F5638" s="3" t="s">
        <v>618</v>
      </c>
      <c r="G5638" s="3" t="s">
        <v>62</v>
      </c>
      <c r="H5638" s="2" t="s">
        <v>21</v>
      </c>
      <c r="I5638" s="2" t="s">
        <v>11194</v>
      </c>
      <c r="J5638" s="3" t="str">
        <f>HYPERLINK("https://www.boe.es/gazeta/dias/1820/08/18/pdfs/GGB-1820-51.pdf#page=3","Abrir facsímil")</f>
        <v>Abrir facsímil</v>
      </c>
      <c r="K5638" s="3" t="s">
        <v>23</v>
      </c>
    </row>
    <row r="5639" spans="1:11" ht="42" customHeight="1">
      <c r="A5639" s="2" t="s">
        <v>11183</v>
      </c>
      <c r="B5639" s="2" t="s">
        <v>11183</v>
      </c>
      <c r="C5639" s="2" t="s">
        <v>26</v>
      </c>
      <c r="D5639" s="2" t="s">
        <v>27</v>
      </c>
      <c r="E5639" s="5">
        <v>-28984</v>
      </c>
      <c r="F5639" s="3" t="s">
        <v>520</v>
      </c>
      <c r="G5639" s="3" t="s">
        <v>62</v>
      </c>
      <c r="H5639" s="2" t="s">
        <v>21</v>
      </c>
      <c r="I5639" s="2" t="s">
        <v>11195</v>
      </c>
      <c r="J5639" s="3" t="str">
        <f>HYPERLINK("https://www.boe.es/gazeta/dias/1820/08/22/pdfs/GGB-1820-55.pdf#page=3","Abrir facsímil")</f>
        <v>Abrir facsímil</v>
      </c>
      <c r="K5639" s="3" t="s">
        <v>23</v>
      </c>
    </row>
    <row r="5640" spans="1:11" ht="42" customHeight="1">
      <c r="A5640" s="2" t="s">
        <v>11183</v>
      </c>
      <c r="B5640" s="2" t="s">
        <v>11183</v>
      </c>
      <c r="C5640" s="2" t="s">
        <v>35</v>
      </c>
      <c r="D5640" s="2" t="s">
        <v>36</v>
      </c>
      <c r="E5640" s="5">
        <v>-28981</v>
      </c>
      <c r="F5640" s="3" t="s">
        <v>42</v>
      </c>
      <c r="G5640" s="3" t="s">
        <v>62</v>
      </c>
      <c r="H5640" s="2" t="s">
        <v>21</v>
      </c>
      <c r="I5640" s="2" t="s">
        <v>11196</v>
      </c>
      <c r="J5640" s="3" t="str">
        <f>HYPERLINK("https://www.boe.es/gazeta/dias/1820/08/25/pdfs/GGB-1820-58.pdf#page=3","Abrir facsímil")</f>
        <v>Abrir facsímil</v>
      </c>
      <c r="K5640" s="3" t="s">
        <v>23</v>
      </c>
    </row>
    <row r="5641" spans="1:11" ht="42" customHeight="1">
      <c r="A5641" s="2" t="s">
        <v>11183</v>
      </c>
      <c r="B5641" s="2" t="s">
        <v>11183</v>
      </c>
      <c r="C5641" s="2" t="s">
        <v>17</v>
      </c>
      <c r="D5641" s="2" t="s">
        <v>18</v>
      </c>
      <c r="E5641" s="5">
        <v>-28979</v>
      </c>
      <c r="F5641" s="3" t="s">
        <v>218</v>
      </c>
      <c r="G5641" s="3" t="s">
        <v>62</v>
      </c>
      <c r="H5641" s="2" t="s">
        <v>21</v>
      </c>
      <c r="I5641" s="2" t="s">
        <v>11197</v>
      </c>
      <c r="J5641" s="3" t="str">
        <f>HYPERLINK("https://www.boe.es/gazeta/dias/1820/08/27/pdfs/GGB-1820-60.pdf#page=3","Abrir facsímil")</f>
        <v>Abrir facsímil</v>
      </c>
      <c r="K5641" s="3" t="s">
        <v>23</v>
      </c>
    </row>
    <row r="5642" spans="1:11" ht="42" customHeight="1">
      <c r="A5642" s="2" t="s">
        <v>11183</v>
      </c>
      <c r="B5642" s="2" t="s">
        <v>11183</v>
      </c>
      <c r="C5642" s="2" t="s">
        <v>35</v>
      </c>
      <c r="D5642" s="2" t="s">
        <v>36</v>
      </c>
      <c r="E5642" s="5">
        <v>-28977</v>
      </c>
      <c r="F5642" s="3" t="s">
        <v>687</v>
      </c>
      <c r="G5642" s="3" t="s">
        <v>20</v>
      </c>
      <c r="H5642" s="2" t="s">
        <v>21</v>
      </c>
      <c r="I5642" s="2" t="s">
        <v>11198</v>
      </c>
      <c r="J5642" s="3" t="str">
        <f>HYPERLINK("https://www.boe.es/gazeta/dias/1820/08/29/pdfs/GGB-1820-62.pdf#page=4","Abrir facsímil")</f>
        <v>Abrir facsímil</v>
      </c>
      <c r="K5642" s="3" t="s">
        <v>23</v>
      </c>
    </row>
    <row r="5643" spans="1:11" ht="42" customHeight="1">
      <c r="A5643" s="2" t="s">
        <v>11183</v>
      </c>
      <c r="B5643" s="2" t="s">
        <v>11183</v>
      </c>
      <c r="C5643" s="2" t="s">
        <v>17</v>
      </c>
      <c r="D5643" s="2" t="s">
        <v>18</v>
      </c>
      <c r="E5643" s="5">
        <v>-28970</v>
      </c>
      <c r="F5643" s="3" t="s">
        <v>693</v>
      </c>
      <c r="G5643" s="3" t="s">
        <v>128</v>
      </c>
      <c r="H5643" s="2" t="s">
        <v>21</v>
      </c>
      <c r="I5643" s="2" t="s">
        <v>11199</v>
      </c>
      <c r="J5643" s="3" t="str">
        <f>HYPERLINK("https://www.boe.es/gazeta/dias/1820/09/05/pdfs/GGB-1820-69.pdf#page=1","Abrir facsímil")</f>
        <v>Abrir facsímil</v>
      </c>
      <c r="K5643" s="3" t="s">
        <v>23</v>
      </c>
    </row>
    <row r="5644" spans="1:11" ht="42" customHeight="1">
      <c r="A5644" s="2" t="s">
        <v>11183</v>
      </c>
      <c r="B5644" s="2" t="s">
        <v>11183</v>
      </c>
      <c r="C5644" s="2" t="s">
        <v>74</v>
      </c>
      <c r="D5644" s="2" t="s">
        <v>18</v>
      </c>
      <c r="E5644" s="5">
        <v>-28954</v>
      </c>
      <c r="F5644" s="3" t="s">
        <v>28</v>
      </c>
      <c r="G5644" s="3" t="s">
        <v>29</v>
      </c>
      <c r="H5644" s="2" t="s">
        <v>21</v>
      </c>
      <c r="I5644" s="2" t="s">
        <v>11200</v>
      </c>
      <c r="J5644" s="3" t="str">
        <f>HYPERLINK("https://www.boe.es/gazeta/dias/1820/09/21/pdfs/GGB-1820-85.pdf#page=2","Abrir facsímil")</f>
        <v>Abrir facsímil</v>
      </c>
      <c r="K5644" s="3" t="s">
        <v>23</v>
      </c>
    </row>
    <row r="5645" spans="1:11" ht="42" customHeight="1">
      <c r="A5645" s="2" t="s">
        <v>11183</v>
      </c>
      <c r="B5645" s="2" t="s">
        <v>11183</v>
      </c>
      <c r="C5645" s="2" t="s">
        <v>26</v>
      </c>
      <c r="D5645" s="2" t="s">
        <v>27</v>
      </c>
      <c r="E5645" s="5">
        <v>-28951</v>
      </c>
      <c r="F5645" s="3" t="s">
        <v>622</v>
      </c>
      <c r="G5645" s="3" t="s">
        <v>62</v>
      </c>
      <c r="H5645" s="2" t="s">
        <v>21</v>
      </c>
      <c r="I5645" s="2" t="s">
        <v>11201</v>
      </c>
      <c r="J5645" s="3" t="str">
        <f>HYPERLINK("https://www.boe.es/gazeta/dias/1820/09/24/pdfs/GGB-1820-88.pdf#page=3","Abrir facsímil")</f>
        <v>Abrir facsímil</v>
      </c>
      <c r="K5645" s="3" t="s">
        <v>23</v>
      </c>
    </row>
    <row r="5646" spans="1:11" ht="42" customHeight="1">
      <c r="A5646" s="2" t="s">
        <v>11183</v>
      </c>
      <c r="B5646" s="2" t="s">
        <v>11183</v>
      </c>
      <c r="C5646" s="2" t="s">
        <v>26</v>
      </c>
      <c r="D5646" s="2" t="s">
        <v>27</v>
      </c>
      <c r="E5646" s="5">
        <v>-28950</v>
      </c>
      <c r="F5646" s="3" t="s">
        <v>1052</v>
      </c>
      <c r="G5646" s="3" t="s">
        <v>62</v>
      </c>
      <c r="H5646" s="2" t="s">
        <v>21</v>
      </c>
      <c r="I5646" s="2" t="s">
        <v>11202</v>
      </c>
      <c r="J5646" s="3" t="str">
        <f>HYPERLINK("https://www.boe.es/gazeta/dias/1820/09/25/pdfs/GGB-1820-89.pdf#page=3","Abrir facsímil")</f>
        <v>Abrir facsímil</v>
      </c>
      <c r="K5646" s="3" t="s">
        <v>23</v>
      </c>
    </row>
    <row r="5647" spans="1:11" ht="42" customHeight="1">
      <c r="A5647" s="2" t="s">
        <v>11183</v>
      </c>
      <c r="B5647" s="2" t="s">
        <v>11183</v>
      </c>
      <c r="C5647" s="2" t="s">
        <v>111</v>
      </c>
      <c r="D5647" s="2" t="s">
        <v>18</v>
      </c>
      <c r="E5647" s="5">
        <v>-28950</v>
      </c>
      <c r="F5647" s="3" t="s">
        <v>1052</v>
      </c>
      <c r="G5647" s="3" t="s">
        <v>20</v>
      </c>
      <c r="H5647" s="2" t="s">
        <v>21</v>
      </c>
      <c r="I5647" s="2" t="s">
        <v>11203</v>
      </c>
      <c r="J5647" s="3" t="str">
        <f>HYPERLINK("https://www.boe.es/gazeta/dias/1820/09/25/pdfs/GGB-1820-89.pdf#page=4","Abrir facsímil")</f>
        <v>Abrir facsímil</v>
      </c>
      <c r="K5647" s="3" t="s">
        <v>23</v>
      </c>
    </row>
    <row r="5648" spans="1:11" ht="42" customHeight="1">
      <c r="A5648" s="2" t="s">
        <v>11183</v>
      </c>
      <c r="B5648" s="2" t="s">
        <v>11183</v>
      </c>
      <c r="C5648" s="2" t="s">
        <v>293</v>
      </c>
      <c r="D5648" s="2" t="s">
        <v>18</v>
      </c>
      <c r="E5648" s="5">
        <v>-28949</v>
      </c>
      <c r="F5648" s="3" t="s">
        <v>178</v>
      </c>
      <c r="G5648" s="3" t="s">
        <v>43</v>
      </c>
      <c r="H5648" s="2" t="s">
        <v>21</v>
      </c>
      <c r="I5648" s="2" t="s">
        <v>11204</v>
      </c>
      <c r="J5648" s="3" t="str">
        <f>HYPERLINK("https://www.boe.es/gazeta/dias/1820/09/26/pdfs/GGB-1820-90.pdf#page=2","Abrir facsímil")</f>
        <v>Abrir facsímil</v>
      </c>
      <c r="K5648" s="3" t="s">
        <v>23</v>
      </c>
    </row>
    <row r="5649" spans="1:11" ht="42" customHeight="1">
      <c r="A5649" s="2" t="s">
        <v>11183</v>
      </c>
      <c r="B5649" s="2" t="s">
        <v>11183</v>
      </c>
      <c r="C5649" s="2" t="s">
        <v>17</v>
      </c>
      <c r="D5649" s="2" t="s">
        <v>18</v>
      </c>
      <c r="E5649" s="5">
        <v>-28947</v>
      </c>
      <c r="F5649" s="3" t="s">
        <v>127</v>
      </c>
      <c r="G5649" s="3" t="s">
        <v>43</v>
      </c>
      <c r="H5649" s="2" t="s">
        <v>21</v>
      </c>
      <c r="I5649" s="2" t="s">
        <v>11205</v>
      </c>
      <c r="J5649" s="3" t="str">
        <f>HYPERLINK("https://www.boe.es/gazeta/dias/1820/09/28/pdfs/GGB-1820-92.pdf#page=2","Abrir facsímil")</f>
        <v>Abrir facsímil</v>
      </c>
      <c r="K5649" s="3" t="s">
        <v>23</v>
      </c>
    </row>
    <row r="5650" spans="1:11" ht="42" customHeight="1">
      <c r="A5650" s="2" t="s">
        <v>11183</v>
      </c>
      <c r="B5650" s="2" t="s">
        <v>11183</v>
      </c>
      <c r="C5650" s="2" t="s">
        <v>35</v>
      </c>
      <c r="D5650" s="2" t="s">
        <v>36</v>
      </c>
      <c r="E5650" s="5">
        <v>-28940</v>
      </c>
      <c r="F5650" s="3" t="s">
        <v>141</v>
      </c>
      <c r="G5650" s="3" t="s">
        <v>43</v>
      </c>
      <c r="H5650" s="2" t="s">
        <v>21</v>
      </c>
      <c r="I5650" s="2" t="s">
        <v>11206</v>
      </c>
      <c r="J5650" s="3" t="str">
        <f>HYPERLINK("https://www.boe.es/gazeta/dias/1820/10/05/pdfs/GGB-1820-99.pdf#page=2","Abrir facsímil")</f>
        <v>Abrir facsímil</v>
      </c>
      <c r="K5650" s="3" t="s">
        <v>23</v>
      </c>
    </row>
    <row r="5651" spans="1:11" ht="42" customHeight="1">
      <c r="A5651" s="2" t="s">
        <v>11183</v>
      </c>
      <c r="B5651" s="2" t="s">
        <v>11183</v>
      </c>
      <c r="C5651" s="2" t="s">
        <v>17</v>
      </c>
      <c r="D5651" s="2" t="s">
        <v>18</v>
      </c>
      <c r="E5651" s="5">
        <v>-28936</v>
      </c>
      <c r="F5651" s="3" t="s">
        <v>167</v>
      </c>
      <c r="G5651" s="3" t="s">
        <v>62</v>
      </c>
      <c r="H5651" s="2" t="s">
        <v>21</v>
      </c>
      <c r="I5651" s="2" t="s">
        <v>11207</v>
      </c>
      <c r="J5651" s="3" t="str">
        <f>HYPERLINK("https://www.boe.es/gazeta/dias/1820/10/09/pdfs/GGB-1820-103.pdf#page=3","Abrir facsímil")</f>
        <v>Abrir facsímil</v>
      </c>
      <c r="K5651" s="3" t="s">
        <v>23</v>
      </c>
    </row>
    <row r="5652" spans="1:11" ht="42" customHeight="1">
      <c r="A5652" s="2" t="s">
        <v>11183</v>
      </c>
      <c r="B5652" s="2" t="s">
        <v>11183</v>
      </c>
      <c r="C5652" s="2" t="s">
        <v>35</v>
      </c>
      <c r="D5652" s="2" t="s">
        <v>36</v>
      </c>
      <c r="E5652" s="5">
        <v>-28930</v>
      </c>
      <c r="F5652" s="3" t="s">
        <v>372</v>
      </c>
      <c r="G5652" s="3" t="s">
        <v>62</v>
      </c>
      <c r="H5652" s="2" t="s">
        <v>21</v>
      </c>
      <c r="I5652" s="2" t="s">
        <v>11208</v>
      </c>
      <c r="J5652" s="3" t="str">
        <f>HYPERLINK("https://www.boe.es/gazeta/dias/1820/10/15/pdfs/GGB-1820-109.pdf#page=3","Abrir facsímil")</f>
        <v>Abrir facsímil</v>
      </c>
      <c r="K5652" s="3" t="s">
        <v>23</v>
      </c>
    </row>
    <row r="5653" spans="1:11" ht="42" customHeight="1">
      <c r="A5653" s="2" t="s">
        <v>11183</v>
      </c>
      <c r="B5653" s="2" t="s">
        <v>11183</v>
      </c>
      <c r="C5653" s="2" t="s">
        <v>111</v>
      </c>
      <c r="D5653" s="2" t="s">
        <v>18</v>
      </c>
      <c r="E5653" s="5">
        <v>-28917</v>
      </c>
      <c r="F5653" s="3" t="s">
        <v>19</v>
      </c>
      <c r="G5653" s="3" t="s">
        <v>43</v>
      </c>
      <c r="H5653" s="2" t="s">
        <v>21</v>
      </c>
      <c r="I5653" s="2" t="s">
        <v>11209</v>
      </c>
      <c r="J5653" s="3" t="str">
        <f>HYPERLINK("https://www.boe.es/gazeta/dias/1820/10/28/pdfs/GGB-1820-122.pdf#page=2","Abrir facsímil")</f>
        <v>Abrir facsímil</v>
      </c>
      <c r="K5653" s="3" t="s">
        <v>23</v>
      </c>
    </row>
    <row r="5654" spans="1:11" ht="42" customHeight="1">
      <c r="A5654" s="2" t="s">
        <v>11183</v>
      </c>
      <c r="B5654" s="2" t="s">
        <v>11183</v>
      </c>
      <c r="C5654" s="2" t="s">
        <v>35</v>
      </c>
      <c r="D5654" s="2" t="s">
        <v>36</v>
      </c>
      <c r="E5654" s="5">
        <v>-28916</v>
      </c>
      <c r="F5654" s="3" t="s">
        <v>2688</v>
      </c>
      <c r="G5654" s="3" t="s">
        <v>62</v>
      </c>
      <c r="H5654" s="2" t="s">
        <v>21</v>
      </c>
      <c r="I5654" s="2" t="s">
        <v>11210</v>
      </c>
      <c r="J5654" s="3" t="str">
        <f>HYPERLINK("https://www.boe.es/gazeta/dias/1820/10/29/pdfs/GGB-1820-123.pdf#page=3","Abrir facsímil")</f>
        <v>Abrir facsímil</v>
      </c>
      <c r="K5654" s="3" t="s">
        <v>23</v>
      </c>
    </row>
    <row r="5655" spans="1:11" ht="42" customHeight="1">
      <c r="A5655" s="2" t="s">
        <v>11211</v>
      </c>
      <c r="B5655" s="2" t="s">
        <v>11212</v>
      </c>
      <c r="C5655" s="2" t="s">
        <v>26</v>
      </c>
      <c r="D5655" s="2" t="s">
        <v>27</v>
      </c>
      <c r="E5655" s="5">
        <v>-28866</v>
      </c>
      <c r="F5655" s="3" t="s">
        <v>507</v>
      </c>
      <c r="G5655" s="3" t="s">
        <v>62</v>
      </c>
      <c r="H5655" s="2" t="s">
        <v>21</v>
      </c>
      <c r="I5655" s="2" t="s">
        <v>11213</v>
      </c>
      <c r="J5655" s="3" t="str">
        <f>HYPERLINK("https://www.boe.es/gazeta/dias/1820/12/18/pdfs/GGB-1820-175.pdf#page=3","Abrir facsímil")</f>
        <v>Abrir facsímil</v>
      </c>
      <c r="K5655" s="3" t="s">
        <v>23</v>
      </c>
    </row>
    <row r="5656" spans="1:11" ht="42" customHeight="1">
      <c r="A5656" s="2" t="s">
        <v>11214</v>
      </c>
      <c r="B5656" s="2" t="s">
        <v>11215</v>
      </c>
      <c r="C5656" s="2" t="s">
        <v>17</v>
      </c>
      <c r="D5656" s="2" t="s">
        <v>18</v>
      </c>
      <c r="E5656" s="5">
        <v>-29187</v>
      </c>
      <c r="F5656" s="3" t="s">
        <v>859</v>
      </c>
      <c r="G5656" s="3" t="s">
        <v>256</v>
      </c>
      <c r="H5656" s="2" t="s">
        <v>21</v>
      </c>
      <c r="I5656" s="2" t="s">
        <v>11216</v>
      </c>
      <c r="J5656" s="3" t="str">
        <f>HYPERLINK("https://www.boe.es/gazeta/dias/1820/02/01/pdfs/GMD-1820-14.pdf#page=5","Abrir facsímil")</f>
        <v>Abrir facsímil</v>
      </c>
      <c r="K5656" s="3" t="s">
        <v>23</v>
      </c>
    </row>
    <row r="5657" spans="1:11" ht="42" customHeight="1">
      <c r="A5657" s="2" t="s">
        <v>11217</v>
      </c>
      <c r="B5657" s="2" t="s">
        <v>11218</v>
      </c>
      <c r="C5657" s="2" t="s">
        <v>35</v>
      </c>
      <c r="D5657" s="2" t="s">
        <v>36</v>
      </c>
      <c r="E5657" s="5">
        <v>-29187</v>
      </c>
      <c r="F5657" s="3" t="s">
        <v>859</v>
      </c>
      <c r="G5657" s="3" t="s">
        <v>62</v>
      </c>
      <c r="H5657" s="2" t="s">
        <v>21</v>
      </c>
      <c r="I5657" s="2" t="s">
        <v>11219</v>
      </c>
      <c r="J5657" s="3" t="str">
        <f>HYPERLINK("https://www.boe.es/gazeta/dias/1820/02/01/pdfs/GMD-1820-14.pdf#page=3","Abrir facsímil")</f>
        <v>Abrir facsímil</v>
      </c>
      <c r="K5657" s="3" t="s">
        <v>23</v>
      </c>
    </row>
    <row r="5658" spans="1:11" ht="42" customHeight="1">
      <c r="A5658" s="2" t="s">
        <v>11220</v>
      </c>
      <c r="B5658" s="2" t="s">
        <v>11221</v>
      </c>
      <c r="C5658" s="2" t="s">
        <v>26</v>
      </c>
      <c r="D5658" s="2" t="s">
        <v>27</v>
      </c>
      <c r="E5658" s="5">
        <v>-29131</v>
      </c>
      <c r="F5658" s="3" t="s">
        <v>1193</v>
      </c>
      <c r="G5658" s="3" t="s">
        <v>256</v>
      </c>
      <c r="H5658" s="2" t="s">
        <v>21</v>
      </c>
      <c r="I5658" s="2" t="s">
        <v>11222</v>
      </c>
      <c r="J5658" s="3" t="str">
        <f>HYPERLINK("https://www.boe.es/gazeta/dias/1820/03/28/pdfs/GMD-1820-56.pdf#page=5","Abrir facsímil")</f>
        <v>Abrir facsímil</v>
      </c>
      <c r="K5658" s="3" t="s">
        <v>23</v>
      </c>
    </row>
    <row r="5659" spans="1:11" ht="42" customHeight="1">
      <c r="A5659" s="2" t="s">
        <v>11223</v>
      </c>
      <c r="B5659" s="2" t="s">
        <v>11224</v>
      </c>
      <c r="C5659" s="2" t="s">
        <v>35</v>
      </c>
      <c r="D5659" s="2" t="s">
        <v>36</v>
      </c>
      <c r="E5659" s="5">
        <v>-28960</v>
      </c>
      <c r="F5659" s="3" t="s">
        <v>704</v>
      </c>
      <c r="G5659" s="3" t="s">
        <v>43</v>
      </c>
      <c r="H5659" s="2" t="s">
        <v>30</v>
      </c>
      <c r="I5659" s="2" t="s">
        <v>11225</v>
      </c>
      <c r="J5659" s="3" t="str">
        <f>HYPERLINK("https://www.boe.es/gazeta/dias/1820/09/15/pdfs/GGB-1820-79.pdf#page=2","Abrir facsímil")</f>
        <v>Abrir facsímil</v>
      </c>
      <c r="K5659" s="3" t="s">
        <v>32</v>
      </c>
    </row>
    <row r="5660" spans="1:11" ht="42" customHeight="1">
      <c r="A5660" s="2" t="s">
        <v>11226</v>
      </c>
      <c r="B5660" s="2" t="s">
        <v>11227</v>
      </c>
      <c r="C5660" s="2" t="s">
        <v>35</v>
      </c>
      <c r="D5660" s="2" t="s">
        <v>36</v>
      </c>
      <c r="E5660" s="5">
        <v>-29023</v>
      </c>
      <c r="F5660" s="3" t="s">
        <v>1662</v>
      </c>
      <c r="G5660" s="3" t="s">
        <v>3662</v>
      </c>
      <c r="H5660" s="2" t="s">
        <v>21</v>
      </c>
      <c r="I5660" s="2" t="s">
        <v>11228</v>
      </c>
      <c r="J5660" s="3" t="str">
        <f>HYPERLINK("https://www.boe.es/gazeta/dias/1820/07/14/pdfs/GGB-1820-16.pdf#page=2","Abrir facsímil")</f>
        <v>Abrir facsímil</v>
      </c>
      <c r="K5660" s="3" t="s">
        <v>23</v>
      </c>
    </row>
    <row r="5661" spans="1:11" ht="42" customHeight="1">
      <c r="A5661" s="2" t="s">
        <v>11229</v>
      </c>
      <c r="B5661" s="2" t="s">
        <v>11229</v>
      </c>
      <c r="C5661" s="2" t="s">
        <v>35</v>
      </c>
      <c r="D5661" s="2" t="s">
        <v>36</v>
      </c>
      <c r="E5661" s="5">
        <v>-28928</v>
      </c>
      <c r="F5661" s="3" t="s">
        <v>86</v>
      </c>
      <c r="G5661" s="3" t="s">
        <v>43</v>
      </c>
      <c r="H5661" s="2" t="s">
        <v>21</v>
      </c>
      <c r="I5661" s="2" t="s">
        <v>11230</v>
      </c>
      <c r="J5661" s="3" t="str">
        <f>HYPERLINK("https://www.boe.es/gazeta/dias/1820/10/17/pdfs/GGB-1820-111.pdf#page=2","Abrir facsímil")</f>
        <v>Abrir facsímil</v>
      </c>
      <c r="K5661" s="3" t="s">
        <v>23</v>
      </c>
    </row>
    <row r="5662" spans="1:11" ht="42" customHeight="1">
      <c r="A5662" s="2" t="s">
        <v>11231</v>
      </c>
      <c r="B5662" s="2" t="s">
        <v>11231</v>
      </c>
      <c r="C5662" s="2" t="s">
        <v>26</v>
      </c>
      <c r="D5662" s="2" t="s">
        <v>27</v>
      </c>
      <c r="E5662" s="5">
        <v>-28970</v>
      </c>
      <c r="F5662" s="3" t="s">
        <v>693</v>
      </c>
      <c r="G5662" s="3" t="s">
        <v>128</v>
      </c>
      <c r="H5662" s="2" t="s">
        <v>21</v>
      </c>
      <c r="I5662" s="2" t="s">
        <v>11232</v>
      </c>
      <c r="J5662" s="3" t="str">
        <f>HYPERLINK("https://www.boe.es/gazeta/dias/1820/09/05/pdfs/GGB-1820-69.pdf#page=1","Abrir facsímil")</f>
        <v>Abrir facsímil</v>
      </c>
      <c r="K5662" s="3" t="s">
        <v>23</v>
      </c>
    </row>
    <row r="5663" spans="1:11" ht="42" customHeight="1">
      <c r="A5663" s="2" t="s">
        <v>11233</v>
      </c>
      <c r="B5663" s="2" t="s">
        <v>11234</v>
      </c>
      <c r="C5663" s="2" t="s">
        <v>35</v>
      </c>
      <c r="D5663" s="2" t="s">
        <v>36</v>
      </c>
      <c r="E5663" s="5">
        <v>-29138</v>
      </c>
      <c r="F5663" s="3" t="s">
        <v>200</v>
      </c>
      <c r="G5663" s="3" t="s">
        <v>201</v>
      </c>
      <c r="H5663" s="2" t="s">
        <v>21</v>
      </c>
      <c r="I5663" s="2" t="s">
        <v>11235</v>
      </c>
      <c r="J5663" s="3" t="str">
        <f>HYPERLINK("https://www.boe.es/gazeta/dias/1820/03/21/pdfs/GMD-1820-46.pdf#page=7","Abrir facsímil")</f>
        <v>Abrir facsímil</v>
      </c>
      <c r="K5663" s="3" t="s">
        <v>23</v>
      </c>
    </row>
    <row r="5664" spans="1:11" ht="42" customHeight="1">
      <c r="A5664" s="2" t="s">
        <v>11236</v>
      </c>
      <c r="B5664" s="2" t="s">
        <v>11237</v>
      </c>
      <c r="C5664" s="2" t="s">
        <v>26</v>
      </c>
      <c r="D5664" s="2" t="s">
        <v>27</v>
      </c>
      <c r="E5664" s="5">
        <v>-29015</v>
      </c>
      <c r="F5664" s="3" t="s">
        <v>359</v>
      </c>
      <c r="G5664" s="3" t="s">
        <v>20</v>
      </c>
      <c r="H5664" s="2" t="s">
        <v>21</v>
      </c>
      <c r="I5664" s="2" t="s">
        <v>11238</v>
      </c>
      <c r="J5664" s="3" t="str">
        <f>HYPERLINK("https://www.boe.es/gazeta/dias/1820/07/22/pdfs/GGB-1820-24.pdf#page=4","Abrir facsímil")</f>
        <v>Abrir facsímil</v>
      </c>
      <c r="K5664" s="3" t="s">
        <v>23</v>
      </c>
    </row>
    <row r="5665" spans="1:11" ht="42" customHeight="1">
      <c r="A5665" s="2" t="s">
        <v>11239</v>
      </c>
      <c r="B5665" s="2" t="s">
        <v>11240</v>
      </c>
      <c r="C5665" s="2" t="s">
        <v>17</v>
      </c>
      <c r="D5665" s="2" t="s">
        <v>18</v>
      </c>
      <c r="E5665" s="5">
        <v>-28858</v>
      </c>
      <c r="F5665" s="3" t="s">
        <v>117</v>
      </c>
      <c r="G5665" s="3" t="s">
        <v>20</v>
      </c>
      <c r="H5665" s="2" t="s">
        <v>30</v>
      </c>
      <c r="I5665" s="2" t="s">
        <v>11241</v>
      </c>
      <c r="J5665" s="3" t="str">
        <f>HYPERLINK("https://www.boe.es/gazeta/dias/1820/12/26/pdfs/GGB-1820-183.pdf#page=4","Abrir facsímil")</f>
        <v>Abrir facsímil</v>
      </c>
      <c r="K5665" s="3" t="s">
        <v>32</v>
      </c>
    </row>
    <row r="5666" spans="1:11" ht="42" customHeight="1">
      <c r="A5666" s="2" t="s">
        <v>11242</v>
      </c>
      <c r="B5666" s="2" t="s">
        <v>11243</v>
      </c>
      <c r="C5666" s="2" t="s">
        <v>26</v>
      </c>
      <c r="D5666" s="2" t="s">
        <v>27</v>
      </c>
      <c r="E5666" s="5">
        <v>-28865</v>
      </c>
      <c r="F5666" s="3" t="s">
        <v>136</v>
      </c>
      <c r="G5666" s="3" t="s">
        <v>137</v>
      </c>
      <c r="H5666" s="2" t="s">
        <v>21</v>
      </c>
      <c r="I5666" s="2" t="s">
        <v>11244</v>
      </c>
      <c r="J5666" s="3" t="str">
        <f>HYPERLINK("https://www.boe.es/gazeta/dias/1820/12/19/pdfs/GGB-1820-176.pdf#page=3","Abrir facsímil")</f>
        <v>Abrir facsímil</v>
      </c>
      <c r="K5666" s="3" t="s">
        <v>23</v>
      </c>
    </row>
    <row r="5667" spans="1:11" ht="42" customHeight="1">
      <c r="A5667" s="2" t="s">
        <v>11245</v>
      </c>
      <c r="B5667" s="2" t="s">
        <v>11246</v>
      </c>
      <c r="C5667" s="2" t="s">
        <v>293</v>
      </c>
      <c r="D5667" s="2" t="s">
        <v>18</v>
      </c>
      <c r="E5667" s="5">
        <v>-28939</v>
      </c>
      <c r="F5667" s="3" t="s">
        <v>992</v>
      </c>
      <c r="G5667" s="3" t="s">
        <v>43</v>
      </c>
      <c r="H5667" s="2" t="s">
        <v>21</v>
      </c>
      <c r="I5667" s="2" t="s">
        <v>11247</v>
      </c>
      <c r="J5667" s="3" t="str">
        <f>HYPERLINK("https://www.boe.es/gazeta/dias/1820/10/06/pdfs/GGB-1820-100.pdf#page=2","Abrir facsímil")</f>
        <v>Abrir facsímil</v>
      </c>
      <c r="K5667" s="3" t="s">
        <v>23</v>
      </c>
    </row>
    <row r="5668" spans="1:11" ht="42" customHeight="1">
      <c r="A5668" s="2" t="s">
        <v>11248</v>
      </c>
      <c r="B5668" s="2" t="s">
        <v>11249</v>
      </c>
      <c r="C5668" s="2" t="s">
        <v>26</v>
      </c>
      <c r="D5668" s="2" t="s">
        <v>27</v>
      </c>
      <c r="E5668" s="5">
        <v>-28951</v>
      </c>
      <c r="F5668" s="3" t="s">
        <v>622</v>
      </c>
      <c r="G5668" s="3" t="s">
        <v>1370</v>
      </c>
      <c r="H5668" s="2" t="s">
        <v>21</v>
      </c>
      <c r="I5668" s="2" t="s">
        <v>11250</v>
      </c>
      <c r="J5668" s="3" t="str">
        <f>HYPERLINK("https://www.boe.es/gazeta/dias/1820/09/24/pdfs/GGB-1820-88.pdf#page=2","Abrir facsímil")</f>
        <v>Abrir facsímil</v>
      </c>
      <c r="K5668" s="3" t="s">
        <v>23</v>
      </c>
    </row>
    <row r="5669" spans="1:11" ht="42" customHeight="1">
      <c r="A5669" s="2" t="s">
        <v>11251</v>
      </c>
      <c r="B5669" s="2" t="s">
        <v>11252</v>
      </c>
      <c r="C5669" s="2" t="s">
        <v>26</v>
      </c>
      <c r="D5669" s="2" t="s">
        <v>27</v>
      </c>
      <c r="E5669" s="5">
        <v>-29073</v>
      </c>
      <c r="F5669" s="3" t="s">
        <v>1928</v>
      </c>
      <c r="G5669" s="3" t="s">
        <v>295</v>
      </c>
      <c r="H5669" s="2" t="s">
        <v>21</v>
      </c>
      <c r="I5669" s="2" t="s">
        <v>11253</v>
      </c>
      <c r="J5669" s="3" t="str">
        <f>HYPERLINK("https://www.boe.es/gazeta/dias/1820/05/25/pdfs/GMD-1820-85.pdf#page=8","Abrir facsímil")</f>
        <v>Abrir facsímil</v>
      </c>
      <c r="K5669" s="3" t="s">
        <v>23</v>
      </c>
    </row>
    <row r="5670" spans="1:11" ht="42" customHeight="1">
      <c r="A5670" s="2" t="s">
        <v>11254</v>
      </c>
      <c r="B5670" s="2" t="s">
        <v>11254</v>
      </c>
      <c r="C5670" s="2" t="s">
        <v>17</v>
      </c>
      <c r="D5670" s="2" t="s">
        <v>18</v>
      </c>
      <c r="E5670" s="5">
        <v>-29008</v>
      </c>
      <c r="F5670" s="3" t="s">
        <v>2250</v>
      </c>
      <c r="G5670" s="3" t="s">
        <v>43</v>
      </c>
      <c r="H5670" s="2" t="s">
        <v>21</v>
      </c>
      <c r="I5670" s="2" t="s">
        <v>11255</v>
      </c>
      <c r="J5670" s="3" t="str">
        <f>HYPERLINK("https://www.boe.es/gazeta/dias/1820/07/29/pdfs/GGB-1820-31.pdf#page=2","Abrir facsímil")</f>
        <v>Abrir facsímil</v>
      </c>
      <c r="K5670" s="3" t="s">
        <v>23</v>
      </c>
    </row>
    <row r="5671" spans="1:11" ht="42" customHeight="1">
      <c r="A5671" s="2" t="s">
        <v>11256</v>
      </c>
      <c r="B5671" s="2" t="s">
        <v>11257</v>
      </c>
      <c r="C5671" s="2" t="s">
        <v>35</v>
      </c>
      <c r="D5671" s="2" t="s">
        <v>36</v>
      </c>
      <c r="E5671" s="5">
        <v>-29145</v>
      </c>
      <c r="F5671" s="3" t="s">
        <v>3537</v>
      </c>
      <c r="G5671" s="3" t="s">
        <v>4091</v>
      </c>
      <c r="H5671" s="2" t="s">
        <v>21</v>
      </c>
      <c r="I5671" s="2" t="s">
        <v>11258</v>
      </c>
      <c r="J5671" s="3" t="str">
        <f>HYPERLINK("https://www.boe.es/gazeta/dias/1820/03/14/pdfs/GMD-1820-39.pdf#page=5","Abrir facsímil")</f>
        <v>Abrir facsímil</v>
      </c>
      <c r="K5671" s="3" t="s">
        <v>23</v>
      </c>
    </row>
    <row r="5672" spans="1:11" ht="42" customHeight="1">
      <c r="A5672" s="2" t="s">
        <v>11259</v>
      </c>
      <c r="B5672" s="2" t="s">
        <v>11259</v>
      </c>
      <c r="C5672" s="2" t="s">
        <v>35</v>
      </c>
      <c r="D5672" s="2" t="s">
        <v>36</v>
      </c>
      <c r="E5672" s="5">
        <v>-28914</v>
      </c>
      <c r="F5672" s="3" t="s">
        <v>434</v>
      </c>
      <c r="G5672" s="3" t="s">
        <v>128</v>
      </c>
      <c r="H5672" s="2" t="s">
        <v>21</v>
      </c>
      <c r="I5672" s="2" t="s">
        <v>11260</v>
      </c>
      <c r="J5672" s="3" t="str">
        <f>HYPERLINK("https://www.boe.es/gazeta/dias/1820/10/31/pdfs/GGB-1820-125.pdf#page=1","Abrir facsímil")</f>
        <v>Abrir facsímil</v>
      </c>
      <c r="K5672" s="3" t="s">
        <v>23</v>
      </c>
    </row>
    <row r="5673" spans="1:11" ht="42" customHeight="1">
      <c r="A5673" s="2" t="s">
        <v>11261</v>
      </c>
      <c r="B5673" s="2" t="s">
        <v>11261</v>
      </c>
      <c r="C5673" s="2" t="s">
        <v>26</v>
      </c>
      <c r="D5673" s="2" t="s">
        <v>27</v>
      </c>
      <c r="E5673" s="5">
        <v>-29008</v>
      </c>
      <c r="F5673" s="3" t="s">
        <v>2250</v>
      </c>
      <c r="G5673" s="3" t="s">
        <v>43</v>
      </c>
      <c r="H5673" s="2" t="s">
        <v>21</v>
      </c>
      <c r="I5673" s="2" t="s">
        <v>11262</v>
      </c>
      <c r="J5673" s="3" t="str">
        <f>HYPERLINK("https://www.boe.es/gazeta/dias/1820/07/29/pdfs/GGB-1820-31.pdf#page=2","Abrir facsímil")</f>
        <v>Abrir facsímil</v>
      </c>
      <c r="K5673" s="3" t="s">
        <v>23</v>
      </c>
    </row>
    <row r="5674" spans="1:11" ht="42" customHeight="1">
      <c r="A5674" s="2" t="s">
        <v>11263</v>
      </c>
      <c r="B5674" s="2" t="s">
        <v>11263</v>
      </c>
      <c r="C5674" s="2" t="s">
        <v>293</v>
      </c>
      <c r="D5674" s="2" t="s">
        <v>18</v>
      </c>
      <c r="E5674" s="5">
        <v>-28916</v>
      </c>
      <c r="F5674" s="3" t="s">
        <v>2688</v>
      </c>
      <c r="G5674" s="3" t="s">
        <v>62</v>
      </c>
      <c r="H5674" s="2" t="s">
        <v>21</v>
      </c>
      <c r="I5674" s="2" t="s">
        <v>11264</v>
      </c>
      <c r="J5674" s="3" t="str">
        <f>HYPERLINK("https://www.boe.es/gazeta/dias/1820/10/29/pdfs/GGB-1820-123.pdf#page=3","Abrir facsímil")</f>
        <v>Abrir facsímil</v>
      </c>
      <c r="K5674" s="3" t="s">
        <v>23</v>
      </c>
    </row>
    <row r="5675" spans="1:11" ht="42" customHeight="1">
      <c r="A5675" s="2" t="s">
        <v>11265</v>
      </c>
      <c r="B5675" s="2" t="s">
        <v>11265</v>
      </c>
      <c r="C5675" s="2" t="s">
        <v>17</v>
      </c>
      <c r="D5675" s="2" t="s">
        <v>18</v>
      </c>
      <c r="E5675" s="5">
        <v>-29003</v>
      </c>
      <c r="F5675" s="3" t="s">
        <v>340</v>
      </c>
      <c r="G5675" s="3" t="s">
        <v>20</v>
      </c>
      <c r="H5675" s="2" t="s">
        <v>21</v>
      </c>
      <c r="I5675" s="2" t="s">
        <v>11266</v>
      </c>
      <c r="J5675" s="3" t="str">
        <f>HYPERLINK("https://www.boe.es/gazeta/dias/1820/08/03/pdfs/GGB-1820-36.pdf#page=4","Abrir facsímil")</f>
        <v>Abrir facsímil</v>
      </c>
      <c r="K5675" s="3" t="s">
        <v>23</v>
      </c>
    </row>
    <row r="5676" spans="1:11" ht="42" customHeight="1">
      <c r="A5676" s="2" t="s">
        <v>11265</v>
      </c>
      <c r="B5676" s="2" t="s">
        <v>11265</v>
      </c>
      <c r="C5676" s="2" t="s">
        <v>35</v>
      </c>
      <c r="D5676" s="2" t="s">
        <v>36</v>
      </c>
      <c r="E5676" s="5">
        <v>-28928</v>
      </c>
      <c r="F5676" s="3" t="s">
        <v>86</v>
      </c>
      <c r="G5676" s="3" t="s">
        <v>62</v>
      </c>
      <c r="H5676" s="2" t="s">
        <v>21</v>
      </c>
      <c r="I5676" s="2" t="s">
        <v>11267</v>
      </c>
      <c r="J5676" s="3" t="str">
        <f>HYPERLINK("https://www.boe.es/gazeta/dias/1820/10/17/pdfs/GGB-1820-111.pdf#page=3","Abrir facsímil")</f>
        <v>Abrir facsímil</v>
      </c>
      <c r="K5676" s="3" t="s">
        <v>23</v>
      </c>
    </row>
    <row r="5677" spans="1:11" ht="42" customHeight="1">
      <c r="A5677" s="2" t="s">
        <v>11268</v>
      </c>
      <c r="B5677" s="2" t="s">
        <v>11268</v>
      </c>
      <c r="C5677" s="2" t="s">
        <v>35</v>
      </c>
      <c r="D5677" s="2" t="s">
        <v>36</v>
      </c>
      <c r="E5677" s="5">
        <v>-28989</v>
      </c>
      <c r="F5677" s="3" t="s">
        <v>809</v>
      </c>
      <c r="G5677" s="3" t="s">
        <v>62</v>
      </c>
      <c r="H5677" s="2" t="s">
        <v>21</v>
      </c>
      <c r="I5677" s="2" t="s">
        <v>11269</v>
      </c>
      <c r="J5677" s="3" t="str">
        <f>HYPERLINK("https://www.boe.es/gazeta/dias/1820/08/17/pdfs/GGB-1820-50.pdf#page=3","Abrir facsímil")</f>
        <v>Abrir facsímil</v>
      </c>
      <c r="K5677" s="3" t="s">
        <v>23</v>
      </c>
    </row>
    <row r="5678" spans="1:11" ht="42" customHeight="1">
      <c r="A5678" s="2" t="s">
        <v>11268</v>
      </c>
      <c r="B5678" s="2" t="s">
        <v>11268</v>
      </c>
      <c r="C5678" s="2" t="s">
        <v>17</v>
      </c>
      <c r="D5678" s="2" t="s">
        <v>18</v>
      </c>
      <c r="E5678" s="5">
        <v>-28987</v>
      </c>
      <c r="F5678" s="3" t="s">
        <v>680</v>
      </c>
      <c r="G5678" s="3" t="s">
        <v>62</v>
      </c>
      <c r="H5678" s="2" t="s">
        <v>21</v>
      </c>
      <c r="I5678" s="2" t="s">
        <v>11270</v>
      </c>
      <c r="J5678" s="3" t="str">
        <f>HYPERLINK("https://www.boe.es/gazeta/dias/1820/08/19/pdfs/GGB-1820-52.pdf#page=3","Abrir facsímil")</f>
        <v>Abrir facsímil</v>
      </c>
      <c r="K5678" s="3" t="s">
        <v>23</v>
      </c>
    </row>
    <row r="5679" spans="1:11" ht="42" customHeight="1">
      <c r="A5679" s="2" t="s">
        <v>11268</v>
      </c>
      <c r="B5679" s="2" t="s">
        <v>11268</v>
      </c>
      <c r="C5679" s="2" t="s">
        <v>35</v>
      </c>
      <c r="D5679" s="2" t="s">
        <v>36</v>
      </c>
      <c r="E5679" s="5">
        <v>-28977</v>
      </c>
      <c r="F5679" s="3" t="s">
        <v>687</v>
      </c>
      <c r="G5679" s="3" t="s">
        <v>20</v>
      </c>
      <c r="H5679" s="2" t="s">
        <v>21</v>
      </c>
      <c r="I5679" s="2" t="s">
        <v>11271</v>
      </c>
      <c r="J5679" s="3" t="str">
        <f>HYPERLINK("https://www.boe.es/gazeta/dias/1820/08/29/pdfs/GGB-1820-62.pdf#page=4","Abrir facsímil")</f>
        <v>Abrir facsímil</v>
      </c>
      <c r="K5679" s="3" t="s">
        <v>23</v>
      </c>
    </row>
    <row r="5680" spans="1:11" ht="42" customHeight="1">
      <c r="A5680" s="2" t="s">
        <v>11268</v>
      </c>
      <c r="B5680" s="2" t="s">
        <v>11268</v>
      </c>
      <c r="C5680" s="2" t="s">
        <v>35</v>
      </c>
      <c r="D5680" s="2" t="s">
        <v>36</v>
      </c>
      <c r="E5680" s="5">
        <v>-28958</v>
      </c>
      <c r="F5680" s="3" t="s">
        <v>706</v>
      </c>
      <c r="G5680" s="3" t="s">
        <v>43</v>
      </c>
      <c r="H5680" s="2" t="s">
        <v>21</v>
      </c>
      <c r="I5680" s="2" t="s">
        <v>11272</v>
      </c>
      <c r="J5680" s="3" t="str">
        <f>HYPERLINK("https://www.boe.es/gazeta/dias/1820/09/17/pdfs/GGB-1820-81.pdf#page=2","Abrir facsímil")</f>
        <v>Abrir facsímil</v>
      </c>
      <c r="K5680" s="3" t="s">
        <v>23</v>
      </c>
    </row>
    <row r="5681" spans="1:11" ht="42" customHeight="1">
      <c r="A5681" s="2" t="s">
        <v>11268</v>
      </c>
      <c r="B5681" s="2" t="s">
        <v>11268</v>
      </c>
      <c r="C5681" s="2" t="s">
        <v>35</v>
      </c>
      <c r="D5681" s="2" t="s">
        <v>36</v>
      </c>
      <c r="E5681" s="5">
        <v>-28957</v>
      </c>
      <c r="F5681" s="3" t="s">
        <v>361</v>
      </c>
      <c r="G5681" s="3" t="s">
        <v>43</v>
      </c>
      <c r="H5681" s="2" t="s">
        <v>21</v>
      </c>
      <c r="I5681" s="2" t="s">
        <v>11273</v>
      </c>
      <c r="J5681" s="3" t="str">
        <f>HYPERLINK("https://www.boe.es/gazeta/dias/1820/09/18/pdfs/GGB-1820-82.pdf#page=2","Abrir facsímil")</f>
        <v>Abrir facsímil</v>
      </c>
      <c r="K5681" s="3" t="s">
        <v>23</v>
      </c>
    </row>
    <row r="5682" spans="1:11" ht="42" customHeight="1">
      <c r="A5682" s="2" t="s">
        <v>11268</v>
      </c>
      <c r="B5682" s="2" t="s">
        <v>11268</v>
      </c>
      <c r="C5682" s="2" t="s">
        <v>293</v>
      </c>
      <c r="D5682" s="2" t="s">
        <v>18</v>
      </c>
      <c r="E5682" s="5">
        <v>-28956</v>
      </c>
      <c r="F5682" s="3" t="s">
        <v>190</v>
      </c>
      <c r="G5682" s="3" t="s">
        <v>62</v>
      </c>
      <c r="H5682" s="2" t="s">
        <v>21</v>
      </c>
      <c r="I5682" s="2" t="s">
        <v>11274</v>
      </c>
      <c r="J5682" s="3" t="str">
        <f>HYPERLINK("https://www.boe.es/gazeta/dias/1820/09/19/pdfs/GGB-1820-83.pdf#page=3","Abrir facsímil")</f>
        <v>Abrir facsímil</v>
      </c>
      <c r="K5682" s="3" t="s">
        <v>23</v>
      </c>
    </row>
    <row r="5683" spans="1:11" ht="42" customHeight="1">
      <c r="A5683" s="2" t="s">
        <v>11268</v>
      </c>
      <c r="B5683" s="2" t="s">
        <v>11268</v>
      </c>
      <c r="C5683" s="2" t="s">
        <v>74</v>
      </c>
      <c r="D5683" s="2" t="s">
        <v>18</v>
      </c>
      <c r="E5683" s="5">
        <v>-28952</v>
      </c>
      <c r="F5683" s="3" t="s">
        <v>370</v>
      </c>
      <c r="G5683" s="3" t="s">
        <v>62</v>
      </c>
      <c r="H5683" s="2" t="s">
        <v>21</v>
      </c>
      <c r="I5683" s="2" t="s">
        <v>11275</v>
      </c>
      <c r="J5683" s="3" t="str">
        <f>HYPERLINK("https://www.boe.es/gazeta/dias/1820/09/23/pdfs/GGB-1820-87.pdf#page=3","Abrir facsímil")</f>
        <v>Abrir facsímil</v>
      </c>
      <c r="K5683" s="3" t="s">
        <v>23</v>
      </c>
    </row>
    <row r="5684" spans="1:11" ht="42" customHeight="1">
      <c r="A5684" s="2" t="s">
        <v>11268</v>
      </c>
      <c r="B5684" s="2" t="s">
        <v>11268</v>
      </c>
      <c r="C5684" s="2" t="s">
        <v>17</v>
      </c>
      <c r="D5684" s="2" t="s">
        <v>18</v>
      </c>
      <c r="E5684" s="5">
        <v>-28951</v>
      </c>
      <c r="F5684" s="3" t="s">
        <v>622</v>
      </c>
      <c r="G5684" s="3" t="s">
        <v>62</v>
      </c>
      <c r="H5684" s="2" t="s">
        <v>21</v>
      </c>
      <c r="I5684" s="2" t="s">
        <v>11276</v>
      </c>
      <c r="J5684" s="3" t="str">
        <f>HYPERLINK("https://www.boe.es/gazeta/dias/1820/09/24/pdfs/GGB-1820-88.pdf#page=3","Abrir facsímil")</f>
        <v>Abrir facsímil</v>
      </c>
      <c r="K5684" s="3" t="s">
        <v>23</v>
      </c>
    </row>
    <row r="5685" spans="1:11" ht="42" customHeight="1">
      <c r="A5685" s="2" t="s">
        <v>11268</v>
      </c>
      <c r="B5685" s="2" t="s">
        <v>11268</v>
      </c>
      <c r="C5685" s="2" t="s">
        <v>293</v>
      </c>
      <c r="D5685" s="2" t="s">
        <v>18</v>
      </c>
      <c r="E5685" s="5">
        <v>-28949</v>
      </c>
      <c r="F5685" s="3" t="s">
        <v>178</v>
      </c>
      <c r="G5685" s="3" t="s">
        <v>62</v>
      </c>
      <c r="H5685" s="2" t="s">
        <v>21</v>
      </c>
      <c r="I5685" s="2" t="s">
        <v>11277</v>
      </c>
      <c r="J5685" s="3" t="str">
        <f>HYPERLINK("https://www.boe.es/gazeta/dias/1820/09/26/pdfs/GGB-1820-90.pdf#page=3","Abrir facsímil")</f>
        <v>Abrir facsímil</v>
      </c>
      <c r="K5685" s="3" t="s">
        <v>23</v>
      </c>
    </row>
    <row r="5686" spans="1:11" ht="42" customHeight="1">
      <c r="A5686" s="2" t="s">
        <v>11268</v>
      </c>
      <c r="B5686" s="2" t="s">
        <v>11268</v>
      </c>
      <c r="C5686" s="2" t="s">
        <v>111</v>
      </c>
      <c r="D5686" s="2" t="s">
        <v>18</v>
      </c>
      <c r="E5686" s="5">
        <v>-28945</v>
      </c>
      <c r="F5686" s="3" t="s">
        <v>99</v>
      </c>
      <c r="G5686" s="3" t="s">
        <v>62</v>
      </c>
      <c r="H5686" s="2" t="s">
        <v>21</v>
      </c>
      <c r="I5686" s="2" t="s">
        <v>11278</v>
      </c>
      <c r="J5686" s="3" t="str">
        <f>HYPERLINK("https://www.boe.es/gazeta/dias/1820/09/30/pdfs/GGB-1820-94.pdf#page=3","Abrir facsímil")</f>
        <v>Abrir facsímil</v>
      </c>
      <c r="K5686" s="3" t="s">
        <v>23</v>
      </c>
    </row>
    <row r="5687" spans="1:11" ht="42" customHeight="1">
      <c r="A5687" s="2" t="s">
        <v>11268</v>
      </c>
      <c r="B5687" s="2" t="s">
        <v>11268</v>
      </c>
      <c r="C5687" s="2" t="s">
        <v>17</v>
      </c>
      <c r="D5687" s="2" t="s">
        <v>18</v>
      </c>
      <c r="E5687" s="5">
        <v>-28921</v>
      </c>
      <c r="F5687" s="3" t="s">
        <v>738</v>
      </c>
      <c r="G5687" s="3" t="s">
        <v>3686</v>
      </c>
      <c r="H5687" s="2" t="s">
        <v>21</v>
      </c>
      <c r="I5687" s="2" t="s">
        <v>11279</v>
      </c>
      <c r="J5687" s="3" t="str">
        <f>HYPERLINK("https://www.boe.es/gazeta/dias/1820/10/24/pdfs/GGB-1820-118.pdf#page=3","Abrir facsímil")</f>
        <v>Abrir facsímil</v>
      </c>
      <c r="K5687" s="3" t="s">
        <v>23</v>
      </c>
    </row>
    <row r="5688" spans="1:11" ht="42" customHeight="1">
      <c r="A5688" s="2" t="s">
        <v>11268</v>
      </c>
      <c r="B5688" s="2" t="s">
        <v>11268</v>
      </c>
      <c r="C5688" s="2" t="s">
        <v>47</v>
      </c>
      <c r="D5688" s="2" t="s">
        <v>18</v>
      </c>
      <c r="E5688" s="5">
        <v>-28904</v>
      </c>
      <c r="F5688" s="3" t="s">
        <v>541</v>
      </c>
      <c r="G5688" s="3" t="s">
        <v>62</v>
      </c>
      <c r="H5688" s="2" t="s">
        <v>21</v>
      </c>
      <c r="I5688" s="2" t="s">
        <v>11280</v>
      </c>
      <c r="J5688" s="3" t="str">
        <f>HYPERLINK("https://www.boe.es/gazeta/dias/1820/11/10/pdfs/GGB-1820-136.pdf#page=3","Abrir facsímil")</f>
        <v>Abrir facsímil</v>
      </c>
      <c r="K5688" s="3" t="s">
        <v>23</v>
      </c>
    </row>
    <row r="5689" spans="1:11" ht="42" customHeight="1">
      <c r="A5689" s="2" t="s">
        <v>11281</v>
      </c>
      <c r="B5689" s="2" t="s">
        <v>11281</v>
      </c>
      <c r="C5689" s="2" t="s">
        <v>26</v>
      </c>
      <c r="D5689" s="2" t="s">
        <v>27</v>
      </c>
      <c r="E5689" s="5">
        <v>-28950</v>
      </c>
      <c r="F5689" s="3" t="s">
        <v>1052</v>
      </c>
      <c r="G5689" s="3" t="s">
        <v>20</v>
      </c>
      <c r="H5689" s="2" t="s">
        <v>21</v>
      </c>
      <c r="I5689" s="2" t="s">
        <v>11282</v>
      </c>
      <c r="J5689" s="3" t="str">
        <f>HYPERLINK("https://www.boe.es/gazeta/dias/1820/09/25/pdfs/GGB-1820-89.pdf#page=4","Abrir facsímil")</f>
        <v>Abrir facsímil</v>
      </c>
      <c r="K5689" s="3" t="s">
        <v>23</v>
      </c>
    </row>
    <row r="5690" spans="1:11" ht="42" customHeight="1">
      <c r="A5690" s="2" t="s">
        <v>11283</v>
      </c>
      <c r="B5690" s="2" t="s">
        <v>11283</v>
      </c>
      <c r="C5690" s="2" t="s">
        <v>293</v>
      </c>
      <c r="D5690" s="2" t="s">
        <v>18</v>
      </c>
      <c r="E5690" s="5">
        <v>-29008</v>
      </c>
      <c r="F5690" s="3" t="s">
        <v>2250</v>
      </c>
      <c r="G5690" s="3" t="s">
        <v>43</v>
      </c>
      <c r="H5690" s="2" t="s">
        <v>21</v>
      </c>
      <c r="I5690" s="2" t="s">
        <v>11284</v>
      </c>
      <c r="J5690" s="3" t="str">
        <f>HYPERLINK("https://www.boe.es/gazeta/dias/1820/07/29/pdfs/GGB-1820-31.pdf#page=2","Abrir facsímil")</f>
        <v>Abrir facsímil</v>
      </c>
      <c r="K5690" s="3" t="s">
        <v>23</v>
      </c>
    </row>
    <row r="5691" spans="1:11" ht="42" customHeight="1">
      <c r="A5691" s="2" t="s">
        <v>11285</v>
      </c>
      <c r="B5691" s="2" t="s">
        <v>11286</v>
      </c>
      <c r="C5691" s="2" t="s">
        <v>107</v>
      </c>
      <c r="D5691" s="2" t="s">
        <v>18</v>
      </c>
      <c r="E5691" s="5">
        <v>-29122</v>
      </c>
      <c r="F5691" s="3" t="s">
        <v>844</v>
      </c>
      <c r="G5691" s="3" t="s">
        <v>845</v>
      </c>
      <c r="H5691" s="2" t="s">
        <v>21</v>
      </c>
      <c r="I5691" s="2" t="s">
        <v>11287</v>
      </c>
      <c r="J5691" s="3" t="str">
        <f>HYPERLINK("https://www.boe.es/gazeta/dias/1820/04/06/pdfs/GMD-1820-62.pdf#page=8","Abrir facsímil")</f>
        <v>Abrir facsímil</v>
      </c>
      <c r="K5691" s="3" t="s">
        <v>23</v>
      </c>
    </row>
    <row r="5692" spans="1:11" ht="42" customHeight="1">
      <c r="A5692" s="2" t="s">
        <v>11288</v>
      </c>
      <c r="B5692" s="2" t="s">
        <v>11289</v>
      </c>
      <c r="C5692" s="2" t="s">
        <v>26</v>
      </c>
      <c r="D5692" s="2" t="s">
        <v>27</v>
      </c>
      <c r="E5692" s="5">
        <v>-28913</v>
      </c>
      <c r="F5692" s="3" t="s">
        <v>230</v>
      </c>
      <c r="G5692" s="3" t="s">
        <v>43</v>
      </c>
      <c r="H5692" s="2" t="s">
        <v>21</v>
      </c>
      <c r="I5692" s="2" t="s">
        <v>11290</v>
      </c>
      <c r="J5692" s="3" t="str">
        <f>HYPERLINK("https://www.boe.es/gazeta/dias/1820/11/01/pdfs/GGB-1820-126.pdf#page=2","Abrir facsímil")</f>
        <v>Abrir facsímil</v>
      </c>
      <c r="K5692" s="3" t="s">
        <v>23</v>
      </c>
    </row>
    <row r="5693" spans="1:11" ht="42" customHeight="1">
      <c r="A5693" s="2" t="s">
        <v>11291</v>
      </c>
      <c r="B5693" s="2" t="s">
        <v>11292</v>
      </c>
      <c r="C5693" s="2" t="s">
        <v>111</v>
      </c>
      <c r="D5693" s="2" t="s">
        <v>18</v>
      </c>
      <c r="E5693" s="5">
        <v>-29190</v>
      </c>
      <c r="F5693" s="3" t="s">
        <v>537</v>
      </c>
      <c r="G5693" s="3" t="s">
        <v>295</v>
      </c>
      <c r="H5693" s="2" t="s">
        <v>21</v>
      </c>
      <c r="I5693" s="2" t="s">
        <v>11293</v>
      </c>
      <c r="J5693" s="3" t="str">
        <f>HYPERLINK("https://www.boe.es/gazeta/dias/1820/01/29/pdfs/GMD-1820-13.pdf#page=8","Abrir facsímil")</f>
        <v>Abrir facsímil</v>
      </c>
      <c r="K5693" s="3" t="s">
        <v>23</v>
      </c>
    </row>
    <row r="5694" spans="1:11" ht="42" customHeight="1">
      <c r="A5694" s="2" t="s">
        <v>11294</v>
      </c>
      <c r="B5694" s="2" t="s">
        <v>11295</v>
      </c>
      <c r="C5694" s="2" t="s">
        <v>17</v>
      </c>
      <c r="D5694" s="2" t="s">
        <v>18</v>
      </c>
      <c r="E5694" s="5">
        <v>-28931</v>
      </c>
      <c r="F5694" s="3" t="s">
        <v>724</v>
      </c>
      <c r="G5694" s="3" t="s">
        <v>20</v>
      </c>
      <c r="H5694" s="2" t="s">
        <v>21</v>
      </c>
      <c r="I5694" s="2" t="s">
        <v>11296</v>
      </c>
      <c r="J5694" s="3" t="str">
        <f>HYPERLINK("https://www.boe.es/gazeta/dias/1820/10/14/pdfs/GGB-1820-108.pdf#page=4","Abrir facsímil")</f>
        <v>Abrir facsímil</v>
      </c>
      <c r="K5694" s="3" t="s">
        <v>23</v>
      </c>
    </row>
    <row r="5695" spans="1:11" ht="42" customHeight="1">
      <c r="A5695" s="2" t="s">
        <v>11297</v>
      </c>
      <c r="B5695" s="2" t="s">
        <v>11298</v>
      </c>
      <c r="C5695" s="2" t="s">
        <v>74</v>
      </c>
      <c r="D5695" s="2" t="s">
        <v>18</v>
      </c>
      <c r="E5695" s="5">
        <v>-28908</v>
      </c>
      <c r="F5695" s="3" t="s">
        <v>1060</v>
      </c>
      <c r="G5695" s="3" t="s">
        <v>43</v>
      </c>
      <c r="H5695" s="2" t="s">
        <v>21</v>
      </c>
      <c r="I5695" s="2" t="s">
        <v>11299</v>
      </c>
      <c r="J5695" s="3" t="str">
        <f>HYPERLINK("https://www.boe.es/gazeta/dias/1820/11/06/pdfs/GGB-1820-131.pdf#page=2","Abrir facsímil")</f>
        <v>Abrir facsímil</v>
      </c>
      <c r="K5695" s="3" t="s">
        <v>23</v>
      </c>
    </row>
    <row r="5696" spans="1:11" ht="42" customHeight="1">
      <c r="A5696" s="2" t="s">
        <v>11300</v>
      </c>
      <c r="B5696" s="2" t="s">
        <v>11300</v>
      </c>
      <c r="C5696" s="2" t="s">
        <v>17</v>
      </c>
      <c r="D5696" s="2" t="s">
        <v>18</v>
      </c>
      <c r="E5696" s="5">
        <v>-28906</v>
      </c>
      <c r="F5696" s="3" t="s">
        <v>232</v>
      </c>
      <c r="G5696" s="3" t="s">
        <v>62</v>
      </c>
      <c r="H5696" s="2" t="s">
        <v>21</v>
      </c>
      <c r="I5696" s="2" t="s">
        <v>11301</v>
      </c>
      <c r="J5696" s="3" t="str">
        <f>HYPERLINK("https://www.boe.es/gazeta/dias/1820/11/08/pdfs/GGB-1820-133.pdf#page=3","Abrir facsímil")</f>
        <v>Abrir facsímil</v>
      </c>
      <c r="K5696" s="3" t="s">
        <v>23</v>
      </c>
    </row>
    <row r="5697" spans="1:11" ht="42" customHeight="1">
      <c r="A5697" s="2" t="s">
        <v>11302</v>
      </c>
      <c r="B5697" s="2" t="s">
        <v>11303</v>
      </c>
      <c r="C5697" s="2" t="s">
        <v>26</v>
      </c>
      <c r="D5697" s="2" t="s">
        <v>27</v>
      </c>
      <c r="E5697" s="5">
        <v>-28869</v>
      </c>
      <c r="F5697" s="3" t="s">
        <v>449</v>
      </c>
      <c r="G5697" s="3" t="s">
        <v>450</v>
      </c>
      <c r="H5697" s="2" t="s">
        <v>21</v>
      </c>
      <c r="I5697" s="2" t="s">
        <v>11304</v>
      </c>
      <c r="J5697" s="3" t="str">
        <f>HYPERLINK("https://www.boe.es/gazeta/dias/1820/12/15/pdfs/GGB-1820-172.pdf#page=4","Abrir facsímil")</f>
        <v>Abrir facsímil</v>
      </c>
      <c r="K5697" s="3" t="s">
        <v>23</v>
      </c>
    </row>
    <row r="5698" spans="1:11" ht="42" customHeight="1">
      <c r="A5698" s="2" t="s">
        <v>11305</v>
      </c>
      <c r="B5698" s="2" t="s">
        <v>11306</v>
      </c>
      <c r="C5698" s="2" t="s">
        <v>35</v>
      </c>
      <c r="D5698" s="2" t="s">
        <v>36</v>
      </c>
      <c r="E5698" s="5">
        <v>-29020</v>
      </c>
      <c r="F5698" s="3" t="s">
        <v>756</v>
      </c>
      <c r="G5698" s="3" t="s">
        <v>62</v>
      </c>
      <c r="H5698" s="2" t="s">
        <v>30</v>
      </c>
      <c r="I5698" s="2" t="s">
        <v>11307</v>
      </c>
      <c r="J5698" s="3" t="str">
        <f>HYPERLINK("https://www.boe.es/gazeta/dias/1820/07/17/pdfs/GGB-1820-19.pdf#page=3","Abrir facsímil")</f>
        <v>Abrir facsímil</v>
      </c>
      <c r="K5698" s="3" t="s">
        <v>32</v>
      </c>
    </row>
    <row r="5699" spans="1:11" ht="42" customHeight="1">
      <c r="A5699" s="2" t="s">
        <v>11308</v>
      </c>
      <c r="B5699" s="2" t="s">
        <v>11309</v>
      </c>
      <c r="C5699" s="2" t="s">
        <v>35</v>
      </c>
      <c r="D5699" s="2" t="s">
        <v>36</v>
      </c>
      <c r="E5699" s="5">
        <v>-29138</v>
      </c>
      <c r="F5699" s="3" t="s">
        <v>200</v>
      </c>
      <c r="G5699" s="3" t="s">
        <v>201</v>
      </c>
      <c r="H5699" s="2" t="s">
        <v>21</v>
      </c>
      <c r="I5699" s="2" t="s">
        <v>11310</v>
      </c>
      <c r="J5699" s="3" t="str">
        <f>HYPERLINK("https://www.boe.es/gazeta/dias/1820/03/21/pdfs/GMD-1820-46.pdf#page=7","Abrir facsímil")</f>
        <v>Abrir facsímil</v>
      </c>
      <c r="K5699" s="3" t="s">
        <v>23</v>
      </c>
    </row>
    <row r="5700" spans="1:11" ht="42" customHeight="1">
      <c r="A5700" s="2" t="s">
        <v>11311</v>
      </c>
      <c r="B5700" s="2" t="s">
        <v>11312</v>
      </c>
      <c r="C5700" s="2" t="s">
        <v>26</v>
      </c>
      <c r="D5700" s="2" t="s">
        <v>310</v>
      </c>
      <c r="E5700" s="5">
        <v>-29150</v>
      </c>
      <c r="F5700" s="3" t="s">
        <v>4978</v>
      </c>
      <c r="G5700" s="3" t="s">
        <v>128</v>
      </c>
      <c r="H5700" s="2" t="s">
        <v>30</v>
      </c>
      <c r="I5700" s="2" t="s">
        <v>11313</v>
      </c>
      <c r="J5700" s="3" t="str">
        <f>HYPERLINK("https://www.boe.es/gazeta/dias/1820/03/09/pdfs/GMD-1820-34E.pdf#page=1","Abrir facsímil")</f>
        <v>Abrir facsímil</v>
      </c>
      <c r="K5700" s="3" t="s">
        <v>32</v>
      </c>
    </row>
    <row r="5701" spans="1:11" ht="42" customHeight="1">
      <c r="A5701" s="2" t="s">
        <v>11311</v>
      </c>
      <c r="B5701" s="2" t="s">
        <v>11312</v>
      </c>
      <c r="C5701" s="2" t="s">
        <v>35</v>
      </c>
      <c r="D5701" s="2" t="s">
        <v>36</v>
      </c>
      <c r="E5701" s="5">
        <v>-29143</v>
      </c>
      <c r="F5701" s="3" t="s">
        <v>334</v>
      </c>
      <c r="G5701" s="3" t="s">
        <v>38</v>
      </c>
      <c r="H5701" s="2" t="s">
        <v>30</v>
      </c>
      <c r="I5701" s="2" t="s">
        <v>11314</v>
      </c>
      <c r="J5701" s="3" t="str">
        <f>HYPERLINK("https://www.boe.es/gazeta/dias/1820/03/16/pdfs/GMD-1820-42.pdf#page=6","Abrir facsímil")</f>
        <v>Abrir facsímil</v>
      </c>
      <c r="K5701" s="3" t="s">
        <v>32</v>
      </c>
    </row>
    <row r="5702" spans="1:11" ht="42" customHeight="1">
      <c r="A5702" s="2" t="s">
        <v>11315</v>
      </c>
      <c r="B5702" s="2" t="s">
        <v>11316</v>
      </c>
      <c r="C5702" s="2" t="s">
        <v>35</v>
      </c>
      <c r="D5702" s="2" t="s">
        <v>36</v>
      </c>
      <c r="E5702" s="5">
        <v>-29213</v>
      </c>
      <c r="F5702" s="3" t="s">
        <v>195</v>
      </c>
      <c r="G5702" s="3" t="s">
        <v>256</v>
      </c>
      <c r="H5702" s="2" t="s">
        <v>21</v>
      </c>
      <c r="I5702" s="2" t="s">
        <v>11317</v>
      </c>
      <c r="J5702" s="3" t="str">
        <f>HYPERLINK("https://www.boe.es/gazeta/dias/1820/01/06/pdfs/GMD-1820-3.pdf#page=5","Abrir facsímil")</f>
        <v>Abrir facsímil</v>
      </c>
      <c r="K5702" s="3" t="s">
        <v>23</v>
      </c>
    </row>
    <row r="5703" spans="1:11" ht="42" customHeight="1">
      <c r="A5703" s="2" t="s">
        <v>11318</v>
      </c>
      <c r="B5703" s="2" t="s">
        <v>11319</v>
      </c>
      <c r="C5703" s="2" t="s">
        <v>35</v>
      </c>
      <c r="D5703" s="2" t="s">
        <v>36</v>
      </c>
      <c r="E5703" s="5">
        <v>-29024</v>
      </c>
      <c r="F5703" s="3" t="s">
        <v>1916</v>
      </c>
      <c r="G5703" s="3" t="s">
        <v>43</v>
      </c>
      <c r="H5703" s="2" t="s">
        <v>30</v>
      </c>
      <c r="I5703" s="2" t="s">
        <v>11320</v>
      </c>
      <c r="J5703" s="3" t="str">
        <f>HYPERLINK("https://www.boe.es/gazeta/dias/1820/07/13/pdfs/GGB-1820-15.pdf#page=2","Abrir facsímil")</f>
        <v>Abrir facsímil</v>
      </c>
      <c r="K5703" s="3" t="s">
        <v>32</v>
      </c>
    </row>
    <row r="5704" spans="1:11" ht="42" customHeight="1">
      <c r="A5704" s="2" t="s">
        <v>11321</v>
      </c>
      <c r="B5704" s="2" t="s">
        <v>11321</v>
      </c>
      <c r="C5704" s="2" t="s">
        <v>26</v>
      </c>
      <c r="D5704" s="2" t="s">
        <v>27</v>
      </c>
      <c r="E5704" s="5">
        <v>-28964</v>
      </c>
      <c r="F5704" s="3" t="s">
        <v>240</v>
      </c>
      <c r="G5704" s="3" t="s">
        <v>43</v>
      </c>
      <c r="H5704" s="2" t="s">
        <v>21</v>
      </c>
      <c r="I5704" s="2" t="s">
        <v>11322</v>
      </c>
      <c r="J5704" s="3" t="str">
        <f>HYPERLINK("https://www.boe.es/gazeta/dias/1820/09/11/pdfs/GGB-1820-75.pdf#page=2","Abrir facsímil")</f>
        <v>Abrir facsímil</v>
      </c>
      <c r="K5704" s="3" t="s">
        <v>23</v>
      </c>
    </row>
    <row r="5705" spans="1:11" ht="42" customHeight="1">
      <c r="A5705" s="2" t="s">
        <v>11323</v>
      </c>
      <c r="B5705" s="2" t="s">
        <v>11324</v>
      </c>
      <c r="C5705" s="2" t="s">
        <v>26</v>
      </c>
      <c r="D5705" s="2" t="s">
        <v>27</v>
      </c>
      <c r="E5705" s="5">
        <v>-28964</v>
      </c>
      <c r="F5705" s="3" t="s">
        <v>240</v>
      </c>
      <c r="G5705" s="3" t="s">
        <v>62</v>
      </c>
      <c r="H5705" s="2" t="s">
        <v>21</v>
      </c>
      <c r="I5705" s="2" t="s">
        <v>11325</v>
      </c>
      <c r="J5705" s="3" t="str">
        <f>HYPERLINK("https://www.boe.es/gazeta/dias/1820/09/11/pdfs/GGB-1820-75.pdf#page=3","Abrir facsímil")</f>
        <v>Abrir facsímil</v>
      </c>
      <c r="K5705" s="3" t="s">
        <v>23</v>
      </c>
    </row>
    <row r="5706" spans="1:11" ht="42" customHeight="1">
      <c r="A5706" s="2" t="s">
        <v>11326</v>
      </c>
      <c r="B5706" s="2" t="s">
        <v>11326</v>
      </c>
      <c r="C5706" s="2" t="s">
        <v>35</v>
      </c>
      <c r="D5706" s="2" t="s">
        <v>36</v>
      </c>
      <c r="E5706" s="5">
        <v>-28947</v>
      </c>
      <c r="F5706" s="3" t="s">
        <v>127</v>
      </c>
      <c r="G5706" s="3" t="s">
        <v>20</v>
      </c>
      <c r="H5706" s="2" t="s">
        <v>21</v>
      </c>
      <c r="I5706" s="2" t="s">
        <v>11327</v>
      </c>
      <c r="J5706" s="3" t="str">
        <f>HYPERLINK("https://www.boe.es/gazeta/dias/1820/09/28/pdfs/GGB-1820-92.pdf#page=4","Abrir facsímil")</f>
        <v>Abrir facsímil</v>
      </c>
      <c r="K5706" s="3" t="s">
        <v>23</v>
      </c>
    </row>
    <row r="5707" spans="1:11" ht="42" customHeight="1">
      <c r="A5707" s="2" t="s">
        <v>11328</v>
      </c>
      <c r="B5707" s="2" t="s">
        <v>11329</v>
      </c>
      <c r="C5707" s="2" t="s">
        <v>293</v>
      </c>
      <c r="D5707" s="2" t="s">
        <v>18</v>
      </c>
      <c r="E5707" s="5">
        <v>-29054</v>
      </c>
      <c r="F5707" s="3" t="s">
        <v>481</v>
      </c>
      <c r="G5707" s="3" t="s">
        <v>196</v>
      </c>
      <c r="H5707" s="2" t="s">
        <v>21</v>
      </c>
      <c r="I5707" s="2" t="s">
        <v>11330</v>
      </c>
      <c r="J5707" s="3" t="str">
        <f>HYPERLINK("https://www.boe.es/gazeta/dias/1820/06/13/pdfs/GMD-1820-93.pdf#page=11","Abrir facsímil")</f>
        <v>Abrir facsímil</v>
      </c>
      <c r="K5707" s="3" t="s">
        <v>23</v>
      </c>
    </row>
    <row r="5708" spans="1:11" ht="42" customHeight="1">
      <c r="A5708" s="2" t="s">
        <v>11331</v>
      </c>
      <c r="B5708" s="2" t="s">
        <v>11331</v>
      </c>
      <c r="C5708" s="2" t="s">
        <v>111</v>
      </c>
      <c r="D5708" s="2" t="s">
        <v>18</v>
      </c>
      <c r="E5708" s="5">
        <v>-29052</v>
      </c>
      <c r="F5708" s="3" t="s">
        <v>1231</v>
      </c>
      <c r="G5708" s="3" t="s">
        <v>295</v>
      </c>
      <c r="H5708" s="2" t="s">
        <v>21</v>
      </c>
      <c r="I5708" s="2" t="s">
        <v>11332</v>
      </c>
      <c r="J5708" s="3" t="str">
        <f>HYPERLINK("https://www.boe.es/gazeta/dias/1820/06/15/pdfs/GMD-1820-94.pdf#page=8","Abrir facsímil")</f>
        <v>Abrir facsímil</v>
      </c>
      <c r="K5708" s="3" t="s">
        <v>23</v>
      </c>
    </row>
    <row r="5709" spans="1:11" ht="42" customHeight="1">
      <c r="A5709" s="2" t="s">
        <v>11333</v>
      </c>
      <c r="B5709" s="2" t="s">
        <v>11334</v>
      </c>
      <c r="C5709" s="2" t="s">
        <v>26</v>
      </c>
      <c r="D5709" s="2" t="s">
        <v>27</v>
      </c>
      <c r="E5709" s="5">
        <v>-28905</v>
      </c>
      <c r="F5709" s="3" t="s">
        <v>749</v>
      </c>
      <c r="G5709" s="3" t="s">
        <v>62</v>
      </c>
      <c r="H5709" s="2" t="s">
        <v>21</v>
      </c>
      <c r="I5709" s="2" t="s">
        <v>11335</v>
      </c>
      <c r="J5709" s="3" t="str">
        <f>HYPERLINK("https://www.boe.es/gazeta/dias/1820/11/09/pdfs/GGB-1820-134.pdf#page=3","Abrir facsímil")</f>
        <v>Abrir facsímil</v>
      </c>
      <c r="K5709" s="3" t="s">
        <v>23</v>
      </c>
    </row>
    <row r="5710" spans="1:11" ht="42" customHeight="1">
      <c r="A5710" s="2" t="s">
        <v>11336</v>
      </c>
      <c r="B5710" s="2" t="s">
        <v>11337</v>
      </c>
      <c r="C5710" s="2" t="s">
        <v>26</v>
      </c>
      <c r="D5710" s="2" t="s">
        <v>27</v>
      </c>
      <c r="E5710" s="5">
        <v>-28977</v>
      </c>
      <c r="F5710" s="3" t="s">
        <v>687</v>
      </c>
      <c r="G5710" s="3" t="s">
        <v>62</v>
      </c>
      <c r="H5710" s="2" t="s">
        <v>21</v>
      </c>
      <c r="I5710" s="2" t="s">
        <v>11338</v>
      </c>
      <c r="J5710" s="3" t="str">
        <f>HYPERLINK("https://www.boe.es/gazeta/dias/1820/08/29/pdfs/GGB-1820-62.pdf#page=3","Abrir facsímil")</f>
        <v>Abrir facsímil</v>
      </c>
      <c r="K5710" s="3" t="s">
        <v>23</v>
      </c>
    </row>
    <row r="5711" spans="1:11" ht="42" customHeight="1">
      <c r="A5711" s="2" t="s">
        <v>11339</v>
      </c>
      <c r="B5711" s="2" t="s">
        <v>11339</v>
      </c>
      <c r="C5711" s="2" t="s">
        <v>35</v>
      </c>
      <c r="D5711" s="2" t="s">
        <v>36</v>
      </c>
      <c r="E5711" s="5">
        <v>-29015</v>
      </c>
      <c r="F5711" s="3" t="s">
        <v>359</v>
      </c>
      <c r="G5711" s="3" t="s">
        <v>62</v>
      </c>
      <c r="H5711" s="2" t="s">
        <v>21</v>
      </c>
      <c r="I5711" s="2" t="s">
        <v>11340</v>
      </c>
      <c r="J5711" s="3" t="str">
        <f>HYPERLINK("https://www.boe.es/gazeta/dias/1820/07/22/pdfs/GGB-1820-24.pdf#page=3","Abrir facsímil")</f>
        <v>Abrir facsímil</v>
      </c>
      <c r="K5711" s="3" t="s">
        <v>23</v>
      </c>
    </row>
    <row r="5712" spans="1:11" ht="42" customHeight="1">
      <c r="A5712" s="2" t="s">
        <v>11339</v>
      </c>
      <c r="B5712" s="2" t="s">
        <v>11339</v>
      </c>
      <c r="C5712" s="2" t="s">
        <v>35</v>
      </c>
      <c r="D5712" s="2" t="s">
        <v>36</v>
      </c>
      <c r="E5712" s="5">
        <v>-29002</v>
      </c>
      <c r="F5712" s="3" t="s">
        <v>124</v>
      </c>
      <c r="G5712" s="3" t="s">
        <v>62</v>
      </c>
      <c r="H5712" s="2" t="s">
        <v>21</v>
      </c>
      <c r="I5712" s="2" t="s">
        <v>11341</v>
      </c>
      <c r="J5712" s="3" t="str">
        <f>HYPERLINK("https://www.boe.es/gazeta/dias/1820/08/04/pdfs/GGB-1820-37.pdf#page=3","Abrir facsímil")</f>
        <v>Abrir facsímil</v>
      </c>
      <c r="K5712" s="3" t="s">
        <v>23</v>
      </c>
    </row>
    <row r="5713" spans="1:11" ht="42" customHeight="1">
      <c r="A5713" s="2" t="s">
        <v>11339</v>
      </c>
      <c r="B5713" s="2" t="s">
        <v>11339</v>
      </c>
      <c r="C5713" s="2" t="s">
        <v>107</v>
      </c>
      <c r="D5713" s="2" t="s">
        <v>18</v>
      </c>
      <c r="E5713" s="5">
        <v>-29002</v>
      </c>
      <c r="F5713" s="3" t="s">
        <v>124</v>
      </c>
      <c r="G5713" s="3" t="s">
        <v>20</v>
      </c>
      <c r="H5713" s="2" t="s">
        <v>21</v>
      </c>
      <c r="I5713" s="2" t="s">
        <v>11342</v>
      </c>
      <c r="J5713" s="3" t="str">
        <f>HYPERLINK("https://www.boe.es/gazeta/dias/1820/08/04/pdfs/GGB-1820-37.pdf#page=4","Abrir facsímil")</f>
        <v>Abrir facsímil</v>
      </c>
      <c r="K5713" s="3" t="s">
        <v>23</v>
      </c>
    </row>
    <row r="5714" spans="1:11" ht="42" customHeight="1">
      <c r="A5714" s="2" t="s">
        <v>11339</v>
      </c>
      <c r="B5714" s="2" t="s">
        <v>11339</v>
      </c>
      <c r="C5714" s="2" t="s">
        <v>26</v>
      </c>
      <c r="D5714" s="2" t="s">
        <v>27</v>
      </c>
      <c r="E5714" s="5">
        <v>-28999</v>
      </c>
      <c r="F5714" s="3" t="s">
        <v>342</v>
      </c>
      <c r="G5714" s="3" t="s">
        <v>62</v>
      </c>
      <c r="H5714" s="2" t="s">
        <v>21</v>
      </c>
      <c r="I5714" s="2" t="s">
        <v>11343</v>
      </c>
      <c r="J5714" s="3" t="str">
        <f>HYPERLINK("https://www.boe.es/gazeta/dias/1820/08/07/pdfs/GGB-1820-40.pdf#page=3","Abrir facsímil")</f>
        <v>Abrir facsímil</v>
      </c>
      <c r="K5714" s="3" t="s">
        <v>23</v>
      </c>
    </row>
    <row r="5715" spans="1:11" ht="42" customHeight="1">
      <c r="A5715" s="2" t="s">
        <v>11339</v>
      </c>
      <c r="B5715" s="2" t="s">
        <v>11339</v>
      </c>
      <c r="C5715" s="2" t="s">
        <v>74</v>
      </c>
      <c r="D5715" s="2" t="s">
        <v>18</v>
      </c>
      <c r="E5715" s="5">
        <v>-28998</v>
      </c>
      <c r="F5715" s="3" t="s">
        <v>629</v>
      </c>
      <c r="G5715" s="3" t="s">
        <v>43</v>
      </c>
      <c r="H5715" s="2" t="s">
        <v>21</v>
      </c>
      <c r="I5715" s="2" t="s">
        <v>11344</v>
      </c>
      <c r="J5715" s="3" t="str">
        <f>HYPERLINK("https://www.boe.es/gazeta/dias/1820/08/08/pdfs/GGB-1820-41.pdf#page=2","Abrir facsímil")</f>
        <v>Abrir facsímil</v>
      </c>
      <c r="K5715" s="3" t="s">
        <v>23</v>
      </c>
    </row>
    <row r="5716" spans="1:11" ht="42" customHeight="1">
      <c r="A5716" s="2" t="s">
        <v>11339</v>
      </c>
      <c r="B5716" s="2" t="s">
        <v>11339</v>
      </c>
      <c r="C5716" s="2" t="s">
        <v>26</v>
      </c>
      <c r="D5716" s="2" t="s">
        <v>27</v>
      </c>
      <c r="E5716" s="5">
        <v>-28998</v>
      </c>
      <c r="F5716" s="3" t="s">
        <v>629</v>
      </c>
      <c r="G5716" s="3" t="s">
        <v>62</v>
      </c>
      <c r="H5716" s="2" t="s">
        <v>21</v>
      </c>
      <c r="I5716" s="2" t="s">
        <v>11345</v>
      </c>
      <c r="J5716" s="3" t="str">
        <f>HYPERLINK("https://www.boe.es/gazeta/dias/1820/08/08/pdfs/GGB-1820-41.pdf#page=3","Abrir facsímil")</f>
        <v>Abrir facsímil</v>
      </c>
      <c r="K5716" s="3" t="s">
        <v>23</v>
      </c>
    </row>
    <row r="5717" spans="1:11" ht="42" customHeight="1">
      <c r="A5717" s="2" t="s">
        <v>11339</v>
      </c>
      <c r="B5717" s="2" t="s">
        <v>11339</v>
      </c>
      <c r="C5717" s="2" t="s">
        <v>17</v>
      </c>
      <c r="D5717" s="2" t="s">
        <v>18</v>
      </c>
      <c r="E5717" s="5">
        <v>-28991</v>
      </c>
      <c r="F5717" s="3" t="s">
        <v>213</v>
      </c>
      <c r="G5717" s="3" t="s">
        <v>62</v>
      </c>
      <c r="H5717" s="2" t="s">
        <v>21</v>
      </c>
      <c r="I5717" s="2" t="s">
        <v>11346</v>
      </c>
      <c r="J5717" s="3" t="str">
        <f>HYPERLINK("https://www.boe.es/gazeta/dias/1820/08/15/pdfs/GGB-1820-48.pdf#page=3","Abrir facsímil")</f>
        <v>Abrir facsímil</v>
      </c>
      <c r="K5717" s="3" t="s">
        <v>23</v>
      </c>
    </row>
    <row r="5718" spans="1:11" ht="42" customHeight="1">
      <c r="A5718" s="2" t="s">
        <v>11339</v>
      </c>
      <c r="B5718" s="2" t="s">
        <v>11339</v>
      </c>
      <c r="C5718" s="2" t="s">
        <v>293</v>
      </c>
      <c r="D5718" s="2" t="s">
        <v>18</v>
      </c>
      <c r="E5718" s="5">
        <v>-28988</v>
      </c>
      <c r="F5718" s="3" t="s">
        <v>618</v>
      </c>
      <c r="G5718" s="3" t="s">
        <v>62</v>
      </c>
      <c r="H5718" s="2" t="s">
        <v>21</v>
      </c>
      <c r="I5718" s="2" t="s">
        <v>11347</v>
      </c>
      <c r="J5718" s="3" t="str">
        <f>HYPERLINK("https://www.boe.es/gazeta/dias/1820/08/18/pdfs/GGB-1820-51.pdf#page=3","Abrir facsímil")</f>
        <v>Abrir facsímil</v>
      </c>
      <c r="K5718" s="3" t="s">
        <v>23</v>
      </c>
    </row>
    <row r="5719" spans="1:11" ht="42" customHeight="1">
      <c r="A5719" s="2" t="s">
        <v>11339</v>
      </c>
      <c r="B5719" s="2" t="s">
        <v>11339</v>
      </c>
      <c r="C5719" s="2" t="s">
        <v>111</v>
      </c>
      <c r="D5719" s="2" t="s">
        <v>18</v>
      </c>
      <c r="E5719" s="5">
        <v>-28978</v>
      </c>
      <c r="F5719" s="3" t="s">
        <v>203</v>
      </c>
      <c r="G5719" s="3" t="s">
        <v>62</v>
      </c>
      <c r="H5719" s="2" t="s">
        <v>21</v>
      </c>
      <c r="I5719" s="2" t="s">
        <v>11348</v>
      </c>
      <c r="J5719" s="3" t="str">
        <f>HYPERLINK("https://www.boe.es/gazeta/dias/1820/08/28/pdfs/GGB-1820-61.pdf#page=3","Abrir facsímil")</f>
        <v>Abrir facsímil</v>
      </c>
      <c r="K5719" s="3" t="s">
        <v>23</v>
      </c>
    </row>
    <row r="5720" spans="1:11" ht="42" customHeight="1">
      <c r="A5720" s="2" t="s">
        <v>11339</v>
      </c>
      <c r="B5720" s="2" t="s">
        <v>11339</v>
      </c>
      <c r="C5720" s="2" t="s">
        <v>26</v>
      </c>
      <c r="D5720" s="2" t="s">
        <v>27</v>
      </c>
      <c r="E5720" s="5">
        <v>-28976</v>
      </c>
      <c r="F5720" s="3" t="s">
        <v>689</v>
      </c>
      <c r="G5720" s="3" t="s">
        <v>62</v>
      </c>
      <c r="H5720" s="2" t="s">
        <v>21</v>
      </c>
      <c r="I5720" s="2" t="s">
        <v>11349</v>
      </c>
      <c r="J5720" s="3" t="str">
        <f>HYPERLINK("https://www.boe.es/gazeta/dias/1820/08/30/pdfs/GGB-1820-63.pdf#page=3","Abrir facsímil")</f>
        <v>Abrir facsímil</v>
      </c>
      <c r="K5720" s="3" t="s">
        <v>23</v>
      </c>
    </row>
    <row r="5721" spans="1:11" ht="42" customHeight="1">
      <c r="A5721" s="2" t="s">
        <v>11339</v>
      </c>
      <c r="B5721" s="2" t="s">
        <v>11339</v>
      </c>
      <c r="C5721" s="2" t="s">
        <v>26</v>
      </c>
      <c r="D5721" s="2" t="s">
        <v>27</v>
      </c>
      <c r="E5721" s="5">
        <v>-28972</v>
      </c>
      <c r="F5721" s="3" t="s">
        <v>522</v>
      </c>
      <c r="G5721" s="3" t="s">
        <v>62</v>
      </c>
      <c r="H5721" s="2" t="s">
        <v>21</v>
      </c>
      <c r="I5721" s="2" t="s">
        <v>11350</v>
      </c>
      <c r="J5721" s="3" t="str">
        <f>HYPERLINK("https://www.boe.es/gazeta/dias/1820/09/03/pdfs/GGB-1820-67.pdf#page=3","Abrir facsímil")</f>
        <v>Abrir facsímil</v>
      </c>
      <c r="K5721" s="3" t="s">
        <v>23</v>
      </c>
    </row>
    <row r="5722" spans="1:11" ht="42" customHeight="1">
      <c r="A5722" s="2" t="s">
        <v>11339</v>
      </c>
      <c r="B5722" s="2" t="s">
        <v>11339</v>
      </c>
      <c r="C5722" s="2" t="s">
        <v>74</v>
      </c>
      <c r="D5722" s="2" t="s">
        <v>18</v>
      </c>
      <c r="E5722" s="5">
        <v>-28962</v>
      </c>
      <c r="F5722" s="3" t="s">
        <v>90</v>
      </c>
      <c r="G5722" s="3" t="s">
        <v>62</v>
      </c>
      <c r="H5722" s="2" t="s">
        <v>21</v>
      </c>
      <c r="I5722" s="2" t="s">
        <v>11351</v>
      </c>
      <c r="J5722" s="3" t="str">
        <f>HYPERLINK("https://www.boe.es/gazeta/dias/1820/09/13/pdfs/GGB-1820-77.pdf#page=3","Abrir facsímil")</f>
        <v>Abrir facsímil</v>
      </c>
      <c r="K5722" s="3" t="s">
        <v>23</v>
      </c>
    </row>
    <row r="5723" spans="1:11" ht="42" customHeight="1">
      <c r="A5723" s="2" t="s">
        <v>11339</v>
      </c>
      <c r="B5723" s="2" t="s">
        <v>11339</v>
      </c>
      <c r="C5723" s="2" t="s">
        <v>293</v>
      </c>
      <c r="D5723" s="2" t="s">
        <v>18</v>
      </c>
      <c r="E5723" s="5">
        <v>-28959</v>
      </c>
      <c r="F5723" s="3" t="s">
        <v>37</v>
      </c>
      <c r="G5723" s="3" t="s">
        <v>20</v>
      </c>
      <c r="H5723" s="2" t="s">
        <v>21</v>
      </c>
      <c r="I5723" s="2" t="s">
        <v>11352</v>
      </c>
      <c r="J5723" s="3" t="str">
        <f>HYPERLINK("https://www.boe.es/gazeta/dias/1820/09/16/pdfs/GGB-1820-80.pdf#page=4","Abrir facsímil")</f>
        <v>Abrir facsímil</v>
      </c>
      <c r="K5723" s="3" t="s">
        <v>23</v>
      </c>
    </row>
    <row r="5724" spans="1:11" ht="42" customHeight="1">
      <c r="A5724" s="2" t="s">
        <v>11339</v>
      </c>
      <c r="B5724" s="2" t="s">
        <v>11339</v>
      </c>
      <c r="C5724" s="2" t="s">
        <v>26</v>
      </c>
      <c r="D5724" s="2" t="s">
        <v>27</v>
      </c>
      <c r="E5724" s="5">
        <v>-28909</v>
      </c>
      <c r="F5724" s="3" t="s">
        <v>278</v>
      </c>
      <c r="G5724" s="3" t="s">
        <v>62</v>
      </c>
      <c r="H5724" s="2" t="s">
        <v>21</v>
      </c>
      <c r="I5724" s="2" t="s">
        <v>11353</v>
      </c>
      <c r="J5724" s="3" t="str">
        <f>HYPERLINK("https://www.boe.es/gazeta/dias/1820/11/05/pdfs/GGB-1820-130.pdf#page=3","Abrir facsímil")</f>
        <v>Abrir facsímil</v>
      </c>
      <c r="K5724" s="3" t="s">
        <v>23</v>
      </c>
    </row>
    <row r="5725" spans="1:11" ht="42" customHeight="1">
      <c r="A5725" s="2" t="s">
        <v>11339</v>
      </c>
      <c r="B5725" s="2" t="s">
        <v>11339</v>
      </c>
      <c r="C5725" s="2" t="s">
        <v>74</v>
      </c>
      <c r="D5725" s="2" t="s">
        <v>18</v>
      </c>
      <c r="E5725" s="5">
        <v>-28906</v>
      </c>
      <c r="F5725" s="3" t="s">
        <v>232</v>
      </c>
      <c r="G5725" s="3" t="s">
        <v>43</v>
      </c>
      <c r="H5725" s="2" t="s">
        <v>21</v>
      </c>
      <c r="I5725" s="2" t="s">
        <v>11354</v>
      </c>
      <c r="J5725" s="3" t="str">
        <f>HYPERLINK("https://www.boe.es/gazeta/dias/1820/11/08/pdfs/GGB-1820-133.pdf#page=2","Abrir facsímil")</f>
        <v>Abrir facsímil</v>
      </c>
      <c r="K5725" s="3" t="s">
        <v>23</v>
      </c>
    </row>
    <row r="5726" spans="1:11" ht="42" customHeight="1">
      <c r="A5726" s="2" t="s">
        <v>11355</v>
      </c>
      <c r="B5726" s="2" t="s">
        <v>11356</v>
      </c>
      <c r="C5726" s="2" t="s">
        <v>35</v>
      </c>
      <c r="D5726" s="2" t="s">
        <v>36</v>
      </c>
      <c r="E5726" s="5">
        <v>-29120</v>
      </c>
      <c r="F5726" s="3" t="s">
        <v>852</v>
      </c>
      <c r="G5726" s="3" t="s">
        <v>201</v>
      </c>
      <c r="H5726" s="2" t="s">
        <v>21</v>
      </c>
      <c r="I5726" s="2" t="s">
        <v>11357</v>
      </c>
      <c r="J5726" s="3" t="str">
        <f>HYPERLINK("https://www.boe.es/gazeta/dias/1820/04/08/pdfs/GMD-1820-63.pdf#page=7","Abrir facsímil")</f>
        <v>Abrir facsímil</v>
      </c>
      <c r="K5726" s="3" t="s">
        <v>23</v>
      </c>
    </row>
    <row r="5727" spans="1:11" ht="42" customHeight="1">
      <c r="A5727" s="2" t="s">
        <v>11358</v>
      </c>
      <c r="B5727" s="2" t="s">
        <v>11359</v>
      </c>
      <c r="C5727" s="2" t="s">
        <v>35</v>
      </c>
      <c r="D5727" s="2" t="s">
        <v>36</v>
      </c>
      <c r="E5727" s="5">
        <v>-29078</v>
      </c>
      <c r="F5727" s="3" t="s">
        <v>260</v>
      </c>
      <c r="G5727" s="3" t="s">
        <v>261</v>
      </c>
      <c r="H5727" s="2" t="s">
        <v>21</v>
      </c>
      <c r="I5727" s="2" t="s">
        <v>11360</v>
      </c>
      <c r="J5727" s="3" t="str">
        <f>HYPERLINK("https://www.boe.es/gazeta/dias/1820/05/20/pdfs/GMD-1820-83.pdf#page=9","Abrir facsímil")</f>
        <v>Abrir facsímil</v>
      </c>
      <c r="K5727" s="3" t="s">
        <v>23</v>
      </c>
    </row>
    <row r="5728" spans="1:11" ht="42" customHeight="1">
      <c r="A5728" s="2" t="s">
        <v>11361</v>
      </c>
      <c r="B5728" s="2" t="s">
        <v>11362</v>
      </c>
      <c r="C5728" s="2" t="s">
        <v>74</v>
      </c>
      <c r="D5728" s="2" t="s">
        <v>18</v>
      </c>
      <c r="E5728" s="5">
        <v>-29138</v>
      </c>
      <c r="F5728" s="3" t="s">
        <v>200</v>
      </c>
      <c r="G5728" s="3" t="s">
        <v>201</v>
      </c>
      <c r="H5728" s="2" t="s">
        <v>21</v>
      </c>
      <c r="I5728" s="2" t="s">
        <v>11363</v>
      </c>
      <c r="J5728" s="3" t="str">
        <f>HYPERLINK("https://www.boe.es/gazeta/dias/1820/03/21/pdfs/GMD-1820-46.pdf#page=7","Abrir facsímil")</f>
        <v>Abrir facsímil</v>
      </c>
      <c r="K5728" s="3" t="s">
        <v>23</v>
      </c>
    </row>
    <row r="5729" spans="1:11" ht="42" customHeight="1">
      <c r="A5729" s="2" t="s">
        <v>11361</v>
      </c>
      <c r="B5729" s="2" t="s">
        <v>11362</v>
      </c>
      <c r="C5729" s="2" t="s">
        <v>26</v>
      </c>
      <c r="D5729" s="2" t="s">
        <v>27</v>
      </c>
      <c r="E5729" s="5">
        <v>-28975</v>
      </c>
      <c r="F5729" s="3" t="s">
        <v>182</v>
      </c>
      <c r="G5729" s="3" t="s">
        <v>183</v>
      </c>
      <c r="H5729" s="2" t="s">
        <v>21</v>
      </c>
      <c r="I5729" s="2" t="s">
        <v>11364</v>
      </c>
      <c r="J5729" s="3" t="str">
        <f>HYPERLINK("https://www.boe.es/gazeta/dias/1820/08/31/pdfs/GGB-1820-64.pdf#page=4","Abrir facsímil")</f>
        <v>Abrir facsímil</v>
      </c>
      <c r="K5729" s="3" t="s">
        <v>23</v>
      </c>
    </row>
    <row r="5730" spans="1:11" ht="42" customHeight="1">
      <c r="A5730" s="2" t="s">
        <v>11365</v>
      </c>
      <c r="B5730" s="2" t="s">
        <v>11365</v>
      </c>
      <c r="C5730" s="2" t="s">
        <v>293</v>
      </c>
      <c r="D5730" s="2" t="s">
        <v>18</v>
      </c>
      <c r="E5730" s="5">
        <v>-28993</v>
      </c>
      <c r="F5730" s="3" t="s">
        <v>465</v>
      </c>
      <c r="G5730" s="3" t="s">
        <v>62</v>
      </c>
      <c r="H5730" s="2" t="s">
        <v>21</v>
      </c>
      <c r="I5730" s="2" t="s">
        <v>11366</v>
      </c>
      <c r="J5730" s="3" t="str">
        <f>HYPERLINK("https://www.boe.es/gazeta/dias/1820/08/13/pdfs/GGB-1820-46.pdf#page=3","Abrir facsímil")</f>
        <v>Abrir facsímil</v>
      </c>
      <c r="K5730" s="3" t="s">
        <v>23</v>
      </c>
    </row>
    <row r="5731" spans="1:11" ht="42" customHeight="1">
      <c r="A5731" s="2" t="s">
        <v>11367</v>
      </c>
      <c r="B5731" s="2" t="s">
        <v>11367</v>
      </c>
      <c r="C5731" s="2" t="s">
        <v>26</v>
      </c>
      <c r="D5731" s="2" t="s">
        <v>27</v>
      </c>
      <c r="E5731" s="5">
        <v>-29038</v>
      </c>
      <c r="F5731" s="3" t="s">
        <v>957</v>
      </c>
      <c r="G5731" s="3" t="s">
        <v>11368</v>
      </c>
      <c r="H5731" s="2" t="s">
        <v>21</v>
      </c>
      <c r="I5731" s="2" t="s">
        <v>11369</v>
      </c>
      <c r="J5731" s="3" t="str">
        <f>HYPERLINK("https://www.boe.es/gazeta/dias/1820/06/29/pdfs/GMD-1820-100.pdf#page=4","Abrir facsímil")</f>
        <v>Abrir facsímil</v>
      </c>
      <c r="K5731" s="3" t="s">
        <v>23</v>
      </c>
    </row>
    <row r="5732" spans="1:11" ht="42" customHeight="1">
      <c r="A5732" s="2" t="s">
        <v>11367</v>
      </c>
      <c r="B5732" s="2" t="s">
        <v>11367</v>
      </c>
      <c r="C5732" s="2" t="s">
        <v>26</v>
      </c>
      <c r="D5732" s="2" t="s">
        <v>310</v>
      </c>
      <c r="E5732" s="5">
        <v>-29027</v>
      </c>
      <c r="F5732" s="3" t="s">
        <v>4403</v>
      </c>
      <c r="G5732" s="3" t="s">
        <v>62</v>
      </c>
      <c r="H5732" s="2" t="s">
        <v>21</v>
      </c>
      <c r="I5732" s="2" t="s">
        <v>11370</v>
      </c>
      <c r="J5732" s="3" t="str">
        <f>HYPERLINK("https://www.boe.es/gazeta/dias/1820/07/10/pdfs/GGB-1820-12E.pdf#page=3","Abrir facsímil")</f>
        <v>Abrir facsímil</v>
      </c>
      <c r="K5732" s="3" t="s">
        <v>23</v>
      </c>
    </row>
    <row r="5733" spans="1:11" ht="42" customHeight="1">
      <c r="A5733" s="2" t="s">
        <v>11367</v>
      </c>
      <c r="B5733" s="2" t="s">
        <v>11367</v>
      </c>
      <c r="C5733" s="2" t="s">
        <v>17</v>
      </c>
      <c r="D5733" s="2" t="s">
        <v>18</v>
      </c>
      <c r="E5733" s="5">
        <v>-29025</v>
      </c>
      <c r="F5733" s="3" t="s">
        <v>902</v>
      </c>
      <c r="G5733" s="3" t="s">
        <v>7279</v>
      </c>
      <c r="H5733" s="2" t="s">
        <v>21</v>
      </c>
      <c r="I5733" s="2" t="s">
        <v>11371</v>
      </c>
      <c r="J5733" s="3" t="str">
        <f>HYPERLINK("https://www.boe.es/gazeta/dias/1820/07/12/pdfs/GGB-1820-14.pdf#page=2","Abrir facsímil")</f>
        <v>Abrir facsímil</v>
      </c>
      <c r="K5733" s="3" t="s">
        <v>23</v>
      </c>
    </row>
    <row r="5734" spans="1:11" ht="42" customHeight="1">
      <c r="A5734" s="2" t="s">
        <v>11367</v>
      </c>
      <c r="B5734" s="2" t="s">
        <v>11367</v>
      </c>
      <c r="C5734" s="2" t="s">
        <v>26</v>
      </c>
      <c r="D5734" s="2" t="s">
        <v>27</v>
      </c>
      <c r="E5734" s="5">
        <v>-29023</v>
      </c>
      <c r="F5734" s="3" t="s">
        <v>1662</v>
      </c>
      <c r="G5734" s="3" t="s">
        <v>1663</v>
      </c>
      <c r="H5734" s="2" t="s">
        <v>21</v>
      </c>
      <c r="I5734" s="2" t="s">
        <v>11372</v>
      </c>
      <c r="J5734" s="3" t="str">
        <f>HYPERLINK("https://www.boe.es/gazeta/dias/1820/07/14/pdfs/GGB-1820-16.pdf#page=3","Abrir facsímil")</f>
        <v>Abrir facsímil</v>
      </c>
      <c r="K5734" s="3" t="s">
        <v>23</v>
      </c>
    </row>
    <row r="5735" spans="1:11" ht="42" customHeight="1">
      <c r="A5735" s="2" t="s">
        <v>11367</v>
      </c>
      <c r="B5735" s="2" t="s">
        <v>11367</v>
      </c>
      <c r="C5735" s="2" t="s">
        <v>26</v>
      </c>
      <c r="D5735" s="2" t="s">
        <v>27</v>
      </c>
      <c r="E5735" s="5">
        <v>-29015</v>
      </c>
      <c r="F5735" s="3" t="s">
        <v>359</v>
      </c>
      <c r="G5735" s="3" t="s">
        <v>62</v>
      </c>
      <c r="H5735" s="2" t="s">
        <v>21</v>
      </c>
      <c r="I5735" s="2" t="s">
        <v>11373</v>
      </c>
      <c r="J5735" s="3" t="str">
        <f>HYPERLINK("https://www.boe.es/gazeta/dias/1820/07/22/pdfs/GGB-1820-24.pdf#page=3","Abrir facsímil")</f>
        <v>Abrir facsímil</v>
      </c>
      <c r="K5735" s="3" t="s">
        <v>23</v>
      </c>
    </row>
    <row r="5736" spans="1:11" ht="42" customHeight="1">
      <c r="A5736" s="2" t="s">
        <v>11367</v>
      </c>
      <c r="B5736" s="2" t="s">
        <v>11367</v>
      </c>
      <c r="C5736" s="2" t="s">
        <v>35</v>
      </c>
      <c r="D5736" s="2" t="s">
        <v>36</v>
      </c>
      <c r="E5736" s="5">
        <v>-29010</v>
      </c>
      <c r="F5736" s="3" t="s">
        <v>664</v>
      </c>
      <c r="G5736" s="3" t="s">
        <v>62</v>
      </c>
      <c r="H5736" s="2" t="s">
        <v>21</v>
      </c>
      <c r="I5736" s="2" t="s">
        <v>11374</v>
      </c>
      <c r="J5736" s="3" t="str">
        <f>HYPERLINK("https://www.boe.es/gazeta/dias/1820/07/27/pdfs/GGB-1820-29.pdf#page=3","Abrir facsímil")</f>
        <v>Abrir facsímil</v>
      </c>
      <c r="K5736" s="3" t="s">
        <v>23</v>
      </c>
    </row>
    <row r="5737" spans="1:11" ht="42" customHeight="1">
      <c r="A5737" s="2" t="s">
        <v>11367</v>
      </c>
      <c r="B5737" s="2" t="s">
        <v>11367</v>
      </c>
      <c r="C5737" s="2" t="s">
        <v>35</v>
      </c>
      <c r="D5737" s="2" t="s">
        <v>36</v>
      </c>
      <c r="E5737" s="5">
        <v>-29007</v>
      </c>
      <c r="F5737" s="3" t="s">
        <v>251</v>
      </c>
      <c r="G5737" s="3" t="s">
        <v>43</v>
      </c>
      <c r="H5737" s="2" t="s">
        <v>21</v>
      </c>
      <c r="I5737" s="2" t="s">
        <v>11375</v>
      </c>
      <c r="J5737" s="3" t="str">
        <f>HYPERLINK("https://www.boe.es/gazeta/dias/1820/07/30/pdfs/GGB-1820-32.pdf#page=2","Abrir facsímil")</f>
        <v>Abrir facsímil</v>
      </c>
      <c r="K5737" s="3" t="s">
        <v>23</v>
      </c>
    </row>
    <row r="5738" spans="1:11" ht="42" customHeight="1">
      <c r="A5738" s="2" t="s">
        <v>11367</v>
      </c>
      <c r="B5738" s="2" t="s">
        <v>11367</v>
      </c>
      <c r="C5738" s="2" t="s">
        <v>74</v>
      </c>
      <c r="D5738" s="2" t="s">
        <v>18</v>
      </c>
      <c r="E5738" s="5">
        <v>-29004</v>
      </c>
      <c r="F5738" s="3" t="s">
        <v>75</v>
      </c>
      <c r="G5738" s="3" t="s">
        <v>76</v>
      </c>
      <c r="H5738" s="2" t="s">
        <v>21</v>
      </c>
      <c r="I5738" s="2" t="s">
        <v>11376</v>
      </c>
      <c r="J5738" s="3" t="str">
        <f>HYPERLINK("https://www.boe.es/gazeta/dias/1820/08/02/pdfs/GGB-1820-35.pdf#page=2","Abrir facsímil")</f>
        <v>Abrir facsímil</v>
      </c>
      <c r="K5738" s="3" t="s">
        <v>23</v>
      </c>
    </row>
    <row r="5739" spans="1:11" ht="42" customHeight="1">
      <c r="A5739" s="2" t="s">
        <v>11367</v>
      </c>
      <c r="B5739" s="2" t="s">
        <v>11367</v>
      </c>
      <c r="C5739" s="2" t="s">
        <v>74</v>
      </c>
      <c r="D5739" s="2" t="s">
        <v>18</v>
      </c>
      <c r="E5739" s="5">
        <v>-29001</v>
      </c>
      <c r="F5739" s="3" t="s">
        <v>633</v>
      </c>
      <c r="G5739" s="3" t="s">
        <v>43</v>
      </c>
      <c r="H5739" s="2" t="s">
        <v>21</v>
      </c>
      <c r="I5739" s="2" t="s">
        <v>11377</v>
      </c>
      <c r="J5739" s="3" t="str">
        <f>HYPERLINK("https://www.boe.es/gazeta/dias/1820/08/05/pdfs/GGB-1820-38.pdf#page=2","Abrir facsímil")</f>
        <v>Abrir facsímil</v>
      </c>
      <c r="K5739" s="3" t="s">
        <v>23</v>
      </c>
    </row>
    <row r="5740" spans="1:11" ht="42" customHeight="1">
      <c r="A5740" s="2" t="s">
        <v>11378</v>
      </c>
      <c r="B5740" s="2" t="s">
        <v>11378</v>
      </c>
      <c r="C5740" s="2" t="s">
        <v>17</v>
      </c>
      <c r="D5740" s="2" t="s">
        <v>18</v>
      </c>
      <c r="E5740" s="5">
        <v>-28993</v>
      </c>
      <c r="F5740" s="3" t="s">
        <v>465</v>
      </c>
      <c r="G5740" s="3" t="s">
        <v>20</v>
      </c>
      <c r="H5740" s="2" t="s">
        <v>21</v>
      </c>
      <c r="I5740" s="2" t="s">
        <v>11379</v>
      </c>
      <c r="J5740" s="3" t="str">
        <f>HYPERLINK("https://www.boe.es/gazeta/dias/1820/08/13/pdfs/GGB-1820-46.pdf#page=4","Abrir facsímil")</f>
        <v>Abrir facsímil</v>
      </c>
      <c r="K5740" s="3" t="s">
        <v>23</v>
      </c>
    </row>
    <row r="5741" spans="1:11" ht="42" customHeight="1">
      <c r="A5741" s="2" t="s">
        <v>11367</v>
      </c>
      <c r="B5741" s="2" t="s">
        <v>11367</v>
      </c>
      <c r="C5741" s="2" t="s">
        <v>74</v>
      </c>
      <c r="D5741" s="2" t="s">
        <v>18</v>
      </c>
      <c r="E5741" s="5">
        <v>-28984</v>
      </c>
      <c r="F5741" s="3" t="s">
        <v>520</v>
      </c>
      <c r="G5741" s="3" t="s">
        <v>62</v>
      </c>
      <c r="H5741" s="2" t="s">
        <v>21</v>
      </c>
      <c r="I5741" s="2" t="s">
        <v>11380</v>
      </c>
      <c r="J5741" s="3" t="str">
        <f>HYPERLINK("https://www.boe.es/gazeta/dias/1820/08/22/pdfs/GGB-1820-55.pdf#page=3","Abrir facsímil")</f>
        <v>Abrir facsímil</v>
      </c>
      <c r="K5741" s="3" t="s">
        <v>23</v>
      </c>
    </row>
    <row r="5742" spans="1:11" ht="42" customHeight="1">
      <c r="A5742" s="2" t="s">
        <v>11367</v>
      </c>
      <c r="B5742" s="2" t="s">
        <v>11367</v>
      </c>
      <c r="C5742" s="2" t="s">
        <v>293</v>
      </c>
      <c r="D5742" s="2" t="s">
        <v>18</v>
      </c>
      <c r="E5742" s="5">
        <v>-28983</v>
      </c>
      <c r="F5742" s="3" t="s">
        <v>682</v>
      </c>
      <c r="G5742" s="3" t="s">
        <v>20</v>
      </c>
      <c r="H5742" s="2" t="s">
        <v>21</v>
      </c>
      <c r="I5742" s="2" t="s">
        <v>11381</v>
      </c>
      <c r="J5742" s="3" t="str">
        <f>HYPERLINK("https://www.boe.es/gazeta/dias/1820/08/23/pdfs/GGB-1820-56.pdf#page=4","Abrir facsímil")</f>
        <v>Abrir facsímil</v>
      </c>
      <c r="K5742" s="3" t="s">
        <v>23</v>
      </c>
    </row>
    <row r="5743" spans="1:11" ht="42" customHeight="1">
      <c r="A5743" s="2" t="s">
        <v>11367</v>
      </c>
      <c r="B5743" s="2" t="s">
        <v>11367</v>
      </c>
      <c r="C5743" s="2" t="s">
        <v>26</v>
      </c>
      <c r="D5743" s="2" t="s">
        <v>27</v>
      </c>
      <c r="E5743" s="5">
        <v>-28976</v>
      </c>
      <c r="F5743" s="3" t="s">
        <v>689</v>
      </c>
      <c r="G5743" s="3" t="s">
        <v>62</v>
      </c>
      <c r="H5743" s="2" t="s">
        <v>21</v>
      </c>
      <c r="I5743" s="2" t="s">
        <v>11382</v>
      </c>
      <c r="J5743" s="3" t="str">
        <f>HYPERLINK("https://www.boe.es/gazeta/dias/1820/08/30/pdfs/GGB-1820-63.pdf#page=3","Abrir facsímil")</f>
        <v>Abrir facsímil</v>
      </c>
      <c r="K5743" s="3" t="s">
        <v>23</v>
      </c>
    </row>
    <row r="5744" spans="1:11" ht="42" customHeight="1">
      <c r="A5744" s="2" t="s">
        <v>11367</v>
      </c>
      <c r="B5744" s="2" t="s">
        <v>11367</v>
      </c>
      <c r="C5744" s="2" t="s">
        <v>26</v>
      </c>
      <c r="D5744" s="2" t="s">
        <v>27</v>
      </c>
      <c r="E5744" s="5">
        <v>-28969</v>
      </c>
      <c r="F5744" s="3" t="s">
        <v>225</v>
      </c>
      <c r="G5744" s="3" t="s">
        <v>20</v>
      </c>
      <c r="H5744" s="2" t="s">
        <v>21</v>
      </c>
      <c r="I5744" s="2" t="s">
        <v>11383</v>
      </c>
      <c r="J5744" s="3" t="str">
        <f>HYPERLINK("https://www.boe.es/gazeta/dias/1820/09/06/pdfs/GGB-1820-70.pdf#page=4","Abrir facsímil")</f>
        <v>Abrir facsímil</v>
      </c>
      <c r="K5744" s="3" t="s">
        <v>23</v>
      </c>
    </row>
    <row r="5745" spans="1:11" ht="42" customHeight="1">
      <c r="A5745" s="2" t="s">
        <v>11367</v>
      </c>
      <c r="B5745" s="2" t="s">
        <v>11367</v>
      </c>
      <c r="C5745" s="2" t="s">
        <v>111</v>
      </c>
      <c r="D5745" s="2" t="s">
        <v>18</v>
      </c>
      <c r="E5745" s="5">
        <v>-28940</v>
      </c>
      <c r="F5745" s="3" t="s">
        <v>141</v>
      </c>
      <c r="G5745" s="3" t="s">
        <v>142</v>
      </c>
      <c r="H5745" s="2" t="s">
        <v>21</v>
      </c>
      <c r="I5745" s="2" t="s">
        <v>11384</v>
      </c>
      <c r="J5745" s="3" t="str">
        <f>HYPERLINK("https://www.boe.es/gazeta/dias/1820/10/05/pdfs/GGB-1820-99.pdf#page=4","Abrir facsímil")</f>
        <v>Abrir facsímil</v>
      </c>
      <c r="K5745" s="3" t="s">
        <v>23</v>
      </c>
    </row>
    <row r="5746" spans="1:11" ht="42" customHeight="1">
      <c r="A5746" s="2" t="s">
        <v>11367</v>
      </c>
      <c r="B5746" s="2" t="s">
        <v>11367</v>
      </c>
      <c r="C5746" s="2" t="s">
        <v>26</v>
      </c>
      <c r="D5746" s="2" t="s">
        <v>27</v>
      </c>
      <c r="E5746" s="5">
        <v>-28939</v>
      </c>
      <c r="F5746" s="3" t="s">
        <v>992</v>
      </c>
      <c r="G5746" s="3" t="s">
        <v>62</v>
      </c>
      <c r="H5746" s="2" t="s">
        <v>21</v>
      </c>
      <c r="I5746" s="2" t="s">
        <v>11385</v>
      </c>
      <c r="J5746" s="3" t="str">
        <f>HYPERLINK("https://www.boe.es/gazeta/dias/1820/10/06/pdfs/GGB-1820-100.pdf#page=3","Abrir facsímil")</f>
        <v>Abrir facsímil</v>
      </c>
      <c r="K5746" s="3" t="s">
        <v>23</v>
      </c>
    </row>
    <row r="5747" spans="1:11" ht="42" customHeight="1">
      <c r="A5747" s="2" t="s">
        <v>11386</v>
      </c>
      <c r="B5747" s="2" t="s">
        <v>11386</v>
      </c>
      <c r="C5747" s="2" t="s">
        <v>111</v>
      </c>
      <c r="D5747" s="2" t="s">
        <v>18</v>
      </c>
      <c r="E5747" s="5">
        <v>-28932</v>
      </c>
      <c r="F5747" s="3" t="s">
        <v>407</v>
      </c>
      <c r="G5747" s="3" t="s">
        <v>20</v>
      </c>
      <c r="H5747" s="2" t="s">
        <v>21</v>
      </c>
      <c r="I5747" s="2" t="s">
        <v>11387</v>
      </c>
      <c r="J5747" s="3" t="str">
        <f>HYPERLINK("https://www.boe.es/gazeta/dias/1820/10/13/pdfs/GGB-1820-107.pdf#page=4","Abrir facsímil")</f>
        <v>Abrir facsímil</v>
      </c>
      <c r="K5747" s="3" t="s">
        <v>23</v>
      </c>
    </row>
    <row r="5748" spans="1:11" ht="42" customHeight="1">
      <c r="A5748" s="2" t="s">
        <v>11367</v>
      </c>
      <c r="B5748" s="2" t="s">
        <v>11367</v>
      </c>
      <c r="C5748" s="2" t="s">
        <v>26</v>
      </c>
      <c r="D5748" s="2" t="s">
        <v>27</v>
      </c>
      <c r="E5748" s="5">
        <v>-28919</v>
      </c>
      <c r="F5748" s="3" t="s">
        <v>516</v>
      </c>
      <c r="G5748" s="3" t="s">
        <v>43</v>
      </c>
      <c r="H5748" s="2" t="s">
        <v>21</v>
      </c>
      <c r="I5748" s="2" t="s">
        <v>11388</v>
      </c>
      <c r="J5748" s="3" t="str">
        <f>HYPERLINK("https://www.boe.es/gazeta/dias/1820/10/26/pdfs/GGB-1820-120.pdf#page=2","Abrir facsímil")</f>
        <v>Abrir facsímil</v>
      </c>
      <c r="K5748" s="3" t="s">
        <v>23</v>
      </c>
    </row>
    <row r="5749" spans="1:11" ht="42" customHeight="1">
      <c r="A5749" s="2" t="s">
        <v>11367</v>
      </c>
      <c r="B5749" s="2" t="s">
        <v>11367</v>
      </c>
      <c r="C5749" s="2" t="s">
        <v>26</v>
      </c>
      <c r="D5749" s="2" t="s">
        <v>27</v>
      </c>
      <c r="E5749" s="5">
        <v>-28913</v>
      </c>
      <c r="F5749" s="3" t="s">
        <v>230</v>
      </c>
      <c r="G5749" s="3" t="s">
        <v>43</v>
      </c>
      <c r="H5749" s="2" t="s">
        <v>21</v>
      </c>
      <c r="I5749" s="2" t="s">
        <v>11389</v>
      </c>
      <c r="J5749" s="3" t="str">
        <f>HYPERLINK("https://www.boe.es/gazeta/dias/1820/11/01/pdfs/GGB-1820-126.pdf#page=2","Abrir facsímil")</f>
        <v>Abrir facsímil</v>
      </c>
      <c r="K5749" s="3" t="s">
        <v>23</v>
      </c>
    </row>
    <row r="5750" spans="1:11" ht="42" customHeight="1">
      <c r="A5750" s="2" t="s">
        <v>11367</v>
      </c>
      <c r="B5750" s="2" t="s">
        <v>11367</v>
      </c>
      <c r="C5750" s="2" t="s">
        <v>26</v>
      </c>
      <c r="D5750" s="2" t="s">
        <v>27</v>
      </c>
      <c r="E5750" s="5">
        <v>-28908</v>
      </c>
      <c r="F5750" s="3" t="s">
        <v>1060</v>
      </c>
      <c r="G5750" s="3" t="s">
        <v>62</v>
      </c>
      <c r="H5750" s="2" t="s">
        <v>21</v>
      </c>
      <c r="I5750" s="2" t="s">
        <v>11390</v>
      </c>
      <c r="J5750" s="3" t="str">
        <f>HYPERLINK("https://www.boe.es/gazeta/dias/1820/11/06/pdfs/GGB-1820-131.pdf#page=3","Abrir facsímil")</f>
        <v>Abrir facsímil</v>
      </c>
      <c r="K5750" s="3" t="s">
        <v>23</v>
      </c>
    </row>
    <row r="5751" spans="1:11" ht="42" customHeight="1">
      <c r="A5751" s="2" t="s">
        <v>11367</v>
      </c>
      <c r="B5751" s="2" t="s">
        <v>11367</v>
      </c>
      <c r="C5751" s="2" t="s">
        <v>26</v>
      </c>
      <c r="D5751" s="2" t="s">
        <v>27</v>
      </c>
      <c r="E5751" s="5">
        <v>-28905</v>
      </c>
      <c r="F5751" s="3" t="s">
        <v>749</v>
      </c>
      <c r="G5751" s="3" t="s">
        <v>43</v>
      </c>
      <c r="H5751" s="2" t="s">
        <v>21</v>
      </c>
      <c r="I5751" s="2" t="s">
        <v>11391</v>
      </c>
      <c r="J5751" s="3" t="str">
        <f>HYPERLINK("https://www.boe.es/gazeta/dias/1820/11/09/pdfs/GGB-1820-134.pdf#page=2","Abrir facsímil")</f>
        <v>Abrir facsímil</v>
      </c>
      <c r="K5751" s="3" t="s">
        <v>23</v>
      </c>
    </row>
    <row r="5752" spans="1:11" ht="42" customHeight="1">
      <c r="A5752" s="2" t="s">
        <v>11367</v>
      </c>
      <c r="B5752" s="2" t="s">
        <v>11367</v>
      </c>
      <c r="C5752" s="2" t="s">
        <v>26</v>
      </c>
      <c r="D5752" s="2" t="s">
        <v>27</v>
      </c>
      <c r="E5752" s="5">
        <v>-28903</v>
      </c>
      <c r="F5752" s="3" t="s">
        <v>2163</v>
      </c>
      <c r="G5752" s="3" t="s">
        <v>62</v>
      </c>
      <c r="H5752" s="2" t="s">
        <v>21</v>
      </c>
      <c r="I5752" s="2" t="s">
        <v>11392</v>
      </c>
      <c r="J5752" s="3" t="str">
        <f>HYPERLINK("https://www.boe.es/gazeta/dias/1820/11/11/pdfs/GGB-1820-137.pdf#page=3","Abrir facsímil")</f>
        <v>Abrir facsímil</v>
      </c>
      <c r="K5752" s="3" t="s">
        <v>23</v>
      </c>
    </row>
    <row r="5753" spans="1:11" ht="42" customHeight="1">
      <c r="A5753" s="2" t="s">
        <v>11393</v>
      </c>
      <c r="B5753" s="2" t="s">
        <v>11394</v>
      </c>
      <c r="C5753" s="2" t="s">
        <v>26</v>
      </c>
      <c r="D5753" s="2" t="s">
        <v>310</v>
      </c>
      <c r="E5753" s="5">
        <v>-29102</v>
      </c>
      <c r="F5753" s="3" t="s">
        <v>899</v>
      </c>
      <c r="G5753" s="3" t="s">
        <v>295</v>
      </c>
      <c r="H5753" s="2" t="s">
        <v>21</v>
      </c>
      <c r="I5753" s="2" t="s">
        <v>11395</v>
      </c>
      <c r="J5753" s="3" t="str">
        <f>HYPERLINK("https://www.boe.es/gazeta/dias/1820/04/26/pdfs/GMD-1820-71E.pdf#page=8","Abrir facsímil")</f>
        <v>Abrir facsímil</v>
      </c>
      <c r="K5753" s="3" t="s">
        <v>23</v>
      </c>
    </row>
    <row r="5754" spans="1:11" ht="42" customHeight="1">
      <c r="A5754" s="2" t="s">
        <v>11396</v>
      </c>
      <c r="B5754" s="2" t="s">
        <v>11397</v>
      </c>
      <c r="C5754" s="2" t="s">
        <v>26</v>
      </c>
      <c r="D5754" s="2" t="s">
        <v>310</v>
      </c>
      <c r="E5754" s="5">
        <v>-29132</v>
      </c>
      <c r="F5754" s="3" t="s">
        <v>311</v>
      </c>
      <c r="G5754" s="3" t="s">
        <v>128</v>
      </c>
      <c r="H5754" s="2" t="s">
        <v>21</v>
      </c>
      <c r="I5754" s="2" t="s">
        <v>11398</v>
      </c>
      <c r="J5754" s="3" t="str">
        <f>HYPERLINK("https://www.boe.es/gazeta/dias/1820/03/27/pdfs/GMD-1820-55E.pdf#page=1","Abrir facsímil")</f>
        <v>Abrir facsímil</v>
      </c>
      <c r="K5754" s="3" t="s">
        <v>23</v>
      </c>
    </row>
    <row r="5755" spans="1:11" ht="42" customHeight="1">
      <c r="A5755" s="2" t="s">
        <v>11396</v>
      </c>
      <c r="B5755" s="2" t="s">
        <v>11397</v>
      </c>
      <c r="C5755" s="2" t="s">
        <v>26</v>
      </c>
      <c r="D5755" s="2" t="s">
        <v>27</v>
      </c>
      <c r="E5755" s="5">
        <v>-29117</v>
      </c>
      <c r="F5755" s="3" t="s">
        <v>1451</v>
      </c>
      <c r="G5755" s="3" t="s">
        <v>201</v>
      </c>
      <c r="H5755" s="2" t="s">
        <v>21</v>
      </c>
      <c r="I5755" s="2" t="s">
        <v>11399</v>
      </c>
      <c r="J5755" s="3" t="str">
        <f>HYPERLINK("https://www.boe.es/gazeta/dias/1820/04/11/pdfs/GMD-1820-64.pdf#page=7","Abrir facsímil")</f>
        <v>Abrir facsímil</v>
      </c>
      <c r="K5755" s="3" t="s">
        <v>23</v>
      </c>
    </row>
    <row r="5756" spans="1:11" ht="42" customHeight="1">
      <c r="A5756" s="2" t="s">
        <v>11396</v>
      </c>
      <c r="B5756" s="2" t="s">
        <v>11397</v>
      </c>
      <c r="C5756" s="2" t="s">
        <v>26</v>
      </c>
      <c r="D5756" s="2" t="s">
        <v>27</v>
      </c>
      <c r="E5756" s="5">
        <v>-29096</v>
      </c>
      <c r="F5756" s="3" t="s">
        <v>315</v>
      </c>
      <c r="G5756" s="3" t="s">
        <v>295</v>
      </c>
      <c r="H5756" s="2" t="s">
        <v>21</v>
      </c>
      <c r="I5756" s="2" t="s">
        <v>11400</v>
      </c>
      <c r="J5756" s="3" t="str">
        <f>HYPERLINK("https://www.boe.es/gazeta/dias/1820/05/02/pdfs/GMD-1820-74.pdf#page=8","Abrir facsímil")</f>
        <v>Abrir facsímil</v>
      </c>
      <c r="K5756" s="3" t="s">
        <v>23</v>
      </c>
    </row>
    <row r="5757" spans="1:11" ht="42" customHeight="1">
      <c r="A5757" s="2" t="s">
        <v>11401</v>
      </c>
      <c r="B5757" s="2" t="s">
        <v>11402</v>
      </c>
      <c r="C5757" s="2" t="s">
        <v>26</v>
      </c>
      <c r="D5757" s="2" t="s">
        <v>27</v>
      </c>
      <c r="E5757" s="5">
        <v>-29092</v>
      </c>
      <c r="F5757" s="3" t="s">
        <v>1261</v>
      </c>
      <c r="G5757" s="3" t="s">
        <v>295</v>
      </c>
      <c r="H5757" s="2" t="s">
        <v>21</v>
      </c>
      <c r="I5757" s="2" t="s">
        <v>11403</v>
      </c>
      <c r="J5757" s="3" t="str">
        <f>HYPERLINK("https://www.boe.es/gazeta/dias/1820/05/06/pdfs/GMD-1820-76.pdf#page=8","Abrir facsímil")</f>
        <v>Abrir facsímil</v>
      </c>
      <c r="K5757" s="3" t="s">
        <v>23</v>
      </c>
    </row>
    <row r="5758" spans="1:11" ht="42" customHeight="1">
      <c r="A5758" s="2" t="s">
        <v>11396</v>
      </c>
      <c r="B5758" s="2" t="s">
        <v>11397</v>
      </c>
      <c r="C5758" s="2" t="s">
        <v>47</v>
      </c>
      <c r="D5758" s="2" t="s">
        <v>18</v>
      </c>
      <c r="E5758" s="5">
        <v>-29038</v>
      </c>
      <c r="F5758" s="3" t="s">
        <v>957</v>
      </c>
      <c r="G5758" s="3" t="s">
        <v>38</v>
      </c>
      <c r="H5758" s="2" t="s">
        <v>21</v>
      </c>
      <c r="I5758" s="2" t="s">
        <v>11404</v>
      </c>
      <c r="J5758" s="3" t="str">
        <f>HYPERLINK("https://www.boe.es/gazeta/dias/1820/06/29/pdfs/GMD-1820-100.pdf#page=6","Abrir facsímil")</f>
        <v>Abrir facsímil</v>
      </c>
      <c r="K5758" s="3" t="s">
        <v>23</v>
      </c>
    </row>
    <row r="5759" spans="1:11" ht="42" customHeight="1">
      <c r="A5759" s="2" t="s">
        <v>11396</v>
      </c>
      <c r="B5759" s="2" t="s">
        <v>11397</v>
      </c>
      <c r="C5759" s="2" t="s">
        <v>35</v>
      </c>
      <c r="D5759" s="2" t="s">
        <v>310</v>
      </c>
      <c r="E5759" s="5">
        <v>-29031</v>
      </c>
      <c r="F5759" s="3" t="s">
        <v>5349</v>
      </c>
      <c r="G5759" s="3" t="s">
        <v>128</v>
      </c>
      <c r="H5759" s="2" t="s">
        <v>21</v>
      </c>
      <c r="I5759" s="2" t="s">
        <v>11405</v>
      </c>
      <c r="J5759" s="3" t="str">
        <f>HYPERLINK("https://www.boe.es/gazeta/dias/1820/07/06/pdfs/GGB-1820-7E.pdf#page=1","Abrir facsímil")</f>
        <v>Abrir facsímil</v>
      </c>
      <c r="K5759" s="3" t="s">
        <v>23</v>
      </c>
    </row>
    <row r="5760" spans="1:11" ht="42" customHeight="1">
      <c r="A5760" s="2" t="s">
        <v>11396</v>
      </c>
      <c r="B5760" s="2" t="s">
        <v>11397</v>
      </c>
      <c r="C5760" s="2" t="s">
        <v>26</v>
      </c>
      <c r="D5760" s="2" t="s">
        <v>27</v>
      </c>
      <c r="E5760" s="5">
        <v>-28913</v>
      </c>
      <c r="F5760" s="3" t="s">
        <v>230</v>
      </c>
      <c r="G5760" s="3" t="s">
        <v>43</v>
      </c>
      <c r="H5760" s="2" t="s">
        <v>21</v>
      </c>
      <c r="I5760" s="2" t="s">
        <v>11406</v>
      </c>
      <c r="J5760" s="3" t="str">
        <f>HYPERLINK("https://www.boe.es/gazeta/dias/1820/11/01/pdfs/GGB-1820-126.pdf#page=2","Abrir facsímil")</f>
        <v>Abrir facsímil</v>
      </c>
      <c r="K5760" s="3" t="s">
        <v>23</v>
      </c>
    </row>
    <row r="5761" spans="1:11" ht="42" customHeight="1">
      <c r="A5761" s="2" t="s">
        <v>11407</v>
      </c>
      <c r="B5761" s="2" t="s">
        <v>11407</v>
      </c>
      <c r="C5761" s="2" t="s">
        <v>35</v>
      </c>
      <c r="D5761" s="2" t="s">
        <v>36</v>
      </c>
      <c r="E5761" s="5">
        <v>-29012</v>
      </c>
      <c r="F5761" s="3" t="s">
        <v>72</v>
      </c>
      <c r="G5761" s="3" t="s">
        <v>661</v>
      </c>
      <c r="H5761" s="2" t="s">
        <v>21</v>
      </c>
      <c r="I5761" s="2" t="s">
        <v>11408</v>
      </c>
      <c r="J5761" s="3" t="str">
        <f>HYPERLINK("https://www.boe.es/gazeta/dias/1820/07/25/pdfs/GGB-1820-27.pdf#page=2","Abrir facsímil")</f>
        <v>Abrir facsímil</v>
      </c>
      <c r="K5761" s="3" t="s">
        <v>23</v>
      </c>
    </row>
    <row r="5762" spans="1:11" ht="42" customHeight="1">
      <c r="A5762" s="2" t="s">
        <v>11409</v>
      </c>
      <c r="B5762" s="2" t="s">
        <v>11410</v>
      </c>
      <c r="C5762" s="2" t="s">
        <v>26</v>
      </c>
      <c r="D5762" s="2" t="s">
        <v>27</v>
      </c>
      <c r="E5762" s="5">
        <v>-28974</v>
      </c>
      <c r="F5762" s="3" t="s">
        <v>1144</v>
      </c>
      <c r="G5762" s="3" t="s">
        <v>1145</v>
      </c>
      <c r="H5762" s="2" t="s">
        <v>30</v>
      </c>
      <c r="I5762" s="2" t="s">
        <v>11411</v>
      </c>
      <c r="J5762" s="3" t="str">
        <f>HYPERLINK("https://www.boe.es/gazeta/dias/1820/09/01/pdfs/GGB-1820-65.pdf#page=4","Abrir facsímil")</f>
        <v>Abrir facsímil</v>
      </c>
      <c r="K5762" s="3" t="s">
        <v>32</v>
      </c>
    </row>
    <row r="5763" spans="1:11" ht="42" customHeight="1">
      <c r="A5763" s="2" t="s">
        <v>11412</v>
      </c>
      <c r="B5763" s="2" t="s">
        <v>11413</v>
      </c>
      <c r="C5763" s="2" t="s">
        <v>293</v>
      </c>
      <c r="D5763" s="2" t="s">
        <v>18</v>
      </c>
      <c r="E5763" s="5">
        <v>-29192</v>
      </c>
      <c r="F5763" s="3" t="s">
        <v>497</v>
      </c>
      <c r="G5763" s="3" t="s">
        <v>498</v>
      </c>
      <c r="H5763" s="2" t="s">
        <v>21</v>
      </c>
      <c r="I5763" s="2" t="s">
        <v>11414</v>
      </c>
      <c r="J5763" s="3" t="str">
        <f>HYPERLINK("https://www.boe.es/gazeta/dias/1820/01/27/pdfs/GMD-1820-12.pdf#page=7","Abrir facsímil")</f>
        <v>Abrir facsímil</v>
      </c>
      <c r="K5763" s="3" t="s">
        <v>23</v>
      </c>
    </row>
    <row r="5764" spans="1:11" ht="42" customHeight="1">
      <c r="A5764" s="2" t="s">
        <v>11415</v>
      </c>
      <c r="B5764" s="2" t="s">
        <v>11415</v>
      </c>
      <c r="C5764" s="2" t="s">
        <v>26</v>
      </c>
      <c r="D5764" s="2" t="s">
        <v>27</v>
      </c>
      <c r="E5764" s="5">
        <v>-28967</v>
      </c>
      <c r="F5764" s="3" t="s">
        <v>238</v>
      </c>
      <c r="G5764" s="3" t="s">
        <v>20</v>
      </c>
      <c r="H5764" s="2" t="s">
        <v>21</v>
      </c>
      <c r="I5764" s="2" t="s">
        <v>11416</v>
      </c>
      <c r="J5764" s="3" t="str">
        <f>HYPERLINK("https://www.boe.es/gazeta/dias/1820/09/08/pdfs/GGB-1820-72.pdf#page=4","Abrir facsímil")</f>
        <v>Abrir facsímil</v>
      </c>
      <c r="K5764" s="3" t="s">
        <v>23</v>
      </c>
    </row>
    <row r="5765" spans="1:11" ht="42" customHeight="1">
      <c r="A5765" s="2" t="s">
        <v>11417</v>
      </c>
      <c r="B5765" s="2" t="s">
        <v>11417</v>
      </c>
      <c r="C5765" s="2" t="s">
        <v>26</v>
      </c>
      <c r="D5765" s="2" t="s">
        <v>27</v>
      </c>
      <c r="E5765" s="5">
        <v>-29024</v>
      </c>
      <c r="F5765" s="3" t="s">
        <v>1916</v>
      </c>
      <c r="G5765" s="3" t="s">
        <v>43</v>
      </c>
      <c r="H5765" s="2" t="s">
        <v>21</v>
      </c>
      <c r="I5765" s="2" t="s">
        <v>11418</v>
      </c>
      <c r="J5765" s="3" t="str">
        <f>HYPERLINK("https://www.boe.es/gazeta/dias/1820/07/13/pdfs/GGB-1820-15.pdf#page=2","Abrir facsímil")</f>
        <v>Abrir facsímil</v>
      </c>
      <c r="K5765" s="3" t="s">
        <v>23</v>
      </c>
    </row>
    <row r="5766" spans="1:11" ht="42" customHeight="1">
      <c r="A5766" s="2" t="s">
        <v>11419</v>
      </c>
      <c r="B5766" s="2" t="s">
        <v>11420</v>
      </c>
      <c r="C5766" s="2" t="s">
        <v>74</v>
      </c>
      <c r="D5766" s="2" t="s">
        <v>18</v>
      </c>
      <c r="E5766" s="5">
        <v>-28980</v>
      </c>
      <c r="F5766" s="3" t="s">
        <v>614</v>
      </c>
      <c r="G5766" s="3" t="s">
        <v>62</v>
      </c>
      <c r="H5766" s="2" t="s">
        <v>21</v>
      </c>
      <c r="I5766" s="2" t="s">
        <v>11421</v>
      </c>
      <c r="J5766" s="3" t="str">
        <f>HYPERLINK("https://www.boe.es/gazeta/dias/1820/08/26/pdfs/GGB-1820-59.pdf#page=3","Abrir facsímil")</f>
        <v>Abrir facsímil</v>
      </c>
      <c r="K5766" s="3" t="s">
        <v>23</v>
      </c>
    </row>
    <row r="5767" spans="1:11" ht="42" customHeight="1">
      <c r="A5767" s="2" t="s">
        <v>11422</v>
      </c>
      <c r="B5767" s="2" t="s">
        <v>11423</v>
      </c>
      <c r="C5767" s="2" t="s">
        <v>47</v>
      </c>
      <c r="D5767" s="2" t="s">
        <v>18</v>
      </c>
      <c r="E5767" s="5">
        <v>-29197</v>
      </c>
      <c r="F5767" s="3" t="s">
        <v>48</v>
      </c>
      <c r="G5767" s="3" t="s">
        <v>38</v>
      </c>
      <c r="H5767" s="2" t="s">
        <v>30</v>
      </c>
      <c r="I5767" s="2" t="s">
        <v>11424</v>
      </c>
      <c r="J5767" s="3" t="str">
        <f>HYPERLINK("https://www.boe.es/gazeta/dias/1820/01/22/pdfs/GMD-1820-10.pdf#page=6","Abrir facsímil")</f>
        <v>Abrir facsímil</v>
      </c>
      <c r="K5767" s="3" t="s">
        <v>32</v>
      </c>
    </row>
    <row r="5768" spans="1:11" ht="42" customHeight="1">
      <c r="A5768" s="2" t="s">
        <v>11425</v>
      </c>
      <c r="B5768" s="2" t="s">
        <v>11426</v>
      </c>
      <c r="C5768" s="2" t="s">
        <v>47</v>
      </c>
      <c r="D5768" s="2" t="s">
        <v>18</v>
      </c>
      <c r="E5768" s="5">
        <v>-29197</v>
      </c>
      <c r="F5768" s="3" t="s">
        <v>48</v>
      </c>
      <c r="G5768" s="3" t="s">
        <v>38</v>
      </c>
      <c r="H5768" s="2" t="s">
        <v>30</v>
      </c>
      <c r="I5768" s="2" t="s">
        <v>11427</v>
      </c>
      <c r="J5768" s="3" t="str">
        <f>HYPERLINK("https://www.boe.es/gazeta/dias/1820/01/22/pdfs/GMD-1820-10.pdf#page=6","Abrir facsímil")</f>
        <v>Abrir facsímil</v>
      </c>
      <c r="K5768" s="3" t="s">
        <v>32</v>
      </c>
    </row>
    <row r="5769" spans="1:11" ht="42" customHeight="1">
      <c r="A5769" s="2" t="s">
        <v>11428</v>
      </c>
      <c r="B5769" s="2" t="s">
        <v>11429</v>
      </c>
      <c r="C5769" s="2" t="s">
        <v>47</v>
      </c>
      <c r="D5769" s="2" t="s">
        <v>18</v>
      </c>
      <c r="E5769" s="5">
        <v>-29197</v>
      </c>
      <c r="F5769" s="3" t="s">
        <v>48</v>
      </c>
      <c r="G5769" s="3" t="s">
        <v>38</v>
      </c>
      <c r="H5769" s="2" t="s">
        <v>30</v>
      </c>
      <c r="I5769" s="2" t="s">
        <v>11430</v>
      </c>
      <c r="J5769" s="3" t="str">
        <f>HYPERLINK("https://www.boe.es/gazeta/dias/1820/01/22/pdfs/GMD-1820-10.pdf#page=6","Abrir facsímil")</f>
        <v>Abrir facsímil</v>
      </c>
      <c r="K5769" s="3" t="s">
        <v>32</v>
      </c>
    </row>
    <row r="5770" spans="1:11" ht="42" customHeight="1">
      <c r="A5770" s="2" t="s">
        <v>11431</v>
      </c>
      <c r="B5770" s="2" t="s">
        <v>11432</v>
      </c>
      <c r="C5770" s="2" t="s">
        <v>26</v>
      </c>
      <c r="D5770" s="2" t="s">
        <v>27</v>
      </c>
      <c r="E5770" s="5">
        <v>-29002</v>
      </c>
      <c r="F5770" s="3" t="s">
        <v>124</v>
      </c>
      <c r="G5770" s="3" t="s">
        <v>43</v>
      </c>
      <c r="H5770" s="2" t="s">
        <v>30</v>
      </c>
      <c r="I5770" s="2" t="s">
        <v>11433</v>
      </c>
      <c r="J5770" s="3" t="str">
        <f>HYPERLINK("https://www.boe.es/gazeta/dias/1820/08/04/pdfs/GGB-1820-37.pdf#page=2","Abrir facsímil")</f>
        <v>Abrir facsímil</v>
      </c>
      <c r="K5770" s="3" t="s">
        <v>32</v>
      </c>
    </row>
    <row r="5771" spans="1:11" ht="42" customHeight="1">
      <c r="A5771" s="2" t="s">
        <v>11434</v>
      </c>
      <c r="B5771" s="2" t="s">
        <v>11434</v>
      </c>
      <c r="C5771" s="2" t="s">
        <v>26</v>
      </c>
      <c r="D5771" s="2" t="s">
        <v>27</v>
      </c>
      <c r="E5771" s="5">
        <v>-29138</v>
      </c>
      <c r="F5771" s="3" t="s">
        <v>200</v>
      </c>
      <c r="G5771" s="3" t="s">
        <v>201</v>
      </c>
      <c r="H5771" s="2" t="s">
        <v>21</v>
      </c>
      <c r="I5771" s="2" t="s">
        <v>11435</v>
      </c>
      <c r="J5771" s="3" t="str">
        <f>HYPERLINK("https://www.boe.es/gazeta/dias/1820/03/21/pdfs/GMD-1820-46.pdf#page=7","Abrir facsímil")</f>
        <v>Abrir facsímil</v>
      </c>
      <c r="K5771" s="3" t="s">
        <v>23</v>
      </c>
    </row>
    <row r="5772" spans="1:11" ht="42" customHeight="1">
      <c r="A5772" s="2" t="s">
        <v>11434</v>
      </c>
      <c r="B5772" s="2" t="s">
        <v>11434</v>
      </c>
      <c r="C5772" s="2" t="s">
        <v>35</v>
      </c>
      <c r="D5772" s="2" t="s">
        <v>36</v>
      </c>
      <c r="E5772" s="5">
        <v>-28976</v>
      </c>
      <c r="F5772" s="3" t="s">
        <v>689</v>
      </c>
      <c r="G5772" s="3" t="s">
        <v>62</v>
      </c>
      <c r="H5772" s="2" t="s">
        <v>21</v>
      </c>
      <c r="I5772" s="2" t="s">
        <v>11436</v>
      </c>
      <c r="J5772" s="3" t="str">
        <f>HYPERLINK("https://www.boe.es/gazeta/dias/1820/08/30/pdfs/GGB-1820-63.pdf#page=3","Abrir facsímil")</f>
        <v>Abrir facsímil</v>
      </c>
      <c r="K5772" s="3" t="s">
        <v>23</v>
      </c>
    </row>
    <row r="5773" spans="1:11" ht="42" customHeight="1">
      <c r="A5773" s="2" t="s">
        <v>11434</v>
      </c>
      <c r="B5773" s="2" t="s">
        <v>11434</v>
      </c>
      <c r="C5773" s="2" t="s">
        <v>26</v>
      </c>
      <c r="D5773" s="2" t="s">
        <v>27</v>
      </c>
      <c r="E5773" s="5">
        <v>-28975</v>
      </c>
      <c r="F5773" s="3" t="s">
        <v>182</v>
      </c>
      <c r="G5773" s="3" t="s">
        <v>183</v>
      </c>
      <c r="H5773" s="2" t="s">
        <v>21</v>
      </c>
      <c r="I5773" s="2" t="s">
        <v>11437</v>
      </c>
      <c r="J5773" s="3" t="str">
        <f>HYPERLINK("https://www.boe.es/gazeta/dias/1820/08/31/pdfs/GGB-1820-64.pdf#page=4","Abrir facsímil")</f>
        <v>Abrir facsímil</v>
      </c>
      <c r="K5773" s="3" t="s">
        <v>23</v>
      </c>
    </row>
    <row r="5774" spans="1:11" ht="42" customHeight="1">
      <c r="A5774" s="2" t="s">
        <v>11434</v>
      </c>
      <c r="B5774" s="2" t="s">
        <v>11434</v>
      </c>
      <c r="C5774" s="2" t="s">
        <v>35</v>
      </c>
      <c r="D5774" s="2" t="s">
        <v>36</v>
      </c>
      <c r="E5774" s="5">
        <v>-28973</v>
      </c>
      <c r="F5774" s="3" t="s">
        <v>151</v>
      </c>
      <c r="G5774" s="3" t="s">
        <v>43</v>
      </c>
      <c r="H5774" s="2" t="s">
        <v>21</v>
      </c>
      <c r="I5774" s="2" t="s">
        <v>11438</v>
      </c>
      <c r="J5774" s="3" t="str">
        <f>HYPERLINK("https://www.boe.es/gazeta/dias/1820/09/02/pdfs/GGB-1820-66.pdf#page=2","Abrir facsímil")</f>
        <v>Abrir facsímil</v>
      </c>
      <c r="K5774" s="3" t="s">
        <v>23</v>
      </c>
    </row>
    <row r="5775" spans="1:11" ht="42" customHeight="1">
      <c r="A5775" s="2" t="s">
        <v>11434</v>
      </c>
      <c r="B5775" s="2" t="s">
        <v>11434</v>
      </c>
      <c r="C5775" s="2" t="s">
        <v>35</v>
      </c>
      <c r="D5775" s="2" t="s">
        <v>36</v>
      </c>
      <c r="E5775" s="5">
        <v>-28957</v>
      </c>
      <c r="F5775" s="3" t="s">
        <v>361</v>
      </c>
      <c r="G5775" s="3" t="s">
        <v>43</v>
      </c>
      <c r="H5775" s="2" t="s">
        <v>21</v>
      </c>
      <c r="I5775" s="2" t="s">
        <v>11439</v>
      </c>
      <c r="J5775" s="3" t="str">
        <f>HYPERLINK("https://www.boe.es/gazeta/dias/1820/09/18/pdfs/GGB-1820-82.pdf#page=2","Abrir facsímil")</f>
        <v>Abrir facsímil</v>
      </c>
      <c r="K5775" s="3" t="s">
        <v>23</v>
      </c>
    </row>
    <row r="5776" spans="1:11" ht="42" customHeight="1">
      <c r="A5776" s="2" t="s">
        <v>11434</v>
      </c>
      <c r="B5776" s="2" t="s">
        <v>11434</v>
      </c>
      <c r="C5776" s="2" t="s">
        <v>26</v>
      </c>
      <c r="D5776" s="2" t="s">
        <v>27</v>
      </c>
      <c r="E5776" s="5">
        <v>-28887</v>
      </c>
      <c r="F5776" s="3" t="s">
        <v>2098</v>
      </c>
      <c r="G5776" s="3" t="s">
        <v>5628</v>
      </c>
      <c r="H5776" s="2" t="s">
        <v>21</v>
      </c>
      <c r="I5776" s="2" t="s">
        <v>11440</v>
      </c>
      <c r="J5776" s="3" t="str">
        <f>HYPERLINK("https://www.boe.es/gazeta/dias/1820/11/27/pdfs/GGB-1820-154.pdf#page=4","Abrir facsímil")</f>
        <v>Abrir facsímil</v>
      </c>
      <c r="K5776" s="3" t="s">
        <v>23</v>
      </c>
    </row>
    <row r="5777" spans="1:11" ht="42" customHeight="1">
      <c r="A5777" s="2" t="s">
        <v>11441</v>
      </c>
      <c r="B5777" s="2" t="s">
        <v>11442</v>
      </c>
      <c r="C5777" s="2" t="s">
        <v>26</v>
      </c>
      <c r="D5777" s="2" t="s">
        <v>27</v>
      </c>
      <c r="E5777" s="5">
        <v>-29011</v>
      </c>
      <c r="F5777" s="3" t="s">
        <v>338</v>
      </c>
      <c r="G5777" s="3" t="s">
        <v>43</v>
      </c>
      <c r="H5777" s="2" t="s">
        <v>21</v>
      </c>
      <c r="I5777" s="2" t="s">
        <v>11443</v>
      </c>
      <c r="J5777" s="3" t="str">
        <f>HYPERLINK("https://www.boe.es/gazeta/dias/1820/07/26/pdfs/GGB-1820-28.pdf#page=2","Abrir facsímil")</f>
        <v>Abrir facsímil</v>
      </c>
      <c r="K5777" s="3" t="s">
        <v>23</v>
      </c>
    </row>
    <row r="5778" spans="1:11" ht="42" customHeight="1">
      <c r="A5778" s="2" t="s">
        <v>11444</v>
      </c>
      <c r="B5778" s="2" t="s">
        <v>11445</v>
      </c>
      <c r="C5778" s="2" t="s">
        <v>293</v>
      </c>
      <c r="D5778" s="2" t="s">
        <v>18</v>
      </c>
      <c r="E5778" s="5">
        <v>-28971</v>
      </c>
      <c r="F5778" s="3" t="s">
        <v>691</v>
      </c>
      <c r="G5778" s="3" t="s">
        <v>43</v>
      </c>
      <c r="H5778" s="2" t="s">
        <v>21</v>
      </c>
      <c r="I5778" s="2" t="s">
        <v>11446</v>
      </c>
      <c r="J5778" s="3" t="str">
        <f>HYPERLINK("https://www.boe.es/gazeta/dias/1820/09/04/pdfs/GGB-1820-68.pdf#page=2","Abrir facsímil")</f>
        <v>Abrir facsímil</v>
      </c>
      <c r="K5778" s="3" t="s">
        <v>23</v>
      </c>
    </row>
    <row r="5779" spans="1:11" ht="42" customHeight="1">
      <c r="A5779" s="2" t="s">
        <v>11447</v>
      </c>
      <c r="B5779" s="2" t="s">
        <v>11447</v>
      </c>
      <c r="C5779" s="2" t="s">
        <v>26</v>
      </c>
      <c r="D5779" s="2" t="s">
        <v>27</v>
      </c>
      <c r="E5779" s="5">
        <v>-29159</v>
      </c>
      <c r="F5779" s="3" t="s">
        <v>1022</v>
      </c>
      <c r="G5779" s="3" t="s">
        <v>1023</v>
      </c>
      <c r="H5779" s="2" t="s">
        <v>21</v>
      </c>
      <c r="I5779" s="2" t="s">
        <v>11448</v>
      </c>
      <c r="J5779" s="3" t="str">
        <f>HYPERLINK("https://www.boe.es/gazeta/dias/1820/02/29/pdfs/GMD-1820-26.pdf#page=4","Abrir facsímil")</f>
        <v>Abrir facsímil</v>
      </c>
      <c r="K5779" s="3" t="s">
        <v>23</v>
      </c>
    </row>
    <row r="5780" spans="1:11" ht="42" customHeight="1">
      <c r="A5780" s="2" t="s">
        <v>11447</v>
      </c>
      <c r="B5780" s="2" t="s">
        <v>11447</v>
      </c>
      <c r="C5780" s="2" t="s">
        <v>26</v>
      </c>
      <c r="D5780" s="2" t="s">
        <v>27</v>
      </c>
      <c r="E5780" s="5">
        <v>-29143</v>
      </c>
      <c r="F5780" s="3" t="s">
        <v>334</v>
      </c>
      <c r="G5780" s="3" t="s">
        <v>201</v>
      </c>
      <c r="H5780" s="2" t="s">
        <v>21</v>
      </c>
      <c r="I5780" s="2" t="s">
        <v>11449</v>
      </c>
      <c r="J5780" s="3" t="str">
        <f>HYPERLINK("https://www.boe.es/gazeta/dias/1820/03/16/pdfs/GMD-1820-42.pdf#page=7","Abrir facsímil")</f>
        <v>Abrir facsímil</v>
      </c>
      <c r="K5780" s="3" t="s">
        <v>23</v>
      </c>
    </row>
    <row r="5781" spans="1:11" ht="42" customHeight="1">
      <c r="A5781" s="2" t="s">
        <v>11447</v>
      </c>
      <c r="B5781" s="2" t="s">
        <v>11447</v>
      </c>
      <c r="C5781" s="2" t="s">
        <v>26</v>
      </c>
      <c r="D5781" s="2" t="s">
        <v>27</v>
      </c>
      <c r="E5781" s="5">
        <v>-28956</v>
      </c>
      <c r="F5781" s="3" t="s">
        <v>190</v>
      </c>
      <c r="G5781" s="3" t="s">
        <v>20</v>
      </c>
      <c r="H5781" s="2" t="s">
        <v>21</v>
      </c>
      <c r="I5781" s="2" t="s">
        <v>11450</v>
      </c>
      <c r="J5781" s="3" t="str">
        <f>HYPERLINK("https://www.boe.es/gazeta/dias/1820/09/19/pdfs/GGB-1820-83.pdf#page=4","Abrir facsímil")</f>
        <v>Abrir facsímil</v>
      </c>
      <c r="K5781" s="3" t="s">
        <v>23</v>
      </c>
    </row>
    <row r="5782" spans="1:11" ht="42" customHeight="1">
      <c r="A5782" s="2" t="s">
        <v>11447</v>
      </c>
      <c r="B5782" s="2" t="s">
        <v>11447</v>
      </c>
      <c r="C5782" s="2" t="s">
        <v>17</v>
      </c>
      <c r="D5782" s="2" t="s">
        <v>18</v>
      </c>
      <c r="E5782" s="5">
        <v>-28883</v>
      </c>
      <c r="F5782" s="3" t="s">
        <v>306</v>
      </c>
      <c r="G5782" s="3" t="s">
        <v>20</v>
      </c>
      <c r="H5782" s="2" t="s">
        <v>21</v>
      </c>
      <c r="I5782" s="2" t="s">
        <v>11451</v>
      </c>
      <c r="J5782" s="3" t="str">
        <f>HYPERLINK("https://www.boe.es/gazeta/dias/1820/12/01/pdfs/GGB-1820-158.pdf#page=4","Abrir facsímil")</f>
        <v>Abrir facsímil</v>
      </c>
      <c r="K5782" s="3" t="s">
        <v>23</v>
      </c>
    </row>
    <row r="5783" spans="1:11" ht="42" customHeight="1">
      <c r="A5783" s="2" t="s">
        <v>11452</v>
      </c>
      <c r="B5783" s="2" t="s">
        <v>11453</v>
      </c>
      <c r="C5783" s="2" t="s">
        <v>17</v>
      </c>
      <c r="D5783" s="2" t="s">
        <v>18</v>
      </c>
      <c r="E5783" s="5">
        <v>-28965</v>
      </c>
      <c r="F5783" s="3" t="s">
        <v>1520</v>
      </c>
      <c r="G5783" s="3" t="s">
        <v>20</v>
      </c>
      <c r="H5783" s="2" t="s">
        <v>21</v>
      </c>
      <c r="I5783" s="2" t="s">
        <v>11454</v>
      </c>
      <c r="J5783" s="3" t="str">
        <f>HYPERLINK("https://www.boe.es/gazeta/dias/1820/09/10/pdfs/GGB-1820-74.pdf#page=4","Abrir facsímil")</f>
        <v>Abrir facsímil</v>
      </c>
      <c r="K5783" s="3" t="s">
        <v>23</v>
      </c>
    </row>
    <row r="5784" spans="1:11" ht="42" customHeight="1">
      <c r="A5784" s="2" t="s">
        <v>11455</v>
      </c>
      <c r="B5784" s="2" t="s">
        <v>11456</v>
      </c>
      <c r="C5784" s="2" t="s">
        <v>26</v>
      </c>
      <c r="D5784" s="2" t="s">
        <v>27</v>
      </c>
      <c r="E5784" s="5">
        <v>-29017</v>
      </c>
      <c r="F5784" s="3" t="s">
        <v>274</v>
      </c>
      <c r="G5784" s="3" t="s">
        <v>43</v>
      </c>
      <c r="H5784" s="2" t="s">
        <v>21</v>
      </c>
      <c r="I5784" s="2" t="s">
        <v>11457</v>
      </c>
      <c r="J5784" s="3" t="str">
        <f>HYPERLINK("https://www.boe.es/gazeta/dias/1820/07/20/pdfs/GGB-1820-22.pdf#page=2","Abrir facsímil")</f>
        <v>Abrir facsímil</v>
      </c>
      <c r="K5784" s="3" t="s">
        <v>23</v>
      </c>
    </row>
    <row r="5785" spans="1:11" ht="42" customHeight="1">
      <c r="A5785" s="2" t="s">
        <v>11458</v>
      </c>
      <c r="B5785" s="2" t="s">
        <v>11459</v>
      </c>
      <c r="C5785" s="2" t="s">
        <v>47</v>
      </c>
      <c r="D5785" s="2" t="s">
        <v>18</v>
      </c>
      <c r="E5785" s="5">
        <v>-28990</v>
      </c>
      <c r="F5785" s="3" t="s">
        <v>61</v>
      </c>
      <c r="G5785" s="3" t="s">
        <v>1438</v>
      </c>
      <c r="H5785" s="2" t="s">
        <v>21</v>
      </c>
      <c r="I5785" s="2" t="s">
        <v>11460</v>
      </c>
      <c r="J5785" s="3" t="str">
        <f>HYPERLINK("https://www.boe.es/gazeta/dias/1820/08/16/pdfs/GGB-1820-49.pdf#page=4","Abrir facsímil")</f>
        <v>Abrir facsímil</v>
      </c>
      <c r="K5785" s="3" t="s">
        <v>23</v>
      </c>
    </row>
    <row r="5786" spans="1:11" ht="42" customHeight="1">
      <c r="A5786" s="2" t="s">
        <v>11461</v>
      </c>
      <c r="B5786" s="2" t="s">
        <v>11461</v>
      </c>
      <c r="C5786" s="2" t="s">
        <v>26</v>
      </c>
      <c r="D5786" s="2" t="s">
        <v>27</v>
      </c>
      <c r="E5786" s="5">
        <v>-29025</v>
      </c>
      <c r="F5786" s="3" t="s">
        <v>902</v>
      </c>
      <c r="G5786" s="3" t="s">
        <v>128</v>
      </c>
      <c r="H5786" s="2" t="s">
        <v>21</v>
      </c>
      <c r="I5786" s="2" t="s">
        <v>11462</v>
      </c>
      <c r="J5786" s="3" t="str">
        <f>HYPERLINK("https://www.boe.es/gazeta/dias/1820/07/12/pdfs/GGB-1820-14.pdf#page=1","Abrir facsímil")</f>
        <v>Abrir facsímil</v>
      </c>
      <c r="K5786" s="3" t="s">
        <v>23</v>
      </c>
    </row>
    <row r="5787" spans="1:11" ht="42" customHeight="1">
      <c r="A5787" s="2" t="s">
        <v>11463</v>
      </c>
      <c r="B5787" s="2" t="s">
        <v>11463</v>
      </c>
      <c r="C5787" s="2" t="s">
        <v>35</v>
      </c>
      <c r="D5787" s="2" t="s">
        <v>36</v>
      </c>
      <c r="E5787" s="5">
        <v>-29026</v>
      </c>
      <c r="F5787" s="3" t="s">
        <v>1197</v>
      </c>
      <c r="G5787" s="3" t="s">
        <v>43</v>
      </c>
      <c r="H5787" s="2" t="s">
        <v>21</v>
      </c>
      <c r="I5787" s="2" t="s">
        <v>11464</v>
      </c>
      <c r="J5787" s="3" t="str">
        <f>HYPERLINK("https://www.boe.es/gazeta/dias/1820/07/11/pdfs/GGB-1820-13.pdf#page=2","Abrir facsímil")</f>
        <v>Abrir facsímil</v>
      </c>
      <c r="K5787" s="3" t="s">
        <v>23</v>
      </c>
    </row>
    <row r="5788" spans="1:11" ht="42" customHeight="1">
      <c r="A5788" s="2" t="s">
        <v>11463</v>
      </c>
      <c r="B5788" s="2" t="s">
        <v>11463</v>
      </c>
      <c r="C5788" s="2" t="s">
        <v>26</v>
      </c>
      <c r="D5788" s="2" t="s">
        <v>27</v>
      </c>
      <c r="E5788" s="5">
        <v>-28982</v>
      </c>
      <c r="F5788" s="3" t="s">
        <v>173</v>
      </c>
      <c r="G5788" s="3" t="s">
        <v>529</v>
      </c>
      <c r="H5788" s="2" t="s">
        <v>21</v>
      </c>
      <c r="I5788" s="2" t="s">
        <v>11465</v>
      </c>
      <c r="J5788" s="3" t="str">
        <f>HYPERLINK("https://www.boe.es/gazeta/dias/1820/08/24/pdfs/GGB-1820-57.pdf#page=4","Abrir facsímil")</f>
        <v>Abrir facsímil</v>
      </c>
      <c r="K5788" s="3" t="s">
        <v>23</v>
      </c>
    </row>
    <row r="5789" spans="1:11" ht="42" customHeight="1">
      <c r="A5789" s="2" t="s">
        <v>11463</v>
      </c>
      <c r="B5789" s="2" t="s">
        <v>11463</v>
      </c>
      <c r="C5789" s="2" t="s">
        <v>26</v>
      </c>
      <c r="D5789" s="2" t="s">
        <v>27</v>
      </c>
      <c r="E5789" s="5">
        <v>-28961</v>
      </c>
      <c r="F5789" s="3" t="s">
        <v>242</v>
      </c>
      <c r="G5789" s="3" t="s">
        <v>43</v>
      </c>
      <c r="H5789" s="2" t="s">
        <v>21</v>
      </c>
      <c r="I5789" s="2" t="s">
        <v>11466</v>
      </c>
      <c r="J5789" s="3" t="str">
        <f>HYPERLINK("https://www.boe.es/gazeta/dias/1820/09/14/pdfs/GGB-1820-78.pdf#page=2","Abrir facsímil")</f>
        <v>Abrir facsímil</v>
      </c>
      <c r="K5789" s="3" t="s">
        <v>23</v>
      </c>
    </row>
    <row r="5790" spans="1:11" ht="42" customHeight="1">
      <c r="A5790" s="2" t="s">
        <v>11463</v>
      </c>
      <c r="B5790" s="2" t="s">
        <v>11463</v>
      </c>
      <c r="C5790" s="2" t="s">
        <v>35</v>
      </c>
      <c r="D5790" s="2" t="s">
        <v>36</v>
      </c>
      <c r="E5790" s="5">
        <v>-28899</v>
      </c>
      <c r="F5790" s="3" t="s">
        <v>285</v>
      </c>
      <c r="G5790" s="3" t="s">
        <v>20</v>
      </c>
      <c r="H5790" s="2" t="s">
        <v>21</v>
      </c>
      <c r="I5790" s="2" t="s">
        <v>11467</v>
      </c>
      <c r="J5790" s="3" t="str">
        <f>HYPERLINK("https://www.boe.es/gazeta/dias/1820/11/15/pdfs/GGB-1820-141.pdf#page=4","Abrir facsímil")</f>
        <v>Abrir facsímil</v>
      </c>
      <c r="K5790" s="3" t="s">
        <v>23</v>
      </c>
    </row>
    <row r="5791" spans="1:11" ht="42" customHeight="1">
      <c r="A5791" s="2" t="s">
        <v>11463</v>
      </c>
      <c r="B5791" s="2" t="s">
        <v>11463</v>
      </c>
      <c r="C5791" s="2" t="s">
        <v>26</v>
      </c>
      <c r="D5791" s="2" t="s">
        <v>27</v>
      </c>
      <c r="E5791" s="5">
        <v>-28870</v>
      </c>
      <c r="F5791" s="3" t="s">
        <v>1014</v>
      </c>
      <c r="G5791" s="3" t="s">
        <v>20</v>
      </c>
      <c r="H5791" s="2" t="s">
        <v>21</v>
      </c>
      <c r="I5791" s="2" t="s">
        <v>11468</v>
      </c>
      <c r="J5791" s="3" t="str">
        <f>HYPERLINK("https://www.boe.es/gazeta/dias/1820/12/14/pdfs/GGB-1820-171.pdf#page=4","Abrir facsímil")</f>
        <v>Abrir facsímil</v>
      </c>
      <c r="K5791" s="3" t="s">
        <v>23</v>
      </c>
    </row>
    <row r="5792" spans="1:11" ht="42" customHeight="1">
      <c r="A5792" s="2" t="s">
        <v>11469</v>
      </c>
      <c r="B5792" s="2" t="s">
        <v>11469</v>
      </c>
      <c r="C5792" s="2" t="s">
        <v>293</v>
      </c>
      <c r="D5792" s="2" t="s">
        <v>18</v>
      </c>
      <c r="E5792" s="5">
        <v>-28860</v>
      </c>
      <c r="F5792" s="3" t="s">
        <v>4487</v>
      </c>
      <c r="G5792" s="3" t="s">
        <v>62</v>
      </c>
      <c r="H5792" s="2" t="s">
        <v>21</v>
      </c>
      <c r="I5792" s="2" t="s">
        <v>11470</v>
      </c>
      <c r="J5792" s="3" t="str">
        <f>HYPERLINK("https://www.boe.es/gazeta/dias/1820/12/24/pdfs/GGB-1820-181.pdf#page=3","Abrir facsímil")</f>
        <v>Abrir facsímil</v>
      </c>
      <c r="K5792" s="3" t="s">
        <v>23</v>
      </c>
    </row>
    <row r="5793" spans="1:11" ht="42" customHeight="1">
      <c r="A5793" s="2" t="s">
        <v>11463</v>
      </c>
      <c r="B5793" s="2" t="s">
        <v>11463</v>
      </c>
      <c r="C5793" s="2" t="s">
        <v>17</v>
      </c>
      <c r="D5793" s="2" t="s">
        <v>18</v>
      </c>
      <c r="E5793" s="5">
        <v>-28854</v>
      </c>
      <c r="F5793" s="3" t="s">
        <v>147</v>
      </c>
      <c r="G5793" s="3" t="s">
        <v>43</v>
      </c>
      <c r="H5793" s="2" t="s">
        <v>21</v>
      </c>
      <c r="I5793" s="2" t="s">
        <v>11471</v>
      </c>
      <c r="J5793" s="3" t="str">
        <f>HYPERLINK("https://www.boe.es/gazeta/dias/1820/12/30/pdfs/GGB-1820-187.pdf#page=2","Abrir facsímil")</f>
        <v>Abrir facsímil</v>
      </c>
      <c r="K5793" s="3" t="s">
        <v>23</v>
      </c>
    </row>
    <row r="5794" spans="1:11" ht="42" customHeight="1">
      <c r="A5794" s="2" t="s">
        <v>11472</v>
      </c>
      <c r="B5794" s="2" t="s">
        <v>11472</v>
      </c>
      <c r="C5794" s="2" t="s">
        <v>293</v>
      </c>
      <c r="D5794" s="2" t="s">
        <v>18</v>
      </c>
      <c r="E5794" s="5">
        <v>-29204</v>
      </c>
      <c r="F5794" s="3" t="s">
        <v>753</v>
      </c>
      <c r="G5794" s="3" t="s">
        <v>295</v>
      </c>
      <c r="H5794" s="2" t="s">
        <v>21</v>
      </c>
      <c r="I5794" s="2" t="s">
        <v>11473</v>
      </c>
      <c r="J5794" s="3" t="str">
        <f>HYPERLINK("https://www.boe.es/gazeta/dias/1820/01/15/pdfs/GMD-1820-7.pdf#page=8","Abrir facsímil")</f>
        <v>Abrir facsímil</v>
      </c>
      <c r="K5794" s="3" t="s">
        <v>23</v>
      </c>
    </row>
    <row r="5795" spans="1:11" ht="42" customHeight="1">
      <c r="A5795" s="2" t="s">
        <v>11474</v>
      </c>
      <c r="B5795" s="2" t="s">
        <v>11474</v>
      </c>
      <c r="C5795" s="2" t="s">
        <v>17</v>
      </c>
      <c r="D5795" s="2" t="s">
        <v>18</v>
      </c>
      <c r="E5795" s="5">
        <v>-28995</v>
      </c>
      <c r="F5795" s="3" t="s">
        <v>672</v>
      </c>
      <c r="G5795" s="3" t="s">
        <v>62</v>
      </c>
      <c r="H5795" s="2" t="s">
        <v>21</v>
      </c>
      <c r="I5795" s="2" t="s">
        <v>11475</v>
      </c>
      <c r="J5795" s="3" t="str">
        <f>HYPERLINK("https://www.boe.es/gazeta/dias/1820/08/11/pdfs/GGB-1820-44.pdf#page=3","Abrir facsímil")</f>
        <v>Abrir facsímil</v>
      </c>
      <c r="K5795" s="3" t="s">
        <v>23</v>
      </c>
    </row>
    <row r="5796" spans="1:11" ht="42" customHeight="1">
      <c r="A5796" s="2" t="s">
        <v>11476</v>
      </c>
      <c r="B5796" s="2" t="s">
        <v>11476</v>
      </c>
      <c r="C5796" s="2" t="s">
        <v>47</v>
      </c>
      <c r="D5796" s="2" t="s">
        <v>18</v>
      </c>
      <c r="E5796" s="5">
        <v>-29007</v>
      </c>
      <c r="F5796" s="3" t="s">
        <v>251</v>
      </c>
      <c r="G5796" s="3" t="s">
        <v>20</v>
      </c>
      <c r="H5796" s="2" t="s">
        <v>21</v>
      </c>
      <c r="I5796" s="2" t="s">
        <v>11477</v>
      </c>
      <c r="J5796" s="3" t="str">
        <f>HYPERLINK("https://www.boe.es/gazeta/dias/1820/07/30/pdfs/GGB-1820-32.pdf#page=4","Abrir facsímil")</f>
        <v>Abrir facsímil</v>
      </c>
      <c r="K5796" s="3" t="s">
        <v>23</v>
      </c>
    </row>
    <row r="5797" spans="1:11" ht="42" customHeight="1">
      <c r="A5797" s="2" t="s">
        <v>11476</v>
      </c>
      <c r="B5797" s="2" t="s">
        <v>11476</v>
      </c>
      <c r="C5797" s="2" t="s">
        <v>293</v>
      </c>
      <c r="D5797" s="2" t="s">
        <v>18</v>
      </c>
      <c r="E5797" s="5">
        <v>-29004</v>
      </c>
      <c r="F5797" s="3" t="s">
        <v>75</v>
      </c>
      <c r="G5797" s="3" t="s">
        <v>76</v>
      </c>
      <c r="H5797" s="2" t="s">
        <v>21</v>
      </c>
      <c r="I5797" s="2" t="s">
        <v>11478</v>
      </c>
      <c r="J5797" s="3" t="str">
        <f>HYPERLINK("https://www.boe.es/gazeta/dias/1820/08/02/pdfs/GGB-1820-35.pdf#page=2","Abrir facsímil")</f>
        <v>Abrir facsímil</v>
      </c>
      <c r="K5797" s="3" t="s">
        <v>23</v>
      </c>
    </row>
    <row r="5798" spans="1:11" ht="42" customHeight="1">
      <c r="A5798" s="2" t="s">
        <v>11476</v>
      </c>
      <c r="B5798" s="2" t="s">
        <v>11476</v>
      </c>
      <c r="C5798" s="2" t="s">
        <v>26</v>
      </c>
      <c r="D5798" s="2" t="s">
        <v>27</v>
      </c>
      <c r="E5798" s="5">
        <v>-28985</v>
      </c>
      <c r="F5798" s="3" t="s">
        <v>905</v>
      </c>
      <c r="G5798" s="3" t="s">
        <v>62</v>
      </c>
      <c r="H5798" s="2" t="s">
        <v>21</v>
      </c>
      <c r="I5798" s="2" t="s">
        <v>11479</v>
      </c>
      <c r="J5798" s="3" t="str">
        <f>HYPERLINK("https://www.boe.es/gazeta/dias/1820/08/21/pdfs/GGB-1820-54.pdf#page=3","Abrir facsímil")</f>
        <v>Abrir facsímil</v>
      </c>
      <c r="K5798" s="3" t="s">
        <v>23</v>
      </c>
    </row>
    <row r="5799" spans="1:11" ht="42" customHeight="1">
      <c r="A5799" s="2" t="s">
        <v>11476</v>
      </c>
      <c r="B5799" s="2" t="s">
        <v>11476</v>
      </c>
      <c r="C5799" s="2" t="s">
        <v>293</v>
      </c>
      <c r="D5799" s="2" t="s">
        <v>18</v>
      </c>
      <c r="E5799" s="5">
        <v>-28982</v>
      </c>
      <c r="F5799" s="3" t="s">
        <v>173</v>
      </c>
      <c r="G5799" s="3" t="s">
        <v>529</v>
      </c>
      <c r="H5799" s="2" t="s">
        <v>21</v>
      </c>
      <c r="I5799" s="2" t="s">
        <v>11480</v>
      </c>
      <c r="J5799" s="3" t="str">
        <f>HYPERLINK("https://www.boe.es/gazeta/dias/1820/08/24/pdfs/GGB-1820-57.pdf#page=4","Abrir facsímil")</f>
        <v>Abrir facsímil</v>
      </c>
      <c r="K5799" s="3" t="s">
        <v>23</v>
      </c>
    </row>
    <row r="5800" spans="1:11" ht="42" customHeight="1">
      <c r="A5800" s="2" t="s">
        <v>11476</v>
      </c>
      <c r="B5800" s="2" t="s">
        <v>11476</v>
      </c>
      <c r="C5800" s="2" t="s">
        <v>111</v>
      </c>
      <c r="D5800" s="2" t="s">
        <v>18</v>
      </c>
      <c r="E5800" s="5">
        <v>-28967</v>
      </c>
      <c r="F5800" s="3" t="s">
        <v>238</v>
      </c>
      <c r="G5800" s="3" t="s">
        <v>256</v>
      </c>
      <c r="H5800" s="2" t="s">
        <v>21</v>
      </c>
      <c r="I5800" s="2" t="s">
        <v>11481</v>
      </c>
      <c r="J5800" s="3" t="str">
        <f>HYPERLINK("https://www.boe.es/gazeta/dias/1820/09/08/pdfs/GGB-1820-72.pdf#page=5","Abrir facsímil")</f>
        <v>Abrir facsímil</v>
      </c>
      <c r="K5800" s="3" t="s">
        <v>23</v>
      </c>
    </row>
    <row r="5801" spans="1:11" ht="42" customHeight="1">
      <c r="A5801" s="2" t="s">
        <v>11476</v>
      </c>
      <c r="B5801" s="2" t="s">
        <v>11476</v>
      </c>
      <c r="C5801" s="2" t="s">
        <v>26</v>
      </c>
      <c r="D5801" s="2" t="s">
        <v>27</v>
      </c>
      <c r="E5801" s="5">
        <v>-28966</v>
      </c>
      <c r="F5801" s="3" t="s">
        <v>701</v>
      </c>
      <c r="G5801" s="3" t="s">
        <v>62</v>
      </c>
      <c r="H5801" s="2" t="s">
        <v>21</v>
      </c>
      <c r="I5801" s="2" t="s">
        <v>11482</v>
      </c>
      <c r="J5801" s="3" t="str">
        <f>HYPERLINK("https://www.boe.es/gazeta/dias/1820/09/09/pdfs/GGB-1820-73.pdf#page=3","Abrir facsímil")</f>
        <v>Abrir facsímil</v>
      </c>
      <c r="K5801" s="3" t="s">
        <v>23</v>
      </c>
    </row>
    <row r="5802" spans="1:11" ht="42" customHeight="1">
      <c r="A5802" s="2" t="s">
        <v>11476</v>
      </c>
      <c r="B5802" s="2" t="s">
        <v>11476</v>
      </c>
      <c r="C5802" s="2" t="s">
        <v>17</v>
      </c>
      <c r="D5802" s="2" t="s">
        <v>18</v>
      </c>
      <c r="E5802" s="5">
        <v>-28964</v>
      </c>
      <c r="F5802" s="3" t="s">
        <v>240</v>
      </c>
      <c r="G5802" s="3" t="s">
        <v>43</v>
      </c>
      <c r="H5802" s="2" t="s">
        <v>21</v>
      </c>
      <c r="I5802" s="2" t="s">
        <v>11483</v>
      </c>
      <c r="J5802" s="3" t="str">
        <f>HYPERLINK("https://www.boe.es/gazeta/dias/1820/09/11/pdfs/GGB-1820-75.pdf#page=2","Abrir facsímil")</f>
        <v>Abrir facsímil</v>
      </c>
      <c r="K5802" s="3" t="s">
        <v>23</v>
      </c>
    </row>
    <row r="5803" spans="1:11" ht="42" customHeight="1">
      <c r="A5803" s="2" t="s">
        <v>11476</v>
      </c>
      <c r="B5803" s="2" t="s">
        <v>11476</v>
      </c>
      <c r="C5803" s="2" t="s">
        <v>17</v>
      </c>
      <c r="D5803" s="2" t="s">
        <v>18</v>
      </c>
      <c r="E5803" s="5">
        <v>-28961</v>
      </c>
      <c r="F5803" s="3" t="s">
        <v>242</v>
      </c>
      <c r="G5803" s="3" t="s">
        <v>43</v>
      </c>
      <c r="H5803" s="2" t="s">
        <v>21</v>
      </c>
      <c r="I5803" s="2" t="s">
        <v>11484</v>
      </c>
      <c r="J5803" s="3" t="str">
        <f>HYPERLINK("https://www.boe.es/gazeta/dias/1820/09/14/pdfs/GGB-1820-78.pdf#page=2","Abrir facsímil")</f>
        <v>Abrir facsímil</v>
      </c>
      <c r="K5803" s="3" t="s">
        <v>23</v>
      </c>
    </row>
    <row r="5804" spans="1:11" ht="42" customHeight="1">
      <c r="A5804" s="2" t="s">
        <v>11476</v>
      </c>
      <c r="B5804" s="2" t="s">
        <v>11476</v>
      </c>
      <c r="C5804" s="2" t="s">
        <v>74</v>
      </c>
      <c r="D5804" s="2" t="s">
        <v>18</v>
      </c>
      <c r="E5804" s="5">
        <v>-28931</v>
      </c>
      <c r="F5804" s="3" t="s">
        <v>724</v>
      </c>
      <c r="G5804" s="3" t="s">
        <v>43</v>
      </c>
      <c r="H5804" s="2" t="s">
        <v>21</v>
      </c>
      <c r="I5804" s="2" t="s">
        <v>11485</v>
      </c>
      <c r="J5804" s="3" t="str">
        <f>HYPERLINK("https://www.boe.es/gazeta/dias/1820/10/14/pdfs/GGB-1820-108.pdf#page=2","Abrir facsímil")</f>
        <v>Abrir facsímil</v>
      </c>
      <c r="K5804" s="3" t="s">
        <v>23</v>
      </c>
    </row>
    <row r="5805" spans="1:11" ht="42" customHeight="1">
      <c r="A5805" s="2" t="s">
        <v>11476</v>
      </c>
      <c r="B5805" s="2" t="s">
        <v>11476</v>
      </c>
      <c r="C5805" s="2" t="s">
        <v>35</v>
      </c>
      <c r="D5805" s="2" t="s">
        <v>36</v>
      </c>
      <c r="E5805" s="5">
        <v>-28928</v>
      </c>
      <c r="F5805" s="3" t="s">
        <v>86</v>
      </c>
      <c r="G5805" s="3" t="s">
        <v>43</v>
      </c>
      <c r="H5805" s="2" t="s">
        <v>21</v>
      </c>
      <c r="I5805" s="2" t="s">
        <v>11486</v>
      </c>
      <c r="J5805" s="3" t="str">
        <f>HYPERLINK("https://www.boe.es/gazeta/dias/1820/10/17/pdfs/GGB-1820-111.pdf#page=2","Abrir facsímil")</f>
        <v>Abrir facsímil</v>
      </c>
      <c r="K5805" s="3" t="s">
        <v>23</v>
      </c>
    </row>
    <row r="5806" spans="1:11" ht="42" customHeight="1">
      <c r="A5806" s="2" t="s">
        <v>11476</v>
      </c>
      <c r="B5806" s="2" t="s">
        <v>11476</v>
      </c>
      <c r="C5806" s="2" t="s">
        <v>35</v>
      </c>
      <c r="D5806" s="2" t="s">
        <v>36</v>
      </c>
      <c r="E5806" s="5">
        <v>-28926</v>
      </c>
      <c r="F5806" s="3" t="s">
        <v>597</v>
      </c>
      <c r="G5806" s="3" t="s">
        <v>20</v>
      </c>
      <c r="H5806" s="2" t="s">
        <v>21</v>
      </c>
      <c r="I5806" s="2" t="s">
        <v>11487</v>
      </c>
      <c r="J5806" s="3" t="str">
        <f>HYPERLINK("https://www.boe.es/gazeta/dias/1820/10/19/pdfs/GGB-1820-113.pdf#page=4","Abrir facsímil")</f>
        <v>Abrir facsímil</v>
      </c>
      <c r="K5806" s="3" t="s">
        <v>23</v>
      </c>
    </row>
    <row r="5807" spans="1:11" ht="42" customHeight="1">
      <c r="A5807" s="2" t="s">
        <v>11476</v>
      </c>
      <c r="B5807" s="2" t="s">
        <v>11476</v>
      </c>
      <c r="C5807" s="2" t="s">
        <v>17</v>
      </c>
      <c r="D5807" s="2" t="s">
        <v>18</v>
      </c>
      <c r="E5807" s="5">
        <v>-28921</v>
      </c>
      <c r="F5807" s="3" t="s">
        <v>738</v>
      </c>
      <c r="G5807" s="3" t="s">
        <v>3686</v>
      </c>
      <c r="H5807" s="2" t="s">
        <v>21</v>
      </c>
      <c r="I5807" s="2" t="s">
        <v>11488</v>
      </c>
      <c r="J5807" s="3" t="str">
        <f>HYPERLINK("https://www.boe.es/gazeta/dias/1820/10/24/pdfs/GGB-1820-118.pdf#page=3","Abrir facsímil")</f>
        <v>Abrir facsímil</v>
      </c>
      <c r="K5807" s="3" t="s">
        <v>23</v>
      </c>
    </row>
    <row r="5808" spans="1:11" ht="42" customHeight="1">
      <c r="A5808" s="2" t="s">
        <v>11476</v>
      </c>
      <c r="B5808" s="2" t="s">
        <v>11476</v>
      </c>
      <c r="C5808" s="2" t="s">
        <v>74</v>
      </c>
      <c r="D5808" s="2" t="s">
        <v>18</v>
      </c>
      <c r="E5808" s="5">
        <v>-28914</v>
      </c>
      <c r="F5808" s="3" t="s">
        <v>434</v>
      </c>
      <c r="G5808" s="3" t="s">
        <v>43</v>
      </c>
      <c r="H5808" s="2" t="s">
        <v>21</v>
      </c>
      <c r="I5808" s="2" t="s">
        <v>11489</v>
      </c>
      <c r="J5808" s="3" t="str">
        <f>HYPERLINK("https://www.boe.es/gazeta/dias/1820/10/31/pdfs/GGB-1820-125.pdf#page=2","Abrir facsímil")</f>
        <v>Abrir facsímil</v>
      </c>
      <c r="K5808" s="3" t="s">
        <v>23</v>
      </c>
    </row>
    <row r="5809" spans="1:11" ht="42" customHeight="1">
      <c r="A5809" s="2" t="s">
        <v>11490</v>
      </c>
      <c r="B5809" s="2" t="s">
        <v>11490</v>
      </c>
      <c r="C5809" s="2" t="s">
        <v>26</v>
      </c>
      <c r="D5809" s="2" t="s">
        <v>27</v>
      </c>
      <c r="E5809" s="5">
        <v>-28909</v>
      </c>
      <c r="F5809" s="3" t="s">
        <v>278</v>
      </c>
      <c r="G5809" s="3" t="s">
        <v>62</v>
      </c>
      <c r="H5809" s="2" t="s">
        <v>21</v>
      </c>
      <c r="I5809" s="2" t="s">
        <v>11491</v>
      </c>
      <c r="J5809" s="3" t="str">
        <f>HYPERLINK("https://www.boe.es/gazeta/dias/1820/11/05/pdfs/GGB-1820-130.pdf#page=3","Abrir facsímil")</f>
        <v>Abrir facsímil</v>
      </c>
      <c r="K5809" s="3" t="s">
        <v>23</v>
      </c>
    </row>
    <row r="5810" spans="1:11" ht="42" customHeight="1">
      <c r="A5810" s="2" t="s">
        <v>11492</v>
      </c>
      <c r="B5810" s="2" t="s">
        <v>11492</v>
      </c>
      <c r="C5810" s="2" t="s">
        <v>35</v>
      </c>
      <c r="D5810" s="2" t="s">
        <v>36</v>
      </c>
      <c r="E5810" s="5">
        <v>-28957</v>
      </c>
      <c r="F5810" s="3" t="s">
        <v>361</v>
      </c>
      <c r="G5810" s="3" t="s">
        <v>62</v>
      </c>
      <c r="H5810" s="2" t="s">
        <v>21</v>
      </c>
      <c r="I5810" s="2" t="s">
        <v>11493</v>
      </c>
      <c r="J5810" s="3" t="str">
        <f>HYPERLINK("https://www.boe.es/gazeta/dias/1820/09/18/pdfs/GGB-1820-82.pdf#page=3","Abrir facsímil")</f>
        <v>Abrir facsímil</v>
      </c>
      <c r="K5810" s="3" t="s">
        <v>23</v>
      </c>
    </row>
    <row r="5811" spans="1:11" ht="42" customHeight="1">
      <c r="A5811" s="2" t="s">
        <v>11492</v>
      </c>
      <c r="B5811" s="2" t="s">
        <v>11492</v>
      </c>
      <c r="C5811" s="2" t="s">
        <v>17</v>
      </c>
      <c r="D5811" s="2" t="s">
        <v>18</v>
      </c>
      <c r="E5811" s="5">
        <v>-28945</v>
      </c>
      <c r="F5811" s="3" t="s">
        <v>99</v>
      </c>
      <c r="G5811" s="3" t="s">
        <v>62</v>
      </c>
      <c r="H5811" s="2" t="s">
        <v>21</v>
      </c>
      <c r="I5811" s="2" t="s">
        <v>11494</v>
      </c>
      <c r="J5811" s="3" t="str">
        <f>HYPERLINK("https://www.boe.es/gazeta/dias/1820/09/30/pdfs/GGB-1820-94.pdf#page=3","Abrir facsímil")</f>
        <v>Abrir facsímil</v>
      </c>
      <c r="K5811" s="3" t="s">
        <v>23</v>
      </c>
    </row>
    <row r="5812" spans="1:11" ht="42" customHeight="1">
      <c r="A5812" s="2" t="s">
        <v>11492</v>
      </c>
      <c r="B5812" s="2" t="s">
        <v>11492</v>
      </c>
      <c r="C5812" s="2" t="s">
        <v>35</v>
      </c>
      <c r="D5812" s="2" t="s">
        <v>36</v>
      </c>
      <c r="E5812" s="5">
        <v>-28945</v>
      </c>
      <c r="F5812" s="3" t="s">
        <v>99</v>
      </c>
      <c r="G5812" s="3" t="s">
        <v>20</v>
      </c>
      <c r="H5812" s="2" t="s">
        <v>21</v>
      </c>
      <c r="I5812" s="2" t="s">
        <v>11495</v>
      </c>
      <c r="J5812" s="3" t="str">
        <f>HYPERLINK("https://www.boe.es/gazeta/dias/1820/09/30/pdfs/GGB-1820-94.pdf#page=4","Abrir facsímil")</f>
        <v>Abrir facsímil</v>
      </c>
      <c r="K5812" s="3" t="s">
        <v>23</v>
      </c>
    </row>
    <row r="5813" spans="1:11" ht="42" customHeight="1">
      <c r="A5813" s="2" t="s">
        <v>11492</v>
      </c>
      <c r="B5813" s="2" t="s">
        <v>11492</v>
      </c>
      <c r="C5813" s="2" t="s">
        <v>74</v>
      </c>
      <c r="D5813" s="2" t="s">
        <v>18</v>
      </c>
      <c r="E5813" s="5">
        <v>-28908</v>
      </c>
      <c r="F5813" s="3" t="s">
        <v>1060</v>
      </c>
      <c r="G5813" s="3" t="s">
        <v>62</v>
      </c>
      <c r="H5813" s="2" t="s">
        <v>21</v>
      </c>
      <c r="I5813" s="2" t="s">
        <v>11496</v>
      </c>
      <c r="J5813" s="3" t="str">
        <f>HYPERLINK("https://www.boe.es/gazeta/dias/1820/11/06/pdfs/GGB-1820-131.pdf#page=3","Abrir facsímil")</f>
        <v>Abrir facsímil</v>
      </c>
      <c r="K5813" s="3" t="s">
        <v>23</v>
      </c>
    </row>
    <row r="5814" spans="1:11" ht="42" customHeight="1">
      <c r="A5814" s="2" t="s">
        <v>11497</v>
      </c>
      <c r="B5814" s="2" t="s">
        <v>11498</v>
      </c>
      <c r="C5814" s="2" t="s">
        <v>35</v>
      </c>
      <c r="D5814" s="2" t="s">
        <v>36</v>
      </c>
      <c r="E5814" s="5">
        <v>-28957</v>
      </c>
      <c r="F5814" s="3" t="s">
        <v>361</v>
      </c>
      <c r="G5814" s="3" t="s">
        <v>62</v>
      </c>
      <c r="H5814" s="2" t="s">
        <v>21</v>
      </c>
      <c r="I5814" s="2" t="s">
        <v>11499</v>
      </c>
      <c r="J5814" s="3" t="str">
        <f>HYPERLINK("https://www.boe.es/gazeta/dias/1820/09/18/pdfs/GGB-1820-82.pdf#page=3","Abrir facsímil")</f>
        <v>Abrir facsímil</v>
      </c>
      <c r="K5814" s="3" t="s">
        <v>23</v>
      </c>
    </row>
    <row r="5815" spans="1:11" ht="42" customHeight="1">
      <c r="A5815" s="2" t="s">
        <v>11500</v>
      </c>
      <c r="B5815" s="2" t="s">
        <v>11500</v>
      </c>
      <c r="C5815" s="2" t="s">
        <v>26</v>
      </c>
      <c r="D5815" s="2" t="s">
        <v>27</v>
      </c>
      <c r="E5815" s="5">
        <v>-28941</v>
      </c>
      <c r="F5815" s="3" t="s">
        <v>1727</v>
      </c>
      <c r="G5815" s="3" t="s">
        <v>43</v>
      </c>
      <c r="H5815" s="2" t="s">
        <v>21</v>
      </c>
      <c r="I5815" s="2" t="s">
        <v>11501</v>
      </c>
      <c r="J5815" s="3" t="str">
        <f>HYPERLINK("https://www.boe.es/gazeta/dias/1820/10/04/pdfs/GGB-1820-98.pdf#page=2","Abrir facsímil")</f>
        <v>Abrir facsímil</v>
      </c>
      <c r="K5815" s="3" t="s">
        <v>23</v>
      </c>
    </row>
    <row r="5816" spans="1:11" ht="42" customHeight="1">
      <c r="A5816" s="2" t="s">
        <v>11502</v>
      </c>
      <c r="B5816" s="2" t="s">
        <v>11503</v>
      </c>
      <c r="C5816" s="2" t="s">
        <v>35</v>
      </c>
      <c r="D5816" s="2" t="s">
        <v>36</v>
      </c>
      <c r="E5816" s="5">
        <v>-29183</v>
      </c>
      <c r="F5816" s="3" t="s">
        <v>476</v>
      </c>
      <c r="G5816" s="3" t="s">
        <v>201</v>
      </c>
      <c r="H5816" s="2" t="s">
        <v>21</v>
      </c>
      <c r="I5816" s="2" t="s">
        <v>11504</v>
      </c>
      <c r="J5816" s="3" t="str">
        <f>HYPERLINK("https://www.boe.es/gazeta/dias/1820/02/05/pdfs/GMD-1820-16.pdf#page=7","Abrir facsímil")</f>
        <v>Abrir facsímil</v>
      </c>
      <c r="K5816" s="3" t="s">
        <v>23</v>
      </c>
    </row>
    <row r="5817" spans="1:11" ht="42" customHeight="1">
      <c r="A5817" s="2" t="s">
        <v>11505</v>
      </c>
      <c r="B5817" s="2" t="s">
        <v>11506</v>
      </c>
      <c r="C5817" s="2" t="s">
        <v>26</v>
      </c>
      <c r="D5817" s="2" t="s">
        <v>27</v>
      </c>
      <c r="E5817" s="5">
        <v>-29183</v>
      </c>
      <c r="F5817" s="3" t="s">
        <v>476</v>
      </c>
      <c r="G5817" s="3" t="s">
        <v>295</v>
      </c>
      <c r="H5817" s="2" t="s">
        <v>21</v>
      </c>
      <c r="I5817" s="2" t="s">
        <v>11507</v>
      </c>
      <c r="J5817" s="3" t="str">
        <f>HYPERLINK("https://www.boe.es/gazeta/dias/1820/02/05/pdfs/GMD-1820-16.pdf#page=8","Abrir facsímil")</f>
        <v>Abrir facsímil</v>
      </c>
      <c r="K5817" s="3" t="s">
        <v>23</v>
      </c>
    </row>
    <row r="5818" spans="1:11" ht="42" customHeight="1">
      <c r="A5818" s="2" t="s">
        <v>11505</v>
      </c>
      <c r="B5818" s="2" t="s">
        <v>11506</v>
      </c>
      <c r="C5818" s="2" t="s">
        <v>35</v>
      </c>
      <c r="D5818" s="2" t="s">
        <v>36</v>
      </c>
      <c r="E5818" s="5">
        <v>-29171</v>
      </c>
      <c r="F5818" s="3" t="s">
        <v>764</v>
      </c>
      <c r="G5818" s="3" t="s">
        <v>295</v>
      </c>
      <c r="H5818" s="2" t="s">
        <v>21</v>
      </c>
      <c r="I5818" s="2" t="s">
        <v>11508</v>
      </c>
      <c r="J5818" s="3" t="str">
        <f>HYPERLINK("https://www.boe.es/gazeta/dias/1820/02/17/pdfs/GMD-1820-21.pdf#page=8","Abrir facsímil")</f>
        <v>Abrir facsímil</v>
      </c>
      <c r="K5818" s="3" t="s">
        <v>23</v>
      </c>
    </row>
    <row r="5819" spans="1:11" ht="42" customHeight="1">
      <c r="A5819" s="2" t="s">
        <v>11505</v>
      </c>
      <c r="B5819" s="2" t="s">
        <v>11506</v>
      </c>
      <c r="C5819" s="2" t="s">
        <v>35</v>
      </c>
      <c r="D5819" s="2" t="s">
        <v>36</v>
      </c>
      <c r="E5819" s="5">
        <v>-29143</v>
      </c>
      <c r="F5819" s="3" t="s">
        <v>334</v>
      </c>
      <c r="G5819" s="3" t="s">
        <v>201</v>
      </c>
      <c r="H5819" s="2" t="s">
        <v>21</v>
      </c>
      <c r="I5819" s="2" t="s">
        <v>11509</v>
      </c>
      <c r="J5819" s="3" t="str">
        <f>HYPERLINK("https://www.boe.es/gazeta/dias/1820/03/16/pdfs/GMD-1820-42.pdf#page=7","Abrir facsímil")</f>
        <v>Abrir facsímil</v>
      </c>
      <c r="K5819" s="3" t="s">
        <v>23</v>
      </c>
    </row>
    <row r="5820" spans="1:11" ht="42" customHeight="1">
      <c r="A5820" s="2" t="s">
        <v>11505</v>
      </c>
      <c r="B5820" s="2" t="s">
        <v>11506</v>
      </c>
      <c r="C5820" s="2" t="s">
        <v>35</v>
      </c>
      <c r="D5820" s="2" t="s">
        <v>36</v>
      </c>
      <c r="E5820" s="5">
        <v>-28965</v>
      </c>
      <c r="F5820" s="3" t="s">
        <v>1520</v>
      </c>
      <c r="G5820" s="3" t="s">
        <v>20</v>
      </c>
      <c r="H5820" s="2" t="s">
        <v>21</v>
      </c>
      <c r="I5820" s="2" t="s">
        <v>11510</v>
      </c>
      <c r="J5820" s="3" t="str">
        <f>HYPERLINK("https://www.boe.es/gazeta/dias/1820/09/10/pdfs/GGB-1820-74.pdf#page=4","Abrir facsímil")</f>
        <v>Abrir facsímil</v>
      </c>
      <c r="K5820" s="3" t="s">
        <v>23</v>
      </c>
    </row>
    <row r="5821" spans="1:11" ht="42" customHeight="1">
      <c r="A5821" s="2" t="s">
        <v>11511</v>
      </c>
      <c r="B5821" s="2" t="s">
        <v>11512</v>
      </c>
      <c r="C5821" s="2" t="s">
        <v>17</v>
      </c>
      <c r="D5821" s="2" t="s">
        <v>18</v>
      </c>
      <c r="E5821" s="5">
        <v>-28939</v>
      </c>
      <c r="F5821" s="3" t="s">
        <v>992</v>
      </c>
      <c r="G5821" s="3" t="s">
        <v>43</v>
      </c>
      <c r="H5821" s="2" t="s">
        <v>21</v>
      </c>
      <c r="I5821" s="2" t="s">
        <v>11513</v>
      </c>
      <c r="J5821" s="3" t="str">
        <f>HYPERLINK("https://www.boe.es/gazeta/dias/1820/10/06/pdfs/GGB-1820-100.pdf#page=2","Abrir facsímil")</f>
        <v>Abrir facsímil</v>
      </c>
      <c r="K5821" s="3" t="s">
        <v>23</v>
      </c>
    </row>
    <row r="5822" spans="1:11" ht="42" customHeight="1">
      <c r="A5822" s="2" t="s">
        <v>11514</v>
      </c>
      <c r="B5822" s="2" t="s">
        <v>11515</v>
      </c>
      <c r="C5822" s="2" t="s">
        <v>74</v>
      </c>
      <c r="D5822" s="2" t="s">
        <v>18</v>
      </c>
      <c r="E5822" s="5">
        <v>-28985</v>
      </c>
      <c r="F5822" s="3" t="s">
        <v>905</v>
      </c>
      <c r="G5822" s="3" t="s">
        <v>928</v>
      </c>
      <c r="H5822" s="2" t="s">
        <v>21</v>
      </c>
      <c r="I5822" s="2" t="s">
        <v>11516</v>
      </c>
      <c r="J5822" s="3" t="str">
        <f>HYPERLINK("https://www.boe.es/gazeta/dias/1820/08/21/pdfs/GGB-1820-54.pdf#page=4","Abrir facsímil")</f>
        <v>Abrir facsímil</v>
      </c>
      <c r="K5822" s="3" t="s">
        <v>23</v>
      </c>
    </row>
    <row r="5823" spans="1:11" ht="42" customHeight="1">
      <c r="A5823" s="2" t="s">
        <v>11517</v>
      </c>
      <c r="B5823" s="2" t="s">
        <v>11518</v>
      </c>
      <c r="C5823" s="2" t="s">
        <v>26</v>
      </c>
      <c r="D5823" s="2" t="s">
        <v>27</v>
      </c>
      <c r="E5823" s="5">
        <v>-28973</v>
      </c>
      <c r="F5823" s="3" t="s">
        <v>151</v>
      </c>
      <c r="G5823" s="3" t="s">
        <v>20</v>
      </c>
      <c r="H5823" s="2" t="s">
        <v>21</v>
      </c>
      <c r="I5823" s="2" t="s">
        <v>11519</v>
      </c>
      <c r="J5823" s="3" t="str">
        <f>HYPERLINK("https://www.boe.es/gazeta/dias/1820/09/02/pdfs/GGB-1820-66.pdf#page=4","Abrir facsímil")</f>
        <v>Abrir facsímil</v>
      </c>
      <c r="K5823" s="3" t="s">
        <v>23</v>
      </c>
    </row>
    <row r="5824" spans="1:11" ht="42" customHeight="1">
      <c r="A5824" s="2" t="s">
        <v>11520</v>
      </c>
      <c r="B5824" s="2" t="s">
        <v>11521</v>
      </c>
      <c r="C5824" s="2" t="s">
        <v>26</v>
      </c>
      <c r="D5824" s="2" t="s">
        <v>27</v>
      </c>
      <c r="E5824" s="5">
        <v>-28945</v>
      </c>
      <c r="F5824" s="3" t="s">
        <v>99</v>
      </c>
      <c r="G5824" s="3" t="s">
        <v>43</v>
      </c>
      <c r="H5824" s="2" t="s">
        <v>21</v>
      </c>
      <c r="I5824" s="2" t="s">
        <v>11522</v>
      </c>
      <c r="J5824" s="3" t="str">
        <f>HYPERLINK("https://www.boe.es/gazeta/dias/1820/09/30/pdfs/GGB-1820-94.pdf#page=2","Abrir facsímil")</f>
        <v>Abrir facsímil</v>
      </c>
      <c r="K5824" s="3" t="s">
        <v>23</v>
      </c>
    </row>
    <row r="5825" spans="1:11" ht="42" customHeight="1">
      <c r="A5825" s="2" t="s">
        <v>11523</v>
      </c>
      <c r="B5825" s="2" t="s">
        <v>11524</v>
      </c>
      <c r="C5825" s="2" t="s">
        <v>293</v>
      </c>
      <c r="D5825" s="2" t="s">
        <v>18</v>
      </c>
      <c r="E5825" s="5">
        <v>-28989</v>
      </c>
      <c r="F5825" s="3" t="s">
        <v>809</v>
      </c>
      <c r="G5825" s="3" t="s">
        <v>62</v>
      </c>
      <c r="H5825" s="2" t="s">
        <v>21</v>
      </c>
      <c r="I5825" s="2" t="s">
        <v>11525</v>
      </c>
      <c r="J5825" s="3" t="str">
        <f>HYPERLINK("https://www.boe.es/gazeta/dias/1820/08/17/pdfs/GGB-1820-50.pdf#page=3","Abrir facsímil")</f>
        <v>Abrir facsímil</v>
      </c>
      <c r="K5825" s="3" t="s">
        <v>23</v>
      </c>
    </row>
    <row r="5826" spans="1:11" ht="42" customHeight="1">
      <c r="A5826" s="2" t="s">
        <v>11526</v>
      </c>
      <c r="B5826" s="2" t="s">
        <v>11527</v>
      </c>
      <c r="C5826" s="2" t="s">
        <v>111</v>
      </c>
      <c r="D5826" s="2" t="s">
        <v>18</v>
      </c>
      <c r="E5826" s="5">
        <v>-29171</v>
      </c>
      <c r="F5826" s="3" t="s">
        <v>764</v>
      </c>
      <c r="G5826" s="3" t="s">
        <v>201</v>
      </c>
      <c r="H5826" s="2" t="s">
        <v>21</v>
      </c>
      <c r="I5826" s="2" t="s">
        <v>11528</v>
      </c>
      <c r="J5826" s="3" t="str">
        <f>HYPERLINK("https://www.boe.es/gazeta/dias/1820/02/17/pdfs/GMD-1820-21.pdf#page=7","Abrir facsímil")</f>
        <v>Abrir facsímil</v>
      </c>
      <c r="K5826" s="3" t="s">
        <v>23</v>
      </c>
    </row>
    <row r="5827" spans="1:11" ht="42" customHeight="1">
      <c r="A5827" s="2" t="s">
        <v>11529</v>
      </c>
      <c r="B5827" s="2" t="s">
        <v>11530</v>
      </c>
      <c r="C5827" s="2" t="s">
        <v>26</v>
      </c>
      <c r="D5827" s="2" t="s">
        <v>27</v>
      </c>
      <c r="E5827" s="5">
        <v>-29171</v>
      </c>
      <c r="F5827" s="3" t="s">
        <v>764</v>
      </c>
      <c r="G5827" s="3" t="s">
        <v>201</v>
      </c>
      <c r="H5827" s="2" t="s">
        <v>21</v>
      </c>
      <c r="I5827" s="2" t="s">
        <v>11531</v>
      </c>
      <c r="J5827" s="3" t="str">
        <f>HYPERLINK("https://www.boe.es/gazeta/dias/1820/02/17/pdfs/GMD-1820-21.pdf#page=7","Abrir facsímil")</f>
        <v>Abrir facsímil</v>
      </c>
      <c r="K5827" s="3" t="s">
        <v>23</v>
      </c>
    </row>
    <row r="5828" spans="1:11" ht="42" customHeight="1">
      <c r="A5828" s="2" t="s">
        <v>11532</v>
      </c>
      <c r="B5828" s="2" t="s">
        <v>11532</v>
      </c>
      <c r="C5828" s="2" t="s">
        <v>35</v>
      </c>
      <c r="D5828" s="2" t="s">
        <v>36</v>
      </c>
      <c r="E5828" s="5">
        <v>-28882</v>
      </c>
      <c r="F5828" s="3" t="s">
        <v>1245</v>
      </c>
      <c r="G5828" s="3" t="s">
        <v>128</v>
      </c>
      <c r="H5828" s="2" t="s">
        <v>21</v>
      </c>
      <c r="I5828" s="2" t="s">
        <v>11533</v>
      </c>
      <c r="J5828" s="3" t="str">
        <f>HYPERLINK("https://www.boe.es/gazeta/dias/1820/12/02/pdfs/GGB-1820-159.pdf#page=1","Abrir facsímil")</f>
        <v>Abrir facsímil</v>
      </c>
      <c r="K5828" s="3" t="s">
        <v>23</v>
      </c>
    </row>
    <row r="5829" spans="1:11" ht="42" customHeight="1">
      <c r="A5829" s="2" t="s">
        <v>11534</v>
      </c>
      <c r="B5829" s="2" t="s">
        <v>11534</v>
      </c>
      <c r="C5829" s="2" t="s">
        <v>293</v>
      </c>
      <c r="D5829" s="2" t="s">
        <v>18</v>
      </c>
      <c r="E5829" s="5">
        <v>-28892</v>
      </c>
      <c r="F5829" s="3" t="s">
        <v>3036</v>
      </c>
      <c r="G5829" s="3" t="s">
        <v>43</v>
      </c>
      <c r="H5829" s="2" t="s">
        <v>21</v>
      </c>
      <c r="I5829" s="2" t="s">
        <v>11535</v>
      </c>
      <c r="J5829" s="3" t="str">
        <f>HYPERLINK("https://www.boe.es/gazeta/dias/1820/11/22/pdfs/GGB-1820-149.pdf#page=2","Abrir facsímil")</f>
        <v>Abrir facsímil</v>
      </c>
      <c r="K5829" s="3" t="s">
        <v>23</v>
      </c>
    </row>
    <row r="5830" spans="1:11" ht="42" customHeight="1">
      <c r="A5830" s="2" t="s">
        <v>11536</v>
      </c>
      <c r="B5830" s="2" t="s">
        <v>11537</v>
      </c>
      <c r="C5830" s="2" t="s">
        <v>74</v>
      </c>
      <c r="D5830" s="2" t="s">
        <v>18</v>
      </c>
      <c r="E5830" s="5">
        <v>-28914</v>
      </c>
      <c r="F5830" s="3" t="s">
        <v>434</v>
      </c>
      <c r="G5830" s="3" t="s">
        <v>43</v>
      </c>
      <c r="H5830" s="2" t="s">
        <v>21</v>
      </c>
      <c r="I5830" s="2" t="s">
        <v>11538</v>
      </c>
      <c r="J5830" s="3" t="str">
        <f>HYPERLINK("https://www.boe.es/gazeta/dias/1820/10/31/pdfs/GGB-1820-125.pdf#page=2","Abrir facsímil")</f>
        <v>Abrir facsímil</v>
      </c>
      <c r="K5830" s="3" t="s">
        <v>23</v>
      </c>
    </row>
    <row r="5831" spans="1:11" ht="42" customHeight="1">
      <c r="A5831" s="2" t="s">
        <v>11539</v>
      </c>
      <c r="B5831" s="2" t="s">
        <v>11540</v>
      </c>
      <c r="C5831" s="2" t="s">
        <v>35</v>
      </c>
      <c r="D5831" s="2" t="s">
        <v>36</v>
      </c>
      <c r="E5831" s="5">
        <v>-29015</v>
      </c>
      <c r="F5831" s="3" t="s">
        <v>359</v>
      </c>
      <c r="G5831" s="3" t="s">
        <v>20</v>
      </c>
      <c r="H5831" s="2" t="s">
        <v>21</v>
      </c>
      <c r="I5831" s="2" t="s">
        <v>11541</v>
      </c>
      <c r="J5831" s="3" t="str">
        <f>HYPERLINK("https://www.boe.es/gazeta/dias/1820/07/22/pdfs/GGB-1820-24.pdf#page=4","Abrir facsímil")</f>
        <v>Abrir facsímil</v>
      </c>
      <c r="K5831" s="3" t="s">
        <v>23</v>
      </c>
    </row>
    <row r="5832" spans="1:11" ht="42" customHeight="1">
      <c r="A5832" s="2" t="s">
        <v>11542</v>
      </c>
      <c r="B5832" s="2" t="s">
        <v>11543</v>
      </c>
      <c r="C5832" s="2" t="s">
        <v>26</v>
      </c>
      <c r="D5832" s="2" t="s">
        <v>27</v>
      </c>
      <c r="E5832" s="5">
        <v>-28978</v>
      </c>
      <c r="F5832" s="3" t="s">
        <v>203</v>
      </c>
      <c r="G5832" s="3" t="s">
        <v>43</v>
      </c>
      <c r="H5832" s="2" t="s">
        <v>21</v>
      </c>
      <c r="I5832" s="2" t="s">
        <v>11544</v>
      </c>
      <c r="J5832" s="3" t="str">
        <f>HYPERLINK("https://www.boe.es/gazeta/dias/1820/08/28/pdfs/GGB-1820-61.pdf#page=2","Abrir facsímil")</f>
        <v>Abrir facsímil</v>
      </c>
      <c r="K5832" s="3" t="s">
        <v>23</v>
      </c>
    </row>
    <row r="5833" spans="1:11" ht="42" customHeight="1">
      <c r="A5833" s="2" t="s">
        <v>11545</v>
      </c>
      <c r="B5833" s="2" t="s">
        <v>11546</v>
      </c>
      <c r="C5833" s="2" t="s">
        <v>26</v>
      </c>
      <c r="D5833" s="2" t="s">
        <v>27</v>
      </c>
      <c r="E5833" s="5">
        <v>-28973</v>
      </c>
      <c r="F5833" s="3" t="s">
        <v>151</v>
      </c>
      <c r="G5833" s="3" t="s">
        <v>20</v>
      </c>
      <c r="H5833" s="2" t="s">
        <v>21</v>
      </c>
      <c r="I5833" s="2" t="s">
        <v>11547</v>
      </c>
      <c r="J5833" s="3" t="str">
        <f>HYPERLINK("https://www.boe.es/gazeta/dias/1820/09/02/pdfs/GGB-1820-66.pdf#page=4","Abrir facsímil")</f>
        <v>Abrir facsímil</v>
      </c>
      <c r="K5833" s="3" t="s">
        <v>23</v>
      </c>
    </row>
    <row r="5834" spans="1:11" ht="42" customHeight="1">
      <c r="A5834" s="2" t="s">
        <v>11548</v>
      </c>
      <c r="B5834" s="2" t="s">
        <v>11548</v>
      </c>
      <c r="C5834" s="2" t="s">
        <v>74</v>
      </c>
      <c r="D5834" s="2" t="s">
        <v>18</v>
      </c>
      <c r="E5834" s="5">
        <v>-28908</v>
      </c>
      <c r="F5834" s="3" t="s">
        <v>1060</v>
      </c>
      <c r="G5834" s="3" t="s">
        <v>62</v>
      </c>
      <c r="H5834" s="2" t="s">
        <v>21</v>
      </c>
      <c r="I5834" s="2" t="s">
        <v>11549</v>
      </c>
      <c r="J5834" s="3" t="str">
        <f>HYPERLINK("https://www.boe.es/gazeta/dias/1820/11/06/pdfs/GGB-1820-131.pdf#page=3","Abrir facsímil")</f>
        <v>Abrir facsímil</v>
      </c>
      <c r="K5834" s="3" t="s">
        <v>23</v>
      </c>
    </row>
    <row r="5835" spans="1:11" ht="42" customHeight="1">
      <c r="A5835" s="2" t="s">
        <v>11550</v>
      </c>
      <c r="B5835" s="2" t="s">
        <v>11551</v>
      </c>
      <c r="C5835" s="2" t="s">
        <v>35</v>
      </c>
      <c r="D5835" s="2" t="s">
        <v>36</v>
      </c>
      <c r="E5835" s="5">
        <v>-29028</v>
      </c>
      <c r="F5835" s="3" t="s">
        <v>132</v>
      </c>
      <c r="G5835" s="3" t="s">
        <v>62</v>
      </c>
      <c r="H5835" s="2" t="s">
        <v>21</v>
      </c>
      <c r="I5835" s="2" t="s">
        <v>11552</v>
      </c>
      <c r="J5835" s="3" t="str">
        <f>HYPERLINK("https://www.boe.es/gazeta/dias/1820/07/09/pdfs/GGB-1820-10.pdf#page=3","Abrir facsímil")</f>
        <v>Abrir facsímil</v>
      </c>
      <c r="K5835" s="3" t="s">
        <v>23</v>
      </c>
    </row>
    <row r="5836" spans="1:11" ht="42" customHeight="1">
      <c r="A5836" s="2" t="s">
        <v>11553</v>
      </c>
      <c r="B5836" s="2" t="s">
        <v>11554</v>
      </c>
      <c r="C5836" s="2" t="s">
        <v>293</v>
      </c>
      <c r="D5836" s="2" t="s">
        <v>18</v>
      </c>
      <c r="E5836" s="5">
        <v>-29010</v>
      </c>
      <c r="F5836" s="3" t="s">
        <v>664</v>
      </c>
      <c r="G5836" s="3" t="s">
        <v>665</v>
      </c>
      <c r="H5836" s="2" t="s">
        <v>21</v>
      </c>
      <c r="I5836" s="2" t="s">
        <v>11555</v>
      </c>
      <c r="J5836" s="3" t="str">
        <f>HYPERLINK("https://www.boe.es/gazeta/dias/1820/07/27/pdfs/GGB-1820-29.pdf#page=2","Abrir facsímil")</f>
        <v>Abrir facsímil</v>
      </c>
      <c r="K5836" s="3" t="s">
        <v>23</v>
      </c>
    </row>
    <row r="5837" spans="1:11" ht="42" customHeight="1">
      <c r="A5837" s="2" t="s">
        <v>11556</v>
      </c>
      <c r="B5837" s="2" t="s">
        <v>11557</v>
      </c>
      <c r="C5837" s="2" t="s">
        <v>35</v>
      </c>
      <c r="D5837" s="2" t="s">
        <v>36</v>
      </c>
      <c r="E5837" s="5">
        <v>-28919</v>
      </c>
      <c r="F5837" s="3" t="s">
        <v>516</v>
      </c>
      <c r="G5837" s="3" t="s">
        <v>43</v>
      </c>
      <c r="H5837" s="2" t="s">
        <v>21</v>
      </c>
      <c r="I5837" s="2" t="s">
        <v>11558</v>
      </c>
      <c r="J5837" s="3" t="str">
        <f>HYPERLINK("https://www.boe.es/gazeta/dias/1820/10/26/pdfs/GGB-1820-120.pdf#page=2","Abrir facsímil")</f>
        <v>Abrir facsímil</v>
      </c>
      <c r="K5837" s="3" t="s">
        <v>23</v>
      </c>
    </row>
    <row r="5838" spans="1:11" ht="42" customHeight="1">
      <c r="A5838" s="2" t="s">
        <v>11559</v>
      </c>
      <c r="B5838" s="2" t="s">
        <v>11560</v>
      </c>
      <c r="C5838" s="2" t="s">
        <v>35</v>
      </c>
      <c r="D5838" s="2" t="s">
        <v>36</v>
      </c>
      <c r="E5838" s="5">
        <v>-28918</v>
      </c>
      <c r="F5838" s="3" t="s">
        <v>160</v>
      </c>
      <c r="G5838" s="3" t="s">
        <v>43</v>
      </c>
      <c r="H5838" s="2" t="s">
        <v>21</v>
      </c>
      <c r="I5838" s="2" t="s">
        <v>11561</v>
      </c>
      <c r="J5838" s="3" t="str">
        <f>HYPERLINK("https://www.boe.es/gazeta/dias/1820/10/27/pdfs/GGB-1820-121.pdf#page=2","Abrir facsímil")</f>
        <v>Abrir facsímil</v>
      </c>
      <c r="K5838" s="3" t="s">
        <v>23</v>
      </c>
    </row>
    <row r="5839" spans="1:11" ht="42" customHeight="1">
      <c r="A5839" s="2" t="s">
        <v>11562</v>
      </c>
      <c r="B5839" s="2" t="s">
        <v>11563</v>
      </c>
      <c r="C5839" s="2" t="s">
        <v>74</v>
      </c>
      <c r="D5839" s="2" t="s">
        <v>18</v>
      </c>
      <c r="E5839" s="5">
        <v>-28938</v>
      </c>
      <c r="F5839" s="3" t="s">
        <v>716</v>
      </c>
      <c r="G5839" s="3" t="s">
        <v>62</v>
      </c>
      <c r="H5839" s="2" t="s">
        <v>21</v>
      </c>
      <c r="I5839" s="2" t="s">
        <v>11564</v>
      </c>
      <c r="J5839" s="3" t="str">
        <f>HYPERLINK("https://www.boe.es/gazeta/dias/1820/10/07/pdfs/GGB-1820-101.pdf#page=3","Abrir facsímil")</f>
        <v>Abrir facsímil</v>
      </c>
      <c r="K5839" s="3" t="s">
        <v>23</v>
      </c>
    </row>
    <row r="5840" spans="1:11" ht="42" customHeight="1">
      <c r="A5840" s="2" t="s">
        <v>11565</v>
      </c>
      <c r="B5840" s="2" t="s">
        <v>11565</v>
      </c>
      <c r="C5840" s="2" t="s">
        <v>74</v>
      </c>
      <c r="D5840" s="2" t="s">
        <v>18</v>
      </c>
      <c r="E5840" s="5">
        <v>-28887</v>
      </c>
      <c r="F5840" s="3" t="s">
        <v>2098</v>
      </c>
      <c r="G5840" s="3" t="s">
        <v>6604</v>
      </c>
      <c r="H5840" s="2" t="s">
        <v>21</v>
      </c>
      <c r="I5840" s="2" t="s">
        <v>11566</v>
      </c>
      <c r="J5840" s="3" t="str">
        <f>HYPERLINK("https://www.boe.es/gazeta/dias/1820/11/27/pdfs/GGB-1820-154.pdf#page=2","Abrir facsímil")</f>
        <v>Abrir facsímil</v>
      </c>
      <c r="K5840" s="3" t="s">
        <v>23</v>
      </c>
    </row>
    <row r="5841" spans="1:11" ht="42" customHeight="1">
      <c r="A5841" s="2" t="s">
        <v>11567</v>
      </c>
      <c r="B5841" s="2" t="s">
        <v>11567</v>
      </c>
      <c r="C5841" s="2" t="s">
        <v>47</v>
      </c>
      <c r="D5841" s="2" t="s">
        <v>18</v>
      </c>
      <c r="E5841" s="5">
        <v>-28899</v>
      </c>
      <c r="F5841" s="3" t="s">
        <v>285</v>
      </c>
      <c r="G5841" s="3" t="s">
        <v>286</v>
      </c>
      <c r="H5841" s="2" t="s">
        <v>21</v>
      </c>
      <c r="I5841" s="2" t="s">
        <v>11568</v>
      </c>
      <c r="J5841" s="3" t="str">
        <f>HYPERLINK("https://www.boe.es/gazeta/dias/1820/11/15/pdfs/GGB-1820-141.pdf#page=2","Abrir facsímil")</f>
        <v>Abrir facsímil</v>
      </c>
      <c r="K5841" s="3" t="s">
        <v>23</v>
      </c>
    </row>
    <row r="5842" spans="1:11" ht="42" customHeight="1">
      <c r="A5842" s="2" t="s">
        <v>11569</v>
      </c>
      <c r="B5842" s="2" t="s">
        <v>11570</v>
      </c>
      <c r="C5842" s="2" t="s">
        <v>35</v>
      </c>
      <c r="D5842" s="2" t="s">
        <v>36</v>
      </c>
      <c r="E5842" s="5">
        <v>-28959</v>
      </c>
      <c r="F5842" s="3" t="s">
        <v>37</v>
      </c>
      <c r="G5842" s="3" t="s">
        <v>38</v>
      </c>
      <c r="H5842" s="2" t="s">
        <v>21</v>
      </c>
      <c r="I5842" s="2" t="s">
        <v>11571</v>
      </c>
      <c r="J5842" s="3" t="str">
        <f>HYPERLINK("https://www.boe.es/gazeta/dias/1820/09/16/pdfs/GGB-1820-80.pdf#page=6","Abrir facsímil")</f>
        <v>Abrir facsímil</v>
      </c>
      <c r="K5842" s="3" t="s">
        <v>23</v>
      </c>
    </row>
    <row r="5843" spans="1:11" ht="42" customHeight="1">
      <c r="A5843" s="2" t="s">
        <v>11572</v>
      </c>
      <c r="B5843" s="2" t="s">
        <v>11573</v>
      </c>
      <c r="C5843" s="2" t="s">
        <v>26</v>
      </c>
      <c r="D5843" s="2" t="s">
        <v>27</v>
      </c>
      <c r="E5843" s="5">
        <v>-28965</v>
      </c>
      <c r="F5843" s="3" t="s">
        <v>1520</v>
      </c>
      <c r="G5843" s="3" t="s">
        <v>43</v>
      </c>
      <c r="H5843" s="2" t="s">
        <v>21</v>
      </c>
      <c r="I5843" s="2" t="s">
        <v>11574</v>
      </c>
      <c r="J5843" s="3" t="str">
        <f>HYPERLINK("https://www.boe.es/gazeta/dias/1820/09/10/pdfs/GGB-1820-74.pdf#page=2","Abrir facsímil")</f>
        <v>Abrir facsímil</v>
      </c>
      <c r="K5843" s="3" t="s">
        <v>23</v>
      </c>
    </row>
    <row r="5844" spans="1:11" ht="42" customHeight="1">
      <c r="A5844" s="2" t="s">
        <v>11575</v>
      </c>
      <c r="B5844" s="2" t="s">
        <v>11576</v>
      </c>
      <c r="C5844" s="2" t="s">
        <v>26</v>
      </c>
      <c r="D5844" s="2" t="s">
        <v>27</v>
      </c>
      <c r="E5844" s="5">
        <v>-29129</v>
      </c>
      <c r="F5844" s="3" t="s">
        <v>269</v>
      </c>
      <c r="G5844" s="3" t="s">
        <v>270</v>
      </c>
      <c r="H5844" s="2" t="s">
        <v>21</v>
      </c>
      <c r="I5844" s="2" t="s">
        <v>11577</v>
      </c>
      <c r="J5844" s="3" t="str">
        <f>HYPERLINK("https://www.boe.es/gazeta/dias/1820/03/30/pdfs/GMD-1820-58.pdf#page=9","Abrir facsímil")</f>
        <v>Abrir facsímil</v>
      </c>
      <c r="K5844" s="3" t="s">
        <v>23</v>
      </c>
    </row>
    <row r="5845" spans="1:11" ht="42" customHeight="1">
      <c r="A5845" s="2" t="s">
        <v>11575</v>
      </c>
      <c r="B5845" s="2" t="s">
        <v>11576</v>
      </c>
      <c r="C5845" s="2" t="s">
        <v>293</v>
      </c>
      <c r="D5845" s="2" t="s">
        <v>18</v>
      </c>
      <c r="E5845" s="5">
        <v>-28924</v>
      </c>
      <c r="F5845" s="3" t="s">
        <v>78</v>
      </c>
      <c r="G5845" s="3" t="s">
        <v>62</v>
      </c>
      <c r="H5845" s="2" t="s">
        <v>21</v>
      </c>
      <c r="I5845" s="2" t="s">
        <v>11578</v>
      </c>
      <c r="J5845" s="3" t="str">
        <f>HYPERLINK("https://www.boe.es/gazeta/dias/1820/10/21/pdfs/GGB-1820-115.pdf#page=3","Abrir facsímil")</f>
        <v>Abrir facsímil</v>
      </c>
      <c r="K5845" s="3" t="s">
        <v>23</v>
      </c>
    </row>
    <row r="5846" spans="1:11" ht="42" customHeight="1">
      <c r="A5846" s="2" t="s">
        <v>11579</v>
      </c>
      <c r="B5846" s="2" t="s">
        <v>11580</v>
      </c>
      <c r="C5846" s="2" t="s">
        <v>35</v>
      </c>
      <c r="D5846" s="2" t="s">
        <v>310</v>
      </c>
      <c r="E5846" s="5">
        <v>-29140</v>
      </c>
      <c r="F5846" s="3" t="s">
        <v>533</v>
      </c>
      <c r="G5846" s="3" t="s">
        <v>128</v>
      </c>
      <c r="H5846" s="2" t="s">
        <v>21</v>
      </c>
      <c r="I5846" s="2" t="s">
        <v>11581</v>
      </c>
      <c r="J5846" s="3" t="str">
        <f>HYPERLINK("https://www.boe.es/gazeta/dias/1820/03/19/pdfs/GMD-1820-45E.pdf#page=1","Abrir facsímil")</f>
        <v>Abrir facsímil</v>
      </c>
      <c r="K5846" s="3" t="s">
        <v>23</v>
      </c>
    </row>
    <row r="5847" spans="1:11" ht="42" customHeight="1">
      <c r="A5847" s="2" t="s">
        <v>11582</v>
      </c>
      <c r="B5847" s="2" t="s">
        <v>11582</v>
      </c>
      <c r="C5847" s="2" t="s">
        <v>26</v>
      </c>
      <c r="D5847" s="2" t="s">
        <v>27</v>
      </c>
      <c r="E5847" s="5">
        <v>-28888</v>
      </c>
      <c r="F5847" s="3" t="s">
        <v>112</v>
      </c>
      <c r="G5847" s="3" t="s">
        <v>3931</v>
      </c>
      <c r="H5847" s="2" t="s">
        <v>21</v>
      </c>
      <c r="I5847" s="2" t="s">
        <v>11583</v>
      </c>
      <c r="J5847" s="3" t="str">
        <f>HYPERLINK("https://www.boe.es/gazeta/dias/1820/11/26/pdfs/GGB-1820-153.pdf#page=2","Abrir facsímil")</f>
        <v>Abrir facsímil</v>
      </c>
      <c r="K5847" s="3" t="s">
        <v>23</v>
      </c>
    </row>
    <row r="5848" spans="1:11" ht="42" customHeight="1">
      <c r="A5848" s="2" t="s">
        <v>11584</v>
      </c>
      <c r="B5848" s="2" t="s">
        <v>11585</v>
      </c>
      <c r="C5848" s="2" t="s">
        <v>107</v>
      </c>
      <c r="D5848" s="2" t="s">
        <v>18</v>
      </c>
      <c r="E5848" s="5">
        <v>-28857</v>
      </c>
      <c r="F5848" s="3" t="s">
        <v>889</v>
      </c>
      <c r="G5848" s="3" t="s">
        <v>890</v>
      </c>
      <c r="H5848" s="2" t="s">
        <v>21</v>
      </c>
      <c r="I5848" s="2" t="s">
        <v>11586</v>
      </c>
      <c r="J5848" s="3" t="str">
        <f>HYPERLINK("https://www.boe.es/gazeta/dias/1820/12/27/pdfs/GGB-1820-184.pdf#page=4","Abrir facsímil")</f>
        <v>Abrir facsímil</v>
      </c>
      <c r="K5848" s="3" t="s">
        <v>23</v>
      </c>
    </row>
    <row r="5849" spans="1:11" ht="42" customHeight="1">
      <c r="A5849" s="2" t="s">
        <v>11587</v>
      </c>
      <c r="B5849" s="2" t="s">
        <v>11588</v>
      </c>
      <c r="C5849" s="2" t="s">
        <v>26</v>
      </c>
      <c r="D5849" s="2" t="s">
        <v>27</v>
      </c>
      <c r="E5849" s="5">
        <v>-28902</v>
      </c>
      <c r="F5849" s="3" t="s">
        <v>440</v>
      </c>
      <c r="G5849" s="3" t="s">
        <v>1080</v>
      </c>
      <c r="H5849" s="2" t="s">
        <v>21</v>
      </c>
      <c r="I5849" s="2" t="s">
        <v>11589</v>
      </c>
      <c r="J5849" s="3" t="str">
        <f>HYPERLINK("https://www.boe.es/gazeta/dias/1820/11/12/pdfs/GGB-1820-138.pdf#page=1","Abrir facsímil")</f>
        <v>Abrir facsímil</v>
      </c>
      <c r="K5849" s="3" t="s">
        <v>23</v>
      </c>
    </row>
    <row r="5850" spans="1:11" ht="42" customHeight="1">
      <c r="A5850" s="2" t="s">
        <v>11587</v>
      </c>
      <c r="B5850" s="2" t="s">
        <v>11588</v>
      </c>
      <c r="C5850" s="2" t="s">
        <v>26</v>
      </c>
      <c r="D5850" s="2" t="s">
        <v>27</v>
      </c>
      <c r="E5850" s="5">
        <v>-28895</v>
      </c>
      <c r="F5850" s="3" t="s">
        <v>347</v>
      </c>
      <c r="G5850" s="3" t="s">
        <v>128</v>
      </c>
      <c r="H5850" s="2" t="s">
        <v>21</v>
      </c>
      <c r="I5850" s="2" t="s">
        <v>11590</v>
      </c>
      <c r="J5850" s="3" t="str">
        <f>HYPERLINK("https://www.boe.es/gazeta/dias/1820/11/19/pdfs/GGB-1820-146.pdf#page=1","Abrir facsímil")</f>
        <v>Abrir facsímil</v>
      </c>
      <c r="K5850" s="3" t="s">
        <v>23</v>
      </c>
    </row>
    <row r="5851" spans="1:11" ht="42" customHeight="1">
      <c r="A5851" s="2" t="s">
        <v>11591</v>
      </c>
      <c r="B5851" s="2" t="s">
        <v>11592</v>
      </c>
      <c r="C5851" s="2" t="s">
        <v>26</v>
      </c>
      <c r="D5851" s="2" t="s">
        <v>27</v>
      </c>
      <c r="E5851" s="5">
        <v>-28920</v>
      </c>
      <c r="F5851" s="3" t="s">
        <v>399</v>
      </c>
      <c r="G5851" s="3" t="s">
        <v>20</v>
      </c>
      <c r="H5851" s="2" t="s">
        <v>21</v>
      </c>
      <c r="I5851" s="2" t="s">
        <v>11593</v>
      </c>
      <c r="J5851" s="3" t="str">
        <f>HYPERLINK("https://www.boe.es/gazeta/dias/1820/10/25/pdfs/GGB-1820-119.pdf#page=4","Abrir facsímil")</f>
        <v>Abrir facsímil</v>
      </c>
      <c r="K5851" s="3" t="s">
        <v>23</v>
      </c>
    </row>
    <row r="5852" spans="1:11" ht="42" customHeight="1">
      <c r="A5852" s="2" t="s">
        <v>11594</v>
      </c>
      <c r="B5852" s="2" t="s">
        <v>11595</v>
      </c>
      <c r="C5852" s="2" t="s">
        <v>35</v>
      </c>
      <c r="D5852" s="2" t="s">
        <v>36</v>
      </c>
      <c r="E5852" s="5">
        <v>-28910</v>
      </c>
      <c r="F5852" s="3" t="s">
        <v>746</v>
      </c>
      <c r="G5852" s="3" t="s">
        <v>43</v>
      </c>
      <c r="H5852" s="2" t="s">
        <v>21</v>
      </c>
      <c r="I5852" s="2" t="s">
        <v>11596</v>
      </c>
      <c r="J5852" s="3" t="str">
        <f>HYPERLINK("https://www.boe.es/gazeta/dias/1820/11/04/pdfs/GGB-1820-129.pdf#page=2","Abrir facsímil")</f>
        <v>Abrir facsímil</v>
      </c>
      <c r="K5852" s="3" t="s">
        <v>23</v>
      </c>
    </row>
    <row r="5853" spans="1:11" ht="42" customHeight="1">
      <c r="A5853" s="2" t="s">
        <v>11597</v>
      </c>
      <c r="B5853" s="2" t="s">
        <v>11598</v>
      </c>
      <c r="C5853" s="2" t="s">
        <v>26</v>
      </c>
      <c r="D5853" s="2" t="s">
        <v>27</v>
      </c>
      <c r="E5853" s="5">
        <v>-29094</v>
      </c>
      <c r="F5853" s="3" t="s">
        <v>560</v>
      </c>
      <c r="G5853" s="3" t="s">
        <v>38</v>
      </c>
      <c r="H5853" s="2" t="s">
        <v>21</v>
      </c>
      <c r="I5853" s="2" t="s">
        <v>11599</v>
      </c>
      <c r="J5853" s="3" t="str">
        <f>HYPERLINK("https://www.boe.es/gazeta/dias/1820/05/04/pdfs/GMD-1820-75.pdf#page=6","Abrir facsímil")</f>
        <v>Abrir facsímil</v>
      </c>
      <c r="K5853" s="3" t="s">
        <v>23</v>
      </c>
    </row>
    <row r="5854" spans="1:11" ht="42" customHeight="1">
      <c r="A5854" s="2" t="s">
        <v>11600</v>
      </c>
      <c r="B5854" s="2" t="s">
        <v>11601</v>
      </c>
      <c r="C5854" s="2" t="s">
        <v>35</v>
      </c>
      <c r="D5854" s="2" t="s">
        <v>36</v>
      </c>
      <c r="E5854" s="5">
        <v>-29045</v>
      </c>
      <c r="F5854" s="3" t="s">
        <v>155</v>
      </c>
      <c r="G5854" s="3" t="s">
        <v>295</v>
      </c>
      <c r="H5854" s="2" t="s">
        <v>21</v>
      </c>
      <c r="I5854" s="2" t="s">
        <v>11602</v>
      </c>
      <c r="J5854" s="3" t="str">
        <f>HYPERLINK("https://www.boe.es/gazeta/dias/1820/06/22/pdfs/GMD-1820-97.pdf#page=8","Abrir facsímil")</f>
        <v>Abrir facsímil</v>
      </c>
      <c r="K5854" s="3" t="s">
        <v>23</v>
      </c>
    </row>
    <row r="5855" spans="1:11" ht="42" customHeight="1">
      <c r="A5855" s="2" t="s">
        <v>11603</v>
      </c>
      <c r="B5855" s="2" t="s">
        <v>11604</v>
      </c>
      <c r="C5855" s="2" t="s">
        <v>107</v>
      </c>
      <c r="D5855" s="2" t="s">
        <v>18</v>
      </c>
      <c r="E5855" s="5">
        <v>-29122</v>
      </c>
      <c r="F5855" s="3" t="s">
        <v>844</v>
      </c>
      <c r="G5855" s="3" t="s">
        <v>845</v>
      </c>
      <c r="H5855" s="2" t="s">
        <v>30</v>
      </c>
      <c r="I5855" s="2" t="s">
        <v>11605</v>
      </c>
      <c r="J5855" s="3" t="str">
        <f>HYPERLINK("https://www.boe.es/gazeta/dias/1820/04/06/pdfs/GMD-1820-62.pdf#page=8","Abrir facsímil")</f>
        <v>Abrir facsímil</v>
      </c>
      <c r="K5855" s="3" t="s">
        <v>32</v>
      </c>
    </row>
    <row r="5856" spans="1:11" ht="42" customHeight="1">
      <c r="A5856" s="2" t="s">
        <v>11606</v>
      </c>
      <c r="B5856" s="2" t="s">
        <v>11607</v>
      </c>
      <c r="C5856" s="2" t="s">
        <v>293</v>
      </c>
      <c r="D5856" s="2" t="s">
        <v>18</v>
      </c>
      <c r="E5856" s="5">
        <v>-28982</v>
      </c>
      <c r="F5856" s="3" t="s">
        <v>173</v>
      </c>
      <c r="G5856" s="3" t="s">
        <v>43</v>
      </c>
      <c r="H5856" s="2" t="s">
        <v>21</v>
      </c>
      <c r="I5856" s="2" t="s">
        <v>11608</v>
      </c>
      <c r="J5856" s="3" t="str">
        <f>HYPERLINK("https://www.boe.es/gazeta/dias/1820/08/24/pdfs/GGB-1820-57.pdf#page=2","Abrir facsímil")</f>
        <v>Abrir facsímil</v>
      </c>
      <c r="K5856" s="3" t="s">
        <v>23</v>
      </c>
    </row>
    <row r="5857" spans="1:11" ht="42" customHeight="1">
      <c r="A5857" s="2" t="s">
        <v>11609</v>
      </c>
      <c r="B5857" s="2" t="s">
        <v>11610</v>
      </c>
      <c r="C5857" s="2" t="s">
        <v>26</v>
      </c>
      <c r="D5857" s="2" t="s">
        <v>27</v>
      </c>
      <c r="E5857" s="5">
        <v>-28929</v>
      </c>
      <c r="F5857" s="3" t="s">
        <v>728</v>
      </c>
      <c r="G5857" s="3" t="s">
        <v>62</v>
      </c>
      <c r="H5857" s="2" t="s">
        <v>30</v>
      </c>
      <c r="I5857" s="2" t="s">
        <v>11611</v>
      </c>
      <c r="J5857" s="3" t="str">
        <f>HYPERLINK("https://www.boe.es/gazeta/dias/1820/10/16/pdfs/GGB-1820-110.pdf#page=3","Abrir facsímil")</f>
        <v>Abrir facsímil</v>
      </c>
      <c r="K5857" s="3" t="s">
        <v>32</v>
      </c>
    </row>
    <row r="5858" spans="1:11" ht="42" customHeight="1">
      <c r="A5858" s="2" t="s">
        <v>11612</v>
      </c>
      <c r="B5858" s="2" t="s">
        <v>11613</v>
      </c>
      <c r="C5858" s="2" t="s">
        <v>26</v>
      </c>
      <c r="D5858" s="2" t="s">
        <v>27</v>
      </c>
      <c r="E5858" s="5">
        <v>-28948</v>
      </c>
      <c r="F5858" s="3" t="s">
        <v>1069</v>
      </c>
      <c r="G5858" s="3" t="s">
        <v>62</v>
      </c>
      <c r="H5858" s="2" t="s">
        <v>21</v>
      </c>
      <c r="I5858" s="2" t="s">
        <v>11614</v>
      </c>
      <c r="J5858" s="3" t="str">
        <f>HYPERLINK("https://www.boe.es/gazeta/dias/1820/09/27/pdfs/GGB-1820-91.pdf#page=3","Abrir facsímil")</f>
        <v>Abrir facsímil</v>
      </c>
      <c r="K5858" s="3" t="s">
        <v>23</v>
      </c>
    </row>
    <row r="5859" spans="1:11" ht="42" customHeight="1">
      <c r="A5859" s="2" t="s">
        <v>11615</v>
      </c>
      <c r="B5859" s="2" t="s">
        <v>11615</v>
      </c>
      <c r="C5859" s="2" t="s">
        <v>35</v>
      </c>
      <c r="D5859" s="2" t="s">
        <v>36</v>
      </c>
      <c r="E5859" s="5">
        <v>-29016</v>
      </c>
      <c r="F5859" s="3" t="s">
        <v>657</v>
      </c>
      <c r="G5859" s="3" t="s">
        <v>43</v>
      </c>
      <c r="H5859" s="2" t="s">
        <v>21</v>
      </c>
      <c r="I5859" s="2" t="s">
        <v>11616</v>
      </c>
      <c r="J5859" s="3" t="str">
        <f>HYPERLINK("https://www.boe.es/gazeta/dias/1820/07/21/pdfs/GGB-1820-23.pdf#page=2","Abrir facsímil")</f>
        <v>Abrir facsímil</v>
      </c>
      <c r="K5859" s="3" t="s">
        <v>23</v>
      </c>
    </row>
    <row r="5860" spans="1:11" ht="42" customHeight="1">
      <c r="A5860" s="2" t="s">
        <v>11615</v>
      </c>
      <c r="B5860" s="2" t="s">
        <v>11615</v>
      </c>
      <c r="C5860" s="2" t="s">
        <v>107</v>
      </c>
      <c r="D5860" s="2" t="s">
        <v>18</v>
      </c>
      <c r="E5860" s="5">
        <v>-28951</v>
      </c>
      <c r="F5860" s="3" t="s">
        <v>622</v>
      </c>
      <c r="G5860" s="3" t="s">
        <v>20</v>
      </c>
      <c r="H5860" s="2" t="s">
        <v>21</v>
      </c>
      <c r="I5860" s="2" t="s">
        <v>11617</v>
      </c>
      <c r="J5860" s="3" t="str">
        <f>HYPERLINK("https://www.boe.es/gazeta/dias/1820/09/24/pdfs/GGB-1820-88.pdf#page=4","Abrir facsímil")</f>
        <v>Abrir facsímil</v>
      </c>
      <c r="K5860" s="3" t="s">
        <v>23</v>
      </c>
    </row>
    <row r="5861" spans="1:11" ht="42" customHeight="1">
      <c r="A5861" s="2" t="s">
        <v>11615</v>
      </c>
      <c r="B5861" s="2" t="s">
        <v>11615</v>
      </c>
      <c r="C5861" s="2" t="s">
        <v>26</v>
      </c>
      <c r="D5861" s="2" t="s">
        <v>27</v>
      </c>
      <c r="E5861" s="5">
        <v>-28950</v>
      </c>
      <c r="F5861" s="3" t="s">
        <v>1052</v>
      </c>
      <c r="G5861" s="3" t="s">
        <v>20</v>
      </c>
      <c r="H5861" s="2" t="s">
        <v>21</v>
      </c>
      <c r="I5861" s="2" t="s">
        <v>11618</v>
      </c>
      <c r="J5861" s="3" t="str">
        <f>HYPERLINK("https://www.boe.es/gazeta/dias/1820/09/25/pdfs/GGB-1820-89.pdf#page=4","Abrir facsímil")</f>
        <v>Abrir facsímil</v>
      </c>
      <c r="K5861" s="3" t="s">
        <v>23</v>
      </c>
    </row>
    <row r="5862" spans="1:11" ht="42" customHeight="1">
      <c r="A5862" s="2" t="s">
        <v>11615</v>
      </c>
      <c r="B5862" s="2" t="s">
        <v>11615</v>
      </c>
      <c r="C5862" s="2" t="s">
        <v>74</v>
      </c>
      <c r="D5862" s="2" t="s">
        <v>18</v>
      </c>
      <c r="E5862" s="5">
        <v>-28929</v>
      </c>
      <c r="F5862" s="3" t="s">
        <v>728</v>
      </c>
      <c r="G5862" s="3" t="s">
        <v>20</v>
      </c>
      <c r="H5862" s="2" t="s">
        <v>21</v>
      </c>
      <c r="I5862" s="2" t="s">
        <v>11619</v>
      </c>
      <c r="J5862" s="3" t="str">
        <f>HYPERLINK("https://www.boe.es/gazeta/dias/1820/10/16/pdfs/GGB-1820-110.pdf#page=4","Abrir facsímil")</f>
        <v>Abrir facsímil</v>
      </c>
      <c r="K5862" s="3" t="s">
        <v>23</v>
      </c>
    </row>
    <row r="5863" spans="1:11" ht="42" customHeight="1">
      <c r="A5863" s="2" t="s">
        <v>11615</v>
      </c>
      <c r="B5863" s="2" t="s">
        <v>11615</v>
      </c>
      <c r="C5863" s="2" t="s">
        <v>111</v>
      </c>
      <c r="D5863" s="2" t="s">
        <v>18</v>
      </c>
      <c r="E5863" s="5">
        <v>-28925</v>
      </c>
      <c r="F5863" s="3" t="s">
        <v>228</v>
      </c>
      <c r="G5863" s="3" t="s">
        <v>62</v>
      </c>
      <c r="H5863" s="2" t="s">
        <v>21</v>
      </c>
      <c r="I5863" s="2" t="s">
        <v>11620</v>
      </c>
      <c r="J5863" s="3" t="str">
        <f>HYPERLINK("https://www.boe.es/gazeta/dias/1820/10/20/pdfs/GGB-1820-114.pdf#page=3","Abrir facsímil")</f>
        <v>Abrir facsímil</v>
      </c>
      <c r="K5863" s="3" t="s">
        <v>23</v>
      </c>
    </row>
    <row r="5864" spans="1:11" ht="42" customHeight="1">
      <c r="A5864" s="2" t="s">
        <v>11615</v>
      </c>
      <c r="B5864" s="2" t="s">
        <v>11615</v>
      </c>
      <c r="C5864" s="2" t="s">
        <v>35</v>
      </c>
      <c r="D5864" s="2" t="s">
        <v>36</v>
      </c>
      <c r="E5864" s="5">
        <v>-28916</v>
      </c>
      <c r="F5864" s="3" t="s">
        <v>2688</v>
      </c>
      <c r="G5864" s="3" t="s">
        <v>43</v>
      </c>
      <c r="H5864" s="2" t="s">
        <v>21</v>
      </c>
      <c r="I5864" s="2" t="s">
        <v>11621</v>
      </c>
      <c r="J5864" s="3" t="str">
        <f>HYPERLINK("https://www.boe.es/gazeta/dias/1820/10/29/pdfs/GGB-1820-123.pdf#page=2","Abrir facsímil")</f>
        <v>Abrir facsímil</v>
      </c>
      <c r="K5864" s="3" t="s">
        <v>23</v>
      </c>
    </row>
    <row r="5865" spans="1:11" ht="42" customHeight="1">
      <c r="A5865" s="2" t="s">
        <v>11615</v>
      </c>
      <c r="B5865" s="2" t="s">
        <v>11615</v>
      </c>
      <c r="C5865" s="2" t="s">
        <v>17</v>
      </c>
      <c r="D5865" s="2" t="s">
        <v>18</v>
      </c>
      <c r="E5865" s="5">
        <v>-28913</v>
      </c>
      <c r="F5865" s="3" t="s">
        <v>230</v>
      </c>
      <c r="G5865" s="3" t="s">
        <v>62</v>
      </c>
      <c r="H5865" s="2" t="s">
        <v>21</v>
      </c>
      <c r="I5865" s="2" t="s">
        <v>11622</v>
      </c>
      <c r="J5865" s="3" t="str">
        <f>HYPERLINK("https://www.boe.es/gazeta/dias/1820/11/01/pdfs/GGB-1820-126.pdf#page=3","Abrir facsímil")</f>
        <v>Abrir facsímil</v>
      </c>
      <c r="K5865" s="3" t="s">
        <v>23</v>
      </c>
    </row>
    <row r="5866" spans="1:11" ht="42" customHeight="1">
      <c r="A5866" s="2" t="s">
        <v>11615</v>
      </c>
      <c r="B5866" s="2" t="s">
        <v>11615</v>
      </c>
      <c r="C5866" s="2" t="s">
        <v>26</v>
      </c>
      <c r="D5866" s="2" t="s">
        <v>27</v>
      </c>
      <c r="E5866" s="5">
        <v>-28907</v>
      </c>
      <c r="F5866" s="3" t="s">
        <v>374</v>
      </c>
      <c r="G5866" s="3" t="s">
        <v>128</v>
      </c>
      <c r="H5866" s="2" t="s">
        <v>21</v>
      </c>
      <c r="I5866" s="2" t="s">
        <v>11623</v>
      </c>
      <c r="J5866" s="3" t="str">
        <f>HYPERLINK("https://www.boe.es/gazeta/dias/1820/11/07/pdfs/GGB-1820-132.pdf#page=1","Abrir facsímil")</f>
        <v>Abrir facsímil</v>
      </c>
      <c r="K5866" s="3" t="s">
        <v>23</v>
      </c>
    </row>
    <row r="5867" spans="1:11" ht="42" customHeight="1">
      <c r="A5867" s="2" t="s">
        <v>11615</v>
      </c>
      <c r="B5867" s="2" t="s">
        <v>11615</v>
      </c>
      <c r="C5867" s="2" t="s">
        <v>17</v>
      </c>
      <c r="D5867" s="2" t="s">
        <v>18</v>
      </c>
      <c r="E5867" s="5">
        <v>-28905</v>
      </c>
      <c r="F5867" s="3" t="s">
        <v>749</v>
      </c>
      <c r="G5867" s="3" t="s">
        <v>20</v>
      </c>
      <c r="H5867" s="2" t="s">
        <v>21</v>
      </c>
      <c r="I5867" s="2" t="s">
        <v>11624</v>
      </c>
      <c r="J5867" s="3" t="str">
        <f>HYPERLINK("https://www.boe.es/gazeta/dias/1820/11/09/pdfs/GGB-1820-134.pdf#page=4","Abrir facsímil")</f>
        <v>Abrir facsímil</v>
      </c>
      <c r="K5867" s="3" t="s">
        <v>23</v>
      </c>
    </row>
    <row r="5868" spans="1:11" ht="42" customHeight="1">
      <c r="A5868" s="2" t="s">
        <v>11615</v>
      </c>
      <c r="B5868" s="2" t="s">
        <v>11615</v>
      </c>
      <c r="C5868" s="2" t="s">
        <v>17</v>
      </c>
      <c r="D5868" s="2" t="s">
        <v>18</v>
      </c>
      <c r="E5868" s="5">
        <v>-28887</v>
      </c>
      <c r="F5868" s="3" t="s">
        <v>2098</v>
      </c>
      <c r="G5868" s="3" t="s">
        <v>62</v>
      </c>
      <c r="H5868" s="2" t="s">
        <v>21</v>
      </c>
      <c r="I5868" s="2" t="s">
        <v>11625</v>
      </c>
      <c r="J5868" s="3" t="str">
        <f>HYPERLINK("https://www.boe.es/gazeta/dias/1820/11/27/pdfs/GGB-1820-154.pdf#page=3","Abrir facsímil")</f>
        <v>Abrir facsímil</v>
      </c>
      <c r="K5868" s="3" t="s">
        <v>23</v>
      </c>
    </row>
    <row r="5869" spans="1:11" ht="42" customHeight="1">
      <c r="A5869" s="2" t="s">
        <v>11626</v>
      </c>
      <c r="B5869" s="2" t="s">
        <v>11627</v>
      </c>
      <c r="C5869" s="2" t="s">
        <v>26</v>
      </c>
      <c r="D5869" s="2" t="s">
        <v>27</v>
      </c>
      <c r="E5869" s="5">
        <v>-28879</v>
      </c>
      <c r="F5869" s="3" t="s">
        <v>953</v>
      </c>
      <c r="G5869" s="3" t="s">
        <v>43</v>
      </c>
      <c r="H5869" s="2" t="s">
        <v>21</v>
      </c>
      <c r="I5869" s="2" t="s">
        <v>11628</v>
      </c>
      <c r="J5869" s="3" t="str">
        <f>HYPERLINK("https://www.boe.es/gazeta/dias/1820/12/05/pdfs/GGB-1820-162.pdf#page=2","Abrir facsímil")</f>
        <v>Abrir facsímil</v>
      </c>
      <c r="K5869" s="3" t="s">
        <v>23</v>
      </c>
    </row>
    <row r="5870" spans="1:11" ht="42" customHeight="1">
      <c r="A5870" s="2" t="s">
        <v>11629</v>
      </c>
      <c r="B5870" s="2" t="s">
        <v>11630</v>
      </c>
      <c r="C5870" s="2" t="s">
        <v>293</v>
      </c>
      <c r="D5870" s="2" t="s">
        <v>18</v>
      </c>
      <c r="E5870" s="5">
        <v>-28918</v>
      </c>
      <c r="F5870" s="3" t="s">
        <v>160</v>
      </c>
      <c r="G5870" s="3" t="s">
        <v>20</v>
      </c>
      <c r="H5870" s="2" t="s">
        <v>21</v>
      </c>
      <c r="I5870" s="2" t="s">
        <v>11631</v>
      </c>
      <c r="J5870" s="3" t="str">
        <f>HYPERLINK("https://www.boe.es/gazeta/dias/1820/10/27/pdfs/GGB-1820-121.pdf#page=4","Abrir facsímil")</f>
        <v>Abrir facsímil</v>
      </c>
      <c r="K5870" s="3" t="s">
        <v>23</v>
      </c>
    </row>
    <row r="5871" spans="1:11" ht="42" customHeight="1">
      <c r="A5871" s="2" t="s">
        <v>11632</v>
      </c>
      <c r="B5871" s="2" t="s">
        <v>11632</v>
      </c>
      <c r="C5871" s="2" t="s">
        <v>293</v>
      </c>
      <c r="D5871" s="2" t="s">
        <v>18</v>
      </c>
      <c r="E5871" s="5">
        <v>-28927</v>
      </c>
      <c r="F5871" s="3" t="s">
        <v>345</v>
      </c>
      <c r="G5871" s="3" t="s">
        <v>43</v>
      </c>
      <c r="H5871" s="2" t="s">
        <v>21</v>
      </c>
      <c r="I5871" s="2" t="s">
        <v>11633</v>
      </c>
      <c r="J5871" s="3" t="str">
        <f>HYPERLINK("https://www.boe.es/gazeta/dias/1820/10/18/pdfs/GGB-1820-112.pdf#page=2","Abrir facsímil")</f>
        <v>Abrir facsímil</v>
      </c>
      <c r="K5871" s="3" t="s">
        <v>23</v>
      </c>
    </row>
    <row r="5872" spans="1:11" ht="42" customHeight="1">
      <c r="A5872" s="2" t="s">
        <v>11634</v>
      </c>
      <c r="B5872" s="2" t="s">
        <v>11635</v>
      </c>
      <c r="C5872" s="2" t="s">
        <v>17</v>
      </c>
      <c r="D5872" s="2" t="s">
        <v>18</v>
      </c>
      <c r="E5872" s="5">
        <v>-29213</v>
      </c>
      <c r="F5872" s="3" t="s">
        <v>195</v>
      </c>
      <c r="G5872" s="3" t="s">
        <v>196</v>
      </c>
      <c r="H5872" s="2" t="s">
        <v>21</v>
      </c>
      <c r="I5872" s="2" t="s">
        <v>11636</v>
      </c>
      <c r="J5872" s="3" t="str">
        <f>HYPERLINK("https://www.boe.es/gazeta/dias/1820/01/06/pdfs/GMD-1820-3.pdf#page=11","Abrir facsímil")</f>
        <v>Abrir facsímil</v>
      </c>
      <c r="K5872" s="3" t="s">
        <v>23</v>
      </c>
    </row>
    <row r="5873" spans="1:11" ht="42" customHeight="1">
      <c r="A5873" s="2" t="s">
        <v>11637</v>
      </c>
      <c r="B5873" s="2" t="s">
        <v>11638</v>
      </c>
      <c r="C5873" s="2" t="s">
        <v>26</v>
      </c>
      <c r="D5873" s="2" t="s">
        <v>27</v>
      </c>
      <c r="E5873" s="5">
        <v>-28928</v>
      </c>
      <c r="F5873" s="3" t="s">
        <v>86</v>
      </c>
      <c r="G5873" s="3" t="s">
        <v>20</v>
      </c>
      <c r="H5873" s="2" t="s">
        <v>21</v>
      </c>
      <c r="I5873" s="2" t="s">
        <v>11639</v>
      </c>
      <c r="J5873" s="3" t="str">
        <f>HYPERLINK("https://www.boe.es/gazeta/dias/1820/10/17/pdfs/GGB-1820-111.pdf#page=4","Abrir facsímil")</f>
        <v>Abrir facsímil</v>
      </c>
      <c r="K5873" s="3" t="s">
        <v>23</v>
      </c>
    </row>
    <row r="5874" spans="1:11" ht="42" customHeight="1">
      <c r="A5874" s="2" t="s">
        <v>11640</v>
      </c>
      <c r="B5874" s="2" t="s">
        <v>11641</v>
      </c>
      <c r="C5874" s="2" t="s">
        <v>26</v>
      </c>
      <c r="D5874" s="2" t="s">
        <v>27</v>
      </c>
      <c r="E5874" s="5">
        <v>-28882</v>
      </c>
      <c r="F5874" s="3" t="s">
        <v>1245</v>
      </c>
      <c r="G5874" s="3" t="s">
        <v>1246</v>
      </c>
      <c r="H5874" s="2" t="s">
        <v>21</v>
      </c>
      <c r="I5874" s="2" t="s">
        <v>11642</v>
      </c>
      <c r="J5874" s="3" t="str">
        <f>HYPERLINK("https://www.boe.es/gazeta/dias/1820/12/02/pdfs/GGB-1820-159.pdf#page=3","Abrir facsímil")</f>
        <v>Abrir facsímil</v>
      </c>
      <c r="K5874" s="3" t="s">
        <v>23</v>
      </c>
    </row>
    <row r="5875" spans="1:11" ht="42" customHeight="1">
      <c r="A5875" s="2" t="s">
        <v>11643</v>
      </c>
      <c r="B5875" s="2" t="s">
        <v>11644</v>
      </c>
      <c r="C5875" s="2" t="s">
        <v>17</v>
      </c>
      <c r="D5875" s="2" t="s">
        <v>18</v>
      </c>
      <c r="E5875" s="5">
        <v>-28974</v>
      </c>
      <c r="F5875" s="3" t="s">
        <v>1144</v>
      </c>
      <c r="G5875" s="3" t="s">
        <v>1145</v>
      </c>
      <c r="H5875" s="2" t="s">
        <v>21</v>
      </c>
      <c r="I5875" s="2" t="s">
        <v>11645</v>
      </c>
      <c r="J5875" s="3" t="str">
        <f>HYPERLINK("https://www.boe.es/gazeta/dias/1820/09/01/pdfs/GGB-1820-65.pdf#page=4","Abrir facsímil")</f>
        <v>Abrir facsímil</v>
      </c>
      <c r="K5875" s="3" t="s">
        <v>23</v>
      </c>
    </row>
    <row r="5876" spans="1:11" ht="42" customHeight="1">
      <c r="A5876" s="2" t="s">
        <v>11646</v>
      </c>
      <c r="B5876" s="2" t="s">
        <v>11646</v>
      </c>
      <c r="C5876" s="2" t="s">
        <v>35</v>
      </c>
      <c r="D5876" s="2" t="s">
        <v>36</v>
      </c>
      <c r="E5876" s="5">
        <v>-28989</v>
      </c>
      <c r="F5876" s="3" t="s">
        <v>809</v>
      </c>
      <c r="G5876" s="3" t="s">
        <v>43</v>
      </c>
      <c r="H5876" s="2" t="s">
        <v>21</v>
      </c>
      <c r="I5876" s="2" t="s">
        <v>11647</v>
      </c>
      <c r="J5876" s="3" t="str">
        <f>HYPERLINK("https://www.boe.es/gazeta/dias/1820/08/17/pdfs/GGB-1820-50.pdf#page=2","Abrir facsímil")</f>
        <v>Abrir facsímil</v>
      </c>
      <c r="K5876" s="3" t="s">
        <v>23</v>
      </c>
    </row>
    <row r="5877" spans="1:11" ht="42" customHeight="1">
      <c r="A5877" s="2" t="s">
        <v>11648</v>
      </c>
      <c r="B5877" s="2" t="s">
        <v>11649</v>
      </c>
      <c r="C5877" s="2" t="s">
        <v>35</v>
      </c>
      <c r="D5877" s="2" t="s">
        <v>36</v>
      </c>
      <c r="E5877" s="5">
        <v>-29024</v>
      </c>
      <c r="F5877" s="3" t="s">
        <v>1916</v>
      </c>
      <c r="G5877" s="3" t="s">
        <v>43</v>
      </c>
      <c r="H5877" s="2" t="s">
        <v>21</v>
      </c>
      <c r="I5877" s="2" t="s">
        <v>11650</v>
      </c>
      <c r="J5877" s="3" t="str">
        <f>HYPERLINK("https://www.boe.es/gazeta/dias/1820/07/13/pdfs/GGB-1820-15.pdf#page=2","Abrir facsímil")</f>
        <v>Abrir facsímil</v>
      </c>
      <c r="K5877" s="3" t="s">
        <v>23</v>
      </c>
    </row>
    <row r="5878" spans="1:11" ht="42" customHeight="1">
      <c r="A5878" s="2" t="s">
        <v>11651</v>
      </c>
      <c r="B5878" s="2" t="s">
        <v>11652</v>
      </c>
      <c r="C5878" s="2" t="s">
        <v>26</v>
      </c>
      <c r="D5878" s="2" t="s">
        <v>27</v>
      </c>
      <c r="E5878" s="5">
        <v>-29159</v>
      </c>
      <c r="F5878" s="3" t="s">
        <v>1022</v>
      </c>
      <c r="G5878" s="3" t="s">
        <v>256</v>
      </c>
      <c r="H5878" s="2" t="s">
        <v>21</v>
      </c>
      <c r="I5878" s="2" t="s">
        <v>11653</v>
      </c>
      <c r="J5878" s="3" t="str">
        <f>HYPERLINK("https://www.boe.es/gazeta/dias/1820/02/29/pdfs/GMD-1820-26.pdf#page=5","Abrir facsímil")</f>
        <v>Abrir facsímil</v>
      </c>
      <c r="K5878" s="3" t="s">
        <v>23</v>
      </c>
    </row>
    <row r="5879" spans="1:11" ht="42" customHeight="1">
      <c r="A5879" s="2" t="s">
        <v>11654</v>
      </c>
      <c r="B5879" s="2" t="s">
        <v>11655</v>
      </c>
      <c r="C5879" s="2" t="s">
        <v>26</v>
      </c>
      <c r="D5879" s="2" t="s">
        <v>27</v>
      </c>
      <c r="E5879" s="5">
        <v>-29082</v>
      </c>
      <c r="F5879" s="3" t="s">
        <v>478</v>
      </c>
      <c r="G5879" s="3" t="s">
        <v>553</v>
      </c>
      <c r="H5879" s="2" t="s">
        <v>21</v>
      </c>
      <c r="I5879" s="2" t="s">
        <v>11656</v>
      </c>
      <c r="J5879" s="3" t="str">
        <f>HYPERLINK("https://www.boe.es/gazeta/dias/1820/05/16/pdfs/GMD-1820-80.pdf#page=10","Abrir facsímil")</f>
        <v>Abrir facsímil</v>
      </c>
      <c r="K5879" s="3" t="s">
        <v>23</v>
      </c>
    </row>
    <row r="5880" spans="1:11" ht="42" customHeight="1">
      <c r="A5880" s="2" t="s">
        <v>11657</v>
      </c>
      <c r="B5880" s="2" t="s">
        <v>11658</v>
      </c>
      <c r="C5880" s="2" t="s">
        <v>35</v>
      </c>
      <c r="D5880" s="2" t="s">
        <v>36</v>
      </c>
      <c r="E5880" s="5">
        <v>-28991</v>
      </c>
      <c r="F5880" s="3" t="s">
        <v>213</v>
      </c>
      <c r="G5880" s="3" t="s">
        <v>675</v>
      </c>
      <c r="H5880" s="2" t="s">
        <v>30</v>
      </c>
      <c r="I5880" s="2" t="s">
        <v>11659</v>
      </c>
      <c r="J5880" s="3" t="str">
        <f>HYPERLINK("https://www.boe.es/gazeta/dias/1820/08/15/pdfs/GGB-1820-48.pdf#page=4","Abrir facsímil")</f>
        <v>Abrir facsímil</v>
      </c>
      <c r="K5880" s="3" t="s">
        <v>32</v>
      </c>
    </row>
    <row r="5881" spans="1:11" ht="42" customHeight="1">
      <c r="A5881" s="2" t="s">
        <v>11660</v>
      </c>
      <c r="B5881" s="2" t="s">
        <v>11661</v>
      </c>
      <c r="C5881" s="2" t="s">
        <v>107</v>
      </c>
      <c r="D5881" s="2" t="s">
        <v>18</v>
      </c>
      <c r="E5881" s="5">
        <v>-29192</v>
      </c>
      <c r="F5881" s="3" t="s">
        <v>497</v>
      </c>
      <c r="G5881" s="3" t="s">
        <v>295</v>
      </c>
      <c r="H5881" s="2" t="s">
        <v>30</v>
      </c>
      <c r="I5881" s="2" t="s">
        <v>11662</v>
      </c>
      <c r="J5881" s="3" t="str">
        <f>HYPERLINK("https://www.boe.es/gazeta/dias/1820/01/27/pdfs/GMD-1820-12.pdf#page=8","Abrir facsímil")</f>
        <v>Abrir facsímil</v>
      </c>
      <c r="K5881" s="3" t="s">
        <v>32</v>
      </c>
    </row>
    <row r="5882" spans="1:11" ht="42" customHeight="1">
      <c r="A5882" s="2" t="s">
        <v>11663</v>
      </c>
      <c r="B5882" s="2" t="s">
        <v>11664</v>
      </c>
      <c r="C5882" s="2" t="s">
        <v>26</v>
      </c>
      <c r="D5882" s="2" t="s">
        <v>27</v>
      </c>
      <c r="E5882" s="5">
        <v>-29169</v>
      </c>
      <c r="F5882" s="3" t="s">
        <v>962</v>
      </c>
      <c r="G5882" s="3" t="s">
        <v>38</v>
      </c>
      <c r="H5882" s="2" t="s">
        <v>21</v>
      </c>
      <c r="I5882" s="2" t="s">
        <v>11665</v>
      </c>
      <c r="J5882" s="3" t="str">
        <f>HYPERLINK("https://www.boe.es/gazeta/dias/1820/02/19/pdfs/GMD-1820-22.pdf#page=6","Abrir facsímil")</f>
        <v>Abrir facsímil</v>
      </c>
      <c r="K5882" s="3" t="s">
        <v>23</v>
      </c>
    </row>
    <row r="5883" spans="1:11" ht="42" customHeight="1">
      <c r="A5883" s="2" t="s">
        <v>11663</v>
      </c>
      <c r="B5883" s="2" t="s">
        <v>11664</v>
      </c>
      <c r="C5883" s="2" t="s">
        <v>26</v>
      </c>
      <c r="D5883" s="2" t="s">
        <v>27</v>
      </c>
      <c r="E5883" s="5">
        <v>-28893</v>
      </c>
      <c r="F5883" s="3" t="s">
        <v>546</v>
      </c>
      <c r="G5883" s="3" t="s">
        <v>62</v>
      </c>
      <c r="H5883" s="2" t="s">
        <v>21</v>
      </c>
      <c r="I5883" s="2" t="s">
        <v>11666</v>
      </c>
      <c r="J5883" s="3" t="str">
        <f>HYPERLINK("https://www.boe.es/gazeta/dias/1820/11/21/pdfs/GGB-1820-148.pdf#page=3","Abrir facsímil")</f>
        <v>Abrir facsímil</v>
      </c>
      <c r="K5883" s="3" t="s">
        <v>23</v>
      </c>
    </row>
    <row r="5884" spans="1:11" ht="42" customHeight="1">
      <c r="A5884" s="2" t="s">
        <v>11667</v>
      </c>
      <c r="B5884" s="2" t="s">
        <v>11668</v>
      </c>
      <c r="C5884" s="2" t="s">
        <v>26</v>
      </c>
      <c r="D5884" s="2" t="s">
        <v>27</v>
      </c>
      <c r="E5884" s="5">
        <v>-28973</v>
      </c>
      <c r="F5884" s="3" t="s">
        <v>151</v>
      </c>
      <c r="G5884" s="3" t="s">
        <v>20</v>
      </c>
      <c r="H5884" s="2" t="s">
        <v>21</v>
      </c>
      <c r="I5884" s="2" t="s">
        <v>11669</v>
      </c>
      <c r="J5884" s="3" t="str">
        <f>HYPERLINK("https://www.boe.es/gazeta/dias/1820/09/02/pdfs/GGB-1820-66.pdf#page=4","Abrir facsímil")</f>
        <v>Abrir facsímil</v>
      </c>
      <c r="K5884" s="3" t="s">
        <v>23</v>
      </c>
    </row>
    <row r="5885" spans="1:11" ht="42" customHeight="1">
      <c r="A5885" s="2" t="s">
        <v>11670</v>
      </c>
      <c r="B5885" s="2" t="s">
        <v>11671</v>
      </c>
      <c r="C5885" s="2" t="s">
        <v>26</v>
      </c>
      <c r="D5885" s="2" t="s">
        <v>27</v>
      </c>
      <c r="E5885" s="5">
        <v>-29129</v>
      </c>
      <c r="F5885" s="3" t="s">
        <v>269</v>
      </c>
      <c r="G5885" s="3" t="s">
        <v>270</v>
      </c>
      <c r="H5885" s="2" t="s">
        <v>21</v>
      </c>
      <c r="I5885" s="2" t="s">
        <v>11672</v>
      </c>
      <c r="J5885" s="3" t="str">
        <f>HYPERLINK("https://www.boe.es/gazeta/dias/1820/03/30/pdfs/GMD-1820-58.pdf#page=9","Abrir facsímil")</f>
        <v>Abrir facsímil</v>
      </c>
      <c r="K5885" s="3" t="s">
        <v>23</v>
      </c>
    </row>
    <row r="5886" spans="1:11" ht="42" customHeight="1">
      <c r="A5886" s="2" t="s">
        <v>11673</v>
      </c>
      <c r="B5886" s="2" t="s">
        <v>11674</v>
      </c>
      <c r="C5886" s="2" t="s">
        <v>107</v>
      </c>
      <c r="D5886" s="2" t="s">
        <v>18</v>
      </c>
      <c r="E5886" s="5">
        <v>-28931</v>
      </c>
      <c r="F5886" s="3" t="s">
        <v>724</v>
      </c>
      <c r="G5886" s="3" t="s">
        <v>20</v>
      </c>
      <c r="H5886" s="2" t="s">
        <v>21</v>
      </c>
      <c r="I5886" s="2" t="s">
        <v>11675</v>
      </c>
      <c r="J5886" s="3" t="str">
        <f>HYPERLINK("https://www.boe.es/gazeta/dias/1820/10/14/pdfs/GGB-1820-108.pdf#page=4","Abrir facsímil")</f>
        <v>Abrir facsímil</v>
      </c>
      <c r="K5886" s="3" t="s">
        <v>23</v>
      </c>
    </row>
    <row r="5887" spans="1:11" ht="42" customHeight="1">
      <c r="A5887" s="2" t="s">
        <v>11676</v>
      </c>
      <c r="B5887" s="2" t="s">
        <v>11677</v>
      </c>
      <c r="C5887" s="2" t="s">
        <v>111</v>
      </c>
      <c r="D5887" s="2" t="s">
        <v>18</v>
      </c>
      <c r="E5887" s="5">
        <v>-28857</v>
      </c>
      <c r="F5887" s="3" t="s">
        <v>889</v>
      </c>
      <c r="G5887" s="3" t="s">
        <v>890</v>
      </c>
      <c r="H5887" s="2" t="s">
        <v>21</v>
      </c>
      <c r="I5887" s="2" t="s">
        <v>11678</v>
      </c>
      <c r="J5887" s="3" t="str">
        <f>HYPERLINK("https://www.boe.es/gazeta/dias/1820/12/27/pdfs/GGB-1820-184.pdf#page=4","Abrir facsímil")</f>
        <v>Abrir facsímil</v>
      </c>
      <c r="K5887" s="3" t="s">
        <v>23</v>
      </c>
    </row>
    <row r="5888" spans="1:11" ht="42" customHeight="1">
      <c r="A5888" s="2" t="s">
        <v>11679</v>
      </c>
      <c r="B5888" s="2" t="s">
        <v>11679</v>
      </c>
      <c r="C5888" s="2" t="s">
        <v>26</v>
      </c>
      <c r="D5888" s="2" t="s">
        <v>27</v>
      </c>
      <c r="E5888" s="5">
        <v>-28969</v>
      </c>
      <c r="F5888" s="3" t="s">
        <v>225</v>
      </c>
      <c r="G5888" s="3" t="s">
        <v>226</v>
      </c>
      <c r="H5888" s="2" t="s">
        <v>21</v>
      </c>
      <c r="I5888" s="2" t="s">
        <v>11680</v>
      </c>
      <c r="J5888" s="3" t="str">
        <f>HYPERLINK("https://www.boe.es/gazeta/dias/1820/09/06/pdfs/GGB-1820-70.pdf#page=3","Abrir facsímil")</f>
        <v>Abrir facsímil</v>
      </c>
      <c r="K5888" s="3" t="s">
        <v>23</v>
      </c>
    </row>
    <row r="5889" spans="1:11" ht="42" customHeight="1">
      <c r="A5889" s="2" t="s">
        <v>11681</v>
      </c>
      <c r="B5889" s="2" t="s">
        <v>11681</v>
      </c>
      <c r="C5889" s="2" t="s">
        <v>35</v>
      </c>
      <c r="D5889" s="2" t="s">
        <v>36</v>
      </c>
      <c r="E5889" s="5">
        <v>-29023</v>
      </c>
      <c r="F5889" s="3" t="s">
        <v>1662</v>
      </c>
      <c r="G5889" s="3" t="s">
        <v>3662</v>
      </c>
      <c r="H5889" s="2" t="s">
        <v>21</v>
      </c>
      <c r="I5889" s="2" t="s">
        <v>11682</v>
      </c>
      <c r="J5889" s="3" t="str">
        <f>HYPERLINK("https://www.boe.es/gazeta/dias/1820/07/14/pdfs/GGB-1820-16.pdf#page=2","Abrir facsímil")</f>
        <v>Abrir facsímil</v>
      </c>
      <c r="K5889" s="3" t="s">
        <v>23</v>
      </c>
    </row>
    <row r="5890" spans="1:11" ht="42" customHeight="1">
      <c r="A5890" s="2" t="s">
        <v>11681</v>
      </c>
      <c r="B5890" s="2" t="s">
        <v>11681</v>
      </c>
      <c r="C5890" s="2" t="s">
        <v>26</v>
      </c>
      <c r="D5890" s="2" t="s">
        <v>27</v>
      </c>
      <c r="E5890" s="5">
        <v>-29015</v>
      </c>
      <c r="F5890" s="3" t="s">
        <v>359</v>
      </c>
      <c r="G5890" s="3" t="s">
        <v>43</v>
      </c>
      <c r="H5890" s="2" t="s">
        <v>21</v>
      </c>
      <c r="I5890" s="2" t="s">
        <v>11683</v>
      </c>
      <c r="J5890" s="3" t="str">
        <f>HYPERLINK("https://www.boe.es/gazeta/dias/1820/07/22/pdfs/GGB-1820-24.pdf#page=2","Abrir facsímil")</f>
        <v>Abrir facsímil</v>
      </c>
      <c r="K5890" s="3" t="s">
        <v>23</v>
      </c>
    </row>
    <row r="5891" spans="1:11" ht="42" customHeight="1">
      <c r="A5891" s="2" t="s">
        <v>11681</v>
      </c>
      <c r="B5891" s="2" t="s">
        <v>11681</v>
      </c>
      <c r="C5891" s="2" t="s">
        <v>26</v>
      </c>
      <c r="D5891" s="2" t="s">
        <v>27</v>
      </c>
      <c r="E5891" s="5">
        <v>-28997</v>
      </c>
      <c r="F5891" s="3" t="s">
        <v>1471</v>
      </c>
      <c r="G5891" s="3" t="s">
        <v>43</v>
      </c>
      <c r="H5891" s="2" t="s">
        <v>21</v>
      </c>
      <c r="I5891" s="2" t="s">
        <v>11684</v>
      </c>
      <c r="J5891" s="3" t="str">
        <f>HYPERLINK("https://www.boe.es/gazeta/dias/1820/08/09/pdfs/GGB-1820-42.pdf#page=2","Abrir facsímil")</f>
        <v>Abrir facsímil</v>
      </c>
      <c r="K5891" s="3" t="s">
        <v>23</v>
      </c>
    </row>
    <row r="5892" spans="1:11" ht="42" customHeight="1">
      <c r="A5892" s="2" t="s">
        <v>11681</v>
      </c>
      <c r="B5892" s="2" t="s">
        <v>11681</v>
      </c>
      <c r="C5892" s="2" t="s">
        <v>26</v>
      </c>
      <c r="D5892" s="2" t="s">
        <v>27</v>
      </c>
      <c r="E5892" s="5">
        <v>-28991</v>
      </c>
      <c r="F5892" s="3" t="s">
        <v>213</v>
      </c>
      <c r="G5892" s="3" t="s">
        <v>214</v>
      </c>
      <c r="H5892" s="2" t="s">
        <v>21</v>
      </c>
      <c r="I5892" s="2" t="s">
        <v>11685</v>
      </c>
      <c r="J5892" s="3" t="str">
        <f>HYPERLINK("https://www.boe.es/gazeta/dias/1820/08/15/pdfs/GGB-1820-48.pdf#page=2","Abrir facsímil")</f>
        <v>Abrir facsímil</v>
      </c>
      <c r="K5892" s="3" t="s">
        <v>23</v>
      </c>
    </row>
    <row r="5893" spans="1:11" ht="42" customHeight="1">
      <c r="A5893" s="2" t="s">
        <v>11681</v>
      </c>
      <c r="B5893" s="2" t="s">
        <v>11681</v>
      </c>
      <c r="C5893" s="2" t="s">
        <v>26</v>
      </c>
      <c r="D5893" s="2" t="s">
        <v>27</v>
      </c>
      <c r="E5893" s="5">
        <v>-28973</v>
      </c>
      <c r="F5893" s="3" t="s">
        <v>151</v>
      </c>
      <c r="G5893" s="3" t="s">
        <v>62</v>
      </c>
      <c r="H5893" s="2" t="s">
        <v>21</v>
      </c>
      <c r="I5893" s="2" t="s">
        <v>11686</v>
      </c>
      <c r="J5893" s="3" t="str">
        <f>HYPERLINK("https://www.boe.es/gazeta/dias/1820/09/02/pdfs/GGB-1820-66.pdf#page=3","Abrir facsímil")</f>
        <v>Abrir facsímil</v>
      </c>
      <c r="K5893" s="3" t="s">
        <v>23</v>
      </c>
    </row>
    <row r="5894" spans="1:11" ht="42" customHeight="1">
      <c r="A5894" s="2" t="s">
        <v>11681</v>
      </c>
      <c r="B5894" s="2" t="s">
        <v>11681</v>
      </c>
      <c r="C5894" s="2" t="s">
        <v>26</v>
      </c>
      <c r="D5894" s="2" t="s">
        <v>27</v>
      </c>
      <c r="E5894" s="5">
        <v>-28972</v>
      </c>
      <c r="F5894" s="3" t="s">
        <v>522</v>
      </c>
      <c r="G5894" s="3" t="s">
        <v>20</v>
      </c>
      <c r="H5894" s="2" t="s">
        <v>21</v>
      </c>
      <c r="I5894" s="2" t="s">
        <v>11687</v>
      </c>
      <c r="J5894" s="3" t="str">
        <f>HYPERLINK("https://www.boe.es/gazeta/dias/1820/09/03/pdfs/GGB-1820-67.pdf#page=4","Abrir facsímil")</f>
        <v>Abrir facsímil</v>
      </c>
      <c r="K5894" s="3" t="s">
        <v>23</v>
      </c>
    </row>
    <row r="5895" spans="1:11" ht="42" customHeight="1">
      <c r="A5895" s="2" t="s">
        <v>11681</v>
      </c>
      <c r="B5895" s="2" t="s">
        <v>11681</v>
      </c>
      <c r="C5895" s="2" t="s">
        <v>26</v>
      </c>
      <c r="D5895" s="2" t="s">
        <v>27</v>
      </c>
      <c r="E5895" s="5">
        <v>-28969</v>
      </c>
      <c r="F5895" s="3" t="s">
        <v>225</v>
      </c>
      <c r="G5895" s="3" t="s">
        <v>226</v>
      </c>
      <c r="H5895" s="2" t="s">
        <v>21</v>
      </c>
      <c r="I5895" s="2" t="s">
        <v>11688</v>
      </c>
      <c r="J5895" s="3" t="str">
        <f>HYPERLINK("https://www.boe.es/gazeta/dias/1820/09/06/pdfs/GGB-1820-70.pdf#page=3","Abrir facsímil")</f>
        <v>Abrir facsímil</v>
      </c>
      <c r="K5895" s="3" t="s">
        <v>23</v>
      </c>
    </row>
    <row r="5896" spans="1:11" ht="42" customHeight="1">
      <c r="A5896" s="2" t="s">
        <v>11681</v>
      </c>
      <c r="B5896" s="2" t="s">
        <v>11681</v>
      </c>
      <c r="C5896" s="2" t="s">
        <v>26</v>
      </c>
      <c r="D5896" s="2" t="s">
        <v>27</v>
      </c>
      <c r="E5896" s="5">
        <v>-28969</v>
      </c>
      <c r="F5896" s="3" t="s">
        <v>225</v>
      </c>
      <c r="G5896" s="3" t="s">
        <v>43</v>
      </c>
      <c r="H5896" s="2" t="s">
        <v>21</v>
      </c>
      <c r="I5896" s="2" t="s">
        <v>11689</v>
      </c>
      <c r="J5896" s="3" t="str">
        <f>HYPERLINK("https://www.boe.es/gazeta/dias/1820/09/06/pdfs/GGB-1820-70.pdf#page=2","Abrir facsímil")</f>
        <v>Abrir facsímil</v>
      </c>
      <c r="K5896" s="3" t="s">
        <v>23</v>
      </c>
    </row>
    <row r="5897" spans="1:11" ht="42" customHeight="1">
      <c r="A5897" s="2" t="s">
        <v>11681</v>
      </c>
      <c r="B5897" s="2" t="s">
        <v>11681</v>
      </c>
      <c r="C5897" s="2" t="s">
        <v>26</v>
      </c>
      <c r="D5897" s="2" t="s">
        <v>27</v>
      </c>
      <c r="E5897" s="5">
        <v>-28969</v>
      </c>
      <c r="F5897" s="3" t="s">
        <v>225</v>
      </c>
      <c r="G5897" s="3" t="s">
        <v>20</v>
      </c>
      <c r="H5897" s="2" t="s">
        <v>21</v>
      </c>
      <c r="I5897" s="2" t="s">
        <v>11690</v>
      </c>
      <c r="J5897" s="3" t="str">
        <f>HYPERLINK("https://www.boe.es/gazeta/dias/1820/09/06/pdfs/GGB-1820-70.pdf#page=4","Abrir facsímil")</f>
        <v>Abrir facsímil</v>
      </c>
      <c r="K5897" s="3" t="s">
        <v>23</v>
      </c>
    </row>
    <row r="5898" spans="1:11" ht="42" customHeight="1">
      <c r="A5898" s="2" t="s">
        <v>11681</v>
      </c>
      <c r="B5898" s="2" t="s">
        <v>11681</v>
      </c>
      <c r="C5898" s="2" t="s">
        <v>26</v>
      </c>
      <c r="D5898" s="2" t="s">
        <v>27</v>
      </c>
      <c r="E5898" s="5">
        <v>-28968</v>
      </c>
      <c r="F5898" s="3" t="s">
        <v>66</v>
      </c>
      <c r="G5898" s="3" t="s">
        <v>62</v>
      </c>
      <c r="H5898" s="2" t="s">
        <v>21</v>
      </c>
      <c r="I5898" s="2" t="s">
        <v>11691</v>
      </c>
      <c r="J5898" s="3" t="str">
        <f>HYPERLINK("https://www.boe.es/gazeta/dias/1820/09/07/pdfs/GGB-1820-71.pdf#page=3","Abrir facsímil")</f>
        <v>Abrir facsímil</v>
      </c>
      <c r="K5898" s="3" t="s">
        <v>23</v>
      </c>
    </row>
    <row r="5899" spans="1:11" ht="42" customHeight="1">
      <c r="A5899" s="2" t="s">
        <v>11681</v>
      </c>
      <c r="B5899" s="2" t="s">
        <v>11681</v>
      </c>
      <c r="C5899" s="2" t="s">
        <v>26</v>
      </c>
      <c r="D5899" s="2" t="s">
        <v>27</v>
      </c>
      <c r="E5899" s="5">
        <v>-28967</v>
      </c>
      <c r="F5899" s="3" t="s">
        <v>238</v>
      </c>
      <c r="G5899" s="3" t="s">
        <v>20</v>
      </c>
      <c r="H5899" s="2" t="s">
        <v>21</v>
      </c>
      <c r="I5899" s="2" t="s">
        <v>11692</v>
      </c>
      <c r="J5899" s="3" t="str">
        <f>HYPERLINK("https://www.boe.es/gazeta/dias/1820/09/08/pdfs/GGB-1820-72.pdf#page=4","Abrir facsímil")</f>
        <v>Abrir facsímil</v>
      </c>
      <c r="K5899" s="3" t="s">
        <v>23</v>
      </c>
    </row>
    <row r="5900" spans="1:11" ht="42" customHeight="1">
      <c r="A5900" s="2" t="s">
        <v>11681</v>
      </c>
      <c r="B5900" s="2" t="s">
        <v>11681</v>
      </c>
      <c r="C5900" s="2" t="s">
        <v>26</v>
      </c>
      <c r="D5900" s="2" t="s">
        <v>27</v>
      </c>
      <c r="E5900" s="5">
        <v>-28964</v>
      </c>
      <c r="F5900" s="3" t="s">
        <v>240</v>
      </c>
      <c r="G5900" s="3" t="s">
        <v>62</v>
      </c>
      <c r="H5900" s="2" t="s">
        <v>21</v>
      </c>
      <c r="I5900" s="2" t="s">
        <v>11693</v>
      </c>
      <c r="J5900" s="3" t="str">
        <f>HYPERLINK("https://www.boe.es/gazeta/dias/1820/09/11/pdfs/GGB-1820-75.pdf#page=3","Abrir facsímil")</f>
        <v>Abrir facsímil</v>
      </c>
      <c r="K5900" s="3" t="s">
        <v>23</v>
      </c>
    </row>
    <row r="5901" spans="1:11" ht="42" customHeight="1">
      <c r="A5901" s="2" t="s">
        <v>11681</v>
      </c>
      <c r="B5901" s="2" t="s">
        <v>11681</v>
      </c>
      <c r="C5901" s="2" t="s">
        <v>26</v>
      </c>
      <c r="D5901" s="2" t="s">
        <v>27</v>
      </c>
      <c r="E5901" s="5">
        <v>-28963</v>
      </c>
      <c r="F5901" s="3" t="s">
        <v>94</v>
      </c>
      <c r="G5901" s="3" t="s">
        <v>62</v>
      </c>
      <c r="H5901" s="2" t="s">
        <v>21</v>
      </c>
      <c r="I5901" s="2" t="s">
        <v>11694</v>
      </c>
      <c r="J5901" s="3" t="str">
        <f>HYPERLINK("https://www.boe.es/gazeta/dias/1820/09/12/pdfs/GGB-1820-76.pdf#page=3","Abrir facsímil")</f>
        <v>Abrir facsímil</v>
      </c>
      <c r="K5901" s="3" t="s">
        <v>23</v>
      </c>
    </row>
    <row r="5902" spans="1:11" ht="42" customHeight="1">
      <c r="A5902" s="2" t="s">
        <v>11681</v>
      </c>
      <c r="B5902" s="2" t="s">
        <v>11681</v>
      </c>
      <c r="C5902" s="2" t="s">
        <v>26</v>
      </c>
      <c r="D5902" s="2" t="s">
        <v>27</v>
      </c>
      <c r="E5902" s="5">
        <v>-28950</v>
      </c>
      <c r="F5902" s="3" t="s">
        <v>1052</v>
      </c>
      <c r="G5902" s="3" t="s">
        <v>62</v>
      </c>
      <c r="H5902" s="2" t="s">
        <v>21</v>
      </c>
      <c r="I5902" s="2" t="s">
        <v>11695</v>
      </c>
      <c r="J5902" s="3" t="str">
        <f>HYPERLINK("https://www.boe.es/gazeta/dias/1820/09/25/pdfs/GGB-1820-89.pdf#page=3","Abrir facsímil")</f>
        <v>Abrir facsímil</v>
      </c>
      <c r="K5902" s="3" t="s">
        <v>23</v>
      </c>
    </row>
    <row r="5903" spans="1:11" ht="42" customHeight="1">
      <c r="A5903" s="2" t="s">
        <v>11681</v>
      </c>
      <c r="B5903" s="2" t="s">
        <v>11681</v>
      </c>
      <c r="C5903" s="2" t="s">
        <v>26</v>
      </c>
      <c r="D5903" s="2" t="s">
        <v>27</v>
      </c>
      <c r="E5903" s="5">
        <v>-28911</v>
      </c>
      <c r="F5903" s="3" t="s">
        <v>82</v>
      </c>
      <c r="G5903" s="3" t="s">
        <v>20</v>
      </c>
      <c r="H5903" s="2" t="s">
        <v>21</v>
      </c>
      <c r="I5903" s="2" t="s">
        <v>11696</v>
      </c>
      <c r="J5903" s="3" t="str">
        <f>HYPERLINK("https://www.boe.es/gazeta/dias/1820/11/03/pdfs/GGB-1820-128.pdf#page=4","Abrir facsímil")</f>
        <v>Abrir facsímil</v>
      </c>
      <c r="K5903" s="3" t="s">
        <v>23</v>
      </c>
    </row>
    <row r="5904" spans="1:11" ht="42" customHeight="1">
      <c r="A5904" s="2" t="s">
        <v>11681</v>
      </c>
      <c r="B5904" s="2" t="s">
        <v>11681</v>
      </c>
      <c r="C5904" s="2" t="s">
        <v>26</v>
      </c>
      <c r="D5904" s="2" t="s">
        <v>27</v>
      </c>
      <c r="E5904" s="5">
        <v>-28903</v>
      </c>
      <c r="F5904" s="3" t="s">
        <v>2163</v>
      </c>
      <c r="G5904" s="3" t="s">
        <v>62</v>
      </c>
      <c r="H5904" s="2" t="s">
        <v>21</v>
      </c>
      <c r="I5904" s="2" t="s">
        <v>11697</v>
      </c>
      <c r="J5904" s="3" t="str">
        <f>HYPERLINK("https://www.boe.es/gazeta/dias/1820/11/11/pdfs/GGB-1820-137.pdf#page=3","Abrir facsímil")</f>
        <v>Abrir facsímil</v>
      </c>
      <c r="K5904" s="3" t="s">
        <v>23</v>
      </c>
    </row>
    <row r="5905" spans="1:11" ht="42" customHeight="1">
      <c r="A5905" s="2" t="s">
        <v>11681</v>
      </c>
      <c r="B5905" s="2" t="s">
        <v>11681</v>
      </c>
      <c r="C5905" s="2" t="s">
        <v>26</v>
      </c>
      <c r="D5905" s="2" t="s">
        <v>27</v>
      </c>
      <c r="E5905" s="5">
        <v>-28864</v>
      </c>
      <c r="F5905" s="3" t="s">
        <v>1275</v>
      </c>
      <c r="G5905" s="3" t="s">
        <v>20</v>
      </c>
      <c r="H5905" s="2" t="s">
        <v>21</v>
      </c>
      <c r="I5905" s="2" t="s">
        <v>11698</v>
      </c>
      <c r="J5905" s="3" t="str">
        <f>HYPERLINK("https://www.boe.es/gazeta/dias/1820/12/20/pdfs/GGB-1820-177.pdf#page=4","Abrir facsímil")</f>
        <v>Abrir facsímil</v>
      </c>
      <c r="K5905" s="3" t="s">
        <v>23</v>
      </c>
    </row>
    <row r="5906" spans="1:11" ht="42" customHeight="1">
      <c r="A5906" s="2" t="s">
        <v>11699</v>
      </c>
      <c r="B5906" s="2" t="s">
        <v>11700</v>
      </c>
      <c r="C5906" s="2" t="s">
        <v>47</v>
      </c>
      <c r="D5906" s="2" t="s">
        <v>18</v>
      </c>
      <c r="E5906" s="5">
        <v>-29117</v>
      </c>
      <c r="F5906" s="3" t="s">
        <v>1451</v>
      </c>
      <c r="G5906" s="3" t="s">
        <v>201</v>
      </c>
      <c r="H5906" s="2" t="s">
        <v>21</v>
      </c>
      <c r="I5906" s="2" t="s">
        <v>11701</v>
      </c>
      <c r="J5906" s="3" t="str">
        <f>HYPERLINK("https://www.boe.es/gazeta/dias/1820/04/11/pdfs/GMD-1820-64.pdf#page=7","Abrir facsímil")</f>
        <v>Abrir facsímil</v>
      </c>
      <c r="K5906" s="3" t="s">
        <v>23</v>
      </c>
    </row>
    <row r="5907" spans="1:11" ht="42" customHeight="1">
      <c r="A5907" s="2" t="s">
        <v>11699</v>
      </c>
      <c r="B5907" s="2" t="s">
        <v>11700</v>
      </c>
      <c r="C5907" s="2" t="s">
        <v>26</v>
      </c>
      <c r="D5907" s="2" t="s">
        <v>27</v>
      </c>
      <c r="E5907" s="5">
        <v>-29103</v>
      </c>
      <c r="F5907" s="3" t="s">
        <v>313</v>
      </c>
      <c r="G5907" s="3" t="s">
        <v>295</v>
      </c>
      <c r="H5907" s="2" t="s">
        <v>21</v>
      </c>
      <c r="I5907" s="2" t="s">
        <v>11702</v>
      </c>
      <c r="J5907" s="3" t="str">
        <f>HYPERLINK("https://www.boe.es/gazeta/dias/1820/04/25/pdfs/GMD-1820-70.pdf#page=8","Abrir facsímil")</f>
        <v>Abrir facsímil</v>
      </c>
      <c r="K5907" s="3" t="s">
        <v>23</v>
      </c>
    </row>
    <row r="5908" spans="1:11" ht="42" customHeight="1">
      <c r="A5908" s="2" t="s">
        <v>11703</v>
      </c>
      <c r="B5908" s="2" t="s">
        <v>11704</v>
      </c>
      <c r="C5908" s="2" t="s">
        <v>26</v>
      </c>
      <c r="D5908" s="2" t="s">
        <v>27</v>
      </c>
      <c r="E5908" s="5">
        <v>-29101</v>
      </c>
      <c r="F5908" s="3" t="s">
        <v>999</v>
      </c>
      <c r="G5908" s="3" t="s">
        <v>479</v>
      </c>
      <c r="H5908" s="2" t="s">
        <v>21</v>
      </c>
      <c r="I5908" s="2" t="s">
        <v>11705</v>
      </c>
      <c r="J5908" s="3" t="str">
        <f>HYPERLINK("https://www.boe.es/gazeta/dias/1820/04/27/pdfs/GMD-1820-72.pdf#page=12","Abrir facsímil")</f>
        <v>Abrir facsímil</v>
      </c>
      <c r="K5908" s="3" t="s">
        <v>23</v>
      </c>
    </row>
    <row r="5909" spans="1:11" ht="42" customHeight="1">
      <c r="A5909" s="2" t="s">
        <v>11703</v>
      </c>
      <c r="B5909" s="2" t="s">
        <v>11704</v>
      </c>
      <c r="C5909" s="2" t="s">
        <v>26</v>
      </c>
      <c r="D5909" s="2" t="s">
        <v>27</v>
      </c>
      <c r="E5909" s="5">
        <v>-29092</v>
      </c>
      <c r="F5909" s="3" t="s">
        <v>1261</v>
      </c>
      <c r="G5909" s="3" t="s">
        <v>295</v>
      </c>
      <c r="H5909" s="2" t="s">
        <v>21</v>
      </c>
      <c r="I5909" s="2" t="s">
        <v>11706</v>
      </c>
      <c r="J5909" s="3" t="str">
        <f>HYPERLINK("https://www.boe.es/gazeta/dias/1820/05/06/pdfs/GMD-1820-76.pdf#page=8","Abrir facsímil")</f>
        <v>Abrir facsímil</v>
      </c>
      <c r="K5909" s="3" t="s">
        <v>23</v>
      </c>
    </row>
    <row r="5910" spans="1:11" ht="42" customHeight="1">
      <c r="A5910" s="2" t="s">
        <v>11703</v>
      </c>
      <c r="B5910" s="2" t="s">
        <v>11704</v>
      </c>
      <c r="C5910" s="2" t="s">
        <v>35</v>
      </c>
      <c r="D5910" s="2" t="s">
        <v>36</v>
      </c>
      <c r="E5910" s="5">
        <v>-29015</v>
      </c>
      <c r="F5910" s="3" t="s">
        <v>359</v>
      </c>
      <c r="G5910" s="3" t="s">
        <v>43</v>
      </c>
      <c r="H5910" s="2" t="s">
        <v>21</v>
      </c>
      <c r="I5910" s="2" t="s">
        <v>11707</v>
      </c>
      <c r="J5910" s="3" t="str">
        <f>HYPERLINK("https://www.boe.es/gazeta/dias/1820/07/22/pdfs/GGB-1820-24.pdf#page=2","Abrir facsímil")</f>
        <v>Abrir facsímil</v>
      </c>
      <c r="K5910" s="3" t="s">
        <v>23</v>
      </c>
    </row>
    <row r="5911" spans="1:11" ht="42" customHeight="1">
      <c r="A5911" s="2" t="s">
        <v>11703</v>
      </c>
      <c r="B5911" s="2" t="s">
        <v>11704</v>
      </c>
      <c r="C5911" s="2" t="s">
        <v>26</v>
      </c>
      <c r="D5911" s="2" t="s">
        <v>27</v>
      </c>
      <c r="E5911" s="5">
        <v>-28995</v>
      </c>
      <c r="F5911" s="3" t="s">
        <v>672</v>
      </c>
      <c r="G5911" s="3" t="s">
        <v>20</v>
      </c>
      <c r="H5911" s="2" t="s">
        <v>21</v>
      </c>
      <c r="I5911" s="2" t="s">
        <v>11708</v>
      </c>
      <c r="J5911" s="3" t="str">
        <f>HYPERLINK("https://www.boe.es/gazeta/dias/1820/08/11/pdfs/GGB-1820-44.pdf#page=4","Abrir facsímil")</f>
        <v>Abrir facsímil</v>
      </c>
      <c r="K5911" s="3" t="s">
        <v>23</v>
      </c>
    </row>
    <row r="5912" spans="1:11" ht="42" customHeight="1">
      <c r="A5912" s="2" t="s">
        <v>11703</v>
      </c>
      <c r="B5912" s="2" t="s">
        <v>11704</v>
      </c>
      <c r="C5912" s="2" t="s">
        <v>26</v>
      </c>
      <c r="D5912" s="2" t="s">
        <v>27</v>
      </c>
      <c r="E5912" s="5">
        <v>-28986</v>
      </c>
      <c r="F5912" s="3" t="s">
        <v>488</v>
      </c>
      <c r="G5912" s="3" t="s">
        <v>489</v>
      </c>
      <c r="H5912" s="2" t="s">
        <v>21</v>
      </c>
      <c r="I5912" s="2" t="s">
        <v>11709</v>
      </c>
      <c r="J5912" s="3" t="str">
        <f>HYPERLINK("https://www.boe.es/gazeta/dias/1820/08/20/pdfs/GGB-1820-53.pdf#page=2","Abrir facsímil")</f>
        <v>Abrir facsímil</v>
      </c>
      <c r="K5912" s="3" t="s">
        <v>23</v>
      </c>
    </row>
    <row r="5913" spans="1:11" ht="42" customHeight="1">
      <c r="A5913" s="2" t="s">
        <v>11703</v>
      </c>
      <c r="B5913" s="2" t="s">
        <v>11704</v>
      </c>
      <c r="C5913" s="2" t="s">
        <v>35</v>
      </c>
      <c r="D5913" s="2" t="s">
        <v>36</v>
      </c>
      <c r="E5913" s="5">
        <v>-28974</v>
      </c>
      <c r="F5913" s="3" t="s">
        <v>1144</v>
      </c>
      <c r="G5913" s="3" t="s">
        <v>62</v>
      </c>
      <c r="H5913" s="2" t="s">
        <v>21</v>
      </c>
      <c r="I5913" s="2" t="s">
        <v>11710</v>
      </c>
      <c r="J5913" s="3" t="str">
        <f>HYPERLINK("https://www.boe.es/gazeta/dias/1820/09/01/pdfs/GGB-1820-65.pdf#page=3","Abrir facsímil")</f>
        <v>Abrir facsímil</v>
      </c>
      <c r="K5913" s="3" t="s">
        <v>23</v>
      </c>
    </row>
    <row r="5914" spans="1:11" ht="42" customHeight="1">
      <c r="A5914" s="2" t="s">
        <v>11703</v>
      </c>
      <c r="B5914" s="2" t="s">
        <v>11704</v>
      </c>
      <c r="C5914" s="2" t="s">
        <v>26</v>
      </c>
      <c r="D5914" s="2" t="s">
        <v>27</v>
      </c>
      <c r="E5914" s="5">
        <v>-28910</v>
      </c>
      <c r="F5914" s="3" t="s">
        <v>746</v>
      </c>
      <c r="G5914" s="3" t="s">
        <v>20</v>
      </c>
      <c r="H5914" s="2" t="s">
        <v>21</v>
      </c>
      <c r="I5914" s="2" t="s">
        <v>11711</v>
      </c>
      <c r="J5914" s="3" t="str">
        <f>HYPERLINK("https://www.boe.es/gazeta/dias/1820/11/04/pdfs/GGB-1820-129.pdf#page=4","Abrir facsímil")</f>
        <v>Abrir facsímil</v>
      </c>
      <c r="K5914" s="3" t="s">
        <v>23</v>
      </c>
    </row>
    <row r="5915" spans="1:11" ht="42" customHeight="1">
      <c r="A5915" s="2" t="s">
        <v>11703</v>
      </c>
      <c r="B5915" s="2" t="s">
        <v>11704</v>
      </c>
      <c r="C5915" s="2" t="s">
        <v>26</v>
      </c>
      <c r="D5915" s="2" t="s">
        <v>27</v>
      </c>
      <c r="E5915" s="5">
        <v>-28866</v>
      </c>
      <c r="F5915" s="3" t="s">
        <v>507</v>
      </c>
      <c r="G5915" s="3" t="s">
        <v>43</v>
      </c>
      <c r="H5915" s="2" t="s">
        <v>21</v>
      </c>
      <c r="I5915" s="2" t="s">
        <v>11712</v>
      </c>
      <c r="J5915" s="3" t="str">
        <f>HYPERLINK("https://www.boe.es/gazeta/dias/1820/12/18/pdfs/GGB-1820-175.pdf#page=2","Abrir facsímil")</f>
        <v>Abrir facsímil</v>
      </c>
      <c r="K5915" s="3" t="s">
        <v>23</v>
      </c>
    </row>
    <row r="5916" spans="1:11" ht="42" customHeight="1">
      <c r="A5916" s="2" t="s">
        <v>11713</v>
      </c>
      <c r="B5916" s="2" t="s">
        <v>11713</v>
      </c>
      <c r="C5916" s="2" t="s">
        <v>17</v>
      </c>
      <c r="D5916" s="2" t="s">
        <v>18</v>
      </c>
      <c r="E5916" s="5">
        <v>-28890</v>
      </c>
      <c r="F5916" s="3" t="s">
        <v>248</v>
      </c>
      <c r="G5916" s="3" t="s">
        <v>43</v>
      </c>
      <c r="H5916" s="2" t="s">
        <v>21</v>
      </c>
      <c r="I5916" s="2" t="s">
        <v>11714</v>
      </c>
      <c r="J5916" s="3" t="str">
        <f>HYPERLINK("https://www.boe.es/gazeta/dias/1820/11/24/pdfs/GGB-1820-151.pdf#page=2","Abrir facsímil")</f>
        <v>Abrir facsímil</v>
      </c>
      <c r="K5916" s="3" t="s">
        <v>23</v>
      </c>
    </row>
    <row r="5917" spans="1:11" ht="42" customHeight="1">
      <c r="A5917" s="2" t="s">
        <v>11715</v>
      </c>
      <c r="B5917" s="2" t="s">
        <v>11716</v>
      </c>
      <c r="C5917" s="2" t="s">
        <v>17</v>
      </c>
      <c r="D5917" s="2" t="s">
        <v>18</v>
      </c>
      <c r="E5917" s="5">
        <v>-29190</v>
      </c>
      <c r="F5917" s="3" t="s">
        <v>537</v>
      </c>
      <c r="G5917" s="3" t="s">
        <v>201</v>
      </c>
      <c r="H5917" s="2" t="s">
        <v>21</v>
      </c>
      <c r="I5917" s="2" t="s">
        <v>11717</v>
      </c>
      <c r="J5917" s="3" t="str">
        <f>HYPERLINK("https://www.boe.es/gazeta/dias/1820/01/29/pdfs/GMD-1820-13.pdf#page=7","Abrir facsímil")</f>
        <v>Abrir facsímil</v>
      </c>
      <c r="K5917" s="3" t="s">
        <v>23</v>
      </c>
    </row>
    <row r="5918" spans="1:11" ht="42" customHeight="1">
      <c r="A5918" s="2" t="s">
        <v>11718</v>
      </c>
      <c r="B5918" s="2" t="s">
        <v>11719</v>
      </c>
      <c r="C5918" s="2" t="s">
        <v>17</v>
      </c>
      <c r="D5918" s="2" t="s">
        <v>18</v>
      </c>
      <c r="E5918" s="5">
        <v>-29159</v>
      </c>
      <c r="F5918" s="3" t="s">
        <v>1022</v>
      </c>
      <c r="G5918" s="3" t="s">
        <v>256</v>
      </c>
      <c r="H5918" s="2" t="s">
        <v>21</v>
      </c>
      <c r="I5918" s="2" t="s">
        <v>11720</v>
      </c>
      <c r="J5918" s="3" t="str">
        <f>HYPERLINK("https://www.boe.es/gazeta/dias/1820/02/29/pdfs/GMD-1820-26.pdf#page=5","Abrir facsímil")</f>
        <v>Abrir facsímil</v>
      </c>
      <c r="K5918" s="3" t="s">
        <v>23</v>
      </c>
    </row>
    <row r="5919" spans="1:11" ht="42" customHeight="1">
      <c r="A5919" s="2" t="s">
        <v>11721</v>
      </c>
      <c r="B5919" s="2" t="s">
        <v>11722</v>
      </c>
      <c r="C5919" s="2" t="s">
        <v>35</v>
      </c>
      <c r="D5919" s="2" t="s">
        <v>36</v>
      </c>
      <c r="E5919" s="5">
        <v>-28974</v>
      </c>
      <c r="F5919" s="3" t="s">
        <v>1144</v>
      </c>
      <c r="G5919" s="3" t="s">
        <v>43</v>
      </c>
      <c r="H5919" s="2" t="s">
        <v>21</v>
      </c>
      <c r="I5919" s="2" t="s">
        <v>11723</v>
      </c>
      <c r="J5919" s="3" t="str">
        <f>HYPERLINK("https://www.boe.es/gazeta/dias/1820/09/01/pdfs/GGB-1820-65.pdf#page=2","Abrir facsímil")</f>
        <v>Abrir facsímil</v>
      </c>
      <c r="K5919" s="3" t="s">
        <v>23</v>
      </c>
    </row>
    <row r="5920" spans="1:11" ht="42" customHeight="1">
      <c r="A5920" s="2" t="s">
        <v>11724</v>
      </c>
      <c r="B5920" s="2" t="s">
        <v>11725</v>
      </c>
      <c r="C5920" s="2" t="s">
        <v>26</v>
      </c>
      <c r="D5920" s="2" t="s">
        <v>27</v>
      </c>
      <c r="E5920" s="5">
        <v>-29028</v>
      </c>
      <c r="F5920" s="3" t="s">
        <v>132</v>
      </c>
      <c r="G5920" s="3" t="s">
        <v>20</v>
      </c>
      <c r="H5920" s="2" t="s">
        <v>21</v>
      </c>
      <c r="I5920" s="2" t="s">
        <v>11726</v>
      </c>
      <c r="J5920" s="3" t="str">
        <f>HYPERLINK("https://www.boe.es/gazeta/dias/1820/07/09/pdfs/GGB-1820-10.pdf#page=4","Abrir facsímil")</f>
        <v>Abrir facsímil</v>
      </c>
      <c r="K5920" s="3" t="s">
        <v>23</v>
      </c>
    </row>
    <row r="5921" spans="1:11" ht="42" customHeight="1">
      <c r="A5921" s="2" t="s">
        <v>11727</v>
      </c>
      <c r="B5921" s="2" t="s">
        <v>11727</v>
      </c>
      <c r="C5921" s="2" t="s">
        <v>35</v>
      </c>
      <c r="D5921" s="2" t="s">
        <v>36</v>
      </c>
      <c r="E5921" s="5">
        <v>-28857</v>
      </c>
      <c r="F5921" s="3" t="s">
        <v>889</v>
      </c>
      <c r="G5921" s="3" t="s">
        <v>128</v>
      </c>
      <c r="H5921" s="2" t="s">
        <v>21</v>
      </c>
      <c r="I5921" s="2" t="s">
        <v>11728</v>
      </c>
      <c r="J5921" s="3" t="str">
        <f>HYPERLINK("https://www.boe.es/gazeta/dias/1820/12/27/pdfs/GGB-1820-184.pdf#page=1","Abrir facsímil")</f>
        <v>Abrir facsímil</v>
      </c>
      <c r="K5921" s="3" t="s">
        <v>23</v>
      </c>
    </row>
    <row r="5922" spans="1:11" ht="42" customHeight="1">
      <c r="A5922" s="2" t="s">
        <v>11729</v>
      </c>
      <c r="B5922" s="2" t="s">
        <v>11730</v>
      </c>
      <c r="C5922" s="2" t="s">
        <v>26</v>
      </c>
      <c r="D5922" s="2" t="s">
        <v>27</v>
      </c>
      <c r="E5922" s="5">
        <v>-29152</v>
      </c>
      <c r="F5922" s="3" t="s">
        <v>1293</v>
      </c>
      <c r="G5922" s="3" t="s">
        <v>295</v>
      </c>
      <c r="H5922" s="2" t="s">
        <v>21</v>
      </c>
      <c r="I5922" s="2" t="s">
        <v>11731</v>
      </c>
      <c r="J5922" s="3" t="str">
        <f>HYPERLINK("https://www.boe.es/gazeta/dias/1820/03/07/pdfs/GMD-1820-29.pdf#page=8","Abrir facsímil")</f>
        <v>Abrir facsímil</v>
      </c>
      <c r="K5922" s="3" t="s">
        <v>23</v>
      </c>
    </row>
    <row r="5923" spans="1:11" ht="42" customHeight="1">
      <c r="A5923" s="2" t="s">
        <v>11732</v>
      </c>
      <c r="B5923" s="2" t="s">
        <v>11733</v>
      </c>
      <c r="C5923" s="2" t="s">
        <v>17</v>
      </c>
      <c r="D5923" s="2" t="s">
        <v>18</v>
      </c>
      <c r="E5923" s="5">
        <v>-29201</v>
      </c>
      <c r="F5923" s="3" t="s">
        <v>411</v>
      </c>
      <c r="G5923" s="3" t="s">
        <v>43</v>
      </c>
      <c r="H5923" s="2" t="s">
        <v>21</v>
      </c>
      <c r="I5923" s="2" t="s">
        <v>11734</v>
      </c>
      <c r="J5923" s="3" t="str">
        <f>HYPERLINK("https://www.boe.es/gazeta/dias/1820/01/18/pdfs/GMD-1820-8.pdf#page=2","Abrir facsímil")</f>
        <v>Abrir facsímil</v>
      </c>
      <c r="K5923" s="3" t="s">
        <v>23</v>
      </c>
    </row>
    <row r="5924" spans="1:11" ht="42" customHeight="1">
      <c r="A5924" s="2" t="s">
        <v>11735</v>
      </c>
      <c r="B5924" s="2" t="s">
        <v>11736</v>
      </c>
      <c r="C5924" s="2" t="s">
        <v>26</v>
      </c>
      <c r="D5924" s="2" t="s">
        <v>27</v>
      </c>
      <c r="E5924" s="5">
        <v>-28968</v>
      </c>
      <c r="F5924" s="3" t="s">
        <v>66</v>
      </c>
      <c r="G5924" s="3" t="s">
        <v>62</v>
      </c>
      <c r="H5924" s="2" t="s">
        <v>21</v>
      </c>
      <c r="I5924" s="2" t="s">
        <v>11737</v>
      </c>
      <c r="J5924" s="3" t="str">
        <f>HYPERLINK("https://www.boe.es/gazeta/dias/1820/09/07/pdfs/GGB-1820-71.pdf#page=3","Abrir facsímil")</f>
        <v>Abrir facsímil</v>
      </c>
      <c r="K5924" s="3" t="s">
        <v>23</v>
      </c>
    </row>
    <row r="5925" spans="1:11" ht="42" customHeight="1">
      <c r="A5925" s="2" t="s">
        <v>11738</v>
      </c>
      <c r="B5925" s="2" t="s">
        <v>11739</v>
      </c>
      <c r="C5925" s="2" t="s">
        <v>26</v>
      </c>
      <c r="D5925" s="2" t="s">
        <v>27</v>
      </c>
      <c r="E5925" s="5">
        <v>-28904</v>
      </c>
      <c r="F5925" s="3" t="s">
        <v>541</v>
      </c>
      <c r="G5925" s="3" t="s">
        <v>43</v>
      </c>
      <c r="H5925" s="2" t="s">
        <v>21</v>
      </c>
      <c r="I5925" s="2" t="s">
        <v>11740</v>
      </c>
      <c r="J5925" s="3" t="str">
        <f>HYPERLINK("https://www.boe.es/gazeta/dias/1820/11/10/pdfs/GGB-1820-136.pdf#page=2","Abrir facsímil")</f>
        <v>Abrir facsímil</v>
      </c>
      <c r="K5925" s="3" t="s">
        <v>23</v>
      </c>
    </row>
    <row r="5926" spans="1:11" ht="42" customHeight="1">
      <c r="A5926" s="2" t="s">
        <v>11741</v>
      </c>
      <c r="B5926" s="2" t="s">
        <v>11742</v>
      </c>
      <c r="C5926" s="2" t="s">
        <v>293</v>
      </c>
      <c r="D5926" s="2" t="s">
        <v>18</v>
      </c>
      <c r="E5926" s="5">
        <v>-28911</v>
      </c>
      <c r="F5926" s="3" t="s">
        <v>82</v>
      </c>
      <c r="G5926" s="3" t="s">
        <v>43</v>
      </c>
      <c r="H5926" s="2" t="s">
        <v>21</v>
      </c>
      <c r="I5926" s="2" t="s">
        <v>11743</v>
      </c>
      <c r="J5926" s="3" t="str">
        <f>HYPERLINK("https://www.boe.es/gazeta/dias/1820/11/03/pdfs/GGB-1820-128.pdf#page=2","Abrir facsímil")</f>
        <v>Abrir facsímil</v>
      </c>
      <c r="K5926" s="3" t="s">
        <v>23</v>
      </c>
    </row>
    <row r="5927" spans="1:11" ht="42" customHeight="1">
      <c r="A5927" s="2" t="s">
        <v>11744</v>
      </c>
      <c r="B5927" s="2" t="s">
        <v>11745</v>
      </c>
      <c r="C5927" s="2" t="s">
        <v>35</v>
      </c>
      <c r="D5927" s="2" t="s">
        <v>36</v>
      </c>
      <c r="E5927" s="5">
        <v>-29194</v>
      </c>
      <c r="F5927" s="3" t="s">
        <v>416</v>
      </c>
      <c r="G5927" s="3" t="s">
        <v>1391</v>
      </c>
      <c r="H5927" s="2" t="s">
        <v>21</v>
      </c>
      <c r="I5927" s="2" t="s">
        <v>11746</v>
      </c>
      <c r="J5927" s="3" t="str">
        <f>HYPERLINK("https://www.boe.es/gazeta/dias/1820/01/25/pdfs/GMD-1820-11.pdf#page=8","Abrir facsímil")</f>
        <v>Abrir facsímil</v>
      </c>
      <c r="K5927" s="3" t="s">
        <v>23</v>
      </c>
    </row>
    <row r="5928" spans="1:11" ht="42" customHeight="1">
      <c r="A5928" s="2" t="s">
        <v>11744</v>
      </c>
      <c r="B5928" s="2" t="s">
        <v>11745</v>
      </c>
      <c r="C5928" s="2" t="s">
        <v>35</v>
      </c>
      <c r="D5928" s="2" t="s">
        <v>36</v>
      </c>
      <c r="E5928" s="5">
        <v>-29192</v>
      </c>
      <c r="F5928" s="3" t="s">
        <v>497</v>
      </c>
      <c r="G5928" s="3" t="s">
        <v>295</v>
      </c>
      <c r="H5928" s="2" t="s">
        <v>21</v>
      </c>
      <c r="I5928" s="2" t="s">
        <v>11747</v>
      </c>
      <c r="J5928" s="3" t="str">
        <f>HYPERLINK("https://www.boe.es/gazeta/dias/1820/01/27/pdfs/GMD-1820-12.pdf#page=8","Abrir facsímil")</f>
        <v>Abrir facsímil</v>
      </c>
      <c r="K5928" s="3" t="s">
        <v>23</v>
      </c>
    </row>
    <row r="5929" spans="1:11" ht="42" customHeight="1">
      <c r="A5929" s="2" t="s">
        <v>11744</v>
      </c>
      <c r="B5929" s="2" t="s">
        <v>11745</v>
      </c>
      <c r="C5929" s="2" t="s">
        <v>26</v>
      </c>
      <c r="D5929" s="2" t="s">
        <v>27</v>
      </c>
      <c r="E5929" s="5">
        <v>-29115</v>
      </c>
      <c r="F5929" s="3" t="s">
        <v>289</v>
      </c>
      <c r="G5929" s="3" t="s">
        <v>142</v>
      </c>
      <c r="H5929" s="2" t="s">
        <v>21</v>
      </c>
      <c r="I5929" s="2" t="s">
        <v>11748</v>
      </c>
      <c r="J5929" s="3" t="str">
        <f>HYPERLINK("https://www.boe.es/gazeta/dias/1820/04/13/pdfs/GMD-1820-65.pdf#page=8","Abrir facsímil")</f>
        <v>Abrir facsímil</v>
      </c>
      <c r="K5929" s="3" t="s">
        <v>23</v>
      </c>
    </row>
    <row r="5930" spans="1:11" ht="42" customHeight="1">
      <c r="A5930" s="2" t="s">
        <v>11744</v>
      </c>
      <c r="B5930" s="2" t="s">
        <v>11745</v>
      </c>
      <c r="C5930" s="2" t="s">
        <v>35</v>
      </c>
      <c r="D5930" s="2" t="s">
        <v>36</v>
      </c>
      <c r="E5930" s="5">
        <v>-29054</v>
      </c>
      <c r="F5930" s="3" t="s">
        <v>481</v>
      </c>
      <c r="G5930" s="3" t="s">
        <v>479</v>
      </c>
      <c r="H5930" s="2" t="s">
        <v>21</v>
      </c>
      <c r="I5930" s="2" t="s">
        <v>11749</v>
      </c>
      <c r="J5930" s="3" t="str">
        <f>HYPERLINK("https://www.boe.es/gazeta/dias/1820/06/13/pdfs/GMD-1820-93.pdf#page=12","Abrir facsímil")</f>
        <v>Abrir facsímil</v>
      </c>
      <c r="K5930" s="3" t="s">
        <v>23</v>
      </c>
    </row>
    <row r="5931" spans="1:11" ht="42" customHeight="1">
      <c r="A5931" s="2" t="s">
        <v>11744</v>
      </c>
      <c r="B5931" s="2" t="s">
        <v>11745</v>
      </c>
      <c r="C5931" s="2" t="s">
        <v>17</v>
      </c>
      <c r="D5931" s="2" t="s">
        <v>18</v>
      </c>
      <c r="E5931" s="5">
        <v>-28914</v>
      </c>
      <c r="F5931" s="3" t="s">
        <v>434</v>
      </c>
      <c r="G5931" s="3" t="s">
        <v>20</v>
      </c>
      <c r="H5931" s="2" t="s">
        <v>21</v>
      </c>
      <c r="I5931" s="2" t="s">
        <v>11750</v>
      </c>
      <c r="J5931" s="3" t="str">
        <f>HYPERLINK("https://www.boe.es/gazeta/dias/1820/10/31/pdfs/GGB-1820-125.pdf#page=4","Abrir facsímil")</f>
        <v>Abrir facsímil</v>
      </c>
      <c r="K5931" s="3" t="s">
        <v>23</v>
      </c>
    </row>
    <row r="5932" spans="1:11" ht="42" customHeight="1">
      <c r="A5932" s="2" t="s">
        <v>11751</v>
      </c>
      <c r="B5932" s="2" t="s">
        <v>11752</v>
      </c>
      <c r="C5932" s="2" t="s">
        <v>35</v>
      </c>
      <c r="D5932" s="2" t="s">
        <v>36</v>
      </c>
      <c r="E5932" s="5">
        <v>-28991</v>
      </c>
      <c r="F5932" s="3" t="s">
        <v>213</v>
      </c>
      <c r="G5932" s="3" t="s">
        <v>214</v>
      </c>
      <c r="H5932" s="2" t="s">
        <v>21</v>
      </c>
      <c r="I5932" s="2" t="s">
        <v>11753</v>
      </c>
      <c r="J5932" s="3" t="str">
        <f>HYPERLINK("https://www.boe.es/gazeta/dias/1820/08/15/pdfs/GGB-1820-48.pdf#page=2","Abrir facsímil")</f>
        <v>Abrir facsímil</v>
      </c>
      <c r="K5932" s="3" t="s">
        <v>23</v>
      </c>
    </row>
    <row r="5933" spans="1:11" ht="42" customHeight="1">
      <c r="A5933" s="2" t="s">
        <v>11754</v>
      </c>
      <c r="B5933" s="2" t="s">
        <v>11755</v>
      </c>
      <c r="C5933" s="2" t="s">
        <v>293</v>
      </c>
      <c r="D5933" s="2" t="s">
        <v>18</v>
      </c>
      <c r="E5933" s="5">
        <v>-29018</v>
      </c>
      <c r="F5933" s="3" t="s">
        <v>601</v>
      </c>
      <c r="G5933" s="3" t="s">
        <v>43</v>
      </c>
      <c r="H5933" s="2" t="s">
        <v>21</v>
      </c>
      <c r="I5933" s="2" t="s">
        <v>11756</v>
      </c>
      <c r="J5933" s="3" t="str">
        <f>HYPERLINK("https://www.boe.es/gazeta/dias/1820/07/19/pdfs/GGB-1820-21.pdf#page=2","Abrir facsímil")</f>
        <v>Abrir facsímil</v>
      </c>
      <c r="K5933" s="3" t="s">
        <v>23</v>
      </c>
    </row>
    <row r="5934" spans="1:11" ht="42" customHeight="1">
      <c r="A5934" s="2" t="s">
        <v>11757</v>
      </c>
      <c r="B5934" s="2" t="s">
        <v>11758</v>
      </c>
      <c r="C5934" s="2" t="s">
        <v>74</v>
      </c>
      <c r="D5934" s="2" t="s">
        <v>18</v>
      </c>
      <c r="E5934" s="5">
        <v>-29012</v>
      </c>
      <c r="F5934" s="3" t="s">
        <v>72</v>
      </c>
      <c r="G5934" s="3" t="s">
        <v>62</v>
      </c>
      <c r="H5934" s="2" t="s">
        <v>21</v>
      </c>
      <c r="I5934" s="2" t="s">
        <v>11759</v>
      </c>
      <c r="J5934" s="3" t="str">
        <f>HYPERLINK("https://www.boe.es/gazeta/dias/1820/07/25/pdfs/GGB-1820-27.pdf#page=3","Abrir facsímil")</f>
        <v>Abrir facsímil</v>
      </c>
      <c r="K5934" s="3" t="s">
        <v>23</v>
      </c>
    </row>
    <row r="5935" spans="1:11" ht="42" customHeight="1">
      <c r="A5935" s="2" t="s">
        <v>11760</v>
      </c>
      <c r="B5935" s="2" t="s">
        <v>11761</v>
      </c>
      <c r="C5935" s="2" t="s">
        <v>35</v>
      </c>
      <c r="D5935" s="2" t="s">
        <v>36</v>
      </c>
      <c r="E5935" s="5">
        <v>-29002</v>
      </c>
      <c r="F5935" s="3" t="s">
        <v>124</v>
      </c>
      <c r="G5935" s="3" t="s">
        <v>62</v>
      </c>
      <c r="H5935" s="2" t="s">
        <v>21</v>
      </c>
      <c r="I5935" s="2" t="s">
        <v>11762</v>
      </c>
      <c r="J5935" s="3" t="str">
        <f>HYPERLINK("https://www.boe.es/gazeta/dias/1820/08/04/pdfs/GGB-1820-37.pdf#page=3","Abrir facsímil")</f>
        <v>Abrir facsímil</v>
      </c>
      <c r="K5935" s="3" t="s">
        <v>23</v>
      </c>
    </row>
    <row r="5936" spans="1:11" ht="42" customHeight="1">
      <c r="A5936" s="2" t="s">
        <v>11763</v>
      </c>
      <c r="B5936" s="2" t="s">
        <v>11763</v>
      </c>
      <c r="C5936" s="2" t="s">
        <v>74</v>
      </c>
      <c r="D5936" s="2" t="s">
        <v>18</v>
      </c>
      <c r="E5936" s="5">
        <v>-28891</v>
      </c>
      <c r="F5936" s="3" t="s">
        <v>965</v>
      </c>
      <c r="G5936" s="3" t="s">
        <v>43</v>
      </c>
      <c r="H5936" s="2" t="s">
        <v>21</v>
      </c>
      <c r="I5936" s="2" t="s">
        <v>11764</v>
      </c>
      <c r="J5936" s="3" t="str">
        <f>HYPERLINK("https://www.boe.es/gazeta/dias/1820/11/23/pdfs/GGB-1820-150.pdf#page=2","Abrir facsímil")</f>
        <v>Abrir facsímil</v>
      </c>
      <c r="K5936" s="3" t="s">
        <v>23</v>
      </c>
    </row>
    <row r="5937" spans="1:11" ht="42" customHeight="1">
      <c r="A5937" s="2" t="s">
        <v>11765</v>
      </c>
      <c r="B5937" s="2" t="s">
        <v>11766</v>
      </c>
      <c r="C5937" s="2" t="s">
        <v>111</v>
      </c>
      <c r="D5937" s="2" t="s">
        <v>18</v>
      </c>
      <c r="E5937" s="5">
        <v>-29197</v>
      </c>
      <c r="F5937" s="3" t="s">
        <v>48</v>
      </c>
      <c r="G5937" s="3" t="s">
        <v>256</v>
      </c>
      <c r="H5937" s="2" t="s">
        <v>21</v>
      </c>
      <c r="I5937" s="2" t="s">
        <v>11767</v>
      </c>
      <c r="J5937" s="3" t="str">
        <f>HYPERLINK("https://www.boe.es/gazeta/dias/1820/01/22/pdfs/GMD-1820-10.pdf#page=5","Abrir facsímil")</f>
        <v>Abrir facsímil</v>
      </c>
      <c r="K5937" s="3" t="s">
        <v>23</v>
      </c>
    </row>
    <row r="5938" spans="1:11" ht="42" customHeight="1">
      <c r="A5938" s="2" t="s">
        <v>11768</v>
      </c>
      <c r="B5938" s="2" t="s">
        <v>11768</v>
      </c>
      <c r="C5938" s="2" t="s">
        <v>26</v>
      </c>
      <c r="D5938" s="2" t="s">
        <v>27</v>
      </c>
      <c r="E5938" s="5">
        <v>-28963</v>
      </c>
      <c r="F5938" s="3" t="s">
        <v>94</v>
      </c>
      <c r="G5938" s="3" t="s">
        <v>62</v>
      </c>
      <c r="H5938" s="2" t="s">
        <v>21</v>
      </c>
      <c r="I5938" s="2" t="s">
        <v>11769</v>
      </c>
      <c r="J5938" s="3" t="str">
        <f>HYPERLINK("https://www.boe.es/gazeta/dias/1820/09/12/pdfs/GGB-1820-76.pdf#page=3","Abrir facsímil")</f>
        <v>Abrir facsímil</v>
      </c>
      <c r="K5938" s="3" t="s">
        <v>23</v>
      </c>
    </row>
    <row r="5939" spans="1:11" ht="42" customHeight="1">
      <c r="A5939" s="2" t="s">
        <v>11770</v>
      </c>
      <c r="B5939" s="2" t="s">
        <v>11770</v>
      </c>
      <c r="C5939" s="2" t="s">
        <v>35</v>
      </c>
      <c r="D5939" s="2" t="s">
        <v>36</v>
      </c>
      <c r="E5939" s="5">
        <v>-29017</v>
      </c>
      <c r="F5939" s="3" t="s">
        <v>274</v>
      </c>
      <c r="G5939" s="3" t="s">
        <v>62</v>
      </c>
      <c r="H5939" s="2" t="s">
        <v>21</v>
      </c>
      <c r="I5939" s="2" t="s">
        <v>11771</v>
      </c>
      <c r="J5939" s="3" t="str">
        <f>HYPERLINK("https://www.boe.es/gazeta/dias/1820/07/20/pdfs/GGB-1820-22.pdf#page=3","Abrir facsímil")</f>
        <v>Abrir facsímil</v>
      </c>
      <c r="K5939" s="3" t="s">
        <v>23</v>
      </c>
    </row>
    <row r="5940" spans="1:11" ht="42" customHeight="1">
      <c r="A5940" s="2" t="s">
        <v>11770</v>
      </c>
      <c r="B5940" s="2" t="s">
        <v>11770</v>
      </c>
      <c r="C5940" s="2" t="s">
        <v>35</v>
      </c>
      <c r="D5940" s="2" t="s">
        <v>36</v>
      </c>
      <c r="E5940" s="5">
        <v>-28987</v>
      </c>
      <c r="F5940" s="3" t="s">
        <v>680</v>
      </c>
      <c r="G5940" s="3" t="s">
        <v>1300</v>
      </c>
      <c r="H5940" s="2" t="s">
        <v>21</v>
      </c>
      <c r="I5940" s="2" t="s">
        <v>11772</v>
      </c>
      <c r="J5940" s="3" t="str">
        <f>HYPERLINK("https://www.boe.es/gazeta/dias/1820/08/19/pdfs/GGB-1820-52.pdf#page=2","Abrir facsímil")</f>
        <v>Abrir facsímil</v>
      </c>
      <c r="K5940" s="3" t="s">
        <v>23</v>
      </c>
    </row>
    <row r="5941" spans="1:11" ht="42" customHeight="1">
      <c r="A5941" s="2" t="s">
        <v>11770</v>
      </c>
      <c r="B5941" s="2" t="s">
        <v>11770</v>
      </c>
      <c r="C5941" s="2" t="s">
        <v>74</v>
      </c>
      <c r="D5941" s="2" t="s">
        <v>18</v>
      </c>
      <c r="E5941" s="5">
        <v>-28923</v>
      </c>
      <c r="F5941" s="3" t="s">
        <v>648</v>
      </c>
      <c r="G5941" s="3" t="s">
        <v>20</v>
      </c>
      <c r="H5941" s="2" t="s">
        <v>21</v>
      </c>
      <c r="I5941" s="2" t="s">
        <v>11773</v>
      </c>
      <c r="J5941" s="3" t="str">
        <f>HYPERLINK("https://www.boe.es/gazeta/dias/1820/10/22/pdfs/GGB-1820-116.pdf#page=4","Abrir facsímil")</f>
        <v>Abrir facsímil</v>
      </c>
      <c r="K5941" s="3" t="s">
        <v>23</v>
      </c>
    </row>
    <row r="5942" spans="1:11" ht="42" customHeight="1">
      <c r="A5942" s="2" t="s">
        <v>11774</v>
      </c>
      <c r="B5942" s="2" t="s">
        <v>11775</v>
      </c>
      <c r="C5942" s="2" t="s">
        <v>26</v>
      </c>
      <c r="D5942" s="2" t="s">
        <v>27</v>
      </c>
      <c r="E5942" s="5">
        <v>-29099</v>
      </c>
      <c r="F5942" s="3" t="s">
        <v>871</v>
      </c>
      <c r="G5942" s="3" t="s">
        <v>295</v>
      </c>
      <c r="H5942" s="2" t="s">
        <v>21</v>
      </c>
      <c r="I5942" s="2" t="s">
        <v>11776</v>
      </c>
      <c r="J5942" s="3" t="str">
        <f>HYPERLINK("https://www.boe.es/gazeta/dias/1820/04/29/pdfs/GMD-1820-73.pdf#page=8","Abrir facsímil")</f>
        <v>Abrir facsímil</v>
      </c>
      <c r="K5942" s="3" t="s">
        <v>23</v>
      </c>
    </row>
    <row r="5943" spans="1:11" ht="42" customHeight="1">
      <c r="A5943" s="2" t="s">
        <v>11777</v>
      </c>
      <c r="B5943" s="2" t="s">
        <v>11778</v>
      </c>
      <c r="C5943" s="2" t="s">
        <v>17</v>
      </c>
      <c r="D5943" s="2" t="s">
        <v>18</v>
      </c>
      <c r="E5943" s="5">
        <v>-28866</v>
      </c>
      <c r="F5943" s="3" t="s">
        <v>507</v>
      </c>
      <c r="G5943" s="3" t="s">
        <v>62</v>
      </c>
      <c r="H5943" s="2" t="s">
        <v>30</v>
      </c>
      <c r="I5943" s="2" t="s">
        <v>11779</v>
      </c>
      <c r="J5943" s="3" t="str">
        <f>HYPERLINK("https://www.boe.es/gazeta/dias/1820/12/18/pdfs/GGB-1820-175.pdf#page=3","Abrir facsímil")</f>
        <v>Abrir facsímil</v>
      </c>
      <c r="K5943" s="3" t="s">
        <v>32</v>
      </c>
    </row>
    <row r="5944" spans="1:11" ht="42" customHeight="1">
      <c r="A5944" s="2" t="s">
        <v>11780</v>
      </c>
      <c r="B5944" s="2" t="s">
        <v>11781</v>
      </c>
      <c r="C5944" s="2" t="s">
        <v>26</v>
      </c>
      <c r="D5944" s="2" t="s">
        <v>27</v>
      </c>
      <c r="E5944" s="5">
        <v>-28900</v>
      </c>
      <c r="F5944" s="3" t="s">
        <v>878</v>
      </c>
      <c r="G5944" s="3" t="s">
        <v>20</v>
      </c>
      <c r="H5944" s="2" t="s">
        <v>21</v>
      </c>
      <c r="I5944" s="2" t="s">
        <v>11782</v>
      </c>
      <c r="J5944" s="3" t="str">
        <f>HYPERLINK("https://www.boe.es/gazeta/dias/1820/11/14/pdfs/GGB-1820-140.pdf#page=4","Abrir facsímil")</f>
        <v>Abrir facsímil</v>
      </c>
      <c r="K5944" s="3" t="s">
        <v>23</v>
      </c>
    </row>
    <row r="5945" spans="1:11" ht="42" customHeight="1">
      <c r="A5945" s="2" t="s">
        <v>11783</v>
      </c>
      <c r="B5945" s="2" t="s">
        <v>11784</v>
      </c>
      <c r="C5945" s="2" t="s">
        <v>35</v>
      </c>
      <c r="D5945" s="2" t="s">
        <v>36</v>
      </c>
      <c r="E5945" s="5">
        <v>-28907</v>
      </c>
      <c r="F5945" s="3" t="s">
        <v>374</v>
      </c>
      <c r="G5945" s="3" t="s">
        <v>43</v>
      </c>
      <c r="H5945" s="2" t="s">
        <v>21</v>
      </c>
      <c r="I5945" s="2" t="s">
        <v>11785</v>
      </c>
      <c r="J5945" s="3" t="str">
        <f>HYPERLINK("https://www.boe.es/gazeta/dias/1820/11/07/pdfs/GGB-1820-132.pdf#page=2","Abrir facsímil")</f>
        <v>Abrir facsímil</v>
      </c>
      <c r="K5945" s="3" t="s">
        <v>23</v>
      </c>
    </row>
    <row r="5946" spans="1:11" ht="42" customHeight="1">
      <c r="A5946" s="2" t="s">
        <v>11786</v>
      </c>
      <c r="B5946" s="2" t="s">
        <v>11787</v>
      </c>
      <c r="C5946" s="2" t="s">
        <v>17</v>
      </c>
      <c r="D5946" s="2" t="s">
        <v>18</v>
      </c>
      <c r="E5946" s="5">
        <v>-29192</v>
      </c>
      <c r="F5946" s="3" t="s">
        <v>497</v>
      </c>
      <c r="G5946" s="3" t="s">
        <v>295</v>
      </c>
      <c r="H5946" s="2" t="s">
        <v>21</v>
      </c>
      <c r="I5946" s="2" t="s">
        <v>11788</v>
      </c>
      <c r="J5946" s="3" t="str">
        <f>HYPERLINK("https://www.boe.es/gazeta/dias/1820/01/27/pdfs/GMD-1820-12.pdf#page=8","Abrir facsímil")</f>
        <v>Abrir facsímil</v>
      </c>
      <c r="K5946" s="3" t="s">
        <v>23</v>
      </c>
    </row>
    <row r="5947" spans="1:11" ht="42" customHeight="1">
      <c r="A5947" s="2" t="s">
        <v>11786</v>
      </c>
      <c r="B5947" s="2" t="s">
        <v>11787</v>
      </c>
      <c r="C5947" s="2" t="s">
        <v>74</v>
      </c>
      <c r="D5947" s="2" t="s">
        <v>18</v>
      </c>
      <c r="E5947" s="5">
        <v>-28991</v>
      </c>
      <c r="F5947" s="3" t="s">
        <v>213</v>
      </c>
      <c r="G5947" s="3" t="s">
        <v>675</v>
      </c>
      <c r="H5947" s="2" t="s">
        <v>21</v>
      </c>
      <c r="I5947" s="2" t="s">
        <v>11789</v>
      </c>
      <c r="J5947" s="3" t="str">
        <f>HYPERLINK("https://www.boe.es/gazeta/dias/1820/08/15/pdfs/GGB-1820-48.pdf#page=4","Abrir facsímil")</f>
        <v>Abrir facsímil</v>
      </c>
      <c r="K5947" s="3" t="s">
        <v>23</v>
      </c>
    </row>
    <row r="5948" spans="1:11" ht="42" customHeight="1">
      <c r="A5948" s="2" t="s">
        <v>11790</v>
      </c>
      <c r="B5948" s="2" t="s">
        <v>11791</v>
      </c>
      <c r="C5948" s="2" t="s">
        <v>17</v>
      </c>
      <c r="D5948" s="2" t="s">
        <v>18</v>
      </c>
      <c r="E5948" s="5">
        <v>-28900</v>
      </c>
      <c r="F5948" s="3" t="s">
        <v>878</v>
      </c>
      <c r="G5948" s="3" t="s">
        <v>20</v>
      </c>
      <c r="H5948" s="2" t="s">
        <v>21</v>
      </c>
      <c r="I5948" s="2" t="s">
        <v>11792</v>
      </c>
      <c r="J5948" s="3" t="str">
        <f>HYPERLINK("https://www.boe.es/gazeta/dias/1820/11/14/pdfs/GGB-1820-140.pdf#page=4","Abrir facsímil")</f>
        <v>Abrir facsímil</v>
      </c>
      <c r="K5948" s="3" t="s">
        <v>23</v>
      </c>
    </row>
    <row r="5949" spans="1:11" ht="42" customHeight="1">
      <c r="A5949" s="2" t="s">
        <v>11793</v>
      </c>
      <c r="B5949" s="2" t="s">
        <v>11794</v>
      </c>
      <c r="C5949" s="2" t="s">
        <v>293</v>
      </c>
      <c r="D5949" s="2" t="s">
        <v>18</v>
      </c>
      <c r="E5949" s="5">
        <v>-28982</v>
      </c>
      <c r="F5949" s="3" t="s">
        <v>173</v>
      </c>
      <c r="G5949" s="3" t="s">
        <v>43</v>
      </c>
      <c r="H5949" s="2" t="s">
        <v>21</v>
      </c>
      <c r="I5949" s="2" t="s">
        <v>11795</v>
      </c>
      <c r="J5949" s="3" t="str">
        <f>HYPERLINK("https://www.boe.es/gazeta/dias/1820/08/24/pdfs/GGB-1820-57.pdf#page=2","Abrir facsímil")</f>
        <v>Abrir facsímil</v>
      </c>
      <c r="K5949" s="3" t="s">
        <v>23</v>
      </c>
    </row>
    <row r="5950" spans="1:11" ht="42" customHeight="1">
      <c r="A5950" s="2" t="s">
        <v>11796</v>
      </c>
      <c r="B5950" s="2" t="s">
        <v>11797</v>
      </c>
      <c r="C5950" s="2" t="s">
        <v>35</v>
      </c>
      <c r="D5950" s="2" t="s">
        <v>36</v>
      </c>
      <c r="E5950" s="5">
        <v>-28951</v>
      </c>
      <c r="F5950" s="3" t="s">
        <v>622</v>
      </c>
      <c r="G5950" s="3" t="s">
        <v>1370</v>
      </c>
      <c r="H5950" s="2" t="s">
        <v>21</v>
      </c>
      <c r="I5950" s="2" t="s">
        <v>11798</v>
      </c>
      <c r="J5950" s="3" t="str">
        <f>HYPERLINK("https://www.boe.es/gazeta/dias/1820/09/24/pdfs/GGB-1820-88.pdf#page=2","Abrir facsímil")</f>
        <v>Abrir facsímil</v>
      </c>
      <c r="K5950" s="3" t="s">
        <v>23</v>
      </c>
    </row>
    <row r="5951" spans="1:11" ht="42" customHeight="1">
      <c r="A5951" s="2" t="s">
        <v>11799</v>
      </c>
      <c r="B5951" s="2" t="s">
        <v>11800</v>
      </c>
      <c r="C5951" s="2" t="s">
        <v>74</v>
      </c>
      <c r="D5951" s="2" t="s">
        <v>18</v>
      </c>
      <c r="E5951" s="5">
        <v>-28962</v>
      </c>
      <c r="F5951" s="3" t="s">
        <v>90</v>
      </c>
      <c r="G5951" s="3" t="s">
        <v>3830</v>
      </c>
      <c r="H5951" s="2" t="s">
        <v>21</v>
      </c>
      <c r="I5951" s="2" t="s">
        <v>11801</v>
      </c>
      <c r="J5951" s="3" t="str">
        <f>HYPERLINK("https://www.boe.es/gazeta/dias/1820/09/13/pdfs/GGB-1820-77.pdf#page=2","Abrir facsímil")</f>
        <v>Abrir facsímil</v>
      </c>
      <c r="K5951" s="3" t="s">
        <v>23</v>
      </c>
    </row>
    <row r="5952" spans="1:11" ht="42" customHeight="1">
      <c r="A5952" s="2" t="s">
        <v>11802</v>
      </c>
      <c r="B5952" s="2" t="s">
        <v>11802</v>
      </c>
      <c r="C5952" s="2" t="s">
        <v>26</v>
      </c>
      <c r="D5952" s="2" t="s">
        <v>27</v>
      </c>
      <c r="E5952" s="5">
        <v>-28986</v>
      </c>
      <c r="F5952" s="3" t="s">
        <v>488</v>
      </c>
      <c r="G5952" s="3" t="s">
        <v>128</v>
      </c>
      <c r="H5952" s="2" t="s">
        <v>21</v>
      </c>
      <c r="I5952" s="2" t="s">
        <v>11803</v>
      </c>
      <c r="J5952" s="3" t="str">
        <f>HYPERLINK("https://www.boe.es/gazeta/dias/1820/08/20/pdfs/GGB-1820-53.pdf#page=1","Abrir facsímil")</f>
        <v>Abrir facsímil</v>
      </c>
      <c r="K5952" s="3" t="s">
        <v>23</v>
      </c>
    </row>
    <row r="5953" spans="1:11" ht="42" customHeight="1">
      <c r="A5953" s="2" t="s">
        <v>11804</v>
      </c>
      <c r="B5953" s="2" t="s">
        <v>11805</v>
      </c>
      <c r="C5953" s="2" t="s">
        <v>26</v>
      </c>
      <c r="D5953" s="2" t="s">
        <v>27</v>
      </c>
      <c r="E5953" s="5">
        <v>-28921</v>
      </c>
      <c r="F5953" s="3" t="s">
        <v>738</v>
      </c>
      <c r="G5953" s="3" t="s">
        <v>3686</v>
      </c>
      <c r="H5953" s="2" t="s">
        <v>21</v>
      </c>
      <c r="I5953" s="2" t="s">
        <v>11806</v>
      </c>
      <c r="J5953" s="3" t="str">
        <f>HYPERLINK("https://www.boe.es/gazeta/dias/1820/10/24/pdfs/GGB-1820-118.pdf#page=3","Abrir facsímil")</f>
        <v>Abrir facsímil</v>
      </c>
      <c r="K5953" s="3" t="s">
        <v>23</v>
      </c>
    </row>
    <row r="5954" spans="1:11" ht="42" customHeight="1">
      <c r="A5954" s="2" t="s">
        <v>11807</v>
      </c>
      <c r="B5954" s="2" t="s">
        <v>11808</v>
      </c>
      <c r="C5954" s="2" t="s">
        <v>26</v>
      </c>
      <c r="D5954" s="2" t="s">
        <v>27</v>
      </c>
      <c r="E5954" s="5">
        <v>-28897</v>
      </c>
      <c r="F5954" s="3" t="s">
        <v>1935</v>
      </c>
      <c r="G5954" s="3" t="s">
        <v>62</v>
      </c>
      <c r="H5954" s="2" t="s">
        <v>21</v>
      </c>
      <c r="I5954" s="2" t="s">
        <v>11809</v>
      </c>
      <c r="J5954" s="3" t="str">
        <f>HYPERLINK("https://www.boe.es/gazeta/dias/1820/11/17/pdfs/GGB-1820-143.pdf#page=3","Abrir facsímil")</f>
        <v>Abrir facsímil</v>
      </c>
      <c r="K5954" s="3" t="s">
        <v>23</v>
      </c>
    </row>
    <row r="5955" spans="1:11" ht="42" customHeight="1">
      <c r="A5955" s="2" t="s">
        <v>11810</v>
      </c>
      <c r="B5955" s="2" t="s">
        <v>11811</v>
      </c>
      <c r="C5955" s="2" t="s">
        <v>26</v>
      </c>
      <c r="D5955" s="2" t="s">
        <v>27</v>
      </c>
      <c r="E5955" s="5">
        <v>-29045</v>
      </c>
      <c r="F5955" s="3" t="s">
        <v>155</v>
      </c>
      <c r="G5955" s="3" t="s">
        <v>38</v>
      </c>
      <c r="H5955" s="2" t="s">
        <v>21</v>
      </c>
      <c r="I5955" s="2" t="s">
        <v>11812</v>
      </c>
      <c r="J5955" s="3" t="str">
        <f>HYPERLINK("https://www.boe.es/gazeta/dias/1820/06/22/pdfs/GMD-1820-97.pdf#page=6","Abrir facsímil")</f>
        <v>Abrir facsímil</v>
      </c>
      <c r="K5955" s="3" t="s">
        <v>23</v>
      </c>
    </row>
    <row r="5956" spans="1:11" ht="42" customHeight="1">
      <c r="A5956" s="2" t="s">
        <v>11813</v>
      </c>
      <c r="B5956" s="2" t="s">
        <v>11813</v>
      </c>
      <c r="C5956" s="2" t="s">
        <v>17</v>
      </c>
      <c r="D5956" s="2" t="s">
        <v>18</v>
      </c>
      <c r="E5956" s="5">
        <v>-28977</v>
      </c>
      <c r="F5956" s="3" t="s">
        <v>687</v>
      </c>
      <c r="G5956" s="3" t="s">
        <v>62</v>
      </c>
      <c r="H5956" s="2" t="s">
        <v>21</v>
      </c>
      <c r="I5956" s="2" t="s">
        <v>11814</v>
      </c>
      <c r="J5956" s="3" t="str">
        <f>HYPERLINK("https://www.boe.es/gazeta/dias/1820/08/29/pdfs/GGB-1820-62.pdf#page=3","Abrir facsímil")</f>
        <v>Abrir facsímil</v>
      </c>
      <c r="K5956" s="3" t="s">
        <v>23</v>
      </c>
    </row>
    <row r="5957" spans="1:11" ht="42" customHeight="1">
      <c r="A5957" s="2" t="s">
        <v>11815</v>
      </c>
      <c r="B5957" s="2" t="s">
        <v>11816</v>
      </c>
      <c r="C5957" s="2" t="s">
        <v>35</v>
      </c>
      <c r="D5957" s="2" t="s">
        <v>36</v>
      </c>
      <c r="E5957" s="5">
        <v>-28905</v>
      </c>
      <c r="F5957" s="3" t="s">
        <v>749</v>
      </c>
      <c r="G5957" s="3" t="s">
        <v>62</v>
      </c>
      <c r="H5957" s="2" t="s">
        <v>21</v>
      </c>
      <c r="I5957" s="2" t="s">
        <v>11817</v>
      </c>
      <c r="J5957" s="3" t="str">
        <f>HYPERLINK("https://www.boe.es/gazeta/dias/1820/11/09/pdfs/GGB-1820-134.pdf#page=3","Abrir facsímil")</f>
        <v>Abrir facsímil</v>
      </c>
      <c r="K5957" s="3" t="s">
        <v>23</v>
      </c>
    </row>
    <row r="5958" spans="1:11" ht="42" customHeight="1">
      <c r="A5958" s="2" t="s">
        <v>11818</v>
      </c>
      <c r="B5958" s="2" t="s">
        <v>11819</v>
      </c>
      <c r="C5958" s="2" t="s">
        <v>107</v>
      </c>
      <c r="D5958" s="2" t="s">
        <v>18</v>
      </c>
      <c r="E5958" s="5">
        <v>-28982</v>
      </c>
      <c r="F5958" s="3" t="s">
        <v>173</v>
      </c>
      <c r="G5958" s="3" t="s">
        <v>43</v>
      </c>
      <c r="H5958" s="2" t="s">
        <v>21</v>
      </c>
      <c r="I5958" s="2" t="s">
        <v>11820</v>
      </c>
      <c r="J5958" s="3" t="str">
        <f>HYPERLINK("https://www.boe.es/gazeta/dias/1820/08/24/pdfs/GGB-1820-57.pdf#page=2","Abrir facsímil")</f>
        <v>Abrir facsímil</v>
      </c>
      <c r="K5958" s="3" t="s">
        <v>23</v>
      </c>
    </row>
    <row r="5959" spans="1:11" ht="42" customHeight="1">
      <c r="A5959" s="2" t="s">
        <v>11821</v>
      </c>
      <c r="B5959" s="2" t="s">
        <v>11822</v>
      </c>
      <c r="C5959" s="2" t="s">
        <v>26</v>
      </c>
      <c r="D5959" s="2" t="s">
        <v>27</v>
      </c>
      <c r="E5959" s="5">
        <v>-28941</v>
      </c>
      <c r="F5959" s="3" t="s">
        <v>1727</v>
      </c>
      <c r="G5959" s="3" t="s">
        <v>43</v>
      </c>
      <c r="H5959" s="2" t="s">
        <v>30</v>
      </c>
      <c r="I5959" s="2" t="s">
        <v>11823</v>
      </c>
      <c r="J5959" s="3" t="str">
        <f>HYPERLINK("https://www.boe.es/gazeta/dias/1820/10/04/pdfs/GGB-1820-98.pdf#page=2","Abrir facsímil")</f>
        <v>Abrir facsímil</v>
      </c>
      <c r="K5959" s="3" t="s">
        <v>32</v>
      </c>
    </row>
    <row r="5960" spans="1:11" ht="42" customHeight="1">
      <c r="A5960" s="2" t="s">
        <v>11824</v>
      </c>
      <c r="B5960" s="2" t="s">
        <v>11825</v>
      </c>
      <c r="C5960" s="2" t="s">
        <v>26</v>
      </c>
      <c r="D5960" s="2" t="s">
        <v>27</v>
      </c>
      <c r="E5960" s="5">
        <v>-29003</v>
      </c>
      <c r="F5960" s="3" t="s">
        <v>340</v>
      </c>
      <c r="G5960" s="3" t="s">
        <v>128</v>
      </c>
      <c r="H5960" s="2" t="s">
        <v>21</v>
      </c>
      <c r="I5960" s="2" t="s">
        <v>11826</v>
      </c>
      <c r="J5960" s="3" t="str">
        <f>HYPERLINK("https://www.boe.es/gazeta/dias/1820/08/03/pdfs/GGB-1820-36.pdf#page=1","Abrir facsímil")</f>
        <v>Abrir facsímil</v>
      </c>
      <c r="K5960" s="3" t="s">
        <v>23</v>
      </c>
    </row>
    <row r="5961" spans="1:11" ht="42" customHeight="1">
      <c r="A5961" s="2" t="s">
        <v>11827</v>
      </c>
      <c r="B5961" s="2" t="s">
        <v>11828</v>
      </c>
      <c r="C5961" s="2" t="s">
        <v>107</v>
      </c>
      <c r="D5961" s="2" t="s">
        <v>18</v>
      </c>
      <c r="E5961" s="5">
        <v>-28857</v>
      </c>
      <c r="F5961" s="3" t="s">
        <v>889</v>
      </c>
      <c r="G5961" s="3" t="s">
        <v>890</v>
      </c>
      <c r="H5961" s="2" t="s">
        <v>21</v>
      </c>
      <c r="I5961" s="2" t="s">
        <v>11829</v>
      </c>
      <c r="J5961" s="3" t="str">
        <f>HYPERLINK("https://www.boe.es/gazeta/dias/1820/12/27/pdfs/GGB-1820-184.pdf#page=4","Abrir facsímil")</f>
        <v>Abrir facsímil</v>
      </c>
      <c r="K5961" s="3" t="s">
        <v>23</v>
      </c>
    </row>
    <row r="5962" spans="1:11" ht="42" customHeight="1">
      <c r="A5962" s="2" t="s">
        <v>11830</v>
      </c>
      <c r="B5962" s="2" t="s">
        <v>11830</v>
      </c>
      <c r="C5962" s="2" t="s">
        <v>26</v>
      </c>
      <c r="D5962" s="2" t="s">
        <v>27</v>
      </c>
      <c r="E5962" s="5">
        <v>-28988</v>
      </c>
      <c r="F5962" s="3" t="s">
        <v>618</v>
      </c>
      <c r="G5962" s="3" t="s">
        <v>677</v>
      </c>
      <c r="H5962" s="2" t="s">
        <v>21</v>
      </c>
      <c r="I5962" s="2" t="s">
        <v>11831</v>
      </c>
      <c r="J5962" s="3" t="str">
        <f>HYPERLINK("https://www.boe.es/gazeta/dias/1820/08/18/pdfs/GGB-1820-51.pdf#page=2","Abrir facsímil")</f>
        <v>Abrir facsímil</v>
      </c>
      <c r="K5962" s="3" t="s">
        <v>23</v>
      </c>
    </row>
    <row r="5963" spans="1:11" ht="42" customHeight="1">
      <c r="A5963" s="2" t="s">
        <v>11832</v>
      </c>
      <c r="B5963" s="2" t="s">
        <v>11833</v>
      </c>
      <c r="C5963" s="2" t="s">
        <v>17</v>
      </c>
      <c r="D5963" s="2" t="s">
        <v>18</v>
      </c>
      <c r="E5963" s="5">
        <v>-29080</v>
      </c>
      <c r="F5963" s="3" t="s">
        <v>1031</v>
      </c>
      <c r="G5963" s="3" t="s">
        <v>1080</v>
      </c>
      <c r="H5963" s="2" t="s">
        <v>21</v>
      </c>
      <c r="I5963" s="2" t="s">
        <v>11834</v>
      </c>
      <c r="J5963" s="3" t="str">
        <f>HYPERLINK("https://www.boe.es/gazeta/dias/1820/05/18/pdfs/GMD-1820-82.pdf#page=8","Abrir facsímil")</f>
        <v>Abrir facsímil</v>
      </c>
      <c r="K5963" s="3" t="s">
        <v>23</v>
      </c>
    </row>
    <row r="5964" spans="1:11" ht="42" customHeight="1">
      <c r="A5964" s="2" t="s">
        <v>11835</v>
      </c>
      <c r="B5964" s="2" t="s">
        <v>11835</v>
      </c>
      <c r="C5964" s="2" t="s">
        <v>26</v>
      </c>
      <c r="D5964" s="2" t="s">
        <v>27</v>
      </c>
      <c r="E5964" s="5">
        <v>-28978</v>
      </c>
      <c r="F5964" s="3" t="s">
        <v>203</v>
      </c>
      <c r="G5964" s="3" t="s">
        <v>62</v>
      </c>
      <c r="H5964" s="2" t="s">
        <v>21</v>
      </c>
      <c r="I5964" s="2" t="s">
        <v>11836</v>
      </c>
      <c r="J5964" s="3" t="str">
        <f>HYPERLINK("https://www.boe.es/gazeta/dias/1820/08/28/pdfs/GGB-1820-61.pdf#page=3","Abrir facsímil")</f>
        <v>Abrir facsímil</v>
      </c>
      <c r="K5964" s="3" t="s">
        <v>23</v>
      </c>
    </row>
    <row r="5965" spans="1:11" ht="42" customHeight="1">
      <c r="A5965" s="2" t="s">
        <v>11835</v>
      </c>
      <c r="B5965" s="2" t="s">
        <v>11835</v>
      </c>
      <c r="C5965" s="2" t="s">
        <v>74</v>
      </c>
      <c r="D5965" s="2" t="s">
        <v>18</v>
      </c>
      <c r="E5965" s="5">
        <v>-28945</v>
      </c>
      <c r="F5965" s="3" t="s">
        <v>99</v>
      </c>
      <c r="G5965" s="3" t="s">
        <v>20</v>
      </c>
      <c r="H5965" s="2" t="s">
        <v>21</v>
      </c>
      <c r="I5965" s="2" t="s">
        <v>11837</v>
      </c>
      <c r="J5965" s="3" t="str">
        <f>HYPERLINK("https://www.boe.es/gazeta/dias/1820/09/30/pdfs/GGB-1820-94.pdf#page=4","Abrir facsímil")</f>
        <v>Abrir facsímil</v>
      </c>
      <c r="K5965" s="3" t="s">
        <v>23</v>
      </c>
    </row>
    <row r="5966" spans="1:11" ht="42" customHeight="1">
      <c r="A5966" s="2" t="s">
        <v>11835</v>
      </c>
      <c r="B5966" s="2" t="s">
        <v>11835</v>
      </c>
      <c r="C5966" s="2" t="s">
        <v>74</v>
      </c>
      <c r="D5966" s="2" t="s">
        <v>18</v>
      </c>
      <c r="E5966" s="5">
        <v>-28938</v>
      </c>
      <c r="F5966" s="3" t="s">
        <v>716</v>
      </c>
      <c r="G5966" s="3" t="s">
        <v>62</v>
      </c>
      <c r="H5966" s="2" t="s">
        <v>21</v>
      </c>
      <c r="I5966" s="2" t="s">
        <v>11838</v>
      </c>
      <c r="J5966" s="3" t="str">
        <f>HYPERLINK("https://www.boe.es/gazeta/dias/1820/10/07/pdfs/GGB-1820-101.pdf#page=3","Abrir facsímil")</f>
        <v>Abrir facsímil</v>
      </c>
      <c r="K5966" s="3" t="s">
        <v>23</v>
      </c>
    </row>
    <row r="5967" spans="1:11" ht="42" customHeight="1">
      <c r="A5967" s="2" t="s">
        <v>11835</v>
      </c>
      <c r="B5967" s="2" t="s">
        <v>11835</v>
      </c>
      <c r="C5967" s="2" t="s">
        <v>17</v>
      </c>
      <c r="D5967" s="2" t="s">
        <v>18</v>
      </c>
      <c r="E5967" s="5">
        <v>-28921</v>
      </c>
      <c r="F5967" s="3" t="s">
        <v>738</v>
      </c>
      <c r="G5967" s="3" t="s">
        <v>3686</v>
      </c>
      <c r="H5967" s="2" t="s">
        <v>21</v>
      </c>
      <c r="I5967" s="2" t="s">
        <v>11839</v>
      </c>
      <c r="J5967" s="3" t="str">
        <f>HYPERLINK("https://www.boe.es/gazeta/dias/1820/10/24/pdfs/GGB-1820-118.pdf#page=3","Abrir facsímil")</f>
        <v>Abrir facsímil</v>
      </c>
      <c r="K5967" s="3" t="s">
        <v>23</v>
      </c>
    </row>
    <row r="5968" spans="1:11" ht="42" customHeight="1">
      <c r="A5968" s="2" t="s">
        <v>11840</v>
      </c>
      <c r="B5968" s="2" t="s">
        <v>11841</v>
      </c>
      <c r="C5968" s="2" t="s">
        <v>17</v>
      </c>
      <c r="D5968" s="2" t="s">
        <v>18</v>
      </c>
      <c r="E5968" s="5">
        <v>-28866</v>
      </c>
      <c r="F5968" s="3" t="s">
        <v>507</v>
      </c>
      <c r="G5968" s="3" t="s">
        <v>62</v>
      </c>
      <c r="H5968" s="2" t="s">
        <v>21</v>
      </c>
      <c r="I5968" s="2" t="s">
        <v>11842</v>
      </c>
      <c r="J5968" s="3" t="str">
        <f>HYPERLINK("https://www.boe.es/gazeta/dias/1820/12/18/pdfs/GGB-1820-175.pdf#page=3","Abrir facsímil")</f>
        <v>Abrir facsímil</v>
      </c>
      <c r="K5968" s="3" t="s">
        <v>23</v>
      </c>
    </row>
    <row r="5969" spans="1:11" ht="42" customHeight="1">
      <c r="A5969" s="2" t="s">
        <v>11843</v>
      </c>
      <c r="B5969" s="2" t="s">
        <v>11844</v>
      </c>
      <c r="C5969" s="2" t="s">
        <v>26</v>
      </c>
      <c r="D5969" s="2" t="s">
        <v>27</v>
      </c>
      <c r="E5969" s="5">
        <v>-28865</v>
      </c>
      <c r="F5969" s="3" t="s">
        <v>136</v>
      </c>
      <c r="G5969" s="3" t="s">
        <v>137</v>
      </c>
      <c r="H5969" s="2" t="s">
        <v>21</v>
      </c>
      <c r="I5969" s="2" t="s">
        <v>11845</v>
      </c>
      <c r="J5969" s="3" t="str">
        <f>HYPERLINK("https://www.boe.es/gazeta/dias/1820/12/19/pdfs/GGB-1820-176.pdf#page=3","Abrir facsímil")</f>
        <v>Abrir facsímil</v>
      </c>
      <c r="K5969" s="3" t="s">
        <v>23</v>
      </c>
    </row>
    <row r="5970" spans="1:11" ht="42" customHeight="1">
      <c r="A5970" s="2" t="s">
        <v>11846</v>
      </c>
      <c r="B5970" s="2" t="s">
        <v>11847</v>
      </c>
      <c r="C5970" s="2" t="s">
        <v>17</v>
      </c>
      <c r="D5970" s="2" t="s">
        <v>18</v>
      </c>
      <c r="E5970" s="5">
        <v>-28884</v>
      </c>
      <c r="F5970" s="3" t="s">
        <v>882</v>
      </c>
      <c r="G5970" s="3" t="s">
        <v>38</v>
      </c>
      <c r="H5970" s="2" t="s">
        <v>21</v>
      </c>
      <c r="I5970" s="2" t="s">
        <v>11848</v>
      </c>
      <c r="J5970" s="3" t="str">
        <f>HYPERLINK("https://www.boe.es/gazeta/dias/1820/11/30/pdfs/GGB-1820-157.pdf#page=6","Abrir facsímil")</f>
        <v>Abrir facsímil</v>
      </c>
      <c r="K5970" s="3" t="s">
        <v>23</v>
      </c>
    </row>
    <row r="5971" spans="1:11" ht="42" customHeight="1">
      <c r="A5971" s="2" t="s">
        <v>11849</v>
      </c>
      <c r="B5971" s="2" t="s">
        <v>11850</v>
      </c>
      <c r="C5971" s="2" t="s">
        <v>74</v>
      </c>
      <c r="D5971" s="2" t="s">
        <v>18</v>
      </c>
      <c r="E5971" s="5">
        <v>-28989</v>
      </c>
      <c r="F5971" s="3" t="s">
        <v>809</v>
      </c>
      <c r="G5971" s="3" t="s">
        <v>62</v>
      </c>
      <c r="H5971" s="2" t="s">
        <v>21</v>
      </c>
      <c r="I5971" s="2" t="s">
        <v>11851</v>
      </c>
      <c r="J5971" s="3" t="str">
        <f>HYPERLINK("https://www.boe.es/gazeta/dias/1820/08/17/pdfs/GGB-1820-50.pdf#page=3","Abrir facsímil")</f>
        <v>Abrir facsímil</v>
      </c>
      <c r="K5971" s="3" t="s">
        <v>23</v>
      </c>
    </row>
    <row r="5972" spans="1:11" ht="42" customHeight="1">
      <c r="A5972" s="2" t="s">
        <v>11852</v>
      </c>
      <c r="B5972" s="2" t="s">
        <v>11853</v>
      </c>
      <c r="C5972" s="2" t="s">
        <v>293</v>
      </c>
      <c r="D5972" s="2" t="s">
        <v>18</v>
      </c>
      <c r="E5972" s="5">
        <v>-28869</v>
      </c>
      <c r="F5972" s="3" t="s">
        <v>449</v>
      </c>
      <c r="G5972" s="3" t="s">
        <v>450</v>
      </c>
      <c r="H5972" s="2" t="s">
        <v>21</v>
      </c>
      <c r="I5972" s="2" t="s">
        <v>11854</v>
      </c>
      <c r="J5972" s="3" t="str">
        <f>HYPERLINK("https://www.boe.es/gazeta/dias/1820/12/15/pdfs/GGB-1820-172.pdf#page=4","Abrir facsímil")</f>
        <v>Abrir facsímil</v>
      </c>
      <c r="K5972" s="3" t="s">
        <v>23</v>
      </c>
    </row>
    <row r="5973" spans="1:11" ht="42" customHeight="1">
      <c r="A5973" s="2" t="s">
        <v>11855</v>
      </c>
      <c r="B5973" s="2" t="s">
        <v>11856</v>
      </c>
      <c r="C5973" s="2" t="s">
        <v>26</v>
      </c>
      <c r="D5973" s="2" t="s">
        <v>27</v>
      </c>
      <c r="E5973" s="5">
        <v>-28986</v>
      </c>
      <c r="F5973" s="3" t="s">
        <v>488</v>
      </c>
      <c r="G5973" s="3" t="s">
        <v>489</v>
      </c>
      <c r="H5973" s="2" t="s">
        <v>21</v>
      </c>
      <c r="I5973" s="2" t="s">
        <v>11857</v>
      </c>
      <c r="J5973" s="3" t="str">
        <f>HYPERLINK("https://www.boe.es/gazeta/dias/1820/08/20/pdfs/GGB-1820-53.pdf#page=2","Abrir facsímil")</f>
        <v>Abrir facsímil</v>
      </c>
      <c r="K5973" s="3" t="s">
        <v>23</v>
      </c>
    </row>
    <row r="5974" spans="1:11" ht="42" customHeight="1">
      <c r="A5974" s="2" t="s">
        <v>11858</v>
      </c>
      <c r="B5974" s="2" t="s">
        <v>11859</v>
      </c>
      <c r="C5974" s="2" t="s">
        <v>35</v>
      </c>
      <c r="D5974" s="2" t="s">
        <v>36</v>
      </c>
      <c r="E5974" s="5">
        <v>-28922</v>
      </c>
      <c r="F5974" s="3" t="s">
        <v>735</v>
      </c>
      <c r="G5974" s="3" t="s">
        <v>62</v>
      </c>
      <c r="H5974" s="2" t="s">
        <v>21</v>
      </c>
      <c r="I5974" s="2" t="s">
        <v>11860</v>
      </c>
      <c r="J5974" s="3" t="str">
        <f>HYPERLINK("https://www.boe.es/gazeta/dias/1820/10/23/pdfs/GGB-1820-117.pdf#page=3","Abrir facsímil")</f>
        <v>Abrir facsímil</v>
      </c>
      <c r="K5974" s="3" t="s">
        <v>23</v>
      </c>
    </row>
    <row r="5975" spans="1:11" ht="42" customHeight="1">
      <c r="A5975" s="2" t="s">
        <v>11861</v>
      </c>
      <c r="B5975" s="2" t="s">
        <v>11862</v>
      </c>
      <c r="C5975" s="2" t="s">
        <v>26</v>
      </c>
      <c r="D5975" s="2" t="s">
        <v>27</v>
      </c>
      <c r="E5975" s="5">
        <v>-29173</v>
      </c>
      <c r="F5975" s="3" t="s">
        <v>829</v>
      </c>
      <c r="G5975" s="3" t="s">
        <v>8819</v>
      </c>
      <c r="H5975" s="2" t="s">
        <v>21</v>
      </c>
      <c r="I5975" s="2" t="s">
        <v>11863</v>
      </c>
      <c r="J5975" s="3" t="str">
        <f>HYPERLINK("https://www.boe.es/gazeta/dias/1820/02/15/pdfs/GMD-1820-20.pdf#page=7","Abrir facsímil")</f>
        <v>Abrir facsímil</v>
      </c>
      <c r="K5975" s="3" t="s">
        <v>23</v>
      </c>
    </row>
    <row r="5976" spans="1:11" ht="42" customHeight="1">
      <c r="A5976" s="2" t="s">
        <v>11864</v>
      </c>
      <c r="B5976" s="2" t="s">
        <v>11864</v>
      </c>
      <c r="C5976" s="2" t="s">
        <v>26</v>
      </c>
      <c r="D5976" s="2" t="s">
        <v>27</v>
      </c>
      <c r="E5976" s="5">
        <v>-28902</v>
      </c>
      <c r="F5976" s="3" t="s">
        <v>440</v>
      </c>
      <c r="G5976" s="3" t="s">
        <v>1080</v>
      </c>
      <c r="H5976" s="2" t="s">
        <v>21</v>
      </c>
      <c r="I5976" s="2" t="s">
        <v>11865</v>
      </c>
      <c r="J5976" s="3" t="str">
        <f>HYPERLINK("https://www.boe.es/gazeta/dias/1820/11/12/pdfs/GGB-1820-138.pdf#page=1","Abrir facsímil")</f>
        <v>Abrir facsímil</v>
      </c>
      <c r="K5976" s="3" t="s">
        <v>23</v>
      </c>
    </row>
    <row r="5977" spans="1:11" ht="42" customHeight="1">
      <c r="A5977" s="2" t="s">
        <v>11866</v>
      </c>
      <c r="B5977" s="2" t="s">
        <v>11866</v>
      </c>
      <c r="C5977" s="2" t="s">
        <v>26</v>
      </c>
      <c r="D5977" s="2" t="s">
        <v>27</v>
      </c>
      <c r="E5977" s="5">
        <v>-29045</v>
      </c>
      <c r="F5977" s="3" t="s">
        <v>155</v>
      </c>
      <c r="G5977" s="3" t="s">
        <v>43</v>
      </c>
      <c r="H5977" s="2" t="s">
        <v>21</v>
      </c>
      <c r="I5977" s="2" t="s">
        <v>11867</v>
      </c>
      <c r="J5977" s="3" t="str">
        <f>HYPERLINK("https://www.boe.es/gazeta/dias/1820/06/22/pdfs/GMD-1820-97.pdf#page=2","Abrir facsímil")</f>
        <v>Abrir facsímil</v>
      </c>
      <c r="K5977" s="3" t="s">
        <v>23</v>
      </c>
    </row>
    <row r="5978" spans="1:11" ht="42" customHeight="1">
      <c r="A5978" s="2" t="s">
        <v>11868</v>
      </c>
      <c r="B5978" s="2" t="s">
        <v>11869</v>
      </c>
      <c r="C5978" s="2" t="s">
        <v>26</v>
      </c>
      <c r="D5978" s="2" t="s">
        <v>27</v>
      </c>
      <c r="E5978" s="5">
        <v>-28973</v>
      </c>
      <c r="F5978" s="3" t="s">
        <v>151</v>
      </c>
      <c r="G5978" s="3" t="s">
        <v>20</v>
      </c>
      <c r="H5978" s="2" t="s">
        <v>21</v>
      </c>
      <c r="I5978" s="2" t="s">
        <v>11870</v>
      </c>
      <c r="J5978" s="3" t="str">
        <f>HYPERLINK("https://www.boe.es/gazeta/dias/1820/09/02/pdfs/GGB-1820-66.pdf#page=4","Abrir facsímil")</f>
        <v>Abrir facsímil</v>
      </c>
      <c r="K5978" s="3" t="s">
        <v>23</v>
      </c>
    </row>
    <row r="5979" spans="1:11" ht="42" customHeight="1">
      <c r="A5979" s="2" t="s">
        <v>11871</v>
      </c>
      <c r="B5979" s="2" t="s">
        <v>11872</v>
      </c>
      <c r="C5979" s="2" t="s">
        <v>293</v>
      </c>
      <c r="D5979" s="2" t="s">
        <v>18</v>
      </c>
      <c r="E5979" s="5">
        <v>-29150</v>
      </c>
      <c r="F5979" s="3" t="s">
        <v>299</v>
      </c>
      <c r="G5979" s="3" t="s">
        <v>201</v>
      </c>
      <c r="H5979" s="2" t="s">
        <v>21</v>
      </c>
      <c r="I5979" s="2" t="s">
        <v>11873</v>
      </c>
      <c r="J5979" s="3" t="str">
        <f>HYPERLINK("https://www.boe.es/gazeta/dias/1820/03/09/pdfs/GMD-1820-32.pdf#page=7","Abrir facsímil")</f>
        <v>Abrir facsímil</v>
      </c>
      <c r="K5979" s="3" t="s">
        <v>23</v>
      </c>
    </row>
    <row r="5980" spans="1:11" ht="42" customHeight="1">
      <c r="A5980" s="2" t="s">
        <v>11874</v>
      </c>
      <c r="B5980" s="2" t="s">
        <v>11875</v>
      </c>
      <c r="C5980" s="2" t="s">
        <v>74</v>
      </c>
      <c r="D5980" s="2" t="s">
        <v>18</v>
      </c>
      <c r="E5980" s="5">
        <v>-28913</v>
      </c>
      <c r="F5980" s="3" t="s">
        <v>230</v>
      </c>
      <c r="G5980" s="3" t="s">
        <v>43</v>
      </c>
      <c r="H5980" s="2" t="s">
        <v>21</v>
      </c>
      <c r="I5980" s="2" t="s">
        <v>11876</v>
      </c>
      <c r="J5980" s="3" t="str">
        <f>HYPERLINK("https://www.boe.es/gazeta/dias/1820/11/01/pdfs/GGB-1820-126.pdf#page=2","Abrir facsímil")</f>
        <v>Abrir facsímil</v>
      </c>
      <c r="K5980" s="3" t="s">
        <v>23</v>
      </c>
    </row>
    <row r="5981" spans="1:11" ht="42" customHeight="1">
      <c r="A5981" s="2" t="s">
        <v>11877</v>
      </c>
      <c r="B5981" s="2" t="s">
        <v>11878</v>
      </c>
      <c r="C5981" s="2" t="s">
        <v>17</v>
      </c>
      <c r="D5981" s="2" t="s">
        <v>18</v>
      </c>
      <c r="E5981" s="5">
        <v>-28864</v>
      </c>
      <c r="F5981" s="3" t="s">
        <v>1275</v>
      </c>
      <c r="G5981" s="3" t="s">
        <v>38</v>
      </c>
      <c r="H5981" s="2" t="s">
        <v>21</v>
      </c>
      <c r="I5981" s="2" t="s">
        <v>11879</v>
      </c>
      <c r="J5981" s="3" t="str">
        <f>HYPERLINK("https://www.boe.es/gazeta/dias/1820/12/20/pdfs/GGB-1820-177.pdf#page=6","Abrir facsímil")</f>
        <v>Abrir facsímil</v>
      </c>
      <c r="K5981" s="3" t="s">
        <v>23</v>
      </c>
    </row>
    <row r="5982" spans="1:11" ht="42" customHeight="1">
      <c r="A5982" s="2" t="s">
        <v>11880</v>
      </c>
      <c r="B5982" s="2" t="s">
        <v>11881</v>
      </c>
      <c r="C5982" s="2" t="s">
        <v>26</v>
      </c>
      <c r="D5982" s="2" t="s">
        <v>27</v>
      </c>
      <c r="E5982" s="5">
        <v>-28956</v>
      </c>
      <c r="F5982" s="3" t="s">
        <v>190</v>
      </c>
      <c r="G5982" s="3" t="s">
        <v>20</v>
      </c>
      <c r="H5982" s="2" t="s">
        <v>21</v>
      </c>
      <c r="I5982" s="2" t="s">
        <v>11882</v>
      </c>
      <c r="J5982" s="3" t="str">
        <f>HYPERLINK("https://www.boe.es/gazeta/dias/1820/09/19/pdfs/GGB-1820-83.pdf#page=4","Abrir facsímil")</f>
        <v>Abrir facsímil</v>
      </c>
      <c r="K5982" s="3" t="s">
        <v>23</v>
      </c>
    </row>
    <row r="5983" spans="1:11" ht="42" customHeight="1">
      <c r="A5983" s="2" t="s">
        <v>11883</v>
      </c>
      <c r="B5983" s="2" t="s">
        <v>11884</v>
      </c>
      <c r="C5983" s="2" t="s">
        <v>26</v>
      </c>
      <c r="D5983" s="2" t="s">
        <v>27</v>
      </c>
      <c r="E5983" s="5">
        <v>-28994</v>
      </c>
      <c r="F5983" s="3" t="s">
        <v>1612</v>
      </c>
      <c r="G5983" s="3" t="s">
        <v>43</v>
      </c>
      <c r="H5983" s="2" t="s">
        <v>30</v>
      </c>
      <c r="I5983" s="2" t="s">
        <v>11885</v>
      </c>
      <c r="J5983" s="3" t="str">
        <f>HYPERLINK("https://www.boe.es/gazeta/dias/1820/08/12/pdfs/GGB-1820-45.pdf#page=2","Abrir facsímil")</f>
        <v>Abrir facsímil</v>
      </c>
      <c r="K5983" s="3" t="s">
        <v>32</v>
      </c>
    </row>
    <row r="5984" spans="1:11" ht="42" customHeight="1">
      <c r="A5984" s="2" t="s">
        <v>11886</v>
      </c>
      <c r="B5984" s="2" t="s">
        <v>11887</v>
      </c>
      <c r="C5984" s="2" t="s">
        <v>26</v>
      </c>
      <c r="D5984" s="2" t="s">
        <v>27</v>
      </c>
      <c r="E5984" s="5">
        <v>-28977</v>
      </c>
      <c r="F5984" s="3" t="s">
        <v>687</v>
      </c>
      <c r="G5984" s="3" t="s">
        <v>43</v>
      </c>
      <c r="H5984" s="2" t="s">
        <v>21</v>
      </c>
      <c r="I5984" s="2" t="s">
        <v>11888</v>
      </c>
      <c r="J5984" s="3" t="str">
        <f>HYPERLINK("https://www.boe.es/gazeta/dias/1820/08/29/pdfs/GGB-1820-62.pdf#page=2","Abrir facsímil")</f>
        <v>Abrir facsímil</v>
      </c>
      <c r="K5984" s="3" t="s">
        <v>23</v>
      </c>
    </row>
    <row r="5985" spans="1:11" ht="42" customHeight="1">
      <c r="A5985" s="2" t="s">
        <v>11889</v>
      </c>
      <c r="B5985" s="2" t="s">
        <v>11889</v>
      </c>
      <c r="C5985" s="2" t="s">
        <v>26</v>
      </c>
      <c r="D5985" s="2" t="s">
        <v>27</v>
      </c>
      <c r="E5985" s="5">
        <v>-28873</v>
      </c>
      <c r="F5985" s="3" t="s">
        <v>4997</v>
      </c>
      <c r="G5985" s="3" t="s">
        <v>128</v>
      </c>
      <c r="H5985" s="2" t="s">
        <v>21</v>
      </c>
      <c r="I5985" s="2" t="s">
        <v>11890</v>
      </c>
      <c r="J5985" s="3" t="str">
        <f>HYPERLINK("https://www.boe.es/gazeta/dias/1820/12/11/pdfs/GGB-1820-168.pdf#page=1","Abrir facsímil")</f>
        <v>Abrir facsímil</v>
      </c>
      <c r="K5985" s="3" t="s">
        <v>23</v>
      </c>
    </row>
    <row r="5986" spans="1:11" ht="42" customHeight="1">
      <c r="A5986" s="2" t="s">
        <v>11891</v>
      </c>
      <c r="B5986" s="2" t="s">
        <v>11891</v>
      </c>
      <c r="C5986" s="2" t="s">
        <v>26</v>
      </c>
      <c r="D5986" s="2" t="s">
        <v>27</v>
      </c>
      <c r="E5986" s="5">
        <v>-28854</v>
      </c>
      <c r="F5986" s="3" t="s">
        <v>147</v>
      </c>
      <c r="G5986" s="3" t="s">
        <v>43</v>
      </c>
      <c r="H5986" s="2" t="s">
        <v>21</v>
      </c>
      <c r="I5986" s="2" t="s">
        <v>11892</v>
      </c>
      <c r="J5986" s="3" t="str">
        <f>HYPERLINK("https://www.boe.es/gazeta/dias/1820/12/30/pdfs/GGB-1820-187.pdf#page=2","Abrir facsímil")</f>
        <v>Abrir facsímil</v>
      </c>
      <c r="K5986" s="3" t="s">
        <v>23</v>
      </c>
    </row>
    <row r="5987" spans="1:11" ht="42" customHeight="1">
      <c r="A5987" s="2" t="s">
        <v>11891</v>
      </c>
      <c r="B5987" s="2" t="s">
        <v>11891</v>
      </c>
      <c r="C5987" s="2" t="s">
        <v>26</v>
      </c>
      <c r="D5987" s="2" t="s">
        <v>27</v>
      </c>
      <c r="E5987" s="5">
        <v>-28854</v>
      </c>
      <c r="F5987" s="3" t="s">
        <v>147</v>
      </c>
      <c r="G5987" s="3" t="s">
        <v>20</v>
      </c>
      <c r="H5987" s="2" t="s">
        <v>21</v>
      </c>
      <c r="I5987" s="2" t="s">
        <v>11893</v>
      </c>
      <c r="J5987" s="3" t="str">
        <f>HYPERLINK("https://www.boe.es/gazeta/dias/1820/12/30/pdfs/GGB-1820-187.pdf#page=4","Abrir facsímil")</f>
        <v>Abrir facsímil</v>
      </c>
      <c r="K5987" s="3" t="s">
        <v>23</v>
      </c>
    </row>
    <row r="5988" spans="1:11" ht="42" customHeight="1">
      <c r="A5988" s="2" t="s">
        <v>11894</v>
      </c>
      <c r="B5988" s="2" t="s">
        <v>11894</v>
      </c>
      <c r="C5988" s="2" t="s">
        <v>35</v>
      </c>
      <c r="D5988" s="2" t="s">
        <v>36</v>
      </c>
      <c r="E5988" s="5">
        <v>-29057</v>
      </c>
      <c r="F5988" s="3" t="s">
        <v>2141</v>
      </c>
      <c r="G5988" s="3" t="s">
        <v>295</v>
      </c>
      <c r="H5988" s="2" t="s">
        <v>21</v>
      </c>
      <c r="I5988" s="2" t="s">
        <v>11895</v>
      </c>
      <c r="J5988" s="3" t="str">
        <f>HYPERLINK("https://www.boe.es/gazeta/dias/1820/06/10/pdfs/GMD-1820-92.pdf#page=8","Abrir facsímil")</f>
        <v>Abrir facsímil</v>
      </c>
      <c r="K5988" s="3" t="s">
        <v>23</v>
      </c>
    </row>
    <row r="5989" spans="1:11" ht="42" customHeight="1">
      <c r="A5989" s="2" t="s">
        <v>11894</v>
      </c>
      <c r="B5989" s="2" t="s">
        <v>11894</v>
      </c>
      <c r="C5989" s="2" t="s">
        <v>35</v>
      </c>
      <c r="D5989" s="2" t="s">
        <v>36</v>
      </c>
      <c r="E5989" s="5">
        <v>-28917</v>
      </c>
      <c r="F5989" s="3" t="s">
        <v>19</v>
      </c>
      <c r="G5989" s="3" t="s">
        <v>43</v>
      </c>
      <c r="H5989" s="2" t="s">
        <v>21</v>
      </c>
      <c r="I5989" s="2" t="s">
        <v>11896</v>
      </c>
      <c r="J5989" s="3" t="str">
        <f>HYPERLINK("https://www.boe.es/gazeta/dias/1820/10/28/pdfs/GGB-1820-122.pdf#page=2","Abrir facsímil")</f>
        <v>Abrir facsímil</v>
      </c>
      <c r="K5989" s="3" t="s">
        <v>23</v>
      </c>
    </row>
    <row r="5990" spans="1:11" ht="42" customHeight="1">
      <c r="A5990" s="2" t="s">
        <v>11897</v>
      </c>
      <c r="B5990" s="2" t="s">
        <v>11898</v>
      </c>
      <c r="C5990" s="2" t="s">
        <v>35</v>
      </c>
      <c r="D5990" s="2" t="s">
        <v>310</v>
      </c>
      <c r="E5990" s="5">
        <v>-29140</v>
      </c>
      <c r="F5990" s="3" t="s">
        <v>533</v>
      </c>
      <c r="G5990" s="3" t="s">
        <v>128</v>
      </c>
      <c r="H5990" s="2" t="s">
        <v>21</v>
      </c>
      <c r="I5990" s="2" t="s">
        <v>11899</v>
      </c>
      <c r="J5990" s="3" t="str">
        <f>HYPERLINK("https://www.boe.es/gazeta/dias/1820/03/19/pdfs/GMD-1820-45E.pdf#page=1","Abrir facsímil")</f>
        <v>Abrir facsímil</v>
      </c>
      <c r="K5990" s="3" t="s">
        <v>23</v>
      </c>
    </row>
    <row r="5991" spans="1:11" ht="42" customHeight="1">
      <c r="A5991" s="2" t="s">
        <v>11900</v>
      </c>
      <c r="B5991" s="2" t="s">
        <v>11901</v>
      </c>
      <c r="C5991" s="2" t="s">
        <v>35</v>
      </c>
      <c r="D5991" s="2" t="s">
        <v>36</v>
      </c>
      <c r="E5991" s="5">
        <v>-29124</v>
      </c>
      <c r="F5991" s="3" t="s">
        <v>4097</v>
      </c>
      <c r="G5991" s="3" t="s">
        <v>201</v>
      </c>
      <c r="H5991" s="2" t="s">
        <v>21</v>
      </c>
      <c r="I5991" s="2" t="s">
        <v>11902</v>
      </c>
      <c r="J5991" s="3" t="str">
        <f>HYPERLINK("https://www.boe.es/gazeta/dias/1820/04/04/pdfs/GMD-1820-60.pdf#page=7","Abrir facsímil")</f>
        <v>Abrir facsímil</v>
      </c>
      <c r="K5991" s="3" t="s">
        <v>23</v>
      </c>
    </row>
    <row r="5992" spans="1:11" ht="42" customHeight="1">
      <c r="A5992" s="2" t="s">
        <v>11903</v>
      </c>
      <c r="B5992" s="2" t="s">
        <v>11903</v>
      </c>
      <c r="C5992" s="2" t="s">
        <v>17</v>
      </c>
      <c r="D5992" s="2" t="s">
        <v>18</v>
      </c>
      <c r="E5992" s="5">
        <v>-28969</v>
      </c>
      <c r="F5992" s="3" t="s">
        <v>225</v>
      </c>
      <c r="G5992" s="3" t="s">
        <v>43</v>
      </c>
      <c r="H5992" s="2" t="s">
        <v>21</v>
      </c>
      <c r="I5992" s="2" t="s">
        <v>11904</v>
      </c>
      <c r="J5992" s="3" t="str">
        <f>HYPERLINK("https://www.boe.es/gazeta/dias/1820/09/06/pdfs/GGB-1820-70.pdf#page=2","Abrir facsímil")</f>
        <v>Abrir facsímil</v>
      </c>
      <c r="K5992" s="3" t="s">
        <v>23</v>
      </c>
    </row>
    <row r="5993" spans="1:11" ht="42" customHeight="1">
      <c r="A5993" s="2" t="s">
        <v>11903</v>
      </c>
      <c r="B5993" s="2" t="s">
        <v>11903</v>
      </c>
      <c r="C5993" s="2" t="s">
        <v>74</v>
      </c>
      <c r="D5993" s="2" t="s">
        <v>18</v>
      </c>
      <c r="E5993" s="5">
        <v>-28912</v>
      </c>
      <c r="F5993" s="3" t="s">
        <v>1329</v>
      </c>
      <c r="G5993" s="3" t="s">
        <v>62</v>
      </c>
      <c r="H5993" s="2" t="s">
        <v>21</v>
      </c>
      <c r="I5993" s="2" t="s">
        <v>11905</v>
      </c>
      <c r="J5993" s="3" t="str">
        <f>HYPERLINK("https://www.boe.es/gazeta/dias/1820/11/02/pdfs/GGB-1820-127.pdf#page=3","Abrir facsímil")</f>
        <v>Abrir facsímil</v>
      </c>
      <c r="K5993" s="3" t="s">
        <v>23</v>
      </c>
    </row>
    <row r="5994" spans="1:11" ht="42" customHeight="1">
      <c r="A5994" s="2" t="s">
        <v>11906</v>
      </c>
      <c r="B5994" s="2" t="s">
        <v>11907</v>
      </c>
      <c r="C5994" s="2" t="s">
        <v>293</v>
      </c>
      <c r="D5994" s="2" t="s">
        <v>18</v>
      </c>
      <c r="E5994" s="5">
        <v>-28929</v>
      </c>
      <c r="F5994" s="3" t="s">
        <v>728</v>
      </c>
      <c r="G5994" s="3" t="s">
        <v>20</v>
      </c>
      <c r="H5994" s="2" t="s">
        <v>21</v>
      </c>
      <c r="I5994" s="2" t="s">
        <v>11908</v>
      </c>
      <c r="J5994" s="3" t="str">
        <f>HYPERLINK("https://www.boe.es/gazeta/dias/1820/10/16/pdfs/GGB-1820-110.pdf#page=4","Abrir facsímil")</f>
        <v>Abrir facsímil</v>
      </c>
      <c r="K5994" s="3" t="s">
        <v>23</v>
      </c>
    </row>
    <row r="5995" spans="1:11" ht="42" customHeight="1">
      <c r="A5995" s="2" t="s">
        <v>11909</v>
      </c>
      <c r="B5995" s="2" t="s">
        <v>11910</v>
      </c>
      <c r="C5995" s="2" t="s">
        <v>35</v>
      </c>
      <c r="D5995" s="2" t="s">
        <v>310</v>
      </c>
      <c r="E5995" s="5">
        <v>-29142</v>
      </c>
      <c r="F5995" s="3" t="s">
        <v>2712</v>
      </c>
      <c r="G5995" s="3" t="s">
        <v>43</v>
      </c>
      <c r="H5995" s="2" t="s">
        <v>21</v>
      </c>
      <c r="I5995" s="2" t="s">
        <v>11911</v>
      </c>
      <c r="J5995" s="3" t="str">
        <f>HYPERLINK("https://www.boe.es/gazeta/dias/1820/03/17/pdfs/GMD-1820-43E.pdf#page=2","Abrir facsímil")</f>
        <v>Abrir facsímil</v>
      </c>
      <c r="K5995" s="3" t="s">
        <v>23</v>
      </c>
    </row>
    <row r="5996" spans="1:11" ht="42" customHeight="1">
      <c r="A5996" s="2" t="s">
        <v>11912</v>
      </c>
      <c r="B5996" s="2" t="s">
        <v>11912</v>
      </c>
      <c r="C5996" s="2" t="s">
        <v>35</v>
      </c>
      <c r="D5996" s="2" t="s">
        <v>36</v>
      </c>
      <c r="E5996" s="5">
        <v>-29017</v>
      </c>
      <c r="F5996" s="3" t="s">
        <v>274</v>
      </c>
      <c r="G5996" s="3" t="s">
        <v>43</v>
      </c>
      <c r="H5996" s="2" t="s">
        <v>21</v>
      </c>
      <c r="I5996" s="2" t="s">
        <v>11913</v>
      </c>
      <c r="J5996" s="3" t="str">
        <f>HYPERLINK("https://www.boe.es/gazeta/dias/1820/07/20/pdfs/GGB-1820-22.pdf#page=2","Abrir facsímil")</f>
        <v>Abrir facsímil</v>
      </c>
      <c r="K5996" s="3" t="s">
        <v>23</v>
      </c>
    </row>
    <row r="5997" spans="1:11" ht="42" customHeight="1">
      <c r="A5997" s="2" t="s">
        <v>11912</v>
      </c>
      <c r="B5997" s="2" t="s">
        <v>11912</v>
      </c>
      <c r="C5997" s="2" t="s">
        <v>17</v>
      </c>
      <c r="D5997" s="2" t="s">
        <v>18</v>
      </c>
      <c r="E5997" s="5">
        <v>-29016</v>
      </c>
      <c r="F5997" s="3" t="s">
        <v>657</v>
      </c>
      <c r="G5997" s="3" t="s">
        <v>20</v>
      </c>
      <c r="H5997" s="2" t="s">
        <v>21</v>
      </c>
      <c r="I5997" s="2" t="s">
        <v>11914</v>
      </c>
      <c r="J5997" s="3" t="str">
        <f>HYPERLINK("https://www.boe.es/gazeta/dias/1820/07/21/pdfs/GGB-1820-23.pdf#page=4","Abrir facsímil")</f>
        <v>Abrir facsímil</v>
      </c>
      <c r="K5997" s="3" t="s">
        <v>23</v>
      </c>
    </row>
    <row r="5998" spans="1:11" ht="42" customHeight="1">
      <c r="A5998" s="2" t="s">
        <v>11912</v>
      </c>
      <c r="B5998" s="2" t="s">
        <v>11912</v>
      </c>
      <c r="C5998" s="2" t="s">
        <v>74</v>
      </c>
      <c r="D5998" s="2" t="s">
        <v>18</v>
      </c>
      <c r="E5998" s="5">
        <v>-28986</v>
      </c>
      <c r="F5998" s="3" t="s">
        <v>488</v>
      </c>
      <c r="G5998" s="3" t="s">
        <v>62</v>
      </c>
      <c r="H5998" s="2" t="s">
        <v>21</v>
      </c>
      <c r="I5998" s="2" t="s">
        <v>11915</v>
      </c>
      <c r="J5998" s="3" t="str">
        <f>HYPERLINK("https://www.boe.es/gazeta/dias/1820/08/20/pdfs/GGB-1820-53.pdf#page=3","Abrir facsímil")</f>
        <v>Abrir facsímil</v>
      </c>
      <c r="K5998" s="3" t="s">
        <v>23</v>
      </c>
    </row>
    <row r="5999" spans="1:11" ht="42" customHeight="1">
      <c r="A5999" s="2" t="s">
        <v>11912</v>
      </c>
      <c r="B5999" s="2" t="s">
        <v>11912</v>
      </c>
      <c r="C5999" s="2" t="s">
        <v>293</v>
      </c>
      <c r="D5999" s="2" t="s">
        <v>18</v>
      </c>
      <c r="E5999" s="5">
        <v>-28934</v>
      </c>
      <c r="F5999" s="3" t="s">
        <v>163</v>
      </c>
      <c r="G5999" s="3" t="s">
        <v>1539</v>
      </c>
      <c r="H5999" s="2" t="s">
        <v>21</v>
      </c>
      <c r="I5999" s="2" t="s">
        <v>11916</v>
      </c>
      <c r="J5999" s="3" t="str">
        <f>HYPERLINK("https://www.boe.es/gazeta/dias/1820/10/11/pdfs/GGB-1820-105.pdf#page=2","Abrir facsímil")</f>
        <v>Abrir facsímil</v>
      </c>
      <c r="K5999" s="3" t="s">
        <v>23</v>
      </c>
    </row>
    <row r="6000" spans="1:11" ht="42" customHeight="1">
      <c r="A6000" s="2" t="s">
        <v>11912</v>
      </c>
      <c r="B6000" s="2" t="s">
        <v>11912</v>
      </c>
      <c r="C6000" s="2" t="s">
        <v>74</v>
      </c>
      <c r="D6000" s="2" t="s">
        <v>18</v>
      </c>
      <c r="E6000" s="5">
        <v>-28933</v>
      </c>
      <c r="F6000" s="3" t="s">
        <v>720</v>
      </c>
      <c r="G6000" s="3" t="s">
        <v>62</v>
      </c>
      <c r="H6000" s="2" t="s">
        <v>21</v>
      </c>
      <c r="I6000" s="2" t="s">
        <v>11917</v>
      </c>
      <c r="J6000" s="3" t="str">
        <f>HYPERLINK("https://www.boe.es/gazeta/dias/1820/10/12/pdfs/GGB-1820-106.pdf#page=3","Abrir facsímil")</f>
        <v>Abrir facsímil</v>
      </c>
      <c r="K6000" s="3" t="s">
        <v>23</v>
      </c>
    </row>
    <row r="6001" spans="1:11" ht="42" customHeight="1">
      <c r="A6001" s="2" t="s">
        <v>11912</v>
      </c>
      <c r="B6001" s="2" t="s">
        <v>11912</v>
      </c>
      <c r="C6001" s="2" t="s">
        <v>26</v>
      </c>
      <c r="D6001" s="2" t="s">
        <v>27</v>
      </c>
      <c r="E6001" s="5">
        <v>-28931</v>
      </c>
      <c r="F6001" s="3" t="s">
        <v>724</v>
      </c>
      <c r="G6001" s="3" t="s">
        <v>725</v>
      </c>
      <c r="H6001" s="2" t="s">
        <v>21</v>
      </c>
      <c r="I6001" s="2" t="s">
        <v>11918</v>
      </c>
      <c r="J6001" s="3" t="str">
        <f>HYPERLINK("https://www.boe.es/gazeta/dias/1820/10/14/pdfs/GGB-1820-108.pdf#page=3","Abrir facsímil")</f>
        <v>Abrir facsímil</v>
      </c>
      <c r="K6001" s="3" t="s">
        <v>23</v>
      </c>
    </row>
    <row r="6002" spans="1:11" ht="42" customHeight="1">
      <c r="A6002" s="2" t="s">
        <v>11912</v>
      </c>
      <c r="B6002" s="2" t="s">
        <v>11912</v>
      </c>
      <c r="C6002" s="2" t="s">
        <v>111</v>
      </c>
      <c r="D6002" s="2" t="s">
        <v>18</v>
      </c>
      <c r="E6002" s="5">
        <v>-28922</v>
      </c>
      <c r="F6002" s="3" t="s">
        <v>735</v>
      </c>
      <c r="G6002" s="3" t="s">
        <v>20</v>
      </c>
      <c r="H6002" s="2" t="s">
        <v>21</v>
      </c>
      <c r="I6002" s="2" t="s">
        <v>11919</v>
      </c>
      <c r="J6002" s="3" t="str">
        <f>HYPERLINK("https://www.boe.es/gazeta/dias/1820/10/23/pdfs/GGB-1820-117.pdf#page=4","Abrir facsímil")</f>
        <v>Abrir facsímil</v>
      </c>
      <c r="K6002" s="3" t="s">
        <v>23</v>
      </c>
    </row>
    <row r="6003" spans="1:11" ht="42" customHeight="1">
      <c r="A6003" s="2" t="s">
        <v>11912</v>
      </c>
      <c r="B6003" s="2" t="s">
        <v>11912</v>
      </c>
      <c r="C6003" s="2" t="s">
        <v>26</v>
      </c>
      <c r="D6003" s="2" t="s">
        <v>27</v>
      </c>
      <c r="E6003" s="5">
        <v>-28921</v>
      </c>
      <c r="F6003" s="3" t="s">
        <v>738</v>
      </c>
      <c r="G6003" s="3" t="s">
        <v>3686</v>
      </c>
      <c r="H6003" s="2" t="s">
        <v>21</v>
      </c>
      <c r="I6003" s="2" t="s">
        <v>11920</v>
      </c>
      <c r="J6003" s="3" t="str">
        <f>HYPERLINK("https://www.boe.es/gazeta/dias/1820/10/24/pdfs/GGB-1820-118.pdf#page=3","Abrir facsímil")</f>
        <v>Abrir facsímil</v>
      </c>
      <c r="K6003" s="3" t="s">
        <v>23</v>
      </c>
    </row>
    <row r="6004" spans="1:11" ht="42" customHeight="1">
      <c r="A6004" s="2" t="s">
        <v>11912</v>
      </c>
      <c r="B6004" s="2" t="s">
        <v>11912</v>
      </c>
      <c r="C6004" s="2" t="s">
        <v>293</v>
      </c>
      <c r="D6004" s="2" t="s">
        <v>18</v>
      </c>
      <c r="E6004" s="5">
        <v>-28920</v>
      </c>
      <c r="F6004" s="3" t="s">
        <v>399</v>
      </c>
      <c r="G6004" s="3" t="s">
        <v>43</v>
      </c>
      <c r="H6004" s="2" t="s">
        <v>21</v>
      </c>
      <c r="I6004" s="2" t="s">
        <v>11921</v>
      </c>
      <c r="J6004" s="3" t="str">
        <f>HYPERLINK("https://www.boe.es/gazeta/dias/1820/10/25/pdfs/GGB-1820-119.pdf#page=2","Abrir facsímil")</f>
        <v>Abrir facsímil</v>
      </c>
      <c r="K6004" s="3" t="s">
        <v>23</v>
      </c>
    </row>
    <row r="6005" spans="1:11" ht="42" customHeight="1">
      <c r="A6005" s="2" t="s">
        <v>11922</v>
      </c>
      <c r="B6005" s="2" t="s">
        <v>11923</v>
      </c>
      <c r="C6005" s="2" t="s">
        <v>26</v>
      </c>
      <c r="D6005" s="2" t="s">
        <v>27</v>
      </c>
      <c r="E6005" s="5">
        <v>-28865</v>
      </c>
      <c r="F6005" s="3" t="s">
        <v>136</v>
      </c>
      <c r="G6005" s="3" t="s">
        <v>137</v>
      </c>
      <c r="H6005" s="2" t="s">
        <v>21</v>
      </c>
      <c r="I6005" s="2" t="s">
        <v>11924</v>
      </c>
      <c r="J6005" s="3" t="str">
        <f>HYPERLINK("https://www.boe.es/gazeta/dias/1820/12/19/pdfs/GGB-1820-176.pdf#page=3","Abrir facsímil")</f>
        <v>Abrir facsímil</v>
      </c>
      <c r="K6005" s="3" t="s">
        <v>23</v>
      </c>
    </row>
    <row r="6006" spans="1:11" ht="42" customHeight="1">
      <c r="A6006" s="2" t="s">
        <v>11925</v>
      </c>
      <c r="B6006" s="2" t="s">
        <v>11926</v>
      </c>
      <c r="C6006" s="2" t="s">
        <v>26</v>
      </c>
      <c r="D6006" s="2" t="s">
        <v>27</v>
      </c>
      <c r="E6006" s="5">
        <v>-29029</v>
      </c>
      <c r="F6006" s="3" t="s">
        <v>282</v>
      </c>
      <c r="G6006" s="3" t="s">
        <v>20</v>
      </c>
      <c r="H6006" s="2" t="s">
        <v>21</v>
      </c>
      <c r="I6006" s="2" t="s">
        <v>11927</v>
      </c>
      <c r="J6006" s="3" t="str">
        <f>HYPERLINK("https://www.boe.es/gazeta/dias/1820/07/08/pdfs/GGB-1820-9.pdf#page=4","Abrir facsímil")</f>
        <v>Abrir facsímil</v>
      </c>
      <c r="K6006" s="3" t="s">
        <v>23</v>
      </c>
    </row>
    <row r="6007" spans="1:11" ht="42" customHeight="1">
      <c r="A6007" s="2" t="s">
        <v>11928</v>
      </c>
      <c r="B6007" s="2" t="s">
        <v>11929</v>
      </c>
      <c r="C6007" s="2" t="s">
        <v>26</v>
      </c>
      <c r="D6007" s="2" t="s">
        <v>27</v>
      </c>
      <c r="E6007" s="5">
        <v>-28989</v>
      </c>
      <c r="F6007" s="3" t="s">
        <v>809</v>
      </c>
      <c r="G6007" s="3" t="s">
        <v>43</v>
      </c>
      <c r="H6007" s="2" t="s">
        <v>21</v>
      </c>
      <c r="I6007" s="2" t="s">
        <v>11930</v>
      </c>
      <c r="J6007" s="3" t="str">
        <f>HYPERLINK("https://www.boe.es/gazeta/dias/1820/08/17/pdfs/GGB-1820-50.pdf#page=2","Abrir facsímil")</f>
        <v>Abrir facsímil</v>
      </c>
      <c r="K6007" s="3" t="s">
        <v>23</v>
      </c>
    </row>
    <row r="6008" spans="1:11" ht="42" customHeight="1">
      <c r="A6008" s="2" t="s">
        <v>11931</v>
      </c>
      <c r="B6008" s="2" t="s">
        <v>11932</v>
      </c>
      <c r="C6008" s="2" t="s">
        <v>26</v>
      </c>
      <c r="D6008" s="2" t="s">
        <v>27</v>
      </c>
      <c r="E6008" s="5">
        <v>-28859</v>
      </c>
      <c r="F6008" s="3" t="s">
        <v>265</v>
      </c>
      <c r="G6008" s="3" t="s">
        <v>62</v>
      </c>
      <c r="H6008" s="2" t="s">
        <v>21</v>
      </c>
      <c r="I6008" s="2" t="s">
        <v>11933</v>
      </c>
      <c r="J6008" s="3" t="str">
        <f>HYPERLINK("https://www.boe.es/gazeta/dias/1820/12/25/pdfs/GGB-1820-182.pdf#page=3","Abrir facsímil")</f>
        <v>Abrir facsímil</v>
      </c>
      <c r="K6008" s="3" t="s">
        <v>23</v>
      </c>
    </row>
    <row r="6009" spans="1:11" ht="42" customHeight="1">
      <c r="A6009" s="2" t="s">
        <v>11934</v>
      </c>
      <c r="B6009" s="2" t="s">
        <v>11934</v>
      </c>
      <c r="C6009" s="2" t="s">
        <v>17</v>
      </c>
      <c r="D6009" s="2" t="s">
        <v>18</v>
      </c>
      <c r="E6009" s="5">
        <v>-29017</v>
      </c>
      <c r="F6009" s="3" t="s">
        <v>274</v>
      </c>
      <c r="G6009" s="3" t="s">
        <v>62</v>
      </c>
      <c r="H6009" s="2" t="s">
        <v>21</v>
      </c>
      <c r="I6009" s="2" t="s">
        <v>11935</v>
      </c>
      <c r="J6009" s="3" t="str">
        <f>HYPERLINK("https://www.boe.es/gazeta/dias/1820/07/20/pdfs/GGB-1820-22.pdf#page=3","Abrir facsímil")</f>
        <v>Abrir facsímil</v>
      </c>
      <c r="K6009" s="3" t="s">
        <v>23</v>
      </c>
    </row>
    <row r="6010" spans="1:11" ht="42" customHeight="1">
      <c r="A6010" s="2" t="s">
        <v>11936</v>
      </c>
      <c r="B6010" s="2" t="s">
        <v>11937</v>
      </c>
      <c r="C6010" s="2" t="s">
        <v>293</v>
      </c>
      <c r="D6010" s="2" t="s">
        <v>18</v>
      </c>
      <c r="E6010" s="5">
        <v>-29031</v>
      </c>
      <c r="F6010" s="3" t="s">
        <v>1036</v>
      </c>
      <c r="G6010" s="3" t="s">
        <v>20</v>
      </c>
      <c r="H6010" s="2" t="s">
        <v>21</v>
      </c>
      <c r="I6010" s="2" t="s">
        <v>11938</v>
      </c>
      <c r="J6010" s="3" t="str">
        <f>HYPERLINK("https://www.boe.es/gazeta/dias/1820/07/06/pdfs/GGB-1820-6.pdf#page=4","Abrir facsímil")</f>
        <v>Abrir facsímil</v>
      </c>
      <c r="K6010" s="3" t="s">
        <v>23</v>
      </c>
    </row>
    <row r="6011" spans="1:11" ht="42" customHeight="1">
      <c r="A6011" s="2" t="s">
        <v>11939</v>
      </c>
      <c r="B6011" s="2" t="s">
        <v>11940</v>
      </c>
      <c r="C6011" s="2" t="s">
        <v>17</v>
      </c>
      <c r="D6011" s="2" t="s">
        <v>18</v>
      </c>
      <c r="E6011" s="5">
        <v>-29001</v>
      </c>
      <c r="F6011" s="3" t="s">
        <v>633</v>
      </c>
      <c r="G6011" s="3" t="s">
        <v>43</v>
      </c>
      <c r="H6011" s="2" t="s">
        <v>21</v>
      </c>
      <c r="I6011" s="2" t="s">
        <v>11941</v>
      </c>
      <c r="J6011" s="3" t="str">
        <f>HYPERLINK("https://www.boe.es/gazeta/dias/1820/08/05/pdfs/GGB-1820-38.pdf#page=2","Abrir facsímil")</f>
        <v>Abrir facsímil</v>
      </c>
      <c r="K6011" s="3" t="s">
        <v>23</v>
      </c>
    </row>
    <row r="6012" spans="1:11" ht="42" customHeight="1">
      <c r="A6012" s="2" t="s">
        <v>11942</v>
      </c>
      <c r="B6012" s="2" t="s">
        <v>11943</v>
      </c>
      <c r="C6012" s="2" t="s">
        <v>26</v>
      </c>
      <c r="D6012" s="2" t="s">
        <v>27</v>
      </c>
      <c r="E6012" s="5">
        <v>-29108</v>
      </c>
      <c r="F6012" s="3" t="s">
        <v>304</v>
      </c>
      <c r="G6012" s="3" t="s">
        <v>295</v>
      </c>
      <c r="H6012" s="2" t="s">
        <v>21</v>
      </c>
      <c r="I6012" s="2" t="s">
        <v>11944</v>
      </c>
      <c r="J6012" s="3" t="str">
        <f>HYPERLINK("https://www.boe.es/gazeta/dias/1820/04/20/pdfs/GMD-1820-68.pdf#page=8","Abrir facsímil")</f>
        <v>Abrir facsímil</v>
      </c>
      <c r="K6012" s="3" t="s">
        <v>23</v>
      </c>
    </row>
    <row r="6013" spans="1:11" ht="42" customHeight="1">
      <c r="A6013" s="2" t="s">
        <v>11945</v>
      </c>
      <c r="B6013" s="2" t="s">
        <v>11946</v>
      </c>
      <c r="C6013" s="2" t="s">
        <v>26</v>
      </c>
      <c r="D6013" s="2" t="s">
        <v>27</v>
      </c>
      <c r="E6013" s="5">
        <v>-29122</v>
      </c>
      <c r="F6013" s="3" t="s">
        <v>844</v>
      </c>
      <c r="G6013" s="3" t="s">
        <v>1895</v>
      </c>
      <c r="H6013" s="2" t="s">
        <v>21</v>
      </c>
      <c r="I6013" s="2" t="s">
        <v>11947</v>
      </c>
      <c r="J6013" s="3" t="str">
        <f>HYPERLINK("https://www.boe.es/gazeta/dias/1820/04/06/pdfs/GMD-1820-62.pdf#page=4","Abrir facsímil")</f>
        <v>Abrir facsímil</v>
      </c>
      <c r="K6013" s="3" t="s">
        <v>23</v>
      </c>
    </row>
    <row r="6014" spans="1:11" ht="42" customHeight="1">
      <c r="A6014" s="2" t="s">
        <v>11948</v>
      </c>
      <c r="B6014" s="2" t="s">
        <v>11949</v>
      </c>
      <c r="C6014" s="2" t="s">
        <v>26</v>
      </c>
      <c r="D6014" s="2" t="s">
        <v>27</v>
      </c>
      <c r="E6014" s="5">
        <v>-28980</v>
      </c>
      <c r="F6014" s="3" t="s">
        <v>614</v>
      </c>
      <c r="G6014" s="3" t="s">
        <v>62</v>
      </c>
      <c r="H6014" s="2" t="s">
        <v>21</v>
      </c>
      <c r="I6014" s="2" t="s">
        <v>11950</v>
      </c>
      <c r="J6014" s="3" t="str">
        <f>HYPERLINK("https://www.boe.es/gazeta/dias/1820/08/26/pdfs/GGB-1820-59.pdf#page=3","Abrir facsímil")</f>
        <v>Abrir facsímil</v>
      </c>
      <c r="K6014" s="3" t="s">
        <v>23</v>
      </c>
    </row>
    <row r="6015" spans="1:11" ht="42" customHeight="1">
      <c r="A6015" s="2" t="s">
        <v>11951</v>
      </c>
      <c r="B6015" s="2" t="s">
        <v>11952</v>
      </c>
      <c r="C6015" s="2" t="s">
        <v>35</v>
      </c>
      <c r="D6015" s="2" t="s">
        <v>36</v>
      </c>
      <c r="E6015" s="5">
        <v>-28938</v>
      </c>
      <c r="F6015" s="3" t="s">
        <v>716</v>
      </c>
      <c r="G6015" s="3" t="s">
        <v>717</v>
      </c>
      <c r="H6015" s="2" t="s">
        <v>21</v>
      </c>
      <c r="I6015" s="2" t="s">
        <v>11953</v>
      </c>
      <c r="J6015" s="3" t="str">
        <f>HYPERLINK("https://www.boe.es/gazeta/dias/1820/10/07/pdfs/GGB-1820-101.pdf#page=2","Abrir facsímil")</f>
        <v>Abrir facsímil</v>
      </c>
      <c r="K6015" s="3" t="s">
        <v>23</v>
      </c>
    </row>
    <row r="6016" spans="1:11" ht="42" customHeight="1">
      <c r="A6016" s="2" t="s">
        <v>11954</v>
      </c>
      <c r="B6016" s="2" t="s">
        <v>11955</v>
      </c>
      <c r="C6016" s="2" t="s">
        <v>74</v>
      </c>
      <c r="D6016" s="2" t="s">
        <v>18</v>
      </c>
      <c r="E6016" s="5">
        <v>-29015</v>
      </c>
      <c r="F6016" s="3" t="s">
        <v>359</v>
      </c>
      <c r="G6016" s="3" t="s">
        <v>20</v>
      </c>
      <c r="H6016" s="2" t="s">
        <v>21</v>
      </c>
      <c r="I6016" s="2" t="s">
        <v>11956</v>
      </c>
      <c r="J6016" s="3" t="str">
        <f>HYPERLINK("https://www.boe.es/gazeta/dias/1820/07/22/pdfs/GGB-1820-24.pdf#page=4","Abrir facsímil")</f>
        <v>Abrir facsímil</v>
      </c>
      <c r="K6016" s="3" t="s">
        <v>23</v>
      </c>
    </row>
    <row r="6017" spans="1:11" ht="42" customHeight="1">
      <c r="A6017" s="2" t="s">
        <v>11954</v>
      </c>
      <c r="B6017" s="2" t="s">
        <v>11955</v>
      </c>
      <c r="C6017" s="2" t="s">
        <v>35</v>
      </c>
      <c r="D6017" s="2" t="s">
        <v>36</v>
      </c>
      <c r="E6017" s="5">
        <v>-28974</v>
      </c>
      <c r="F6017" s="3" t="s">
        <v>1144</v>
      </c>
      <c r="G6017" s="3" t="s">
        <v>62</v>
      </c>
      <c r="H6017" s="2" t="s">
        <v>21</v>
      </c>
      <c r="I6017" s="2" t="s">
        <v>11957</v>
      </c>
      <c r="J6017" s="3" t="str">
        <f>HYPERLINK("https://www.boe.es/gazeta/dias/1820/09/01/pdfs/GGB-1820-65.pdf#page=3","Abrir facsímil")</f>
        <v>Abrir facsímil</v>
      </c>
      <c r="K6017" s="3" t="s">
        <v>23</v>
      </c>
    </row>
    <row r="6018" spans="1:11" ht="42" customHeight="1">
      <c r="A6018" s="2" t="s">
        <v>11954</v>
      </c>
      <c r="B6018" s="2" t="s">
        <v>11955</v>
      </c>
      <c r="C6018" s="2" t="s">
        <v>293</v>
      </c>
      <c r="D6018" s="2" t="s">
        <v>18</v>
      </c>
      <c r="E6018" s="5">
        <v>-28926</v>
      </c>
      <c r="F6018" s="3" t="s">
        <v>597</v>
      </c>
      <c r="G6018" s="3" t="s">
        <v>20</v>
      </c>
      <c r="H6018" s="2" t="s">
        <v>21</v>
      </c>
      <c r="I6018" s="2" t="s">
        <v>11958</v>
      </c>
      <c r="J6018" s="3" t="str">
        <f>HYPERLINK("https://www.boe.es/gazeta/dias/1820/10/19/pdfs/GGB-1820-113.pdf#page=4","Abrir facsímil")</f>
        <v>Abrir facsímil</v>
      </c>
      <c r="K6018" s="3" t="s">
        <v>23</v>
      </c>
    </row>
    <row r="6019" spans="1:11" ht="42" customHeight="1">
      <c r="A6019" s="2" t="s">
        <v>11959</v>
      </c>
      <c r="B6019" s="2" t="s">
        <v>11959</v>
      </c>
      <c r="C6019" s="2" t="s">
        <v>74</v>
      </c>
      <c r="D6019" s="2" t="s">
        <v>18</v>
      </c>
      <c r="E6019" s="5">
        <v>-28964</v>
      </c>
      <c r="F6019" s="3" t="s">
        <v>240</v>
      </c>
      <c r="G6019" s="3" t="s">
        <v>43</v>
      </c>
      <c r="H6019" s="2" t="s">
        <v>21</v>
      </c>
      <c r="I6019" s="2" t="s">
        <v>11960</v>
      </c>
      <c r="J6019" s="3" t="str">
        <f>HYPERLINK("https://www.boe.es/gazeta/dias/1820/09/11/pdfs/GGB-1820-75.pdf#page=2","Abrir facsímil")</f>
        <v>Abrir facsímil</v>
      </c>
      <c r="K6019" s="3" t="s">
        <v>23</v>
      </c>
    </row>
    <row r="6020" spans="1:11" ht="42" customHeight="1">
      <c r="A6020" s="2" t="s">
        <v>11961</v>
      </c>
      <c r="B6020" s="2" t="s">
        <v>11961</v>
      </c>
      <c r="C6020" s="2" t="s">
        <v>17</v>
      </c>
      <c r="D6020" s="2" t="s">
        <v>18</v>
      </c>
      <c r="E6020" s="5">
        <v>-28892</v>
      </c>
      <c r="F6020" s="3" t="s">
        <v>3036</v>
      </c>
      <c r="G6020" s="3" t="s">
        <v>43</v>
      </c>
      <c r="H6020" s="2" t="s">
        <v>21</v>
      </c>
      <c r="I6020" s="2" t="s">
        <v>11962</v>
      </c>
      <c r="J6020" s="3" t="str">
        <f>HYPERLINK("https://www.boe.es/gazeta/dias/1820/11/22/pdfs/GGB-1820-149.pdf#page=2","Abrir facsímil")</f>
        <v>Abrir facsímil</v>
      </c>
      <c r="K6020" s="3" t="s">
        <v>23</v>
      </c>
    </row>
    <row r="6021" spans="1:11" ht="42" customHeight="1">
      <c r="A6021" s="2" t="s">
        <v>11963</v>
      </c>
      <c r="B6021" s="2" t="s">
        <v>11964</v>
      </c>
      <c r="C6021" s="2" t="s">
        <v>26</v>
      </c>
      <c r="D6021" s="2" t="s">
        <v>27</v>
      </c>
      <c r="E6021" s="5">
        <v>-29129</v>
      </c>
      <c r="F6021" s="3" t="s">
        <v>269</v>
      </c>
      <c r="G6021" s="3" t="s">
        <v>196</v>
      </c>
      <c r="H6021" s="2" t="s">
        <v>21</v>
      </c>
      <c r="I6021" s="2" t="s">
        <v>11965</v>
      </c>
      <c r="J6021" s="3" t="str">
        <f>HYPERLINK("https://www.boe.es/gazeta/dias/1820/03/30/pdfs/GMD-1820-58.pdf#page=11","Abrir facsímil")</f>
        <v>Abrir facsímil</v>
      </c>
      <c r="K6021" s="3" t="s">
        <v>23</v>
      </c>
    </row>
    <row r="6022" spans="1:11" ht="42" customHeight="1">
      <c r="A6022" s="2" t="s">
        <v>11966</v>
      </c>
      <c r="B6022" s="2" t="s">
        <v>11966</v>
      </c>
      <c r="C6022" s="2" t="s">
        <v>74</v>
      </c>
      <c r="D6022" s="2" t="s">
        <v>18</v>
      </c>
      <c r="E6022" s="5">
        <v>-29050</v>
      </c>
      <c r="F6022" s="3" t="s">
        <v>423</v>
      </c>
      <c r="G6022" s="3" t="s">
        <v>20</v>
      </c>
      <c r="H6022" s="2" t="s">
        <v>21</v>
      </c>
      <c r="I6022" s="2" t="s">
        <v>11967</v>
      </c>
      <c r="J6022" s="3" t="str">
        <f>HYPERLINK("https://www.boe.es/gazeta/dias/1820/06/17/pdfs/GMD-1820-95.pdf#page=4","Abrir facsímil")</f>
        <v>Abrir facsímil</v>
      </c>
      <c r="K6022" s="3" t="s">
        <v>23</v>
      </c>
    </row>
    <row r="6023" spans="1:11" ht="42" customHeight="1">
      <c r="A6023" s="2" t="s">
        <v>11968</v>
      </c>
      <c r="B6023" s="2" t="s">
        <v>11968</v>
      </c>
      <c r="C6023" s="2" t="s">
        <v>111</v>
      </c>
      <c r="D6023" s="2" t="s">
        <v>18</v>
      </c>
      <c r="E6023" s="5">
        <v>-29036</v>
      </c>
      <c r="F6023" s="3" t="s">
        <v>1167</v>
      </c>
      <c r="G6023" s="3" t="s">
        <v>62</v>
      </c>
      <c r="H6023" s="2" t="s">
        <v>21</v>
      </c>
      <c r="I6023" s="2" t="s">
        <v>11969</v>
      </c>
      <c r="J6023" s="3" t="str">
        <f>HYPERLINK("https://www.boe.es/gazeta/dias/1820/07/01/pdfs/GGB-1820-1.pdf#page=3","Abrir facsímil")</f>
        <v>Abrir facsímil</v>
      </c>
      <c r="K6023" s="3" t="s">
        <v>23</v>
      </c>
    </row>
    <row r="6024" spans="1:11" ht="42" customHeight="1">
      <c r="A6024" s="2" t="s">
        <v>11970</v>
      </c>
      <c r="B6024" s="2" t="s">
        <v>11970</v>
      </c>
      <c r="C6024" s="2" t="s">
        <v>26</v>
      </c>
      <c r="D6024" s="2" t="s">
        <v>27</v>
      </c>
      <c r="E6024" s="5">
        <v>-28990</v>
      </c>
      <c r="F6024" s="3" t="s">
        <v>61</v>
      </c>
      <c r="G6024" s="3" t="s">
        <v>128</v>
      </c>
      <c r="H6024" s="2" t="s">
        <v>21</v>
      </c>
      <c r="I6024" s="2" t="s">
        <v>11971</v>
      </c>
      <c r="J6024" s="3" t="str">
        <f>HYPERLINK("https://www.boe.es/gazeta/dias/1820/08/16/pdfs/GGB-1820-49.pdf#page=1","Abrir facsímil")</f>
        <v>Abrir facsímil</v>
      </c>
      <c r="K6024" s="3" t="s">
        <v>23</v>
      </c>
    </row>
    <row r="6025" spans="1:11" ht="42" customHeight="1">
      <c r="A6025" s="2" t="s">
        <v>11972</v>
      </c>
      <c r="B6025" s="2" t="s">
        <v>11972</v>
      </c>
      <c r="C6025" s="2" t="s">
        <v>17</v>
      </c>
      <c r="D6025" s="2" t="s">
        <v>18</v>
      </c>
      <c r="E6025" s="5">
        <v>-28990</v>
      </c>
      <c r="F6025" s="3" t="s">
        <v>61</v>
      </c>
      <c r="G6025" s="3" t="s">
        <v>62</v>
      </c>
      <c r="H6025" s="2" t="s">
        <v>21</v>
      </c>
      <c r="I6025" s="2" t="s">
        <v>11973</v>
      </c>
      <c r="J6025" s="3" t="str">
        <f>HYPERLINK("https://www.boe.es/gazeta/dias/1820/08/16/pdfs/GGB-1820-49.pdf#page=3","Abrir facsímil")</f>
        <v>Abrir facsímil</v>
      </c>
      <c r="K6025" s="3" t="s">
        <v>23</v>
      </c>
    </row>
    <row r="6026" spans="1:11" ht="42" customHeight="1">
      <c r="A6026" s="2" t="s">
        <v>11972</v>
      </c>
      <c r="B6026" s="2" t="s">
        <v>11972</v>
      </c>
      <c r="C6026" s="2" t="s">
        <v>293</v>
      </c>
      <c r="D6026" s="2" t="s">
        <v>18</v>
      </c>
      <c r="E6026" s="5">
        <v>-28979</v>
      </c>
      <c r="F6026" s="3" t="s">
        <v>218</v>
      </c>
      <c r="G6026" s="3" t="s">
        <v>62</v>
      </c>
      <c r="H6026" s="2" t="s">
        <v>21</v>
      </c>
      <c r="I6026" s="2" t="s">
        <v>11974</v>
      </c>
      <c r="J6026" s="3" t="str">
        <f>HYPERLINK("https://www.boe.es/gazeta/dias/1820/08/27/pdfs/GGB-1820-60.pdf#page=3","Abrir facsímil")</f>
        <v>Abrir facsímil</v>
      </c>
      <c r="K6026" s="3" t="s">
        <v>23</v>
      </c>
    </row>
    <row r="6027" spans="1:11" ht="42" customHeight="1">
      <c r="A6027" s="2" t="s">
        <v>11972</v>
      </c>
      <c r="B6027" s="2" t="s">
        <v>11972</v>
      </c>
      <c r="C6027" s="2" t="s">
        <v>17</v>
      </c>
      <c r="D6027" s="2" t="s">
        <v>18</v>
      </c>
      <c r="E6027" s="5">
        <v>-28959</v>
      </c>
      <c r="F6027" s="3" t="s">
        <v>37</v>
      </c>
      <c r="G6027" s="3" t="s">
        <v>20</v>
      </c>
      <c r="H6027" s="2" t="s">
        <v>21</v>
      </c>
      <c r="I6027" s="2" t="s">
        <v>11975</v>
      </c>
      <c r="J6027" s="3" t="str">
        <f>HYPERLINK("https://www.boe.es/gazeta/dias/1820/09/16/pdfs/GGB-1820-80.pdf#page=4","Abrir facsímil")</f>
        <v>Abrir facsímil</v>
      </c>
      <c r="K6027" s="3" t="s">
        <v>23</v>
      </c>
    </row>
    <row r="6028" spans="1:11" ht="42" customHeight="1">
      <c r="A6028" s="2" t="s">
        <v>11972</v>
      </c>
      <c r="B6028" s="2" t="s">
        <v>11972</v>
      </c>
      <c r="C6028" s="2" t="s">
        <v>47</v>
      </c>
      <c r="D6028" s="2" t="s">
        <v>18</v>
      </c>
      <c r="E6028" s="5">
        <v>-28957</v>
      </c>
      <c r="F6028" s="3" t="s">
        <v>361</v>
      </c>
      <c r="G6028" s="3" t="s">
        <v>62</v>
      </c>
      <c r="H6028" s="2" t="s">
        <v>21</v>
      </c>
      <c r="I6028" s="2" t="s">
        <v>11976</v>
      </c>
      <c r="J6028" s="3" t="str">
        <f>HYPERLINK("https://www.boe.es/gazeta/dias/1820/09/18/pdfs/GGB-1820-82.pdf#page=3","Abrir facsímil")</f>
        <v>Abrir facsímil</v>
      </c>
      <c r="K6028" s="3" t="s">
        <v>23</v>
      </c>
    </row>
    <row r="6029" spans="1:11" ht="42" customHeight="1">
      <c r="A6029" s="2" t="s">
        <v>11972</v>
      </c>
      <c r="B6029" s="2" t="s">
        <v>11972</v>
      </c>
      <c r="C6029" s="2" t="s">
        <v>17</v>
      </c>
      <c r="D6029" s="2" t="s">
        <v>18</v>
      </c>
      <c r="E6029" s="5">
        <v>-28937</v>
      </c>
      <c r="F6029" s="3" t="s">
        <v>4254</v>
      </c>
      <c r="G6029" s="3" t="s">
        <v>6960</v>
      </c>
      <c r="H6029" s="2" t="s">
        <v>21</v>
      </c>
      <c r="I6029" s="2" t="s">
        <v>11977</v>
      </c>
      <c r="J6029" s="3" t="str">
        <f>HYPERLINK("https://www.boe.es/gazeta/dias/1820/10/08/pdfs/GGB-1820-102.pdf#page=2","Abrir facsímil")</f>
        <v>Abrir facsímil</v>
      </c>
      <c r="K6029" s="3" t="s">
        <v>23</v>
      </c>
    </row>
    <row r="6030" spans="1:11" ht="42" customHeight="1">
      <c r="A6030" s="2" t="s">
        <v>11972</v>
      </c>
      <c r="B6030" s="2" t="s">
        <v>11972</v>
      </c>
      <c r="C6030" s="2" t="s">
        <v>35</v>
      </c>
      <c r="D6030" s="2" t="s">
        <v>36</v>
      </c>
      <c r="E6030" s="5">
        <v>-28937</v>
      </c>
      <c r="F6030" s="3" t="s">
        <v>4254</v>
      </c>
      <c r="G6030" s="3" t="s">
        <v>62</v>
      </c>
      <c r="H6030" s="2" t="s">
        <v>21</v>
      </c>
      <c r="I6030" s="2" t="s">
        <v>11978</v>
      </c>
      <c r="J6030" s="3" t="str">
        <f>HYPERLINK("https://www.boe.es/gazeta/dias/1820/10/08/pdfs/GGB-1820-102.pdf#page=3","Abrir facsímil")</f>
        <v>Abrir facsímil</v>
      </c>
      <c r="K6030" s="3" t="s">
        <v>23</v>
      </c>
    </row>
    <row r="6031" spans="1:11" ht="42" customHeight="1">
      <c r="A6031" s="2" t="s">
        <v>11972</v>
      </c>
      <c r="B6031" s="2" t="s">
        <v>11972</v>
      </c>
      <c r="C6031" s="2" t="s">
        <v>111</v>
      </c>
      <c r="D6031" s="2" t="s">
        <v>18</v>
      </c>
      <c r="E6031" s="5">
        <v>-28933</v>
      </c>
      <c r="F6031" s="3" t="s">
        <v>720</v>
      </c>
      <c r="G6031" s="3" t="s">
        <v>62</v>
      </c>
      <c r="H6031" s="2" t="s">
        <v>21</v>
      </c>
      <c r="I6031" s="2" t="s">
        <v>11979</v>
      </c>
      <c r="J6031" s="3" t="str">
        <f>HYPERLINK("https://www.boe.es/gazeta/dias/1820/10/12/pdfs/GGB-1820-106.pdf#page=3","Abrir facsímil")</f>
        <v>Abrir facsímil</v>
      </c>
      <c r="K6031" s="3" t="s">
        <v>23</v>
      </c>
    </row>
    <row r="6032" spans="1:11" ht="42" customHeight="1">
      <c r="A6032" s="2" t="s">
        <v>11980</v>
      </c>
      <c r="B6032" s="2" t="s">
        <v>11980</v>
      </c>
      <c r="C6032" s="2" t="s">
        <v>35</v>
      </c>
      <c r="D6032" s="2" t="s">
        <v>36</v>
      </c>
      <c r="E6032" s="5">
        <v>-28924</v>
      </c>
      <c r="F6032" s="3" t="s">
        <v>78</v>
      </c>
      <c r="G6032" s="3" t="s">
        <v>62</v>
      </c>
      <c r="H6032" s="2" t="s">
        <v>21</v>
      </c>
      <c r="I6032" s="2" t="s">
        <v>11981</v>
      </c>
      <c r="J6032" s="3" t="str">
        <f>HYPERLINK("https://www.boe.es/gazeta/dias/1820/10/21/pdfs/GGB-1820-115.pdf#page=3","Abrir facsímil")</f>
        <v>Abrir facsímil</v>
      </c>
      <c r="K6032" s="3" t="s">
        <v>23</v>
      </c>
    </row>
    <row r="6033" spans="1:11" ht="42" customHeight="1">
      <c r="A6033" s="2" t="s">
        <v>11972</v>
      </c>
      <c r="B6033" s="2" t="s">
        <v>11972</v>
      </c>
      <c r="C6033" s="2" t="s">
        <v>17</v>
      </c>
      <c r="D6033" s="2" t="s">
        <v>18</v>
      </c>
      <c r="E6033" s="5">
        <v>-28923</v>
      </c>
      <c r="F6033" s="3" t="s">
        <v>648</v>
      </c>
      <c r="G6033" s="3" t="s">
        <v>43</v>
      </c>
      <c r="H6033" s="2" t="s">
        <v>21</v>
      </c>
      <c r="I6033" s="2" t="s">
        <v>11982</v>
      </c>
      <c r="J6033" s="3" t="str">
        <f>HYPERLINK("https://www.boe.es/gazeta/dias/1820/10/22/pdfs/GGB-1820-116.pdf#page=2","Abrir facsímil")</f>
        <v>Abrir facsímil</v>
      </c>
      <c r="K6033" s="3" t="s">
        <v>23</v>
      </c>
    </row>
    <row r="6034" spans="1:11" ht="42" customHeight="1">
      <c r="A6034" s="2" t="s">
        <v>11972</v>
      </c>
      <c r="B6034" s="2" t="s">
        <v>11972</v>
      </c>
      <c r="C6034" s="2" t="s">
        <v>74</v>
      </c>
      <c r="D6034" s="2" t="s">
        <v>18</v>
      </c>
      <c r="E6034" s="5">
        <v>-28920</v>
      </c>
      <c r="F6034" s="3" t="s">
        <v>399</v>
      </c>
      <c r="G6034" s="3" t="s">
        <v>62</v>
      </c>
      <c r="H6034" s="2" t="s">
        <v>21</v>
      </c>
      <c r="I6034" s="2" t="s">
        <v>11983</v>
      </c>
      <c r="J6034" s="3" t="str">
        <f>HYPERLINK("https://www.boe.es/gazeta/dias/1820/10/25/pdfs/GGB-1820-119.pdf#page=3","Abrir facsímil")</f>
        <v>Abrir facsímil</v>
      </c>
      <c r="K6034" s="3" t="s">
        <v>23</v>
      </c>
    </row>
    <row r="6035" spans="1:11" ht="42" customHeight="1">
      <c r="A6035" s="2" t="s">
        <v>11984</v>
      </c>
      <c r="B6035" s="2" t="s">
        <v>11984</v>
      </c>
      <c r="C6035" s="2" t="s">
        <v>26</v>
      </c>
      <c r="D6035" s="2" t="s">
        <v>27</v>
      </c>
      <c r="E6035" s="5">
        <v>-28910</v>
      </c>
      <c r="F6035" s="3" t="s">
        <v>746</v>
      </c>
      <c r="G6035" s="3" t="s">
        <v>62</v>
      </c>
      <c r="H6035" s="2" t="s">
        <v>21</v>
      </c>
      <c r="I6035" s="2" t="s">
        <v>11985</v>
      </c>
      <c r="J6035" s="3" t="str">
        <f>HYPERLINK("https://www.boe.es/gazeta/dias/1820/11/04/pdfs/GGB-1820-129.pdf#page=3","Abrir facsímil")</f>
        <v>Abrir facsímil</v>
      </c>
      <c r="K6035" s="3" t="s">
        <v>23</v>
      </c>
    </row>
    <row r="6036" spans="1:11" ht="42" customHeight="1">
      <c r="A6036" s="2" t="s">
        <v>11986</v>
      </c>
      <c r="B6036" s="2" t="s">
        <v>11986</v>
      </c>
      <c r="C6036" s="2" t="s">
        <v>17</v>
      </c>
      <c r="D6036" s="2" t="s">
        <v>18</v>
      </c>
      <c r="E6036" s="5">
        <v>-28941</v>
      </c>
      <c r="F6036" s="3" t="s">
        <v>1727</v>
      </c>
      <c r="G6036" s="3" t="s">
        <v>62</v>
      </c>
      <c r="H6036" s="2" t="s">
        <v>21</v>
      </c>
      <c r="I6036" s="2" t="s">
        <v>11987</v>
      </c>
      <c r="J6036" s="3" t="str">
        <f>HYPERLINK("https://www.boe.es/gazeta/dias/1820/10/04/pdfs/GGB-1820-98.pdf#page=3","Abrir facsímil")</f>
        <v>Abrir facsímil</v>
      </c>
      <c r="K6036" s="3" t="s">
        <v>23</v>
      </c>
    </row>
    <row r="6037" spans="1:11" ht="42" customHeight="1">
      <c r="A6037" s="2" t="s">
        <v>11988</v>
      </c>
      <c r="B6037" s="2" t="s">
        <v>11989</v>
      </c>
      <c r="C6037" s="2" t="s">
        <v>35</v>
      </c>
      <c r="D6037" s="2" t="s">
        <v>36</v>
      </c>
      <c r="E6037" s="5">
        <v>-28966</v>
      </c>
      <c r="F6037" s="3" t="s">
        <v>701</v>
      </c>
      <c r="G6037" s="3" t="s">
        <v>62</v>
      </c>
      <c r="H6037" s="2" t="s">
        <v>21</v>
      </c>
      <c r="I6037" s="2" t="s">
        <v>11990</v>
      </c>
      <c r="J6037" s="3" t="str">
        <f>HYPERLINK("https://www.boe.es/gazeta/dias/1820/09/09/pdfs/GGB-1820-73.pdf#page=3","Abrir facsímil")</f>
        <v>Abrir facsímil</v>
      </c>
      <c r="K6037" s="3" t="s">
        <v>23</v>
      </c>
    </row>
    <row r="6038" spans="1:11" ht="42" customHeight="1">
      <c r="A6038" s="2" t="s">
        <v>11991</v>
      </c>
      <c r="B6038" s="2" t="s">
        <v>11992</v>
      </c>
      <c r="C6038" s="2" t="s">
        <v>26</v>
      </c>
      <c r="D6038" s="2" t="s">
        <v>27</v>
      </c>
      <c r="E6038" s="5">
        <v>-29136</v>
      </c>
      <c r="F6038" s="3" t="s">
        <v>2972</v>
      </c>
      <c r="G6038" s="3" t="s">
        <v>201</v>
      </c>
      <c r="H6038" s="2" t="s">
        <v>30</v>
      </c>
      <c r="I6038" s="2" t="s">
        <v>11993</v>
      </c>
      <c r="J6038" s="3" t="str">
        <f>HYPERLINK("https://www.boe.es/gazeta/dias/1820/03/23/pdfs/GMD-1820-51.pdf#page=7","Abrir facsímil")</f>
        <v>Abrir facsímil</v>
      </c>
      <c r="K6038" s="3" t="s">
        <v>32</v>
      </c>
    </row>
    <row r="6039" spans="1:11" ht="42" customHeight="1">
      <c r="A6039" s="2" t="s">
        <v>11994</v>
      </c>
      <c r="B6039" s="2" t="s">
        <v>11995</v>
      </c>
      <c r="C6039" s="2" t="s">
        <v>35</v>
      </c>
      <c r="D6039" s="2" t="s">
        <v>36</v>
      </c>
      <c r="E6039" s="5">
        <v>-28990</v>
      </c>
      <c r="F6039" s="3" t="s">
        <v>61</v>
      </c>
      <c r="G6039" s="3" t="s">
        <v>1438</v>
      </c>
      <c r="H6039" s="2" t="s">
        <v>30</v>
      </c>
      <c r="I6039" s="2" t="s">
        <v>11996</v>
      </c>
      <c r="J6039" s="3" t="str">
        <f>HYPERLINK("https://www.boe.es/gazeta/dias/1820/08/16/pdfs/GGB-1820-49.pdf#page=4","Abrir facsímil")</f>
        <v>Abrir facsímil</v>
      </c>
      <c r="K6039" s="3" t="s">
        <v>32</v>
      </c>
    </row>
    <row r="6040" spans="1:11" ht="42" customHeight="1">
      <c r="A6040" s="2" t="s">
        <v>11997</v>
      </c>
      <c r="B6040" s="2" t="s">
        <v>11997</v>
      </c>
      <c r="C6040" s="2" t="s">
        <v>35</v>
      </c>
      <c r="D6040" s="2" t="s">
        <v>36</v>
      </c>
      <c r="E6040" s="5">
        <v>-28984</v>
      </c>
      <c r="F6040" s="3" t="s">
        <v>520</v>
      </c>
      <c r="G6040" s="3" t="s">
        <v>62</v>
      </c>
      <c r="H6040" s="2" t="s">
        <v>21</v>
      </c>
      <c r="I6040" s="2" t="s">
        <v>11998</v>
      </c>
      <c r="J6040" s="3" t="str">
        <f>HYPERLINK("https://www.boe.es/gazeta/dias/1820/08/22/pdfs/GGB-1820-55.pdf#page=3","Abrir facsímil")</f>
        <v>Abrir facsímil</v>
      </c>
      <c r="K6040" s="3" t="s">
        <v>23</v>
      </c>
    </row>
    <row r="6041" spans="1:11" ht="42" customHeight="1">
      <c r="A6041" s="2" t="s">
        <v>11999</v>
      </c>
      <c r="B6041" s="2" t="s">
        <v>11999</v>
      </c>
      <c r="C6041" s="2" t="s">
        <v>35</v>
      </c>
      <c r="D6041" s="2" t="s">
        <v>36</v>
      </c>
      <c r="E6041" s="5">
        <v>-28927</v>
      </c>
      <c r="F6041" s="3" t="s">
        <v>345</v>
      </c>
      <c r="G6041" s="3" t="s">
        <v>20</v>
      </c>
      <c r="H6041" s="2" t="s">
        <v>21</v>
      </c>
      <c r="I6041" s="2" t="s">
        <v>12000</v>
      </c>
      <c r="J6041" s="3" t="str">
        <f>HYPERLINK("https://www.boe.es/gazeta/dias/1820/10/18/pdfs/GGB-1820-112.pdf#page=4","Abrir facsímil")</f>
        <v>Abrir facsímil</v>
      </c>
      <c r="K6041" s="3" t="s">
        <v>23</v>
      </c>
    </row>
    <row r="6042" spans="1:11" ht="42" customHeight="1">
      <c r="A6042" s="2" t="s">
        <v>12001</v>
      </c>
      <c r="B6042" s="2" t="s">
        <v>12002</v>
      </c>
      <c r="C6042" s="2" t="s">
        <v>35</v>
      </c>
      <c r="D6042" s="2" t="s">
        <v>36</v>
      </c>
      <c r="E6042" s="5">
        <v>-28970</v>
      </c>
      <c r="F6042" s="3" t="s">
        <v>693</v>
      </c>
      <c r="G6042" s="3" t="s">
        <v>43</v>
      </c>
      <c r="H6042" s="2" t="s">
        <v>21</v>
      </c>
      <c r="I6042" s="2" t="s">
        <v>12003</v>
      </c>
      <c r="J6042" s="3" t="str">
        <f>HYPERLINK("https://www.boe.es/gazeta/dias/1820/09/05/pdfs/GGB-1820-69.pdf#page=2","Abrir facsímil")</f>
        <v>Abrir facsímil</v>
      </c>
      <c r="K6042" s="3" t="s">
        <v>23</v>
      </c>
    </row>
    <row r="6043" spans="1:11" ht="42" customHeight="1">
      <c r="A6043" s="2" t="s">
        <v>12004</v>
      </c>
      <c r="B6043" s="2" t="s">
        <v>12005</v>
      </c>
      <c r="C6043" s="2" t="s">
        <v>35</v>
      </c>
      <c r="D6043" s="2" t="s">
        <v>36</v>
      </c>
      <c r="E6043" s="5">
        <v>-29050</v>
      </c>
      <c r="F6043" s="3" t="s">
        <v>423</v>
      </c>
      <c r="G6043" s="3" t="s">
        <v>201</v>
      </c>
      <c r="H6043" s="2" t="s">
        <v>21</v>
      </c>
      <c r="I6043" s="2" t="s">
        <v>12006</v>
      </c>
      <c r="J6043" s="3" t="str">
        <f>HYPERLINK("https://www.boe.es/gazeta/dias/1820/06/17/pdfs/GMD-1820-95.pdf#page=7","Abrir facsímil")</f>
        <v>Abrir facsímil</v>
      </c>
      <c r="K6043" s="3" t="s">
        <v>23</v>
      </c>
    </row>
    <row r="6044" spans="1:11" ht="42" customHeight="1">
      <c r="A6044" s="2" t="s">
        <v>12007</v>
      </c>
      <c r="B6044" s="2" t="s">
        <v>12008</v>
      </c>
      <c r="C6044" s="2" t="s">
        <v>26</v>
      </c>
      <c r="D6044" s="2" t="s">
        <v>27</v>
      </c>
      <c r="E6044" s="5">
        <v>-29029</v>
      </c>
      <c r="F6044" s="3" t="s">
        <v>282</v>
      </c>
      <c r="G6044" s="3" t="s">
        <v>20</v>
      </c>
      <c r="H6044" s="2" t="s">
        <v>21</v>
      </c>
      <c r="I6044" s="2" t="s">
        <v>12009</v>
      </c>
      <c r="J6044" s="3" t="str">
        <f>HYPERLINK("https://www.boe.es/gazeta/dias/1820/07/08/pdfs/GGB-1820-9.pdf#page=4","Abrir facsímil")</f>
        <v>Abrir facsímil</v>
      </c>
      <c r="K6044" s="3" t="s">
        <v>23</v>
      </c>
    </row>
    <row r="6045" spans="1:11" ht="42" customHeight="1">
      <c r="A6045" s="2" t="s">
        <v>12007</v>
      </c>
      <c r="B6045" s="2" t="s">
        <v>12008</v>
      </c>
      <c r="C6045" s="2" t="s">
        <v>26</v>
      </c>
      <c r="D6045" s="2" t="s">
        <v>27</v>
      </c>
      <c r="E6045" s="5">
        <v>-28973</v>
      </c>
      <c r="F6045" s="3" t="s">
        <v>151</v>
      </c>
      <c r="G6045" s="3" t="s">
        <v>20</v>
      </c>
      <c r="H6045" s="2" t="s">
        <v>21</v>
      </c>
      <c r="I6045" s="2" t="s">
        <v>12010</v>
      </c>
      <c r="J6045" s="3" t="str">
        <f>HYPERLINK("https://www.boe.es/gazeta/dias/1820/09/02/pdfs/GGB-1820-66.pdf#page=4","Abrir facsímil")</f>
        <v>Abrir facsímil</v>
      </c>
      <c r="K6045" s="3" t="s">
        <v>23</v>
      </c>
    </row>
    <row r="6046" spans="1:11" ht="42" customHeight="1">
      <c r="A6046" s="2" t="s">
        <v>12011</v>
      </c>
      <c r="B6046" s="2" t="s">
        <v>12012</v>
      </c>
      <c r="C6046" s="2" t="s">
        <v>26</v>
      </c>
      <c r="D6046" s="2" t="s">
        <v>27</v>
      </c>
      <c r="E6046" s="5">
        <v>-29215</v>
      </c>
      <c r="F6046" s="3" t="s">
        <v>827</v>
      </c>
      <c r="G6046" s="3" t="s">
        <v>295</v>
      </c>
      <c r="H6046" s="2" t="s">
        <v>21</v>
      </c>
      <c r="I6046" s="2" t="s">
        <v>12013</v>
      </c>
      <c r="J6046" s="3" t="str">
        <f>HYPERLINK("https://www.boe.es/gazeta/dias/1820/01/04/pdfs/GMD-1820-2.pdf#page=8","Abrir facsímil")</f>
        <v>Abrir facsímil</v>
      </c>
      <c r="K6046" s="3" t="s">
        <v>23</v>
      </c>
    </row>
    <row r="6047" spans="1:11" ht="42" customHeight="1">
      <c r="A6047" s="2" t="s">
        <v>12011</v>
      </c>
      <c r="B6047" s="2" t="s">
        <v>12012</v>
      </c>
      <c r="C6047" s="2" t="s">
        <v>35</v>
      </c>
      <c r="D6047" s="2" t="s">
        <v>36</v>
      </c>
      <c r="E6047" s="5">
        <v>-29213</v>
      </c>
      <c r="F6047" s="3" t="s">
        <v>195</v>
      </c>
      <c r="G6047" s="3" t="s">
        <v>4787</v>
      </c>
      <c r="H6047" s="2" t="s">
        <v>21</v>
      </c>
      <c r="I6047" s="2" t="s">
        <v>12014</v>
      </c>
      <c r="J6047" s="3" t="str">
        <f>HYPERLINK("https://www.boe.es/gazeta/dias/1820/01/06/pdfs/GMD-1820-3.pdf#page=12","Abrir facsímil")</f>
        <v>Abrir facsímil</v>
      </c>
      <c r="K6047" s="3" t="s">
        <v>23</v>
      </c>
    </row>
    <row r="6048" spans="1:11" ht="42" customHeight="1">
      <c r="A6048" s="2" t="s">
        <v>12011</v>
      </c>
      <c r="B6048" s="2" t="s">
        <v>12012</v>
      </c>
      <c r="C6048" s="2" t="s">
        <v>35</v>
      </c>
      <c r="D6048" s="2" t="s">
        <v>36</v>
      </c>
      <c r="E6048" s="5">
        <v>-29206</v>
      </c>
      <c r="F6048" s="3" t="s">
        <v>897</v>
      </c>
      <c r="G6048" s="3" t="s">
        <v>295</v>
      </c>
      <c r="H6048" s="2" t="s">
        <v>21</v>
      </c>
      <c r="I6048" s="2" t="s">
        <v>12015</v>
      </c>
      <c r="J6048" s="3" t="str">
        <f>HYPERLINK("https://www.boe.es/gazeta/dias/1820/01/13/pdfs/GMD-1820-6.pdf#page=8","Abrir facsímil")</f>
        <v>Abrir facsímil</v>
      </c>
      <c r="K6048" s="3" t="s">
        <v>23</v>
      </c>
    </row>
    <row r="6049" spans="1:11" ht="42" customHeight="1">
      <c r="A6049" s="2" t="s">
        <v>12011</v>
      </c>
      <c r="B6049" s="2" t="s">
        <v>12012</v>
      </c>
      <c r="C6049" s="2" t="s">
        <v>26</v>
      </c>
      <c r="D6049" s="2" t="s">
        <v>27</v>
      </c>
      <c r="E6049" s="5">
        <v>-29204</v>
      </c>
      <c r="F6049" s="3" t="s">
        <v>753</v>
      </c>
      <c r="G6049" s="3" t="s">
        <v>295</v>
      </c>
      <c r="H6049" s="2" t="s">
        <v>21</v>
      </c>
      <c r="I6049" s="2" t="s">
        <v>12016</v>
      </c>
      <c r="J6049" s="3" t="str">
        <f>HYPERLINK("https://www.boe.es/gazeta/dias/1820/01/15/pdfs/GMD-1820-7.pdf#page=8","Abrir facsímil")</f>
        <v>Abrir facsímil</v>
      </c>
      <c r="K6049" s="3" t="s">
        <v>23</v>
      </c>
    </row>
    <row r="6050" spans="1:11" ht="42" customHeight="1">
      <c r="A6050" s="2" t="s">
        <v>12011</v>
      </c>
      <c r="B6050" s="2" t="s">
        <v>12012</v>
      </c>
      <c r="C6050" s="2" t="s">
        <v>35</v>
      </c>
      <c r="D6050" s="2" t="s">
        <v>36</v>
      </c>
      <c r="E6050" s="5">
        <v>-29201</v>
      </c>
      <c r="F6050" s="3" t="s">
        <v>411</v>
      </c>
      <c r="G6050" s="3" t="s">
        <v>2312</v>
      </c>
      <c r="H6050" s="2" t="s">
        <v>21</v>
      </c>
      <c r="I6050" s="2" t="s">
        <v>12017</v>
      </c>
      <c r="J6050" s="3" t="str">
        <f>HYPERLINK("https://www.boe.es/gazeta/dias/1820/01/18/pdfs/GMD-1820-8.pdf#page=8","Abrir facsímil")</f>
        <v>Abrir facsímil</v>
      </c>
      <c r="K6050" s="3" t="s">
        <v>23</v>
      </c>
    </row>
    <row r="6051" spans="1:11" ht="42" customHeight="1">
      <c r="A6051" s="2" t="s">
        <v>12018</v>
      </c>
      <c r="B6051" s="2" t="s">
        <v>12019</v>
      </c>
      <c r="C6051" s="2" t="s">
        <v>35</v>
      </c>
      <c r="D6051" s="2" t="s">
        <v>36</v>
      </c>
      <c r="E6051" s="5">
        <v>-29197</v>
      </c>
      <c r="F6051" s="3" t="s">
        <v>48</v>
      </c>
      <c r="G6051" s="3" t="s">
        <v>295</v>
      </c>
      <c r="H6051" s="2" t="s">
        <v>21</v>
      </c>
      <c r="I6051" s="2" t="s">
        <v>12020</v>
      </c>
      <c r="J6051" s="3" t="str">
        <f>HYPERLINK("https://www.boe.es/gazeta/dias/1820/01/22/pdfs/GMD-1820-10.pdf#page=8","Abrir facsímil")</f>
        <v>Abrir facsímil</v>
      </c>
      <c r="K6051" s="3" t="s">
        <v>23</v>
      </c>
    </row>
    <row r="6052" spans="1:11" ht="42" customHeight="1">
      <c r="A6052" s="2" t="s">
        <v>12011</v>
      </c>
      <c r="B6052" s="2" t="s">
        <v>12012</v>
      </c>
      <c r="C6052" s="2" t="s">
        <v>35</v>
      </c>
      <c r="D6052" s="2" t="s">
        <v>36</v>
      </c>
      <c r="E6052" s="5">
        <v>-29194</v>
      </c>
      <c r="F6052" s="3" t="s">
        <v>416</v>
      </c>
      <c r="G6052" s="3" t="s">
        <v>1391</v>
      </c>
      <c r="H6052" s="2" t="s">
        <v>21</v>
      </c>
      <c r="I6052" s="2" t="s">
        <v>12021</v>
      </c>
      <c r="J6052" s="3" t="str">
        <f>HYPERLINK("https://www.boe.es/gazeta/dias/1820/01/25/pdfs/GMD-1820-11.pdf#page=8","Abrir facsímil")</f>
        <v>Abrir facsímil</v>
      </c>
      <c r="K6052" s="3" t="s">
        <v>23</v>
      </c>
    </row>
    <row r="6053" spans="1:11" ht="42" customHeight="1">
      <c r="A6053" s="2" t="s">
        <v>12011</v>
      </c>
      <c r="B6053" s="2" t="s">
        <v>12012</v>
      </c>
      <c r="C6053" s="2" t="s">
        <v>35</v>
      </c>
      <c r="D6053" s="2" t="s">
        <v>36</v>
      </c>
      <c r="E6053" s="5">
        <v>-29185</v>
      </c>
      <c r="F6053" s="3" t="s">
        <v>772</v>
      </c>
      <c r="G6053" s="3" t="s">
        <v>201</v>
      </c>
      <c r="H6053" s="2" t="s">
        <v>21</v>
      </c>
      <c r="I6053" s="2" t="s">
        <v>12022</v>
      </c>
      <c r="J6053" s="3" t="str">
        <f>HYPERLINK("https://www.boe.es/gazeta/dias/1820/02/03/pdfs/GMD-1820-15.pdf#page=7","Abrir facsímil")</f>
        <v>Abrir facsímil</v>
      </c>
      <c r="K6053" s="3" t="s">
        <v>23</v>
      </c>
    </row>
    <row r="6054" spans="1:11" ht="42" customHeight="1">
      <c r="A6054" s="2" t="s">
        <v>12011</v>
      </c>
      <c r="B6054" s="2" t="s">
        <v>12012</v>
      </c>
      <c r="C6054" s="2" t="s">
        <v>35</v>
      </c>
      <c r="D6054" s="2" t="s">
        <v>36</v>
      </c>
      <c r="E6054" s="5">
        <v>-29178</v>
      </c>
      <c r="F6054" s="3" t="s">
        <v>782</v>
      </c>
      <c r="G6054" s="3" t="s">
        <v>201</v>
      </c>
      <c r="H6054" s="2" t="s">
        <v>21</v>
      </c>
      <c r="I6054" s="2" t="s">
        <v>12023</v>
      </c>
      <c r="J6054" s="3" t="str">
        <f>HYPERLINK("https://www.boe.es/gazeta/dias/1820/02/10/pdfs/GMD-1820-18.pdf#page=7","Abrir facsímil")</f>
        <v>Abrir facsímil</v>
      </c>
      <c r="K6054" s="3" t="s">
        <v>23</v>
      </c>
    </row>
    <row r="6055" spans="1:11" ht="42" customHeight="1">
      <c r="A6055" s="2" t="s">
        <v>12011</v>
      </c>
      <c r="B6055" s="2" t="s">
        <v>12012</v>
      </c>
      <c r="C6055" s="2" t="s">
        <v>35</v>
      </c>
      <c r="D6055" s="2" t="s">
        <v>36</v>
      </c>
      <c r="E6055" s="5">
        <v>-29166</v>
      </c>
      <c r="F6055" s="3" t="s">
        <v>799</v>
      </c>
      <c r="G6055" s="3" t="s">
        <v>295</v>
      </c>
      <c r="H6055" s="2" t="s">
        <v>21</v>
      </c>
      <c r="I6055" s="2" t="s">
        <v>12024</v>
      </c>
      <c r="J6055" s="3" t="str">
        <f>HYPERLINK("https://www.boe.es/gazeta/dias/1820/02/22/pdfs/GMD-1820-23.pdf#page=8","Abrir facsímil")</f>
        <v>Abrir facsímil</v>
      </c>
      <c r="K6055" s="3" t="s">
        <v>23</v>
      </c>
    </row>
    <row r="6056" spans="1:11" ht="42" customHeight="1">
      <c r="A6056" s="2" t="s">
        <v>12011</v>
      </c>
      <c r="B6056" s="2" t="s">
        <v>12012</v>
      </c>
      <c r="C6056" s="2" t="s">
        <v>26</v>
      </c>
      <c r="D6056" s="2" t="s">
        <v>27</v>
      </c>
      <c r="E6056" s="5">
        <v>-29164</v>
      </c>
      <c r="F6056" s="3" t="s">
        <v>2516</v>
      </c>
      <c r="G6056" s="3" t="s">
        <v>201</v>
      </c>
      <c r="H6056" s="2" t="s">
        <v>21</v>
      </c>
      <c r="I6056" s="2" t="s">
        <v>12025</v>
      </c>
      <c r="J6056" s="3" t="str">
        <f>HYPERLINK("https://www.boe.es/gazeta/dias/1820/02/24/pdfs/GMD-1820-24.pdf#page=7","Abrir facsímil")</f>
        <v>Abrir facsímil</v>
      </c>
      <c r="K6056" s="3" t="s">
        <v>23</v>
      </c>
    </row>
    <row r="6057" spans="1:11" ht="42" customHeight="1">
      <c r="A6057" s="2" t="s">
        <v>12011</v>
      </c>
      <c r="B6057" s="2" t="s">
        <v>12012</v>
      </c>
      <c r="C6057" s="2" t="s">
        <v>35</v>
      </c>
      <c r="D6057" s="2" t="s">
        <v>36</v>
      </c>
      <c r="E6057" s="5">
        <v>-29159</v>
      </c>
      <c r="F6057" s="3" t="s">
        <v>1022</v>
      </c>
      <c r="G6057" s="3" t="s">
        <v>3766</v>
      </c>
      <c r="H6057" s="2" t="s">
        <v>21</v>
      </c>
      <c r="I6057" s="2" t="s">
        <v>12026</v>
      </c>
      <c r="J6057" s="3" t="str">
        <f>HYPERLINK("https://www.boe.es/gazeta/dias/1820/02/29/pdfs/GMD-1820-26.pdf#page=8","Abrir facsímil")</f>
        <v>Abrir facsímil</v>
      </c>
      <c r="K6057" s="3" t="s">
        <v>23</v>
      </c>
    </row>
    <row r="6058" spans="1:11" ht="42" customHeight="1">
      <c r="A6058" s="2" t="s">
        <v>12011</v>
      </c>
      <c r="B6058" s="2" t="s">
        <v>12012</v>
      </c>
      <c r="C6058" s="2" t="s">
        <v>35</v>
      </c>
      <c r="D6058" s="2" t="s">
        <v>36</v>
      </c>
      <c r="E6058" s="5">
        <v>-29159</v>
      </c>
      <c r="F6058" s="3" t="s">
        <v>1022</v>
      </c>
      <c r="G6058" s="3" t="s">
        <v>201</v>
      </c>
      <c r="H6058" s="2" t="s">
        <v>21</v>
      </c>
      <c r="I6058" s="2" t="s">
        <v>12027</v>
      </c>
      <c r="J6058" s="3" t="str">
        <f>HYPERLINK("https://www.boe.es/gazeta/dias/1820/02/29/pdfs/GMD-1820-26.pdf#page=7","Abrir facsímil")</f>
        <v>Abrir facsímil</v>
      </c>
      <c r="K6058" s="3" t="s">
        <v>23</v>
      </c>
    </row>
    <row r="6059" spans="1:11" ht="42" customHeight="1">
      <c r="A6059" s="2" t="s">
        <v>12028</v>
      </c>
      <c r="B6059" s="2" t="s">
        <v>12029</v>
      </c>
      <c r="C6059" s="2" t="s">
        <v>35</v>
      </c>
      <c r="D6059" s="2" t="s">
        <v>36</v>
      </c>
      <c r="E6059" s="5">
        <v>-29204</v>
      </c>
      <c r="F6059" s="3" t="s">
        <v>753</v>
      </c>
      <c r="G6059" s="3" t="s">
        <v>295</v>
      </c>
      <c r="H6059" s="2" t="s">
        <v>21</v>
      </c>
      <c r="I6059" s="2" t="s">
        <v>12030</v>
      </c>
      <c r="J6059" s="3" t="str">
        <f>HYPERLINK("https://www.boe.es/gazeta/dias/1820/01/15/pdfs/GMD-1820-7.pdf#page=8","Abrir facsímil")</f>
        <v>Abrir facsímil</v>
      </c>
      <c r="K6059" s="3" t="s">
        <v>23</v>
      </c>
    </row>
    <row r="6060" spans="1:11" ht="42" customHeight="1">
      <c r="A6060" s="2" t="s">
        <v>12031</v>
      </c>
      <c r="B6060" s="2" t="s">
        <v>12032</v>
      </c>
      <c r="C6060" s="2" t="s">
        <v>26</v>
      </c>
      <c r="D6060" s="2" t="s">
        <v>27</v>
      </c>
      <c r="E6060" s="5">
        <v>-29028</v>
      </c>
      <c r="F6060" s="3" t="s">
        <v>132</v>
      </c>
      <c r="G6060" s="3" t="s">
        <v>20</v>
      </c>
      <c r="H6060" s="2" t="s">
        <v>21</v>
      </c>
      <c r="I6060" s="2" t="s">
        <v>12033</v>
      </c>
      <c r="J6060" s="3" t="str">
        <f>HYPERLINK("https://www.boe.es/gazeta/dias/1820/07/09/pdfs/GGB-1820-10.pdf#page=4","Abrir facsímil")</f>
        <v>Abrir facsímil</v>
      </c>
      <c r="K6060" s="3" t="s">
        <v>23</v>
      </c>
    </row>
    <row r="6061" spans="1:11" ht="42" customHeight="1">
      <c r="A6061" s="2" t="s">
        <v>12034</v>
      </c>
      <c r="B6061" s="2" t="s">
        <v>12034</v>
      </c>
      <c r="C6061" s="2" t="s">
        <v>74</v>
      </c>
      <c r="D6061" s="2" t="s">
        <v>18</v>
      </c>
      <c r="E6061" s="5">
        <v>-28882</v>
      </c>
      <c r="F6061" s="3" t="s">
        <v>1245</v>
      </c>
      <c r="G6061" s="3" t="s">
        <v>43</v>
      </c>
      <c r="H6061" s="2" t="s">
        <v>21</v>
      </c>
      <c r="I6061" s="2" t="s">
        <v>12035</v>
      </c>
      <c r="J6061" s="3" t="str">
        <f>HYPERLINK("https://www.boe.es/gazeta/dias/1820/12/02/pdfs/GGB-1820-159.pdf#page=2","Abrir facsímil")</f>
        <v>Abrir facsímil</v>
      </c>
      <c r="K6061" s="3" t="s">
        <v>23</v>
      </c>
    </row>
    <row r="6062" spans="1:11" ht="42" customHeight="1">
      <c r="A6062" s="2" t="s">
        <v>12036</v>
      </c>
      <c r="B6062" s="2" t="s">
        <v>12036</v>
      </c>
      <c r="C6062" s="2" t="s">
        <v>74</v>
      </c>
      <c r="D6062" s="2" t="s">
        <v>18</v>
      </c>
      <c r="E6062" s="5">
        <v>-28878</v>
      </c>
      <c r="F6062" s="3" t="s">
        <v>866</v>
      </c>
      <c r="G6062" s="3" t="s">
        <v>43</v>
      </c>
      <c r="H6062" s="2" t="s">
        <v>21</v>
      </c>
      <c r="I6062" s="2" t="s">
        <v>12037</v>
      </c>
      <c r="J6062" s="3" t="str">
        <f>HYPERLINK("https://www.boe.es/gazeta/dias/1820/12/06/pdfs/GGB-1820-163.pdf#page=2","Abrir facsímil")</f>
        <v>Abrir facsímil</v>
      </c>
      <c r="K6062" s="3" t="s">
        <v>23</v>
      </c>
    </row>
    <row r="6063" spans="1:11" ht="42" customHeight="1">
      <c r="A6063" s="2" t="s">
        <v>12036</v>
      </c>
      <c r="B6063" s="2" t="s">
        <v>12036</v>
      </c>
      <c r="C6063" s="2" t="s">
        <v>26</v>
      </c>
      <c r="D6063" s="2" t="s">
        <v>27</v>
      </c>
      <c r="E6063" s="5">
        <v>-28860</v>
      </c>
      <c r="F6063" s="3" t="s">
        <v>4487</v>
      </c>
      <c r="G6063" s="3" t="s">
        <v>128</v>
      </c>
      <c r="H6063" s="2" t="s">
        <v>21</v>
      </c>
      <c r="I6063" s="2" t="s">
        <v>12038</v>
      </c>
      <c r="J6063" s="3" t="str">
        <f>HYPERLINK("https://www.boe.es/gazeta/dias/1820/12/24/pdfs/GGB-1820-181.pdf#page=1","Abrir facsímil")</f>
        <v>Abrir facsímil</v>
      </c>
      <c r="K6063" s="3" t="s">
        <v>23</v>
      </c>
    </row>
    <row r="6064" spans="1:11" ht="42" customHeight="1">
      <c r="A6064" s="2" t="s">
        <v>12039</v>
      </c>
      <c r="B6064" s="2" t="s">
        <v>12039</v>
      </c>
      <c r="C6064" s="2" t="s">
        <v>74</v>
      </c>
      <c r="D6064" s="2" t="s">
        <v>18</v>
      </c>
      <c r="E6064" s="5">
        <v>-28944</v>
      </c>
      <c r="F6064" s="3" t="s">
        <v>990</v>
      </c>
      <c r="G6064" s="3" t="s">
        <v>128</v>
      </c>
      <c r="H6064" s="2" t="s">
        <v>21</v>
      </c>
      <c r="I6064" s="2" t="s">
        <v>12040</v>
      </c>
      <c r="J6064" s="3" t="str">
        <f>HYPERLINK("https://www.boe.es/gazeta/dias/1820/10/01/pdfs/GGB-1820-95.pdf#page=1","Abrir facsímil")</f>
        <v>Abrir facsímil</v>
      </c>
      <c r="K6064" s="3" t="s">
        <v>23</v>
      </c>
    </row>
    <row r="6065" spans="1:11" ht="42" customHeight="1">
      <c r="A6065" s="2" t="s">
        <v>12041</v>
      </c>
      <c r="B6065" s="2" t="s">
        <v>12041</v>
      </c>
      <c r="C6065" s="2" t="s">
        <v>35</v>
      </c>
      <c r="D6065" s="2" t="s">
        <v>36</v>
      </c>
      <c r="E6065" s="5">
        <v>-28874</v>
      </c>
      <c r="F6065" s="3" t="s">
        <v>103</v>
      </c>
      <c r="G6065" s="3" t="s">
        <v>1822</v>
      </c>
      <c r="H6065" s="2" t="s">
        <v>21</v>
      </c>
      <c r="I6065" s="2" t="s">
        <v>12042</v>
      </c>
      <c r="J6065" s="3" t="str">
        <f>HYPERLINK("https://www.boe.es/gazeta/dias/1820/12/10/pdfs/GGB-1820-167.pdf#page=1","Abrir facsímil")</f>
        <v>Abrir facsímil</v>
      </c>
      <c r="K6065" s="3" t="s">
        <v>23</v>
      </c>
    </row>
    <row r="6066" spans="1:11" ht="42" customHeight="1">
      <c r="A6066" s="2" t="s">
        <v>12043</v>
      </c>
      <c r="B6066" s="2" t="s">
        <v>12044</v>
      </c>
      <c r="C6066" s="2" t="s">
        <v>26</v>
      </c>
      <c r="D6066" s="2" t="s">
        <v>27</v>
      </c>
      <c r="E6066" s="5">
        <v>-28865</v>
      </c>
      <c r="F6066" s="3" t="s">
        <v>136</v>
      </c>
      <c r="G6066" s="3" t="s">
        <v>128</v>
      </c>
      <c r="H6066" s="2" t="s">
        <v>21</v>
      </c>
      <c r="I6066" s="2" t="s">
        <v>12045</v>
      </c>
      <c r="J6066" s="3" t="str">
        <f>HYPERLINK("https://www.boe.es/gazeta/dias/1820/12/19/pdfs/GGB-1820-176.pdf#page=1","Abrir facsímil")</f>
        <v>Abrir facsímil</v>
      </c>
      <c r="K6066" s="3" t="s">
        <v>23</v>
      </c>
    </row>
    <row r="6067" spans="1:11" ht="42" customHeight="1">
      <c r="A6067" s="2" t="s">
        <v>12046</v>
      </c>
      <c r="B6067" s="2" t="s">
        <v>12046</v>
      </c>
      <c r="C6067" s="2" t="s">
        <v>35</v>
      </c>
      <c r="D6067" s="2" t="s">
        <v>36</v>
      </c>
      <c r="E6067" s="5">
        <v>-28878</v>
      </c>
      <c r="F6067" s="3" t="s">
        <v>866</v>
      </c>
      <c r="G6067" s="3" t="s">
        <v>128</v>
      </c>
      <c r="H6067" s="2" t="s">
        <v>21</v>
      </c>
      <c r="I6067" s="2" t="s">
        <v>12047</v>
      </c>
      <c r="J6067" s="3" t="str">
        <f>HYPERLINK("https://www.boe.es/gazeta/dias/1820/12/06/pdfs/GGB-1820-163.pdf#page=1","Abrir facsímil")</f>
        <v>Abrir facsímil</v>
      </c>
      <c r="K6067" s="3" t="s">
        <v>23</v>
      </c>
    </row>
    <row r="6068" spans="1:11" ht="42" customHeight="1">
      <c r="A6068" s="2" t="s">
        <v>12048</v>
      </c>
      <c r="B6068" s="2" t="s">
        <v>12048</v>
      </c>
      <c r="C6068" s="2" t="s">
        <v>26</v>
      </c>
      <c r="D6068" s="2" t="s">
        <v>27</v>
      </c>
      <c r="E6068" s="5">
        <v>-28881</v>
      </c>
      <c r="F6068" s="3" t="s">
        <v>57</v>
      </c>
      <c r="G6068" s="3" t="s">
        <v>128</v>
      </c>
      <c r="H6068" s="2" t="s">
        <v>21</v>
      </c>
      <c r="I6068" s="2" t="s">
        <v>12049</v>
      </c>
      <c r="J6068" s="3" t="str">
        <f>HYPERLINK("https://www.boe.es/gazeta/dias/1820/12/03/pdfs/GGB-1820-160.pdf#page=1","Abrir facsímil")</f>
        <v>Abrir facsímil</v>
      </c>
      <c r="K6068" s="3" t="s">
        <v>23</v>
      </c>
    </row>
    <row r="6069" spans="1:11" ht="42" customHeight="1">
      <c r="A6069" s="2" t="s">
        <v>12050</v>
      </c>
      <c r="B6069" s="2" t="s">
        <v>12050</v>
      </c>
      <c r="C6069" s="2" t="s">
        <v>17</v>
      </c>
      <c r="D6069" s="2" t="s">
        <v>18</v>
      </c>
      <c r="E6069" s="5">
        <v>-28946</v>
      </c>
      <c r="F6069" s="3" t="s">
        <v>1055</v>
      </c>
      <c r="G6069" s="3" t="s">
        <v>4558</v>
      </c>
      <c r="H6069" s="2" t="s">
        <v>21</v>
      </c>
      <c r="I6069" s="2" t="s">
        <v>12051</v>
      </c>
      <c r="J6069" s="3" t="str">
        <f>HYPERLINK("https://www.boe.es/gazeta/dias/1820/09/29/pdfs/GGB-1820-93.pdf#page=3","Abrir facsímil")</f>
        <v>Abrir facsímil</v>
      </c>
      <c r="K6069" s="3" t="s">
        <v>23</v>
      </c>
    </row>
    <row r="6070" spans="1:11" ht="42" customHeight="1">
      <c r="A6070" s="2" t="s">
        <v>12052</v>
      </c>
      <c r="B6070" s="2" t="s">
        <v>12053</v>
      </c>
      <c r="C6070" s="2" t="s">
        <v>26</v>
      </c>
      <c r="D6070" s="2" t="s">
        <v>27</v>
      </c>
      <c r="E6070" s="5">
        <v>-29129</v>
      </c>
      <c r="F6070" s="3" t="s">
        <v>269</v>
      </c>
      <c r="G6070" s="3" t="s">
        <v>553</v>
      </c>
      <c r="H6070" s="2" t="s">
        <v>21</v>
      </c>
      <c r="I6070" s="2" t="s">
        <v>12054</v>
      </c>
      <c r="J6070" s="3" t="str">
        <f>HYPERLINK("https://www.boe.es/gazeta/dias/1820/03/30/pdfs/GMD-1820-58.pdf#page=10","Abrir facsímil")</f>
        <v>Abrir facsímil</v>
      </c>
      <c r="K6070" s="3" t="s">
        <v>23</v>
      </c>
    </row>
    <row r="6071" spans="1:11" ht="42" customHeight="1">
      <c r="A6071" s="2" t="s">
        <v>12055</v>
      </c>
      <c r="B6071" s="2" t="s">
        <v>12056</v>
      </c>
      <c r="C6071" s="2" t="s">
        <v>107</v>
      </c>
      <c r="D6071" s="2" t="s">
        <v>18</v>
      </c>
      <c r="E6071" s="5">
        <v>-29030</v>
      </c>
      <c r="F6071" s="3" t="s">
        <v>789</v>
      </c>
      <c r="G6071" s="3" t="s">
        <v>1987</v>
      </c>
      <c r="H6071" s="2" t="s">
        <v>21</v>
      </c>
      <c r="I6071" s="2" t="s">
        <v>12057</v>
      </c>
      <c r="J6071" s="3" t="str">
        <f>HYPERLINK("https://www.boe.es/gazeta/dias/1820/07/07/pdfs/GGB-1820-8.pdf#page=4","Abrir facsímil")</f>
        <v>Abrir facsímil</v>
      </c>
      <c r="K6071" s="3" t="s">
        <v>23</v>
      </c>
    </row>
    <row r="6072" spans="1:11" ht="42" customHeight="1">
      <c r="A6072" s="2" t="s">
        <v>12058</v>
      </c>
      <c r="B6072" s="2" t="s">
        <v>12059</v>
      </c>
      <c r="C6072" s="2" t="s">
        <v>107</v>
      </c>
      <c r="D6072" s="2" t="s">
        <v>18</v>
      </c>
      <c r="E6072" s="5">
        <v>-28930</v>
      </c>
      <c r="F6072" s="3" t="s">
        <v>372</v>
      </c>
      <c r="G6072" s="3" t="s">
        <v>20</v>
      </c>
      <c r="H6072" s="2" t="s">
        <v>21</v>
      </c>
      <c r="I6072" s="2" t="s">
        <v>12060</v>
      </c>
      <c r="J6072" s="3" t="str">
        <f>HYPERLINK("https://www.boe.es/gazeta/dias/1820/10/15/pdfs/GGB-1820-109.pdf#page=4","Abrir facsímil")</f>
        <v>Abrir facsímil</v>
      </c>
      <c r="K6072" s="3" t="s">
        <v>23</v>
      </c>
    </row>
    <row r="6073" spans="1:11" ht="42" customHeight="1">
      <c r="A6073" s="2" t="s">
        <v>12061</v>
      </c>
      <c r="B6073" s="2" t="s">
        <v>12062</v>
      </c>
      <c r="C6073" s="2" t="s">
        <v>26</v>
      </c>
      <c r="D6073" s="2" t="s">
        <v>27</v>
      </c>
      <c r="E6073" s="5">
        <v>-28928</v>
      </c>
      <c r="F6073" s="3" t="s">
        <v>86</v>
      </c>
      <c r="G6073" s="3" t="s">
        <v>43</v>
      </c>
      <c r="H6073" s="2" t="s">
        <v>21</v>
      </c>
      <c r="I6073" s="2" t="s">
        <v>12063</v>
      </c>
      <c r="J6073" s="3" t="str">
        <f>HYPERLINK("https://www.boe.es/gazeta/dias/1820/10/17/pdfs/GGB-1820-111.pdf#page=2","Abrir facsímil")</f>
        <v>Abrir facsímil</v>
      </c>
      <c r="K6073" s="3" t="s">
        <v>23</v>
      </c>
    </row>
    <row r="6074" spans="1:11" ht="42" customHeight="1">
      <c r="A6074" s="2" t="s">
        <v>12064</v>
      </c>
      <c r="B6074" s="2" t="s">
        <v>12065</v>
      </c>
      <c r="C6074" s="2" t="s">
        <v>17</v>
      </c>
      <c r="D6074" s="2" t="s">
        <v>18</v>
      </c>
      <c r="E6074" s="5">
        <v>-29011</v>
      </c>
      <c r="F6074" s="3" t="s">
        <v>338</v>
      </c>
      <c r="G6074" s="3" t="s">
        <v>43</v>
      </c>
      <c r="H6074" s="2" t="s">
        <v>21</v>
      </c>
      <c r="I6074" s="2" t="s">
        <v>12066</v>
      </c>
      <c r="J6074" s="3" t="str">
        <f>HYPERLINK("https://www.boe.es/gazeta/dias/1820/07/26/pdfs/GGB-1820-28.pdf#page=2","Abrir facsímil")</f>
        <v>Abrir facsímil</v>
      </c>
      <c r="K6074" s="3" t="s">
        <v>23</v>
      </c>
    </row>
    <row r="6075" spans="1:11" ht="42" customHeight="1">
      <c r="A6075" s="2" t="s">
        <v>12064</v>
      </c>
      <c r="B6075" s="2" t="s">
        <v>12065</v>
      </c>
      <c r="C6075" s="2" t="s">
        <v>111</v>
      </c>
      <c r="D6075" s="2" t="s">
        <v>18</v>
      </c>
      <c r="E6075" s="5">
        <v>-28855</v>
      </c>
      <c r="F6075" s="3" t="s">
        <v>2055</v>
      </c>
      <c r="G6075" s="3" t="s">
        <v>20</v>
      </c>
      <c r="H6075" s="2" t="s">
        <v>21</v>
      </c>
      <c r="I6075" s="2" t="s">
        <v>12067</v>
      </c>
      <c r="J6075" s="3" t="str">
        <f>HYPERLINK("https://www.boe.es/gazeta/dias/1820/12/29/pdfs/GGB-1820-186.pdf#page=4","Abrir facsímil")</f>
        <v>Abrir facsímil</v>
      </c>
      <c r="K6075" s="3" t="s">
        <v>23</v>
      </c>
    </row>
    <row r="6076" spans="1:11" ht="42" customHeight="1">
      <c r="A6076" s="2" t="s">
        <v>12068</v>
      </c>
      <c r="B6076" s="2" t="s">
        <v>12068</v>
      </c>
      <c r="C6076" s="2" t="s">
        <v>35</v>
      </c>
      <c r="D6076" s="2" t="s">
        <v>36</v>
      </c>
      <c r="E6076" s="5">
        <v>-28882</v>
      </c>
      <c r="F6076" s="3" t="s">
        <v>1245</v>
      </c>
      <c r="G6076" s="3" t="s">
        <v>128</v>
      </c>
      <c r="H6076" s="2" t="s">
        <v>21</v>
      </c>
      <c r="I6076" s="2" t="s">
        <v>12069</v>
      </c>
      <c r="J6076" s="3" t="str">
        <f>HYPERLINK("https://www.boe.es/gazeta/dias/1820/12/02/pdfs/GGB-1820-159.pdf#page=1","Abrir facsímil")</f>
        <v>Abrir facsímil</v>
      </c>
      <c r="K6076" s="3" t="s">
        <v>23</v>
      </c>
    </row>
    <row r="6077" spans="1:11" ht="42" customHeight="1">
      <c r="A6077" s="2" t="s">
        <v>12070</v>
      </c>
      <c r="B6077" s="2" t="s">
        <v>12070</v>
      </c>
      <c r="C6077" s="2" t="s">
        <v>35</v>
      </c>
      <c r="D6077" s="2" t="s">
        <v>36</v>
      </c>
      <c r="E6077" s="5">
        <v>-29003</v>
      </c>
      <c r="F6077" s="3" t="s">
        <v>340</v>
      </c>
      <c r="G6077" s="3" t="s">
        <v>43</v>
      </c>
      <c r="H6077" s="2" t="s">
        <v>21</v>
      </c>
      <c r="I6077" s="2" t="s">
        <v>12071</v>
      </c>
      <c r="J6077" s="3" t="str">
        <f>HYPERLINK("https://www.boe.es/gazeta/dias/1820/08/03/pdfs/GGB-1820-36.pdf#page=2","Abrir facsímil")</f>
        <v>Abrir facsímil</v>
      </c>
      <c r="K6077" s="3" t="s">
        <v>23</v>
      </c>
    </row>
    <row r="6078" spans="1:11" ht="42" customHeight="1">
      <c r="A6078" s="2" t="s">
        <v>12072</v>
      </c>
      <c r="B6078" s="2" t="s">
        <v>12072</v>
      </c>
      <c r="C6078" s="2" t="s">
        <v>35</v>
      </c>
      <c r="D6078" s="2" t="s">
        <v>36</v>
      </c>
      <c r="E6078" s="5">
        <v>-29204</v>
      </c>
      <c r="F6078" s="3" t="s">
        <v>753</v>
      </c>
      <c r="G6078" s="3" t="s">
        <v>43</v>
      </c>
      <c r="H6078" s="2" t="s">
        <v>21</v>
      </c>
      <c r="I6078" s="2" t="s">
        <v>12073</v>
      </c>
      <c r="J6078" s="3" t="str">
        <f>HYPERLINK("https://www.boe.es/gazeta/dias/1820/01/15/pdfs/GMD-1820-7.pdf#page=2","Abrir facsímil")</f>
        <v>Abrir facsímil</v>
      </c>
      <c r="K6078" s="3" t="s">
        <v>23</v>
      </c>
    </row>
    <row r="6079" spans="1:11" ht="42" customHeight="1">
      <c r="A6079" s="2" t="s">
        <v>12072</v>
      </c>
      <c r="B6079" s="2" t="s">
        <v>12072</v>
      </c>
      <c r="C6079" s="2" t="s">
        <v>17</v>
      </c>
      <c r="D6079" s="2" t="s">
        <v>18</v>
      </c>
      <c r="E6079" s="5">
        <v>-29004</v>
      </c>
      <c r="F6079" s="3" t="s">
        <v>75</v>
      </c>
      <c r="G6079" s="3" t="s">
        <v>128</v>
      </c>
      <c r="H6079" s="2" t="s">
        <v>21</v>
      </c>
      <c r="I6079" s="2" t="s">
        <v>12074</v>
      </c>
      <c r="J6079" s="3" t="str">
        <f>HYPERLINK("https://www.boe.es/gazeta/dias/1820/08/02/pdfs/GGB-1820-35.pdf#page=1","Abrir facsímil")</f>
        <v>Abrir facsímil</v>
      </c>
      <c r="K6079" s="3" t="s">
        <v>23</v>
      </c>
    </row>
    <row r="6080" spans="1:11" ht="42" customHeight="1">
      <c r="A6080" s="2" t="s">
        <v>12075</v>
      </c>
      <c r="B6080" s="2" t="s">
        <v>12076</v>
      </c>
      <c r="C6080" s="2" t="s">
        <v>47</v>
      </c>
      <c r="D6080" s="2" t="s">
        <v>18</v>
      </c>
      <c r="E6080" s="5">
        <v>-29054</v>
      </c>
      <c r="F6080" s="3" t="s">
        <v>481</v>
      </c>
      <c r="G6080" s="3" t="s">
        <v>778</v>
      </c>
      <c r="H6080" s="2" t="s">
        <v>21</v>
      </c>
      <c r="I6080" s="2" t="s">
        <v>12077</v>
      </c>
      <c r="J6080" s="3" t="str">
        <f>HYPERLINK("https://www.boe.es/gazeta/dias/1820/06/13/pdfs/GMD-1820-93.pdf#page=4","Abrir facsímil")</f>
        <v>Abrir facsímil</v>
      </c>
      <c r="K6080" s="3" t="s">
        <v>23</v>
      </c>
    </row>
    <row r="6081" spans="1:11" ht="42" customHeight="1">
      <c r="A6081" s="2" t="s">
        <v>12078</v>
      </c>
      <c r="B6081" s="2" t="s">
        <v>12079</v>
      </c>
      <c r="C6081" s="2" t="s">
        <v>26</v>
      </c>
      <c r="D6081" s="2" t="s">
        <v>27</v>
      </c>
      <c r="E6081" s="5">
        <v>-29002</v>
      </c>
      <c r="F6081" s="3" t="s">
        <v>124</v>
      </c>
      <c r="G6081" s="3" t="s">
        <v>43</v>
      </c>
      <c r="H6081" s="2" t="s">
        <v>21</v>
      </c>
      <c r="I6081" s="2" t="s">
        <v>12080</v>
      </c>
      <c r="J6081" s="3" t="str">
        <f>HYPERLINK("https://www.boe.es/gazeta/dias/1820/08/04/pdfs/GGB-1820-37.pdf#page=2","Abrir facsímil")</f>
        <v>Abrir facsímil</v>
      </c>
      <c r="K6081" s="3" t="s">
        <v>23</v>
      </c>
    </row>
    <row r="6082" spans="1:11" ht="42" customHeight="1">
      <c r="A6082" s="2" t="s">
        <v>12081</v>
      </c>
      <c r="B6082" s="2" t="s">
        <v>12081</v>
      </c>
      <c r="C6082" s="2" t="s">
        <v>74</v>
      </c>
      <c r="D6082" s="2" t="s">
        <v>18</v>
      </c>
      <c r="E6082" s="5">
        <v>-29020</v>
      </c>
      <c r="F6082" s="3" t="s">
        <v>756</v>
      </c>
      <c r="G6082" s="3" t="s">
        <v>128</v>
      </c>
      <c r="H6082" s="2" t="s">
        <v>21</v>
      </c>
      <c r="I6082" s="2" t="s">
        <v>12082</v>
      </c>
      <c r="J6082" s="3" t="str">
        <f>HYPERLINK("https://www.boe.es/gazeta/dias/1820/07/17/pdfs/GGB-1820-19.pdf#page=1","Abrir facsímil")</f>
        <v>Abrir facsímil</v>
      </c>
      <c r="K6082" s="3" t="s">
        <v>23</v>
      </c>
    </row>
    <row r="6083" spans="1:11" ht="42" customHeight="1">
      <c r="A6083" s="2" t="s">
        <v>12083</v>
      </c>
      <c r="B6083" s="2" t="s">
        <v>12083</v>
      </c>
      <c r="C6083" s="2" t="s">
        <v>74</v>
      </c>
      <c r="D6083" s="2" t="s">
        <v>18</v>
      </c>
      <c r="E6083" s="5">
        <v>-28882</v>
      </c>
      <c r="F6083" s="3" t="s">
        <v>1245</v>
      </c>
      <c r="G6083" s="3" t="s">
        <v>43</v>
      </c>
      <c r="H6083" s="2" t="s">
        <v>21</v>
      </c>
      <c r="I6083" s="2" t="s">
        <v>12084</v>
      </c>
      <c r="J6083" s="3" t="str">
        <f>HYPERLINK("https://www.boe.es/gazeta/dias/1820/12/02/pdfs/GGB-1820-159.pdf#page=2","Abrir facsímil")</f>
        <v>Abrir facsímil</v>
      </c>
      <c r="K6083" s="3" t="s">
        <v>23</v>
      </c>
    </row>
    <row r="6084" spans="1:11" ht="42" customHeight="1">
      <c r="A6084" s="2" t="s">
        <v>12085</v>
      </c>
      <c r="B6084" s="2" t="s">
        <v>12085</v>
      </c>
      <c r="C6084" s="2" t="s">
        <v>17</v>
      </c>
      <c r="D6084" s="2" t="s">
        <v>18</v>
      </c>
      <c r="E6084" s="5">
        <v>-28884</v>
      </c>
      <c r="F6084" s="3" t="s">
        <v>882</v>
      </c>
      <c r="G6084" s="3" t="s">
        <v>128</v>
      </c>
      <c r="H6084" s="2" t="s">
        <v>21</v>
      </c>
      <c r="I6084" s="2" t="s">
        <v>12086</v>
      </c>
      <c r="J6084" s="3" t="str">
        <f>HYPERLINK("https://www.boe.es/gazeta/dias/1820/11/30/pdfs/GGB-1820-157.pdf#page=1","Abrir facsímil")</f>
        <v>Abrir facsímil</v>
      </c>
      <c r="K6084" s="3" t="s">
        <v>23</v>
      </c>
    </row>
    <row r="6085" spans="1:11" ht="42" customHeight="1">
      <c r="A6085" s="2" t="s">
        <v>12087</v>
      </c>
      <c r="B6085" s="2" t="s">
        <v>12088</v>
      </c>
      <c r="C6085" s="2" t="s">
        <v>47</v>
      </c>
      <c r="D6085" s="2" t="s">
        <v>18</v>
      </c>
      <c r="E6085" s="5">
        <v>-29197</v>
      </c>
      <c r="F6085" s="3" t="s">
        <v>48</v>
      </c>
      <c r="G6085" s="3" t="s">
        <v>38</v>
      </c>
      <c r="H6085" s="2" t="s">
        <v>30</v>
      </c>
      <c r="I6085" s="2" t="s">
        <v>12089</v>
      </c>
      <c r="J6085" s="3" t="str">
        <f>HYPERLINK("https://www.boe.es/gazeta/dias/1820/01/22/pdfs/GMD-1820-10.pdf#page=6","Abrir facsímil")</f>
        <v>Abrir facsímil</v>
      </c>
      <c r="K6085" s="3" t="s">
        <v>32</v>
      </c>
    </row>
    <row r="6086" spans="1:11" ht="42" customHeight="1">
      <c r="A6086" s="2" t="s">
        <v>12090</v>
      </c>
      <c r="B6086" s="2" t="s">
        <v>12091</v>
      </c>
      <c r="C6086" s="2" t="s">
        <v>26</v>
      </c>
      <c r="D6086" s="2" t="s">
        <v>27</v>
      </c>
      <c r="E6086" s="5">
        <v>-29045</v>
      </c>
      <c r="F6086" s="3" t="s">
        <v>155</v>
      </c>
      <c r="G6086" s="3" t="s">
        <v>295</v>
      </c>
      <c r="H6086" s="2" t="s">
        <v>30</v>
      </c>
      <c r="I6086" s="2" t="s">
        <v>12092</v>
      </c>
      <c r="J6086" s="3" t="str">
        <f>HYPERLINK("https://www.boe.es/gazeta/dias/1820/06/22/pdfs/GMD-1820-97.pdf#page=8","Abrir facsímil")</f>
        <v>Abrir facsímil</v>
      </c>
      <c r="K6086" s="3" t="s">
        <v>32</v>
      </c>
    </row>
    <row r="6087" spans="1:11" ht="42" customHeight="1">
      <c r="A6087" s="2" t="s">
        <v>12093</v>
      </c>
      <c r="B6087" s="2" t="s">
        <v>12094</v>
      </c>
      <c r="C6087" s="2" t="s">
        <v>1808</v>
      </c>
      <c r="D6087" s="2" t="s">
        <v>36</v>
      </c>
      <c r="E6087" s="5">
        <v>-29197</v>
      </c>
      <c r="F6087" s="3" t="s">
        <v>48</v>
      </c>
      <c r="G6087" s="3" t="s">
        <v>38</v>
      </c>
      <c r="H6087" s="2" t="s">
        <v>30</v>
      </c>
      <c r="I6087" s="2" t="s">
        <v>12095</v>
      </c>
      <c r="J6087" s="3" t="str">
        <f>HYPERLINK("https://www.boe.es/gazeta/dias/1820/01/22/pdfs/GMD-1820-10.pdf#page=6","Abrir facsímil")</f>
        <v>Abrir facsímil</v>
      </c>
      <c r="K6087" s="3" t="s">
        <v>32</v>
      </c>
    </row>
    <row r="6088" spans="1:11" ht="42" customHeight="1">
      <c r="A6088" s="2" t="s">
        <v>12096</v>
      </c>
      <c r="B6088" s="2" t="s">
        <v>12096</v>
      </c>
      <c r="C6088" s="2" t="s">
        <v>293</v>
      </c>
      <c r="D6088" s="2" t="s">
        <v>18</v>
      </c>
      <c r="E6088" s="5">
        <v>-28986</v>
      </c>
      <c r="F6088" s="3" t="s">
        <v>488</v>
      </c>
      <c r="G6088" s="3" t="s">
        <v>489</v>
      </c>
      <c r="H6088" s="2" t="s">
        <v>21</v>
      </c>
      <c r="I6088" s="2" t="s">
        <v>12097</v>
      </c>
      <c r="J6088" s="3" t="str">
        <f>HYPERLINK("https://www.boe.es/gazeta/dias/1820/08/20/pdfs/GGB-1820-53.pdf#page=2","Abrir facsímil")</f>
        <v>Abrir facsímil</v>
      </c>
      <c r="K6088" s="3" t="s">
        <v>23</v>
      </c>
    </row>
    <row r="6089" spans="1:11" ht="42" customHeight="1">
      <c r="A6089" s="2" t="s">
        <v>12098</v>
      </c>
      <c r="B6089" s="2" t="s">
        <v>12099</v>
      </c>
      <c r="C6089" s="2" t="s">
        <v>26</v>
      </c>
      <c r="D6089" s="2" t="s">
        <v>27</v>
      </c>
      <c r="E6089" s="5">
        <v>-28928</v>
      </c>
      <c r="F6089" s="3" t="s">
        <v>86</v>
      </c>
      <c r="G6089" s="3" t="s">
        <v>43</v>
      </c>
      <c r="H6089" s="2" t="s">
        <v>21</v>
      </c>
      <c r="I6089" s="2" t="s">
        <v>12100</v>
      </c>
      <c r="J6089" s="3" t="str">
        <f>HYPERLINK("https://www.boe.es/gazeta/dias/1820/10/17/pdfs/GGB-1820-111.pdf#page=2","Abrir facsímil")</f>
        <v>Abrir facsímil</v>
      </c>
      <c r="K6089" s="3" t="s">
        <v>23</v>
      </c>
    </row>
    <row r="6090" spans="1:11" ht="42" customHeight="1">
      <c r="A6090" s="2" t="s">
        <v>12101</v>
      </c>
      <c r="B6090" s="2" t="s">
        <v>12101</v>
      </c>
      <c r="C6090" s="2" t="s">
        <v>74</v>
      </c>
      <c r="D6090" s="2" t="s">
        <v>18</v>
      </c>
      <c r="E6090" s="5">
        <v>-29011</v>
      </c>
      <c r="F6090" s="3" t="s">
        <v>338</v>
      </c>
      <c r="G6090" s="3" t="s">
        <v>62</v>
      </c>
      <c r="H6090" s="2" t="s">
        <v>21</v>
      </c>
      <c r="I6090" s="2" t="s">
        <v>12102</v>
      </c>
      <c r="J6090" s="3" t="str">
        <f>HYPERLINK("https://www.boe.es/gazeta/dias/1820/07/26/pdfs/GGB-1820-28.pdf#page=3","Abrir facsímil")</f>
        <v>Abrir facsímil</v>
      </c>
      <c r="K6090" s="3" t="s">
        <v>23</v>
      </c>
    </row>
    <row r="6091" spans="1:11" ht="42" customHeight="1">
      <c r="A6091" s="2" t="s">
        <v>12103</v>
      </c>
      <c r="B6091" s="2" t="s">
        <v>12103</v>
      </c>
      <c r="C6091" s="2" t="s">
        <v>35</v>
      </c>
      <c r="D6091" s="2" t="s">
        <v>36</v>
      </c>
      <c r="E6091" s="5">
        <v>-29007</v>
      </c>
      <c r="F6091" s="3" t="s">
        <v>251</v>
      </c>
      <c r="G6091" s="3" t="s">
        <v>62</v>
      </c>
      <c r="H6091" s="2" t="s">
        <v>21</v>
      </c>
      <c r="I6091" s="2" t="s">
        <v>12104</v>
      </c>
      <c r="J6091" s="3" t="str">
        <f>HYPERLINK("https://www.boe.es/gazeta/dias/1820/07/30/pdfs/GGB-1820-32.pdf#page=3","Abrir facsímil")</f>
        <v>Abrir facsímil</v>
      </c>
      <c r="K6091" s="3" t="s">
        <v>23</v>
      </c>
    </row>
    <row r="6092" spans="1:11" ht="42" customHeight="1">
      <c r="A6092" s="2" t="s">
        <v>12105</v>
      </c>
      <c r="B6092" s="2" t="s">
        <v>12106</v>
      </c>
      <c r="C6092" s="2" t="s">
        <v>17</v>
      </c>
      <c r="D6092" s="2" t="s">
        <v>18</v>
      </c>
      <c r="E6092" s="5">
        <v>-29018</v>
      </c>
      <c r="F6092" s="3" t="s">
        <v>601</v>
      </c>
      <c r="G6092" s="3" t="s">
        <v>62</v>
      </c>
      <c r="H6092" s="2" t="s">
        <v>21</v>
      </c>
      <c r="I6092" s="2" t="s">
        <v>12107</v>
      </c>
      <c r="J6092" s="3" t="str">
        <f>HYPERLINK("https://www.boe.es/gazeta/dias/1820/07/19/pdfs/GGB-1820-21.pdf#page=3","Abrir facsímil")</f>
        <v>Abrir facsímil</v>
      </c>
      <c r="K6092" s="3" t="s">
        <v>23</v>
      </c>
    </row>
    <row r="6093" spans="1:11" ht="42" customHeight="1">
      <c r="A6093" s="2" t="s">
        <v>12108</v>
      </c>
      <c r="B6093" s="2" t="s">
        <v>12108</v>
      </c>
      <c r="C6093" s="2" t="s">
        <v>35</v>
      </c>
      <c r="D6093" s="2" t="s">
        <v>36</v>
      </c>
      <c r="E6093" s="5">
        <v>-29004</v>
      </c>
      <c r="F6093" s="3" t="s">
        <v>75</v>
      </c>
      <c r="G6093" s="3" t="s">
        <v>76</v>
      </c>
      <c r="H6093" s="2" t="s">
        <v>21</v>
      </c>
      <c r="I6093" s="2" t="s">
        <v>12109</v>
      </c>
      <c r="J6093" s="3" t="str">
        <f>HYPERLINK("https://www.boe.es/gazeta/dias/1820/08/02/pdfs/GGB-1820-35.pdf#page=2","Abrir facsímil")</f>
        <v>Abrir facsímil</v>
      </c>
      <c r="K6093" s="3" t="s">
        <v>23</v>
      </c>
    </row>
    <row r="6094" spans="1:11" ht="42" customHeight="1">
      <c r="A6094" s="2" t="s">
        <v>12108</v>
      </c>
      <c r="B6094" s="2" t="s">
        <v>12108</v>
      </c>
      <c r="C6094" s="2" t="s">
        <v>35</v>
      </c>
      <c r="D6094" s="2" t="s">
        <v>36</v>
      </c>
      <c r="E6094" s="5">
        <v>-29003</v>
      </c>
      <c r="F6094" s="3" t="s">
        <v>340</v>
      </c>
      <c r="G6094" s="3" t="s">
        <v>62</v>
      </c>
      <c r="H6094" s="2" t="s">
        <v>21</v>
      </c>
      <c r="I6094" s="2" t="s">
        <v>12110</v>
      </c>
      <c r="J6094" s="3" t="str">
        <f>HYPERLINK("https://www.boe.es/gazeta/dias/1820/08/03/pdfs/GGB-1820-36.pdf#page=3","Abrir facsímil")</f>
        <v>Abrir facsímil</v>
      </c>
      <c r="K6094" s="3" t="s">
        <v>23</v>
      </c>
    </row>
    <row r="6095" spans="1:11" ht="42" customHeight="1">
      <c r="A6095" s="2" t="s">
        <v>12108</v>
      </c>
      <c r="B6095" s="2" t="s">
        <v>12108</v>
      </c>
      <c r="C6095" s="2" t="s">
        <v>74</v>
      </c>
      <c r="D6095" s="2" t="s">
        <v>18</v>
      </c>
      <c r="E6095" s="5">
        <v>-28995</v>
      </c>
      <c r="F6095" s="3" t="s">
        <v>672</v>
      </c>
      <c r="G6095" s="3" t="s">
        <v>20</v>
      </c>
      <c r="H6095" s="2" t="s">
        <v>21</v>
      </c>
      <c r="I6095" s="2" t="s">
        <v>12111</v>
      </c>
      <c r="J6095" s="3" t="str">
        <f>HYPERLINK("https://www.boe.es/gazeta/dias/1820/08/11/pdfs/GGB-1820-44.pdf#page=4","Abrir facsímil")</f>
        <v>Abrir facsímil</v>
      </c>
      <c r="K6095" s="3" t="s">
        <v>23</v>
      </c>
    </row>
    <row r="6096" spans="1:11" ht="42" customHeight="1">
      <c r="A6096" s="2" t="s">
        <v>12112</v>
      </c>
      <c r="B6096" s="2" t="s">
        <v>12113</v>
      </c>
      <c r="C6096" s="2" t="s">
        <v>35</v>
      </c>
      <c r="D6096" s="2" t="s">
        <v>36</v>
      </c>
      <c r="E6096" s="5">
        <v>-29015</v>
      </c>
      <c r="F6096" s="3" t="s">
        <v>359</v>
      </c>
      <c r="G6096" s="3" t="s">
        <v>43</v>
      </c>
      <c r="H6096" s="2" t="s">
        <v>21</v>
      </c>
      <c r="I6096" s="2" t="s">
        <v>12114</v>
      </c>
      <c r="J6096" s="3" t="str">
        <f>HYPERLINK("https://www.boe.es/gazeta/dias/1820/07/22/pdfs/GGB-1820-24.pdf#page=2","Abrir facsímil")</f>
        <v>Abrir facsímil</v>
      </c>
      <c r="K6096" s="3" t="s">
        <v>23</v>
      </c>
    </row>
    <row r="6097" spans="1:11" ht="42" customHeight="1">
      <c r="A6097" s="2" t="s">
        <v>12115</v>
      </c>
      <c r="B6097" s="2" t="s">
        <v>12116</v>
      </c>
      <c r="C6097" s="2" t="s">
        <v>107</v>
      </c>
      <c r="D6097" s="2" t="s">
        <v>18</v>
      </c>
      <c r="E6097" s="5">
        <v>-29050</v>
      </c>
      <c r="F6097" s="3" t="s">
        <v>423</v>
      </c>
      <c r="G6097" s="3" t="s">
        <v>201</v>
      </c>
      <c r="H6097" s="2" t="s">
        <v>21</v>
      </c>
      <c r="I6097" s="2" t="s">
        <v>12117</v>
      </c>
      <c r="J6097" s="3" t="str">
        <f>HYPERLINK("https://www.boe.es/gazeta/dias/1820/06/17/pdfs/GMD-1820-95.pdf#page=7","Abrir facsímil")</f>
        <v>Abrir facsímil</v>
      </c>
      <c r="K6097" s="3" t="s">
        <v>23</v>
      </c>
    </row>
    <row r="6098" spans="1:11" ht="42" customHeight="1">
      <c r="A6098" s="2" t="s">
        <v>12118</v>
      </c>
      <c r="B6098" s="2" t="s">
        <v>12119</v>
      </c>
      <c r="C6098" s="2" t="s">
        <v>107</v>
      </c>
      <c r="D6098" s="2" t="s">
        <v>18</v>
      </c>
      <c r="E6098" s="5">
        <v>-29089</v>
      </c>
      <c r="F6098" s="3" t="s">
        <v>2128</v>
      </c>
      <c r="G6098" s="3" t="s">
        <v>201</v>
      </c>
      <c r="H6098" s="2" t="s">
        <v>21</v>
      </c>
      <c r="I6098" s="2" t="s">
        <v>12120</v>
      </c>
      <c r="J6098" s="3" t="str">
        <f>HYPERLINK("https://www.boe.es/gazeta/dias/1820/05/09/pdfs/GMD-1820-77.pdf#page=7","Abrir facsímil")</f>
        <v>Abrir facsímil</v>
      </c>
      <c r="K6098" s="3" t="s">
        <v>23</v>
      </c>
    </row>
    <row r="6099" spans="1:11" ht="42" customHeight="1">
      <c r="A6099" s="2" t="s">
        <v>12121</v>
      </c>
      <c r="B6099" s="2" t="s">
        <v>12121</v>
      </c>
      <c r="C6099" s="2" t="s">
        <v>17</v>
      </c>
      <c r="D6099" s="2" t="s">
        <v>18</v>
      </c>
      <c r="E6099" s="5">
        <v>-28982</v>
      </c>
      <c r="F6099" s="3" t="s">
        <v>173</v>
      </c>
      <c r="G6099" s="3" t="s">
        <v>529</v>
      </c>
      <c r="H6099" s="2" t="s">
        <v>21</v>
      </c>
      <c r="I6099" s="2" t="s">
        <v>12122</v>
      </c>
      <c r="J6099" s="3" t="str">
        <f>HYPERLINK("https://www.boe.es/gazeta/dias/1820/08/24/pdfs/GGB-1820-57.pdf#page=4","Abrir facsímil")</f>
        <v>Abrir facsímil</v>
      </c>
      <c r="K6099" s="3" t="s">
        <v>23</v>
      </c>
    </row>
    <row r="6100" spans="1:11" ht="42" customHeight="1">
      <c r="A6100" s="2" t="s">
        <v>12123</v>
      </c>
      <c r="B6100" s="2" t="s">
        <v>12124</v>
      </c>
      <c r="C6100" s="2" t="s">
        <v>17</v>
      </c>
      <c r="D6100" s="2" t="s">
        <v>18</v>
      </c>
      <c r="E6100" s="5">
        <v>-29021</v>
      </c>
      <c r="F6100" s="3" t="s">
        <v>377</v>
      </c>
      <c r="G6100" s="3" t="s">
        <v>20</v>
      </c>
      <c r="H6100" s="2" t="s">
        <v>21</v>
      </c>
      <c r="I6100" s="2" t="s">
        <v>12125</v>
      </c>
      <c r="J6100" s="3" t="str">
        <f>HYPERLINK("https://www.boe.es/gazeta/dias/1820/07/16/pdfs/GGB-1820-18.pdf#page=4","Abrir facsímil")</f>
        <v>Abrir facsímil</v>
      </c>
      <c r="K6100" s="3" t="s">
        <v>23</v>
      </c>
    </row>
    <row r="6101" spans="1:11" ht="42" customHeight="1">
      <c r="A6101" s="2" t="s">
        <v>12126</v>
      </c>
      <c r="B6101" s="2" t="s">
        <v>12126</v>
      </c>
      <c r="C6101" s="2" t="s">
        <v>26</v>
      </c>
      <c r="D6101" s="2" t="s">
        <v>27</v>
      </c>
      <c r="E6101" s="5">
        <v>-29152</v>
      </c>
      <c r="F6101" s="3" t="s">
        <v>1293</v>
      </c>
      <c r="G6101" s="3" t="s">
        <v>43</v>
      </c>
      <c r="H6101" s="2" t="s">
        <v>21</v>
      </c>
      <c r="I6101" s="2" t="s">
        <v>12127</v>
      </c>
      <c r="J6101" s="3" t="str">
        <f>HYPERLINK("https://www.boe.es/gazeta/dias/1820/03/07/pdfs/GMD-1820-29.pdf#page=2","Abrir facsímil")</f>
        <v>Abrir facsímil</v>
      </c>
      <c r="K6101" s="3" t="s">
        <v>23</v>
      </c>
    </row>
    <row r="6102" spans="1:11" ht="42" customHeight="1">
      <c r="A6102" s="2" t="s">
        <v>12128</v>
      </c>
      <c r="B6102" s="2" t="s">
        <v>12128</v>
      </c>
      <c r="C6102" s="2" t="s">
        <v>74</v>
      </c>
      <c r="D6102" s="2" t="s">
        <v>18</v>
      </c>
      <c r="E6102" s="5">
        <v>-28914</v>
      </c>
      <c r="F6102" s="3" t="s">
        <v>434</v>
      </c>
      <c r="G6102" s="3" t="s">
        <v>20</v>
      </c>
      <c r="H6102" s="2" t="s">
        <v>21</v>
      </c>
      <c r="I6102" s="2" t="s">
        <v>12129</v>
      </c>
      <c r="J6102" s="3" t="str">
        <f>HYPERLINK("https://www.boe.es/gazeta/dias/1820/10/31/pdfs/GGB-1820-125.pdf#page=4","Abrir facsímil")</f>
        <v>Abrir facsímil</v>
      </c>
      <c r="K6102" s="3" t="s">
        <v>23</v>
      </c>
    </row>
    <row r="6103" spans="1:11" ht="42" customHeight="1">
      <c r="A6103" s="2" t="s">
        <v>12130</v>
      </c>
      <c r="B6103" s="2" t="s">
        <v>12131</v>
      </c>
      <c r="C6103" s="2" t="s">
        <v>293</v>
      </c>
      <c r="D6103" s="2" t="s">
        <v>18</v>
      </c>
      <c r="E6103" s="5">
        <v>-29082</v>
      </c>
      <c r="F6103" s="3" t="s">
        <v>478</v>
      </c>
      <c r="G6103" s="3" t="s">
        <v>479</v>
      </c>
      <c r="H6103" s="2" t="s">
        <v>21</v>
      </c>
      <c r="I6103" s="2" t="s">
        <v>12132</v>
      </c>
      <c r="J6103" s="3" t="str">
        <f>HYPERLINK("https://www.boe.es/gazeta/dias/1820/05/16/pdfs/GMD-1820-80.pdf#page=12","Abrir facsímil")</f>
        <v>Abrir facsímil</v>
      </c>
      <c r="K6103" s="3" t="s">
        <v>23</v>
      </c>
    </row>
    <row r="6104" spans="1:11" ht="42" customHeight="1">
      <c r="A6104" s="2" t="s">
        <v>12130</v>
      </c>
      <c r="B6104" s="2" t="s">
        <v>12131</v>
      </c>
      <c r="C6104" s="2" t="s">
        <v>107</v>
      </c>
      <c r="D6104" s="2" t="s">
        <v>18</v>
      </c>
      <c r="E6104" s="5">
        <v>-28897</v>
      </c>
      <c r="F6104" s="3" t="s">
        <v>1935</v>
      </c>
      <c r="G6104" s="3" t="s">
        <v>1967</v>
      </c>
      <c r="H6104" s="2" t="s">
        <v>21</v>
      </c>
      <c r="I6104" s="2" t="s">
        <v>12133</v>
      </c>
      <c r="J6104" s="3" t="str">
        <f>HYPERLINK("https://www.boe.es/gazeta/dias/1820/11/17/pdfs/GGB-1820-143.pdf#page=4","Abrir facsímil")</f>
        <v>Abrir facsímil</v>
      </c>
      <c r="K6104" s="3" t="s">
        <v>23</v>
      </c>
    </row>
    <row r="6105" spans="1:11" ht="42" customHeight="1">
      <c r="A6105" s="2" t="s">
        <v>12134</v>
      </c>
      <c r="B6105" s="2" t="s">
        <v>12135</v>
      </c>
      <c r="C6105" s="2" t="s">
        <v>293</v>
      </c>
      <c r="D6105" s="2" t="s">
        <v>18</v>
      </c>
      <c r="E6105" s="5">
        <v>-29152</v>
      </c>
      <c r="F6105" s="3" t="s">
        <v>1293</v>
      </c>
      <c r="G6105" s="3" t="s">
        <v>295</v>
      </c>
      <c r="H6105" s="2" t="s">
        <v>21</v>
      </c>
      <c r="I6105" s="2" t="s">
        <v>12136</v>
      </c>
      <c r="J6105" s="3" t="str">
        <f>HYPERLINK("https://www.boe.es/gazeta/dias/1820/03/07/pdfs/GMD-1820-29.pdf#page=8","Abrir facsímil")</f>
        <v>Abrir facsímil</v>
      </c>
      <c r="K6105" s="3" t="s">
        <v>23</v>
      </c>
    </row>
    <row r="6106" spans="1:11" ht="42" customHeight="1">
      <c r="A6106" s="2" t="s">
        <v>12134</v>
      </c>
      <c r="B6106" s="2" t="s">
        <v>12135</v>
      </c>
      <c r="C6106" s="2" t="s">
        <v>111</v>
      </c>
      <c r="D6106" s="2" t="s">
        <v>18</v>
      </c>
      <c r="E6106" s="5">
        <v>-29150</v>
      </c>
      <c r="F6106" s="3" t="s">
        <v>299</v>
      </c>
      <c r="G6106" s="3" t="s">
        <v>300</v>
      </c>
      <c r="H6106" s="2" t="s">
        <v>21</v>
      </c>
      <c r="I6106" s="2" t="s">
        <v>12137</v>
      </c>
      <c r="J6106" s="3" t="str">
        <f>HYPERLINK("https://www.boe.es/gazeta/dias/1820/03/09/pdfs/GMD-1820-32.pdf#page=8","Abrir facsímil")</f>
        <v>Abrir facsímil</v>
      </c>
      <c r="K6106" s="3" t="s">
        <v>23</v>
      </c>
    </row>
    <row r="6107" spans="1:11" ht="42" customHeight="1">
      <c r="A6107" s="2" t="s">
        <v>12138</v>
      </c>
      <c r="B6107" s="2" t="s">
        <v>12139</v>
      </c>
      <c r="C6107" s="2" t="s">
        <v>35</v>
      </c>
      <c r="D6107" s="2" t="s">
        <v>36</v>
      </c>
      <c r="E6107" s="5">
        <v>-29120</v>
      </c>
      <c r="F6107" s="3" t="s">
        <v>852</v>
      </c>
      <c r="G6107" s="3" t="s">
        <v>201</v>
      </c>
      <c r="H6107" s="2" t="s">
        <v>21</v>
      </c>
      <c r="I6107" s="2" t="s">
        <v>12140</v>
      </c>
      <c r="J6107" s="3" t="str">
        <f>HYPERLINK("https://www.boe.es/gazeta/dias/1820/04/08/pdfs/GMD-1820-63.pdf#page=7","Abrir facsímil")</f>
        <v>Abrir facsímil</v>
      </c>
      <c r="K6107" s="3" t="s">
        <v>23</v>
      </c>
    </row>
    <row r="6108" spans="1:11" ht="42" customHeight="1">
      <c r="A6108" s="2" t="s">
        <v>12141</v>
      </c>
      <c r="B6108" s="2" t="s">
        <v>12142</v>
      </c>
      <c r="C6108" s="2" t="s">
        <v>35</v>
      </c>
      <c r="D6108" s="2" t="s">
        <v>36</v>
      </c>
      <c r="E6108" s="5">
        <v>-29054</v>
      </c>
      <c r="F6108" s="3" t="s">
        <v>481</v>
      </c>
      <c r="G6108" s="3" t="s">
        <v>553</v>
      </c>
      <c r="H6108" s="2" t="s">
        <v>21</v>
      </c>
      <c r="I6108" s="2" t="s">
        <v>12143</v>
      </c>
      <c r="J6108" s="3" t="str">
        <f>HYPERLINK("https://www.boe.es/gazeta/dias/1820/06/13/pdfs/GMD-1820-93.pdf#page=10","Abrir facsímil")</f>
        <v>Abrir facsímil</v>
      </c>
      <c r="K6108" s="3" t="s">
        <v>23</v>
      </c>
    </row>
    <row r="6109" spans="1:11" ht="42" customHeight="1">
      <c r="A6109" s="2" t="s">
        <v>12144</v>
      </c>
      <c r="B6109" s="2" t="s">
        <v>12145</v>
      </c>
      <c r="C6109" s="2" t="s">
        <v>26</v>
      </c>
      <c r="D6109" s="2" t="s">
        <v>27</v>
      </c>
      <c r="E6109" s="5">
        <v>-28987</v>
      </c>
      <c r="F6109" s="3" t="s">
        <v>680</v>
      </c>
      <c r="G6109" s="3" t="s">
        <v>20</v>
      </c>
      <c r="H6109" s="2" t="s">
        <v>21</v>
      </c>
      <c r="I6109" s="2" t="s">
        <v>12146</v>
      </c>
      <c r="J6109" s="3" t="str">
        <f>HYPERLINK("https://www.boe.es/gazeta/dias/1820/08/19/pdfs/GGB-1820-52.pdf#page=4","Abrir facsímil")</f>
        <v>Abrir facsímil</v>
      </c>
      <c r="K6109" s="3" t="s">
        <v>23</v>
      </c>
    </row>
    <row r="6110" spans="1:11" ht="42" customHeight="1">
      <c r="A6110" s="2" t="s">
        <v>12147</v>
      </c>
      <c r="B6110" s="2" t="s">
        <v>12148</v>
      </c>
      <c r="C6110" s="2" t="s">
        <v>26</v>
      </c>
      <c r="D6110" s="2" t="s">
        <v>27</v>
      </c>
      <c r="E6110" s="5">
        <v>-29080</v>
      </c>
      <c r="F6110" s="3" t="s">
        <v>1031</v>
      </c>
      <c r="G6110" s="3" t="s">
        <v>256</v>
      </c>
      <c r="H6110" s="2" t="s">
        <v>21</v>
      </c>
      <c r="I6110" s="2" t="s">
        <v>12149</v>
      </c>
      <c r="J6110" s="3" t="str">
        <f>HYPERLINK("https://www.boe.es/gazeta/dias/1820/05/18/pdfs/GMD-1820-82.pdf#page=5","Abrir facsímil")</f>
        <v>Abrir facsímil</v>
      </c>
      <c r="K6110" s="3" t="s">
        <v>23</v>
      </c>
    </row>
    <row r="6111" spans="1:11" ht="42" customHeight="1">
      <c r="A6111" s="2" t="s">
        <v>12150</v>
      </c>
      <c r="B6111" s="2" t="s">
        <v>12151</v>
      </c>
      <c r="C6111" s="2" t="s">
        <v>26</v>
      </c>
      <c r="D6111" s="2" t="s">
        <v>27</v>
      </c>
      <c r="E6111" s="5">
        <v>-29155</v>
      </c>
      <c r="F6111" s="3" t="s">
        <v>2095</v>
      </c>
      <c r="G6111" s="3" t="s">
        <v>6100</v>
      </c>
      <c r="H6111" s="2" t="s">
        <v>21</v>
      </c>
      <c r="I6111" s="2" t="s">
        <v>12152</v>
      </c>
      <c r="J6111" s="3" t="str">
        <f>HYPERLINK("https://www.boe.es/gazeta/dias/1820/03/04/pdfs/GMD-1820-28.pdf#page=7","Abrir facsímil")</f>
        <v>Abrir facsímil</v>
      </c>
      <c r="K6111" s="3" t="s">
        <v>23</v>
      </c>
    </row>
    <row r="6112" spans="1:11" ht="42" customHeight="1">
      <c r="A6112" s="2" t="s">
        <v>12153</v>
      </c>
      <c r="B6112" s="2" t="s">
        <v>12154</v>
      </c>
      <c r="C6112" s="2" t="s">
        <v>26</v>
      </c>
      <c r="D6112" s="2" t="s">
        <v>27</v>
      </c>
      <c r="E6112" s="5">
        <v>-29054</v>
      </c>
      <c r="F6112" s="3" t="s">
        <v>481</v>
      </c>
      <c r="G6112" s="3" t="s">
        <v>196</v>
      </c>
      <c r="H6112" s="2" t="s">
        <v>21</v>
      </c>
      <c r="I6112" s="2" t="s">
        <v>12155</v>
      </c>
      <c r="J6112" s="3" t="str">
        <f>HYPERLINK("https://www.boe.es/gazeta/dias/1820/06/13/pdfs/GMD-1820-93.pdf#page=11","Abrir facsímil")</f>
        <v>Abrir facsímil</v>
      </c>
      <c r="K6112" s="3" t="s">
        <v>23</v>
      </c>
    </row>
    <row r="6113" spans="1:11" ht="42" customHeight="1">
      <c r="A6113" s="2" t="s">
        <v>12156</v>
      </c>
      <c r="B6113" s="2" t="s">
        <v>12157</v>
      </c>
      <c r="C6113" s="2" t="s">
        <v>26</v>
      </c>
      <c r="D6113" s="2" t="s">
        <v>27</v>
      </c>
      <c r="E6113" s="5">
        <v>-29011</v>
      </c>
      <c r="F6113" s="3" t="s">
        <v>338</v>
      </c>
      <c r="G6113" s="3" t="s">
        <v>20</v>
      </c>
      <c r="H6113" s="2" t="s">
        <v>21</v>
      </c>
      <c r="I6113" s="2" t="s">
        <v>12158</v>
      </c>
      <c r="J6113" s="3" t="str">
        <f>HYPERLINK("https://www.boe.es/gazeta/dias/1820/07/26/pdfs/GGB-1820-28.pdf#page=4","Abrir facsímil")</f>
        <v>Abrir facsímil</v>
      </c>
      <c r="K6113" s="3" t="s">
        <v>23</v>
      </c>
    </row>
    <row r="6114" spans="1:11" ht="42" customHeight="1">
      <c r="A6114" s="2" t="s">
        <v>12159</v>
      </c>
      <c r="B6114" s="2" t="s">
        <v>12160</v>
      </c>
      <c r="C6114" s="2" t="s">
        <v>17</v>
      </c>
      <c r="D6114" s="2" t="s">
        <v>18</v>
      </c>
      <c r="E6114" s="5">
        <v>-29199</v>
      </c>
      <c r="F6114" s="3" t="s">
        <v>1178</v>
      </c>
      <c r="G6114" s="3" t="s">
        <v>20</v>
      </c>
      <c r="H6114" s="2" t="s">
        <v>21</v>
      </c>
      <c r="I6114" s="2" t="s">
        <v>12161</v>
      </c>
      <c r="J6114" s="3" t="str">
        <f>HYPERLINK("https://www.boe.es/gazeta/dias/1820/01/20/pdfs/GMD-1820-9.pdf#page=4","Abrir facsímil")</f>
        <v>Abrir facsímil</v>
      </c>
      <c r="K6114" s="3" t="s">
        <v>23</v>
      </c>
    </row>
    <row r="6115" spans="1:11" ht="42" customHeight="1">
      <c r="A6115" s="2" t="s">
        <v>12162</v>
      </c>
      <c r="B6115" s="2" t="s">
        <v>12163</v>
      </c>
      <c r="C6115" s="2" t="s">
        <v>35</v>
      </c>
      <c r="D6115" s="2" t="s">
        <v>36</v>
      </c>
      <c r="E6115" s="5">
        <v>-28955</v>
      </c>
      <c r="F6115" s="3" t="s">
        <v>175</v>
      </c>
      <c r="G6115" s="3" t="s">
        <v>20</v>
      </c>
      <c r="H6115" s="2" t="s">
        <v>21</v>
      </c>
      <c r="I6115" s="2" t="s">
        <v>12164</v>
      </c>
      <c r="J6115" s="3" t="str">
        <f>HYPERLINK("https://www.boe.es/gazeta/dias/1820/09/20/pdfs/GGB-1820-84.pdf#page=4","Abrir facsímil")</f>
        <v>Abrir facsímil</v>
      </c>
      <c r="K6115" s="3" t="s">
        <v>23</v>
      </c>
    </row>
    <row r="6116" spans="1:11" ht="42" customHeight="1">
      <c r="A6116" s="2" t="s">
        <v>12165</v>
      </c>
      <c r="B6116" s="2" t="s">
        <v>12166</v>
      </c>
      <c r="C6116" s="2" t="s">
        <v>26</v>
      </c>
      <c r="D6116" s="2" t="s">
        <v>27</v>
      </c>
      <c r="E6116" s="5">
        <v>-29029</v>
      </c>
      <c r="F6116" s="3" t="s">
        <v>282</v>
      </c>
      <c r="G6116" s="3" t="s">
        <v>20</v>
      </c>
      <c r="H6116" s="2" t="s">
        <v>21</v>
      </c>
      <c r="I6116" s="2" t="s">
        <v>12167</v>
      </c>
      <c r="J6116" s="3" t="str">
        <f>HYPERLINK("https://www.boe.es/gazeta/dias/1820/07/08/pdfs/GGB-1820-9.pdf#page=4","Abrir facsímil")</f>
        <v>Abrir facsímil</v>
      </c>
      <c r="K6116" s="3" t="s">
        <v>23</v>
      </c>
    </row>
    <row r="6117" spans="1:11" ht="42" customHeight="1">
      <c r="A6117" s="2" t="s">
        <v>12165</v>
      </c>
      <c r="B6117" s="2" t="s">
        <v>12166</v>
      </c>
      <c r="C6117" s="2" t="s">
        <v>26</v>
      </c>
      <c r="D6117" s="2" t="s">
        <v>27</v>
      </c>
      <c r="E6117" s="5">
        <v>-28973</v>
      </c>
      <c r="F6117" s="3" t="s">
        <v>151</v>
      </c>
      <c r="G6117" s="3" t="s">
        <v>20</v>
      </c>
      <c r="H6117" s="2" t="s">
        <v>21</v>
      </c>
      <c r="I6117" s="2" t="s">
        <v>12168</v>
      </c>
      <c r="J6117" s="3" t="str">
        <f>HYPERLINK("https://www.boe.es/gazeta/dias/1820/09/02/pdfs/GGB-1820-66.pdf#page=4","Abrir facsímil")</f>
        <v>Abrir facsímil</v>
      </c>
      <c r="K6117" s="3" t="s">
        <v>23</v>
      </c>
    </row>
    <row r="6118" spans="1:11" ht="42" customHeight="1">
      <c r="A6118" s="2" t="s">
        <v>12169</v>
      </c>
      <c r="B6118" s="2" t="s">
        <v>12170</v>
      </c>
      <c r="C6118" s="2" t="s">
        <v>26</v>
      </c>
      <c r="D6118" s="2" t="s">
        <v>27</v>
      </c>
      <c r="E6118" s="5">
        <v>-29213</v>
      </c>
      <c r="F6118" s="3" t="s">
        <v>195</v>
      </c>
      <c r="G6118" s="3" t="s">
        <v>196</v>
      </c>
      <c r="H6118" s="2" t="s">
        <v>30</v>
      </c>
      <c r="I6118" s="2" t="s">
        <v>12171</v>
      </c>
      <c r="J6118" s="3" t="str">
        <f>HYPERLINK("https://www.boe.es/gazeta/dias/1820/01/06/pdfs/GMD-1820-3.pdf#page=11","Abrir facsímil")</f>
        <v>Abrir facsímil</v>
      </c>
      <c r="K6118" s="3" t="s">
        <v>32</v>
      </c>
    </row>
    <row r="6119" spans="1:11" ht="42" customHeight="1">
      <c r="A6119" s="2" t="s">
        <v>12172</v>
      </c>
      <c r="B6119" s="2" t="s">
        <v>12172</v>
      </c>
      <c r="C6119" s="2" t="s">
        <v>26</v>
      </c>
      <c r="D6119" s="2" t="s">
        <v>27</v>
      </c>
      <c r="E6119" s="5">
        <v>-29211</v>
      </c>
      <c r="F6119" s="3" t="s">
        <v>578</v>
      </c>
      <c r="G6119" s="3" t="s">
        <v>20</v>
      </c>
      <c r="H6119" s="2" t="s">
        <v>21</v>
      </c>
      <c r="I6119" s="2" t="s">
        <v>12173</v>
      </c>
      <c r="J6119" s="3" t="str">
        <f>HYPERLINK("https://www.boe.es/gazeta/dias/1820/01/08/pdfs/GMD-1820-4.pdf#page=4","Abrir facsímil")</f>
        <v>Abrir facsímil</v>
      </c>
      <c r="K6119" s="3" t="s">
        <v>23</v>
      </c>
    </row>
    <row r="6120" spans="1:11" ht="42" customHeight="1">
      <c r="A6120" s="2" t="s">
        <v>12174</v>
      </c>
      <c r="B6120" s="2" t="s">
        <v>12174</v>
      </c>
      <c r="C6120" s="2" t="s">
        <v>35</v>
      </c>
      <c r="D6120" s="2" t="s">
        <v>36</v>
      </c>
      <c r="E6120" s="5">
        <v>-28955</v>
      </c>
      <c r="F6120" s="3" t="s">
        <v>175</v>
      </c>
      <c r="G6120" s="3" t="s">
        <v>128</v>
      </c>
      <c r="H6120" s="2" t="s">
        <v>21</v>
      </c>
      <c r="I6120" s="2" t="s">
        <v>12175</v>
      </c>
      <c r="J6120" s="3" t="str">
        <f>HYPERLINK("https://www.boe.es/gazeta/dias/1820/09/20/pdfs/GGB-1820-84.pdf#page=1","Abrir facsímil")</f>
        <v>Abrir facsímil</v>
      </c>
      <c r="K6120" s="3" t="s">
        <v>23</v>
      </c>
    </row>
    <row r="6121" spans="1:11" ht="42" customHeight="1">
      <c r="A6121" s="2" t="s">
        <v>12174</v>
      </c>
      <c r="B6121" s="2" t="s">
        <v>12174</v>
      </c>
      <c r="C6121" s="2" t="s">
        <v>26</v>
      </c>
      <c r="D6121" s="2" t="s">
        <v>27</v>
      </c>
      <c r="E6121" s="5">
        <v>-28939</v>
      </c>
      <c r="F6121" s="3" t="s">
        <v>992</v>
      </c>
      <c r="G6121" s="3" t="s">
        <v>62</v>
      </c>
      <c r="H6121" s="2" t="s">
        <v>21</v>
      </c>
      <c r="I6121" s="2" t="s">
        <v>12176</v>
      </c>
      <c r="J6121" s="3" t="str">
        <f>HYPERLINK("https://www.boe.es/gazeta/dias/1820/10/06/pdfs/GGB-1820-100.pdf#page=3","Abrir facsímil")</f>
        <v>Abrir facsímil</v>
      </c>
      <c r="K6121" s="3" t="s">
        <v>23</v>
      </c>
    </row>
    <row r="6122" spans="1:11" ht="42" customHeight="1">
      <c r="A6122" s="2" t="s">
        <v>12177</v>
      </c>
      <c r="B6122" s="2" t="s">
        <v>12178</v>
      </c>
      <c r="C6122" s="2" t="s">
        <v>35</v>
      </c>
      <c r="D6122" s="2" t="s">
        <v>310</v>
      </c>
      <c r="E6122" s="5">
        <v>-29136</v>
      </c>
      <c r="F6122" s="3" t="s">
        <v>1089</v>
      </c>
      <c r="G6122" s="3" t="s">
        <v>128</v>
      </c>
      <c r="H6122" s="2" t="s">
        <v>21</v>
      </c>
      <c r="I6122" s="2" t="s">
        <v>12179</v>
      </c>
      <c r="J6122" s="3" t="str">
        <f>HYPERLINK("https://www.boe.es/gazeta/dias/1820/03/23/pdfs/GMD-1820-52E.pdf#page=1","Abrir facsímil")</f>
        <v>Abrir facsímil</v>
      </c>
      <c r="K6122" s="3" t="s">
        <v>23</v>
      </c>
    </row>
    <row r="6123" spans="1:11" ht="42" customHeight="1">
      <c r="A6123" s="2" t="s">
        <v>12180</v>
      </c>
      <c r="B6123" s="2" t="s">
        <v>12181</v>
      </c>
      <c r="C6123" s="2" t="s">
        <v>35</v>
      </c>
      <c r="D6123" s="2" t="s">
        <v>310</v>
      </c>
      <c r="E6123" s="5">
        <v>-29147</v>
      </c>
      <c r="F6123" s="3" t="s">
        <v>2547</v>
      </c>
      <c r="G6123" s="3" t="s">
        <v>128</v>
      </c>
      <c r="H6123" s="2" t="s">
        <v>21</v>
      </c>
      <c r="I6123" s="2" t="s">
        <v>12182</v>
      </c>
      <c r="J6123" s="3" t="str">
        <f>HYPERLINK("https://www.boe.es/gazeta/dias/1820/03/12/pdfs/GMD-1820-38E.pdf#page=1","Abrir facsímil")</f>
        <v>Abrir facsímil</v>
      </c>
      <c r="K6123" s="3" t="s">
        <v>23</v>
      </c>
    </row>
    <row r="6124" spans="1:11" ht="42" customHeight="1">
      <c r="A6124" s="2" t="s">
        <v>12180</v>
      </c>
      <c r="B6124" s="2" t="s">
        <v>12181</v>
      </c>
      <c r="C6124" s="2" t="s">
        <v>17</v>
      </c>
      <c r="D6124" s="2" t="s">
        <v>310</v>
      </c>
      <c r="E6124" s="5">
        <v>-29137</v>
      </c>
      <c r="F6124" s="3" t="s">
        <v>573</v>
      </c>
      <c r="G6124" s="3" t="s">
        <v>128</v>
      </c>
      <c r="H6124" s="2" t="s">
        <v>21</v>
      </c>
      <c r="I6124" s="2" t="s">
        <v>12183</v>
      </c>
      <c r="J6124" s="3" t="str">
        <f>HYPERLINK("https://www.boe.es/gazeta/dias/1820/03/22/pdfs/GMD-1820-50E.pdf#page=1","Abrir facsímil")</f>
        <v>Abrir facsímil</v>
      </c>
      <c r="K6124" s="3" t="s">
        <v>23</v>
      </c>
    </row>
    <row r="6125" spans="1:11" ht="42" customHeight="1">
      <c r="A6125" s="2" t="s">
        <v>12180</v>
      </c>
      <c r="B6125" s="2" t="s">
        <v>12181</v>
      </c>
      <c r="C6125" s="2" t="s">
        <v>74</v>
      </c>
      <c r="D6125" s="2" t="s">
        <v>310</v>
      </c>
      <c r="E6125" s="5">
        <v>-29137</v>
      </c>
      <c r="F6125" s="3" t="s">
        <v>573</v>
      </c>
      <c r="G6125" s="3" t="s">
        <v>43</v>
      </c>
      <c r="H6125" s="2" t="s">
        <v>21</v>
      </c>
      <c r="I6125" s="2" t="s">
        <v>12184</v>
      </c>
      <c r="J6125" s="3" t="str">
        <f>HYPERLINK("https://www.boe.es/gazeta/dias/1820/03/22/pdfs/GMD-1820-50E.pdf#page=2","Abrir facsímil")</f>
        <v>Abrir facsímil</v>
      </c>
      <c r="K6125" s="3" t="s">
        <v>23</v>
      </c>
    </row>
    <row r="6126" spans="1:11" ht="42" customHeight="1">
      <c r="A6126" s="2" t="s">
        <v>12180</v>
      </c>
      <c r="B6126" s="2" t="s">
        <v>12181</v>
      </c>
      <c r="C6126" s="2" t="s">
        <v>293</v>
      </c>
      <c r="D6126" s="2" t="s">
        <v>18</v>
      </c>
      <c r="E6126" s="5">
        <v>-29131</v>
      </c>
      <c r="F6126" s="3" t="s">
        <v>1193</v>
      </c>
      <c r="G6126" s="3" t="s">
        <v>20</v>
      </c>
      <c r="H6126" s="2" t="s">
        <v>21</v>
      </c>
      <c r="I6126" s="2" t="s">
        <v>12185</v>
      </c>
      <c r="J6126" s="3" t="str">
        <f>HYPERLINK("https://www.boe.es/gazeta/dias/1820/03/28/pdfs/GMD-1820-56.pdf#page=4","Abrir facsímil")</f>
        <v>Abrir facsímil</v>
      </c>
      <c r="K6126" s="3" t="s">
        <v>23</v>
      </c>
    </row>
    <row r="6127" spans="1:11" ht="42" customHeight="1">
      <c r="A6127" s="2" t="s">
        <v>12186</v>
      </c>
      <c r="B6127" s="2" t="s">
        <v>12187</v>
      </c>
      <c r="C6127" s="2" t="s">
        <v>17</v>
      </c>
      <c r="D6127" s="2" t="s">
        <v>18</v>
      </c>
      <c r="E6127" s="5">
        <v>-29138</v>
      </c>
      <c r="F6127" s="3" t="s">
        <v>200</v>
      </c>
      <c r="G6127" s="3" t="s">
        <v>38</v>
      </c>
      <c r="H6127" s="2" t="s">
        <v>21</v>
      </c>
      <c r="I6127" s="2" t="s">
        <v>12188</v>
      </c>
      <c r="J6127" s="3" t="str">
        <f>HYPERLINK("https://www.boe.es/gazeta/dias/1820/03/21/pdfs/GMD-1820-46.pdf#page=6","Abrir facsímil")</f>
        <v>Abrir facsímil</v>
      </c>
      <c r="K6127" s="3" t="s">
        <v>23</v>
      </c>
    </row>
    <row r="6128" spans="1:11" ht="42" customHeight="1">
      <c r="A6128" s="2" t="s">
        <v>12186</v>
      </c>
      <c r="B6128" s="2" t="s">
        <v>12187</v>
      </c>
      <c r="C6128" s="2" t="s">
        <v>35</v>
      </c>
      <c r="D6128" s="2" t="s">
        <v>36</v>
      </c>
      <c r="E6128" s="5">
        <v>-29082</v>
      </c>
      <c r="F6128" s="3" t="s">
        <v>478</v>
      </c>
      <c r="G6128" s="3" t="s">
        <v>553</v>
      </c>
      <c r="H6128" s="2" t="s">
        <v>21</v>
      </c>
      <c r="I6128" s="2" t="s">
        <v>12189</v>
      </c>
      <c r="J6128" s="3" t="str">
        <f>HYPERLINK("https://www.boe.es/gazeta/dias/1820/05/16/pdfs/GMD-1820-80.pdf#page=10","Abrir facsímil")</f>
        <v>Abrir facsímil</v>
      </c>
      <c r="K6128" s="3" t="s">
        <v>23</v>
      </c>
    </row>
    <row r="6129" spans="1:11" ht="42" customHeight="1">
      <c r="A6129" s="2" t="s">
        <v>12190</v>
      </c>
      <c r="B6129" s="2" t="s">
        <v>12191</v>
      </c>
      <c r="C6129" s="2" t="s">
        <v>35</v>
      </c>
      <c r="D6129" s="2" t="s">
        <v>310</v>
      </c>
      <c r="E6129" s="5">
        <v>-29137</v>
      </c>
      <c r="F6129" s="3" t="s">
        <v>573</v>
      </c>
      <c r="G6129" s="3" t="s">
        <v>43</v>
      </c>
      <c r="H6129" s="2" t="s">
        <v>21</v>
      </c>
      <c r="I6129" s="2" t="s">
        <v>12192</v>
      </c>
      <c r="J6129" s="3" t="str">
        <f>HYPERLINK("https://www.boe.es/gazeta/dias/1820/03/22/pdfs/GMD-1820-50E.pdf#page=2","Abrir facsímil")</f>
        <v>Abrir facsímil</v>
      </c>
      <c r="K6129" s="3" t="s">
        <v>23</v>
      </c>
    </row>
    <row r="6130" spans="1:11" ht="42" customHeight="1">
      <c r="A6130" s="2" t="s">
        <v>12193</v>
      </c>
      <c r="B6130" s="2" t="s">
        <v>12193</v>
      </c>
      <c r="C6130" s="2" t="s">
        <v>26</v>
      </c>
      <c r="D6130" s="2" t="s">
        <v>27</v>
      </c>
      <c r="E6130" s="5">
        <v>-28975</v>
      </c>
      <c r="F6130" s="3" t="s">
        <v>182</v>
      </c>
      <c r="G6130" s="3" t="s">
        <v>183</v>
      </c>
      <c r="H6130" s="2" t="s">
        <v>21</v>
      </c>
      <c r="I6130" s="2" t="s">
        <v>12194</v>
      </c>
      <c r="J6130" s="3" t="str">
        <f>HYPERLINK("https://www.boe.es/gazeta/dias/1820/08/31/pdfs/GGB-1820-64.pdf#page=4","Abrir facsímil")</f>
        <v>Abrir facsímil</v>
      </c>
      <c r="K6130" s="3" t="s">
        <v>23</v>
      </c>
    </row>
    <row r="6131" spans="1:11" ht="42" customHeight="1">
      <c r="A6131" s="2" t="s">
        <v>12195</v>
      </c>
      <c r="B6131" s="2" t="s">
        <v>12196</v>
      </c>
      <c r="C6131" s="2" t="s">
        <v>35</v>
      </c>
      <c r="D6131" s="2" t="s">
        <v>36</v>
      </c>
      <c r="E6131" s="5">
        <v>-29000</v>
      </c>
      <c r="F6131" s="3" t="s">
        <v>670</v>
      </c>
      <c r="G6131" s="3" t="s">
        <v>62</v>
      </c>
      <c r="H6131" s="2" t="s">
        <v>21</v>
      </c>
      <c r="I6131" s="2" t="s">
        <v>12197</v>
      </c>
      <c r="J6131" s="3" t="str">
        <f>HYPERLINK("https://www.boe.es/gazeta/dias/1820/08/06/pdfs/GGB-1820-39.pdf#page=3","Abrir facsímil")</f>
        <v>Abrir facsímil</v>
      </c>
      <c r="K6131" s="3" t="s">
        <v>23</v>
      </c>
    </row>
    <row r="6132" spans="1:11" ht="42" customHeight="1">
      <c r="A6132" s="2" t="s">
        <v>12195</v>
      </c>
      <c r="B6132" s="2" t="s">
        <v>12196</v>
      </c>
      <c r="C6132" s="2" t="s">
        <v>17</v>
      </c>
      <c r="D6132" s="2" t="s">
        <v>18</v>
      </c>
      <c r="E6132" s="5">
        <v>-28961</v>
      </c>
      <c r="F6132" s="3" t="s">
        <v>242</v>
      </c>
      <c r="G6132" s="3" t="s">
        <v>62</v>
      </c>
      <c r="H6132" s="2" t="s">
        <v>21</v>
      </c>
      <c r="I6132" s="2" t="s">
        <v>12198</v>
      </c>
      <c r="J6132" s="3" t="str">
        <f>HYPERLINK("https://www.boe.es/gazeta/dias/1820/09/14/pdfs/GGB-1820-78.pdf#page=3","Abrir facsímil")</f>
        <v>Abrir facsímil</v>
      </c>
      <c r="K6132" s="3" t="s">
        <v>23</v>
      </c>
    </row>
    <row r="6133" spans="1:11" ht="42" customHeight="1">
      <c r="A6133" s="2" t="s">
        <v>12199</v>
      </c>
      <c r="B6133" s="2" t="s">
        <v>12199</v>
      </c>
      <c r="C6133" s="2" t="s">
        <v>26</v>
      </c>
      <c r="D6133" s="2" t="s">
        <v>27</v>
      </c>
      <c r="E6133" s="5">
        <v>-29124</v>
      </c>
      <c r="F6133" s="3" t="s">
        <v>4097</v>
      </c>
      <c r="G6133" s="3" t="s">
        <v>4450</v>
      </c>
      <c r="H6133" s="2" t="s">
        <v>21</v>
      </c>
      <c r="I6133" s="2" t="s">
        <v>12200</v>
      </c>
      <c r="J6133" s="3" t="str">
        <f>HYPERLINK("https://www.boe.es/gazeta/dias/1820/04/04/pdfs/GMD-1820-60.pdf#page=6","Abrir facsímil")</f>
        <v>Abrir facsímil</v>
      </c>
      <c r="K6133" s="3" t="s">
        <v>23</v>
      </c>
    </row>
    <row r="6134" spans="1:11" ht="42" customHeight="1">
      <c r="A6134" s="2" t="s">
        <v>12199</v>
      </c>
      <c r="B6134" s="2" t="s">
        <v>12199</v>
      </c>
      <c r="C6134" s="2" t="s">
        <v>35</v>
      </c>
      <c r="D6134" s="2" t="s">
        <v>36</v>
      </c>
      <c r="E6134" s="5">
        <v>-29005</v>
      </c>
      <c r="F6134" s="3" t="s">
        <v>1656</v>
      </c>
      <c r="G6134" s="3" t="s">
        <v>128</v>
      </c>
      <c r="H6134" s="2" t="s">
        <v>21</v>
      </c>
      <c r="I6134" s="2" t="s">
        <v>12201</v>
      </c>
      <c r="J6134" s="3" t="str">
        <f>HYPERLINK("https://www.boe.es/gazeta/dias/1820/08/01/pdfs/GGB-1820-34.pdf#page=1","Abrir facsímil")</f>
        <v>Abrir facsímil</v>
      </c>
      <c r="K6134" s="3" t="s">
        <v>23</v>
      </c>
    </row>
    <row r="6135" spans="1:11" ht="42" customHeight="1">
      <c r="A6135" s="2" t="s">
        <v>12199</v>
      </c>
      <c r="B6135" s="2" t="s">
        <v>12199</v>
      </c>
      <c r="C6135" s="2" t="s">
        <v>26</v>
      </c>
      <c r="D6135" s="2" t="s">
        <v>27</v>
      </c>
      <c r="E6135" s="5">
        <v>-28974</v>
      </c>
      <c r="F6135" s="3" t="s">
        <v>1144</v>
      </c>
      <c r="G6135" s="3" t="s">
        <v>1145</v>
      </c>
      <c r="H6135" s="2" t="s">
        <v>21</v>
      </c>
      <c r="I6135" s="2" t="s">
        <v>12202</v>
      </c>
      <c r="J6135" s="3" t="str">
        <f>HYPERLINK("https://www.boe.es/gazeta/dias/1820/09/01/pdfs/GGB-1820-65.pdf#page=4","Abrir facsímil")</f>
        <v>Abrir facsímil</v>
      </c>
      <c r="K6135" s="3" t="s">
        <v>23</v>
      </c>
    </row>
    <row r="6136" spans="1:11" ht="42" customHeight="1">
      <c r="A6136" s="2" t="s">
        <v>12199</v>
      </c>
      <c r="B6136" s="2" t="s">
        <v>12199</v>
      </c>
      <c r="C6136" s="2" t="s">
        <v>47</v>
      </c>
      <c r="D6136" s="2" t="s">
        <v>18</v>
      </c>
      <c r="E6136" s="5">
        <v>-28961</v>
      </c>
      <c r="F6136" s="3" t="s">
        <v>242</v>
      </c>
      <c r="G6136" s="3" t="s">
        <v>43</v>
      </c>
      <c r="H6136" s="2" t="s">
        <v>21</v>
      </c>
      <c r="I6136" s="2" t="s">
        <v>12203</v>
      </c>
      <c r="J6136" s="3" t="str">
        <f>HYPERLINK("https://www.boe.es/gazeta/dias/1820/09/14/pdfs/GGB-1820-78.pdf#page=2","Abrir facsímil")</f>
        <v>Abrir facsímil</v>
      </c>
      <c r="K6136" s="3" t="s">
        <v>23</v>
      </c>
    </row>
    <row r="6137" spans="1:11" ht="42" customHeight="1">
      <c r="A6137" s="2" t="s">
        <v>12199</v>
      </c>
      <c r="B6137" s="2" t="s">
        <v>12199</v>
      </c>
      <c r="C6137" s="2" t="s">
        <v>35</v>
      </c>
      <c r="D6137" s="2" t="s">
        <v>36</v>
      </c>
      <c r="E6137" s="5">
        <v>-28945</v>
      </c>
      <c r="F6137" s="3" t="s">
        <v>99</v>
      </c>
      <c r="G6137" s="3" t="s">
        <v>62</v>
      </c>
      <c r="H6137" s="2" t="s">
        <v>21</v>
      </c>
      <c r="I6137" s="2" t="s">
        <v>12204</v>
      </c>
      <c r="J6137" s="3" t="str">
        <f>HYPERLINK("https://www.boe.es/gazeta/dias/1820/09/30/pdfs/GGB-1820-94.pdf#page=3","Abrir facsímil")</f>
        <v>Abrir facsímil</v>
      </c>
      <c r="K6137" s="3" t="s">
        <v>23</v>
      </c>
    </row>
    <row r="6138" spans="1:11" ht="42" customHeight="1">
      <c r="A6138" s="2" t="s">
        <v>12199</v>
      </c>
      <c r="B6138" s="2" t="s">
        <v>12199</v>
      </c>
      <c r="C6138" s="2" t="s">
        <v>26</v>
      </c>
      <c r="D6138" s="2" t="s">
        <v>27</v>
      </c>
      <c r="E6138" s="5">
        <v>-28917</v>
      </c>
      <c r="F6138" s="3" t="s">
        <v>19</v>
      </c>
      <c r="G6138" s="3" t="s">
        <v>62</v>
      </c>
      <c r="H6138" s="2" t="s">
        <v>21</v>
      </c>
      <c r="I6138" s="2" t="s">
        <v>12205</v>
      </c>
      <c r="J6138" s="3" t="str">
        <f>HYPERLINK("https://www.boe.es/gazeta/dias/1820/10/28/pdfs/GGB-1820-122.pdf#page=3","Abrir facsímil")</f>
        <v>Abrir facsímil</v>
      </c>
      <c r="K6138" s="3" t="s">
        <v>23</v>
      </c>
    </row>
    <row r="6139" spans="1:11" ht="42" customHeight="1">
      <c r="A6139" s="2" t="s">
        <v>12199</v>
      </c>
      <c r="B6139" s="2" t="s">
        <v>12199</v>
      </c>
      <c r="C6139" s="2" t="s">
        <v>26</v>
      </c>
      <c r="D6139" s="2" t="s">
        <v>27</v>
      </c>
      <c r="E6139" s="5">
        <v>-28912</v>
      </c>
      <c r="F6139" s="3" t="s">
        <v>1329</v>
      </c>
      <c r="G6139" s="3" t="s">
        <v>20</v>
      </c>
      <c r="H6139" s="2" t="s">
        <v>21</v>
      </c>
      <c r="I6139" s="2" t="s">
        <v>12206</v>
      </c>
      <c r="J6139" s="3" t="str">
        <f>HYPERLINK("https://www.boe.es/gazeta/dias/1820/11/02/pdfs/GGB-1820-127.pdf#page=4","Abrir facsímil")</f>
        <v>Abrir facsímil</v>
      </c>
      <c r="K6139" s="3" t="s">
        <v>23</v>
      </c>
    </row>
    <row r="6140" spans="1:11" ht="42" customHeight="1">
      <c r="A6140" s="2" t="s">
        <v>12207</v>
      </c>
      <c r="B6140" s="2" t="s">
        <v>12208</v>
      </c>
      <c r="C6140" s="2" t="s">
        <v>107</v>
      </c>
      <c r="D6140" s="2" t="s">
        <v>18</v>
      </c>
      <c r="E6140" s="5">
        <v>-28981</v>
      </c>
      <c r="F6140" s="3" t="s">
        <v>42</v>
      </c>
      <c r="G6140" s="3" t="s">
        <v>20</v>
      </c>
      <c r="H6140" s="2" t="s">
        <v>21</v>
      </c>
      <c r="I6140" s="2" t="s">
        <v>12209</v>
      </c>
      <c r="J6140" s="3" t="str">
        <f>HYPERLINK("https://www.boe.es/gazeta/dias/1820/08/25/pdfs/GGB-1820-58.pdf#page=4","Abrir facsímil")</f>
        <v>Abrir facsímil</v>
      </c>
      <c r="K6140" s="3" t="s">
        <v>23</v>
      </c>
    </row>
    <row r="6141" spans="1:11" ht="42" customHeight="1">
      <c r="A6141" s="2" t="s">
        <v>12210</v>
      </c>
      <c r="B6141" s="2" t="s">
        <v>12211</v>
      </c>
      <c r="C6141" s="2" t="s">
        <v>26</v>
      </c>
      <c r="D6141" s="2" t="s">
        <v>27</v>
      </c>
      <c r="E6141" s="5">
        <v>-29124</v>
      </c>
      <c r="F6141" s="3" t="s">
        <v>4097</v>
      </c>
      <c r="G6141" s="3" t="s">
        <v>4450</v>
      </c>
      <c r="H6141" s="2" t="s">
        <v>21</v>
      </c>
      <c r="I6141" s="2" t="s">
        <v>12212</v>
      </c>
      <c r="J6141" s="3" t="str">
        <f>HYPERLINK("https://www.boe.es/gazeta/dias/1820/04/04/pdfs/GMD-1820-60.pdf#page=6","Abrir facsímil")</f>
        <v>Abrir facsímil</v>
      </c>
      <c r="K6141" s="3" t="s">
        <v>23</v>
      </c>
    </row>
    <row r="6142" spans="1:11" ht="42" customHeight="1">
      <c r="A6142" s="2" t="s">
        <v>12210</v>
      </c>
      <c r="B6142" s="2" t="s">
        <v>12211</v>
      </c>
      <c r="C6142" s="2" t="s">
        <v>26</v>
      </c>
      <c r="D6142" s="2" t="s">
        <v>27</v>
      </c>
      <c r="E6142" s="5">
        <v>-29117</v>
      </c>
      <c r="F6142" s="3" t="s">
        <v>1451</v>
      </c>
      <c r="G6142" s="3" t="s">
        <v>201</v>
      </c>
      <c r="H6142" s="2" t="s">
        <v>21</v>
      </c>
      <c r="I6142" s="2" t="s">
        <v>12213</v>
      </c>
      <c r="J6142" s="3" t="str">
        <f>HYPERLINK("https://www.boe.es/gazeta/dias/1820/04/11/pdfs/GMD-1820-64.pdf#page=7","Abrir facsímil")</f>
        <v>Abrir facsímil</v>
      </c>
      <c r="K6142" s="3" t="s">
        <v>23</v>
      </c>
    </row>
    <row r="6143" spans="1:11" ht="42" customHeight="1">
      <c r="A6143" s="2" t="s">
        <v>12214</v>
      </c>
      <c r="B6143" s="2" t="s">
        <v>12215</v>
      </c>
      <c r="C6143" s="2" t="s">
        <v>26</v>
      </c>
      <c r="D6143" s="2" t="s">
        <v>27</v>
      </c>
      <c r="E6143" s="5">
        <v>-29113</v>
      </c>
      <c r="F6143" s="3" t="s">
        <v>501</v>
      </c>
      <c r="G6143" s="3" t="s">
        <v>201</v>
      </c>
      <c r="H6143" s="2" t="s">
        <v>21</v>
      </c>
      <c r="I6143" s="2" t="s">
        <v>12216</v>
      </c>
      <c r="J6143" s="3" t="str">
        <f>HYPERLINK("https://www.boe.es/gazeta/dias/1820/04/15/pdfs/GMD-1820-66.pdf#page=7","Abrir facsímil")</f>
        <v>Abrir facsímil</v>
      </c>
      <c r="K6143" s="3" t="s">
        <v>23</v>
      </c>
    </row>
    <row r="6144" spans="1:11" ht="42" customHeight="1">
      <c r="A6144" s="2" t="s">
        <v>12217</v>
      </c>
      <c r="B6144" s="2" t="s">
        <v>12218</v>
      </c>
      <c r="C6144" s="2" t="s">
        <v>26</v>
      </c>
      <c r="D6144" s="2" t="s">
        <v>27</v>
      </c>
      <c r="E6144" s="5">
        <v>-29023</v>
      </c>
      <c r="F6144" s="3" t="s">
        <v>1662</v>
      </c>
      <c r="G6144" s="3" t="s">
        <v>3662</v>
      </c>
      <c r="H6144" s="2" t="s">
        <v>21</v>
      </c>
      <c r="I6144" s="2" t="s">
        <v>12219</v>
      </c>
      <c r="J6144" s="3" t="str">
        <f>HYPERLINK("https://www.boe.es/gazeta/dias/1820/07/14/pdfs/GGB-1820-16.pdf#page=2","Abrir facsímil")</f>
        <v>Abrir facsímil</v>
      </c>
      <c r="K6144" s="3" t="s">
        <v>23</v>
      </c>
    </row>
    <row r="6145" spans="1:11" ht="42" customHeight="1">
      <c r="A6145" s="2" t="s">
        <v>12217</v>
      </c>
      <c r="B6145" s="2" t="s">
        <v>12218</v>
      </c>
      <c r="C6145" s="2" t="s">
        <v>26</v>
      </c>
      <c r="D6145" s="2" t="s">
        <v>27</v>
      </c>
      <c r="E6145" s="5">
        <v>-29019</v>
      </c>
      <c r="F6145" s="3" t="s">
        <v>655</v>
      </c>
      <c r="G6145" s="3" t="s">
        <v>62</v>
      </c>
      <c r="H6145" s="2" t="s">
        <v>21</v>
      </c>
      <c r="I6145" s="2" t="s">
        <v>12220</v>
      </c>
      <c r="J6145" s="3" t="str">
        <f>HYPERLINK("https://www.boe.es/gazeta/dias/1820/07/18/pdfs/GGB-1820-20.pdf#page=3","Abrir facsímil")</f>
        <v>Abrir facsímil</v>
      </c>
      <c r="K6145" s="3" t="s">
        <v>23</v>
      </c>
    </row>
    <row r="6146" spans="1:11" ht="42" customHeight="1">
      <c r="A6146" s="2" t="s">
        <v>12217</v>
      </c>
      <c r="B6146" s="2" t="s">
        <v>12218</v>
      </c>
      <c r="C6146" s="2" t="s">
        <v>26</v>
      </c>
      <c r="D6146" s="2" t="s">
        <v>27</v>
      </c>
      <c r="E6146" s="5">
        <v>-29016</v>
      </c>
      <c r="F6146" s="3" t="s">
        <v>657</v>
      </c>
      <c r="G6146" s="3" t="s">
        <v>62</v>
      </c>
      <c r="H6146" s="2" t="s">
        <v>21</v>
      </c>
      <c r="I6146" s="2" t="s">
        <v>12221</v>
      </c>
      <c r="J6146" s="3" t="str">
        <f>HYPERLINK("https://www.boe.es/gazeta/dias/1820/07/21/pdfs/GGB-1820-23.pdf#page=3","Abrir facsímil")</f>
        <v>Abrir facsímil</v>
      </c>
      <c r="K6146" s="3" t="s">
        <v>23</v>
      </c>
    </row>
    <row r="6147" spans="1:11" ht="42" customHeight="1">
      <c r="A6147" s="2" t="s">
        <v>12217</v>
      </c>
      <c r="B6147" s="2" t="s">
        <v>12218</v>
      </c>
      <c r="C6147" s="2" t="s">
        <v>35</v>
      </c>
      <c r="D6147" s="2" t="s">
        <v>36</v>
      </c>
      <c r="E6147" s="5">
        <v>-29015</v>
      </c>
      <c r="F6147" s="3" t="s">
        <v>359</v>
      </c>
      <c r="G6147" s="3" t="s">
        <v>62</v>
      </c>
      <c r="H6147" s="2" t="s">
        <v>21</v>
      </c>
      <c r="I6147" s="2" t="s">
        <v>12222</v>
      </c>
      <c r="J6147" s="3" t="str">
        <f>HYPERLINK("https://www.boe.es/gazeta/dias/1820/07/22/pdfs/GGB-1820-24.pdf#page=3","Abrir facsímil")</f>
        <v>Abrir facsímil</v>
      </c>
      <c r="K6147" s="3" t="s">
        <v>23</v>
      </c>
    </row>
    <row r="6148" spans="1:11" ht="42" customHeight="1">
      <c r="A6148" s="2" t="s">
        <v>12217</v>
      </c>
      <c r="B6148" s="2" t="s">
        <v>12218</v>
      </c>
      <c r="C6148" s="2" t="s">
        <v>293</v>
      </c>
      <c r="D6148" s="2" t="s">
        <v>18</v>
      </c>
      <c r="E6148" s="5">
        <v>-29003</v>
      </c>
      <c r="F6148" s="3" t="s">
        <v>340</v>
      </c>
      <c r="G6148" s="3" t="s">
        <v>62</v>
      </c>
      <c r="H6148" s="2" t="s">
        <v>21</v>
      </c>
      <c r="I6148" s="2" t="s">
        <v>12223</v>
      </c>
      <c r="J6148" s="3" t="str">
        <f>HYPERLINK("https://www.boe.es/gazeta/dias/1820/08/03/pdfs/GGB-1820-36.pdf#page=3","Abrir facsímil")</f>
        <v>Abrir facsímil</v>
      </c>
      <c r="K6148" s="3" t="s">
        <v>23</v>
      </c>
    </row>
    <row r="6149" spans="1:11" ht="42" customHeight="1">
      <c r="A6149" s="2" t="s">
        <v>12217</v>
      </c>
      <c r="B6149" s="2" t="s">
        <v>12218</v>
      </c>
      <c r="C6149" s="2" t="s">
        <v>35</v>
      </c>
      <c r="D6149" s="2" t="s">
        <v>36</v>
      </c>
      <c r="E6149" s="5">
        <v>-28999</v>
      </c>
      <c r="F6149" s="3" t="s">
        <v>342</v>
      </c>
      <c r="G6149" s="3" t="s">
        <v>343</v>
      </c>
      <c r="H6149" s="2" t="s">
        <v>21</v>
      </c>
      <c r="I6149" s="2" t="s">
        <v>12224</v>
      </c>
      <c r="J6149" s="3" t="str">
        <f>HYPERLINK("https://www.boe.es/gazeta/dias/1820/08/07/pdfs/GGB-1820-40.pdf#page=2","Abrir facsímil")</f>
        <v>Abrir facsímil</v>
      </c>
      <c r="K6149" s="3" t="s">
        <v>23</v>
      </c>
    </row>
    <row r="6150" spans="1:11" ht="42" customHeight="1">
      <c r="A6150" s="2" t="s">
        <v>12217</v>
      </c>
      <c r="B6150" s="2" t="s">
        <v>12218</v>
      </c>
      <c r="C6150" s="2" t="s">
        <v>47</v>
      </c>
      <c r="D6150" s="2" t="s">
        <v>18</v>
      </c>
      <c r="E6150" s="5">
        <v>-28995</v>
      </c>
      <c r="F6150" s="3" t="s">
        <v>672</v>
      </c>
      <c r="G6150" s="3" t="s">
        <v>62</v>
      </c>
      <c r="H6150" s="2" t="s">
        <v>21</v>
      </c>
      <c r="I6150" s="2" t="s">
        <v>12225</v>
      </c>
      <c r="J6150" s="3" t="str">
        <f>HYPERLINK("https://www.boe.es/gazeta/dias/1820/08/11/pdfs/GGB-1820-44.pdf#page=3","Abrir facsímil")</f>
        <v>Abrir facsímil</v>
      </c>
      <c r="K6150" s="3" t="s">
        <v>23</v>
      </c>
    </row>
    <row r="6151" spans="1:11" ht="42" customHeight="1">
      <c r="A6151" s="2" t="s">
        <v>12217</v>
      </c>
      <c r="B6151" s="2" t="s">
        <v>12218</v>
      </c>
      <c r="C6151" s="2" t="s">
        <v>17</v>
      </c>
      <c r="D6151" s="2" t="s">
        <v>18</v>
      </c>
      <c r="E6151" s="5">
        <v>-28994</v>
      </c>
      <c r="F6151" s="3" t="s">
        <v>1612</v>
      </c>
      <c r="G6151" s="3" t="s">
        <v>62</v>
      </c>
      <c r="H6151" s="2" t="s">
        <v>21</v>
      </c>
      <c r="I6151" s="2" t="s">
        <v>12226</v>
      </c>
      <c r="J6151" s="3" t="str">
        <f>HYPERLINK("https://www.boe.es/gazeta/dias/1820/08/12/pdfs/GGB-1820-45.pdf#page=3","Abrir facsímil")</f>
        <v>Abrir facsímil</v>
      </c>
      <c r="K6151" s="3" t="s">
        <v>23</v>
      </c>
    </row>
    <row r="6152" spans="1:11" ht="42" customHeight="1">
      <c r="A6152" s="2" t="s">
        <v>12217</v>
      </c>
      <c r="B6152" s="2" t="s">
        <v>12218</v>
      </c>
      <c r="C6152" s="2" t="s">
        <v>35</v>
      </c>
      <c r="D6152" s="2" t="s">
        <v>36</v>
      </c>
      <c r="E6152" s="5">
        <v>-28982</v>
      </c>
      <c r="F6152" s="3" t="s">
        <v>173</v>
      </c>
      <c r="G6152" s="3" t="s">
        <v>62</v>
      </c>
      <c r="H6152" s="2" t="s">
        <v>21</v>
      </c>
      <c r="I6152" s="2" t="s">
        <v>12227</v>
      </c>
      <c r="J6152" s="3" t="str">
        <f>HYPERLINK("https://www.boe.es/gazeta/dias/1820/08/24/pdfs/GGB-1820-57.pdf#page=3","Abrir facsímil")</f>
        <v>Abrir facsímil</v>
      </c>
      <c r="K6152" s="3" t="s">
        <v>23</v>
      </c>
    </row>
    <row r="6153" spans="1:11" ht="42" customHeight="1">
      <c r="A6153" s="2" t="s">
        <v>12217</v>
      </c>
      <c r="B6153" s="2" t="s">
        <v>12218</v>
      </c>
      <c r="C6153" s="2" t="s">
        <v>17</v>
      </c>
      <c r="D6153" s="2" t="s">
        <v>18</v>
      </c>
      <c r="E6153" s="5">
        <v>-28975</v>
      </c>
      <c r="F6153" s="3" t="s">
        <v>182</v>
      </c>
      <c r="G6153" s="3" t="s">
        <v>62</v>
      </c>
      <c r="H6153" s="2" t="s">
        <v>21</v>
      </c>
      <c r="I6153" s="2" t="s">
        <v>12228</v>
      </c>
      <c r="J6153" s="3" t="str">
        <f>HYPERLINK("https://www.boe.es/gazeta/dias/1820/08/31/pdfs/GGB-1820-64.pdf#page=3","Abrir facsímil")</f>
        <v>Abrir facsímil</v>
      </c>
      <c r="K6153" s="3" t="s">
        <v>23</v>
      </c>
    </row>
    <row r="6154" spans="1:11" ht="42" customHeight="1">
      <c r="A6154" s="2" t="s">
        <v>12217</v>
      </c>
      <c r="B6154" s="2" t="s">
        <v>12218</v>
      </c>
      <c r="C6154" s="2" t="s">
        <v>107</v>
      </c>
      <c r="D6154" s="2" t="s">
        <v>18</v>
      </c>
      <c r="E6154" s="5">
        <v>-28973</v>
      </c>
      <c r="F6154" s="3" t="s">
        <v>151</v>
      </c>
      <c r="G6154" s="3" t="s">
        <v>62</v>
      </c>
      <c r="H6154" s="2" t="s">
        <v>21</v>
      </c>
      <c r="I6154" s="2" t="s">
        <v>12229</v>
      </c>
      <c r="J6154" s="3" t="str">
        <f>HYPERLINK("https://www.boe.es/gazeta/dias/1820/09/02/pdfs/GGB-1820-66.pdf#page=3","Abrir facsímil")</f>
        <v>Abrir facsímil</v>
      </c>
      <c r="K6154" s="3" t="s">
        <v>23</v>
      </c>
    </row>
    <row r="6155" spans="1:11" ht="42" customHeight="1">
      <c r="A6155" s="2" t="s">
        <v>12217</v>
      </c>
      <c r="B6155" s="2" t="s">
        <v>12218</v>
      </c>
      <c r="C6155" s="2" t="s">
        <v>74</v>
      </c>
      <c r="D6155" s="2" t="s">
        <v>18</v>
      </c>
      <c r="E6155" s="5">
        <v>-28965</v>
      </c>
      <c r="F6155" s="3" t="s">
        <v>1520</v>
      </c>
      <c r="G6155" s="3" t="s">
        <v>62</v>
      </c>
      <c r="H6155" s="2" t="s">
        <v>21</v>
      </c>
      <c r="I6155" s="2" t="s">
        <v>12230</v>
      </c>
      <c r="J6155" s="3" t="str">
        <f>HYPERLINK("https://www.boe.es/gazeta/dias/1820/09/10/pdfs/GGB-1820-74.pdf#page=3","Abrir facsímil")</f>
        <v>Abrir facsímil</v>
      </c>
      <c r="K6155" s="3" t="s">
        <v>23</v>
      </c>
    </row>
    <row r="6156" spans="1:11" ht="42" customHeight="1">
      <c r="A6156" s="2" t="s">
        <v>12217</v>
      </c>
      <c r="B6156" s="2" t="s">
        <v>12218</v>
      </c>
      <c r="C6156" s="2" t="s">
        <v>26</v>
      </c>
      <c r="D6156" s="2" t="s">
        <v>27</v>
      </c>
      <c r="E6156" s="5">
        <v>-28961</v>
      </c>
      <c r="F6156" s="3" t="s">
        <v>242</v>
      </c>
      <c r="G6156" s="3" t="s">
        <v>43</v>
      </c>
      <c r="H6156" s="2" t="s">
        <v>21</v>
      </c>
      <c r="I6156" s="2" t="s">
        <v>12231</v>
      </c>
      <c r="J6156" s="3" t="str">
        <f>HYPERLINK("https://www.boe.es/gazeta/dias/1820/09/14/pdfs/GGB-1820-78.pdf#page=2","Abrir facsímil")</f>
        <v>Abrir facsímil</v>
      </c>
      <c r="K6156" s="3" t="s">
        <v>23</v>
      </c>
    </row>
    <row r="6157" spans="1:11" ht="42" customHeight="1">
      <c r="A6157" s="2" t="s">
        <v>12217</v>
      </c>
      <c r="B6157" s="2" t="s">
        <v>12218</v>
      </c>
      <c r="C6157" s="2" t="s">
        <v>74</v>
      </c>
      <c r="D6157" s="2" t="s">
        <v>18</v>
      </c>
      <c r="E6157" s="5">
        <v>-28961</v>
      </c>
      <c r="F6157" s="3" t="s">
        <v>242</v>
      </c>
      <c r="G6157" s="3" t="s">
        <v>62</v>
      </c>
      <c r="H6157" s="2" t="s">
        <v>21</v>
      </c>
      <c r="I6157" s="2" t="s">
        <v>12232</v>
      </c>
      <c r="J6157" s="3" t="str">
        <f>HYPERLINK("https://www.boe.es/gazeta/dias/1820/09/14/pdfs/GGB-1820-78.pdf#page=3","Abrir facsímil")</f>
        <v>Abrir facsímil</v>
      </c>
      <c r="K6157" s="3" t="s">
        <v>23</v>
      </c>
    </row>
    <row r="6158" spans="1:11" ht="42" customHeight="1">
      <c r="A6158" s="2" t="s">
        <v>12217</v>
      </c>
      <c r="B6158" s="2" t="s">
        <v>12218</v>
      </c>
      <c r="C6158" s="2" t="s">
        <v>26</v>
      </c>
      <c r="D6158" s="2" t="s">
        <v>27</v>
      </c>
      <c r="E6158" s="5">
        <v>-28955</v>
      </c>
      <c r="F6158" s="3" t="s">
        <v>175</v>
      </c>
      <c r="G6158" s="3" t="s">
        <v>62</v>
      </c>
      <c r="H6158" s="2" t="s">
        <v>21</v>
      </c>
      <c r="I6158" s="2" t="s">
        <v>12233</v>
      </c>
      <c r="J6158" s="3" t="str">
        <f>HYPERLINK("https://www.boe.es/gazeta/dias/1820/09/20/pdfs/GGB-1820-84.pdf#page=3","Abrir facsímil")</f>
        <v>Abrir facsímil</v>
      </c>
      <c r="K6158" s="3" t="s">
        <v>23</v>
      </c>
    </row>
    <row r="6159" spans="1:11" ht="42" customHeight="1">
      <c r="A6159" s="2" t="s">
        <v>12217</v>
      </c>
      <c r="B6159" s="2" t="s">
        <v>12218</v>
      </c>
      <c r="C6159" s="2" t="s">
        <v>35</v>
      </c>
      <c r="D6159" s="2" t="s">
        <v>36</v>
      </c>
      <c r="E6159" s="5">
        <v>-28943</v>
      </c>
      <c r="F6159" s="3" t="s">
        <v>1403</v>
      </c>
      <c r="G6159" s="3" t="s">
        <v>1710</v>
      </c>
      <c r="H6159" s="2" t="s">
        <v>21</v>
      </c>
      <c r="I6159" s="2" t="s">
        <v>12234</v>
      </c>
      <c r="J6159" s="3" t="str">
        <f>HYPERLINK("https://www.boe.es/gazeta/dias/1820/10/02/pdfs/GGB-1820-96.pdf#page=4","Abrir facsímil")</f>
        <v>Abrir facsímil</v>
      </c>
      <c r="K6159" s="3" t="s">
        <v>23</v>
      </c>
    </row>
    <row r="6160" spans="1:11" ht="42" customHeight="1">
      <c r="A6160" s="2" t="s">
        <v>12217</v>
      </c>
      <c r="B6160" s="2" t="s">
        <v>12218</v>
      </c>
      <c r="C6160" s="2" t="s">
        <v>26</v>
      </c>
      <c r="D6160" s="2" t="s">
        <v>27</v>
      </c>
      <c r="E6160" s="5">
        <v>-28932</v>
      </c>
      <c r="F6160" s="3" t="s">
        <v>407</v>
      </c>
      <c r="G6160" s="3" t="s">
        <v>20</v>
      </c>
      <c r="H6160" s="2" t="s">
        <v>21</v>
      </c>
      <c r="I6160" s="2" t="s">
        <v>12235</v>
      </c>
      <c r="J6160" s="3" t="str">
        <f>HYPERLINK("https://www.boe.es/gazeta/dias/1820/10/13/pdfs/GGB-1820-107.pdf#page=4","Abrir facsímil")</f>
        <v>Abrir facsímil</v>
      </c>
      <c r="K6160" s="3" t="s">
        <v>23</v>
      </c>
    </row>
    <row r="6161" spans="1:11" ht="42" customHeight="1">
      <c r="A6161" s="2" t="s">
        <v>12217</v>
      </c>
      <c r="B6161" s="2" t="s">
        <v>12218</v>
      </c>
      <c r="C6161" s="2" t="s">
        <v>74</v>
      </c>
      <c r="D6161" s="2" t="s">
        <v>18</v>
      </c>
      <c r="E6161" s="5">
        <v>-28931</v>
      </c>
      <c r="F6161" s="3" t="s">
        <v>724</v>
      </c>
      <c r="G6161" s="3" t="s">
        <v>725</v>
      </c>
      <c r="H6161" s="2" t="s">
        <v>21</v>
      </c>
      <c r="I6161" s="2" t="s">
        <v>12236</v>
      </c>
      <c r="J6161" s="3" t="str">
        <f>HYPERLINK("https://www.boe.es/gazeta/dias/1820/10/14/pdfs/GGB-1820-108.pdf#page=3","Abrir facsímil")</f>
        <v>Abrir facsímil</v>
      </c>
      <c r="K6161" s="3" t="s">
        <v>23</v>
      </c>
    </row>
    <row r="6162" spans="1:11" ht="42" customHeight="1">
      <c r="A6162" s="2" t="s">
        <v>12217</v>
      </c>
      <c r="B6162" s="2" t="s">
        <v>12218</v>
      </c>
      <c r="C6162" s="2" t="s">
        <v>74</v>
      </c>
      <c r="D6162" s="2" t="s">
        <v>18</v>
      </c>
      <c r="E6162" s="5">
        <v>-28931</v>
      </c>
      <c r="F6162" s="3" t="s">
        <v>724</v>
      </c>
      <c r="G6162" s="3" t="s">
        <v>43</v>
      </c>
      <c r="H6162" s="2" t="s">
        <v>21</v>
      </c>
      <c r="I6162" s="2" t="s">
        <v>12237</v>
      </c>
      <c r="J6162" s="3" t="str">
        <f>HYPERLINK("https://www.boe.es/gazeta/dias/1820/10/14/pdfs/GGB-1820-108.pdf#page=2","Abrir facsímil")</f>
        <v>Abrir facsímil</v>
      </c>
      <c r="K6162" s="3" t="s">
        <v>23</v>
      </c>
    </row>
    <row r="6163" spans="1:11" ht="42" customHeight="1">
      <c r="A6163" s="2" t="s">
        <v>12217</v>
      </c>
      <c r="B6163" s="2" t="s">
        <v>12218</v>
      </c>
      <c r="C6163" s="2" t="s">
        <v>26</v>
      </c>
      <c r="D6163" s="2" t="s">
        <v>27</v>
      </c>
      <c r="E6163" s="5">
        <v>-28928</v>
      </c>
      <c r="F6163" s="3" t="s">
        <v>86</v>
      </c>
      <c r="G6163" s="3" t="s">
        <v>62</v>
      </c>
      <c r="H6163" s="2" t="s">
        <v>21</v>
      </c>
      <c r="I6163" s="2" t="s">
        <v>12238</v>
      </c>
      <c r="J6163" s="3" t="str">
        <f>HYPERLINK("https://www.boe.es/gazeta/dias/1820/10/17/pdfs/GGB-1820-111.pdf#page=3","Abrir facsímil")</f>
        <v>Abrir facsímil</v>
      </c>
      <c r="K6163" s="3" t="s">
        <v>23</v>
      </c>
    </row>
    <row r="6164" spans="1:11" ht="42" customHeight="1">
      <c r="A6164" s="2" t="s">
        <v>12217</v>
      </c>
      <c r="B6164" s="2" t="s">
        <v>12218</v>
      </c>
      <c r="C6164" s="2" t="s">
        <v>26</v>
      </c>
      <c r="D6164" s="2" t="s">
        <v>27</v>
      </c>
      <c r="E6164" s="5">
        <v>-28928</v>
      </c>
      <c r="F6164" s="3" t="s">
        <v>86</v>
      </c>
      <c r="G6164" s="3" t="s">
        <v>20</v>
      </c>
      <c r="H6164" s="2" t="s">
        <v>21</v>
      </c>
      <c r="I6164" s="2" t="s">
        <v>12239</v>
      </c>
      <c r="J6164" s="3" t="str">
        <f>HYPERLINK("https://www.boe.es/gazeta/dias/1820/10/17/pdfs/GGB-1820-111.pdf#page=4","Abrir facsímil")</f>
        <v>Abrir facsímil</v>
      </c>
      <c r="K6164" s="3" t="s">
        <v>23</v>
      </c>
    </row>
    <row r="6165" spans="1:11" ht="42" customHeight="1">
      <c r="A6165" s="2" t="s">
        <v>12217</v>
      </c>
      <c r="B6165" s="2" t="s">
        <v>12218</v>
      </c>
      <c r="C6165" s="2" t="s">
        <v>26</v>
      </c>
      <c r="D6165" s="2" t="s">
        <v>27</v>
      </c>
      <c r="E6165" s="5">
        <v>-28924</v>
      </c>
      <c r="F6165" s="3" t="s">
        <v>78</v>
      </c>
      <c r="G6165" s="3" t="s">
        <v>62</v>
      </c>
      <c r="H6165" s="2" t="s">
        <v>21</v>
      </c>
      <c r="I6165" s="2" t="s">
        <v>12240</v>
      </c>
      <c r="J6165" s="3" t="str">
        <f>HYPERLINK("https://www.boe.es/gazeta/dias/1820/10/21/pdfs/GGB-1820-115.pdf#page=3","Abrir facsímil")</f>
        <v>Abrir facsímil</v>
      </c>
      <c r="K6165" s="3" t="s">
        <v>23</v>
      </c>
    </row>
    <row r="6166" spans="1:11" ht="42" customHeight="1">
      <c r="A6166" s="2" t="s">
        <v>12217</v>
      </c>
      <c r="B6166" s="2" t="s">
        <v>12218</v>
      </c>
      <c r="C6166" s="2" t="s">
        <v>17</v>
      </c>
      <c r="D6166" s="2" t="s">
        <v>18</v>
      </c>
      <c r="E6166" s="5">
        <v>-28923</v>
      </c>
      <c r="F6166" s="3" t="s">
        <v>648</v>
      </c>
      <c r="G6166" s="3" t="s">
        <v>62</v>
      </c>
      <c r="H6166" s="2" t="s">
        <v>21</v>
      </c>
      <c r="I6166" s="2" t="s">
        <v>12241</v>
      </c>
      <c r="J6166" s="3" t="str">
        <f>HYPERLINK("https://www.boe.es/gazeta/dias/1820/10/22/pdfs/GGB-1820-116.pdf#page=3","Abrir facsímil")</f>
        <v>Abrir facsímil</v>
      </c>
      <c r="K6166" s="3" t="s">
        <v>23</v>
      </c>
    </row>
    <row r="6167" spans="1:11" ht="42" customHeight="1">
      <c r="A6167" s="2" t="s">
        <v>12217</v>
      </c>
      <c r="B6167" s="2" t="s">
        <v>12218</v>
      </c>
      <c r="C6167" s="2" t="s">
        <v>26</v>
      </c>
      <c r="D6167" s="2" t="s">
        <v>27</v>
      </c>
      <c r="E6167" s="5">
        <v>-28919</v>
      </c>
      <c r="F6167" s="3" t="s">
        <v>516</v>
      </c>
      <c r="G6167" s="3" t="s">
        <v>43</v>
      </c>
      <c r="H6167" s="2" t="s">
        <v>21</v>
      </c>
      <c r="I6167" s="2" t="s">
        <v>12242</v>
      </c>
      <c r="J6167" s="3" t="str">
        <f>HYPERLINK("https://www.boe.es/gazeta/dias/1820/10/26/pdfs/GGB-1820-120.pdf#page=2","Abrir facsímil")</f>
        <v>Abrir facsímil</v>
      </c>
      <c r="K6167" s="3" t="s">
        <v>23</v>
      </c>
    </row>
    <row r="6168" spans="1:11" ht="42" customHeight="1">
      <c r="A6168" s="2" t="s">
        <v>12217</v>
      </c>
      <c r="B6168" s="2" t="s">
        <v>12218</v>
      </c>
      <c r="C6168" s="2" t="s">
        <v>26</v>
      </c>
      <c r="D6168" s="2" t="s">
        <v>27</v>
      </c>
      <c r="E6168" s="5">
        <v>-28918</v>
      </c>
      <c r="F6168" s="3" t="s">
        <v>160</v>
      </c>
      <c r="G6168" s="3" t="s">
        <v>62</v>
      </c>
      <c r="H6168" s="2" t="s">
        <v>21</v>
      </c>
      <c r="I6168" s="2" t="s">
        <v>12243</v>
      </c>
      <c r="J6168" s="3" t="str">
        <f>HYPERLINK("https://www.boe.es/gazeta/dias/1820/10/27/pdfs/GGB-1820-121.pdf#page=3","Abrir facsímil")</f>
        <v>Abrir facsímil</v>
      </c>
      <c r="K6168" s="3" t="s">
        <v>23</v>
      </c>
    </row>
    <row r="6169" spans="1:11" ht="42" customHeight="1">
      <c r="A6169" s="2" t="s">
        <v>12217</v>
      </c>
      <c r="B6169" s="2" t="s">
        <v>12218</v>
      </c>
      <c r="C6169" s="2" t="s">
        <v>107</v>
      </c>
      <c r="D6169" s="2" t="s">
        <v>18</v>
      </c>
      <c r="E6169" s="5">
        <v>-28917</v>
      </c>
      <c r="F6169" s="3" t="s">
        <v>19</v>
      </c>
      <c r="G6169" s="3" t="s">
        <v>62</v>
      </c>
      <c r="H6169" s="2" t="s">
        <v>21</v>
      </c>
      <c r="I6169" s="2" t="s">
        <v>12244</v>
      </c>
      <c r="J6169" s="3" t="str">
        <f>HYPERLINK("https://www.boe.es/gazeta/dias/1820/10/28/pdfs/GGB-1820-122.pdf#page=3","Abrir facsímil")</f>
        <v>Abrir facsímil</v>
      </c>
      <c r="K6169" s="3" t="s">
        <v>23</v>
      </c>
    </row>
    <row r="6170" spans="1:11" ht="42" customHeight="1">
      <c r="A6170" s="2" t="s">
        <v>12217</v>
      </c>
      <c r="B6170" s="2" t="s">
        <v>12218</v>
      </c>
      <c r="C6170" s="2" t="s">
        <v>1808</v>
      </c>
      <c r="D6170" s="2" t="s">
        <v>36</v>
      </c>
      <c r="E6170" s="5">
        <v>-28916</v>
      </c>
      <c r="F6170" s="3" t="s">
        <v>2688</v>
      </c>
      <c r="G6170" s="3" t="s">
        <v>62</v>
      </c>
      <c r="H6170" s="2" t="s">
        <v>21</v>
      </c>
      <c r="I6170" s="2" t="s">
        <v>12245</v>
      </c>
      <c r="J6170" s="3" t="str">
        <f>HYPERLINK("https://www.boe.es/gazeta/dias/1820/10/29/pdfs/GGB-1820-123.pdf#page=3","Abrir facsímil")</f>
        <v>Abrir facsímil</v>
      </c>
      <c r="K6170" s="3" t="s">
        <v>23</v>
      </c>
    </row>
    <row r="6171" spans="1:11" ht="42" customHeight="1">
      <c r="A6171" s="2" t="s">
        <v>12217</v>
      </c>
      <c r="B6171" s="2" t="s">
        <v>12218</v>
      </c>
      <c r="C6171" s="2" t="s">
        <v>26</v>
      </c>
      <c r="D6171" s="2" t="s">
        <v>27</v>
      </c>
      <c r="E6171" s="5">
        <v>-28914</v>
      </c>
      <c r="F6171" s="3" t="s">
        <v>434</v>
      </c>
      <c r="G6171" s="3" t="s">
        <v>62</v>
      </c>
      <c r="H6171" s="2" t="s">
        <v>21</v>
      </c>
      <c r="I6171" s="2" t="s">
        <v>12246</v>
      </c>
      <c r="J6171" s="3" t="str">
        <f>HYPERLINK("https://www.boe.es/gazeta/dias/1820/10/31/pdfs/GGB-1820-125.pdf#page=3","Abrir facsímil")</f>
        <v>Abrir facsímil</v>
      </c>
      <c r="K6171" s="3" t="s">
        <v>23</v>
      </c>
    </row>
    <row r="6172" spans="1:11" ht="42" customHeight="1">
      <c r="A6172" s="2" t="s">
        <v>12217</v>
      </c>
      <c r="B6172" s="2" t="s">
        <v>12218</v>
      </c>
      <c r="C6172" s="2" t="s">
        <v>17</v>
      </c>
      <c r="D6172" s="2" t="s">
        <v>18</v>
      </c>
      <c r="E6172" s="5">
        <v>-28911</v>
      </c>
      <c r="F6172" s="3" t="s">
        <v>82</v>
      </c>
      <c r="G6172" s="3" t="s">
        <v>43</v>
      </c>
      <c r="H6172" s="2" t="s">
        <v>21</v>
      </c>
      <c r="I6172" s="2" t="s">
        <v>12247</v>
      </c>
      <c r="J6172" s="3" t="str">
        <f>HYPERLINK("https://www.boe.es/gazeta/dias/1820/11/03/pdfs/GGB-1820-128.pdf#page=2","Abrir facsímil")</f>
        <v>Abrir facsímil</v>
      </c>
      <c r="K6172" s="3" t="s">
        <v>23</v>
      </c>
    </row>
    <row r="6173" spans="1:11" ht="42" customHeight="1">
      <c r="A6173" s="2" t="s">
        <v>12217</v>
      </c>
      <c r="B6173" s="2" t="s">
        <v>12218</v>
      </c>
      <c r="C6173" s="2" t="s">
        <v>26</v>
      </c>
      <c r="D6173" s="2" t="s">
        <v>27</v>
      </c>
      <c r="E6173" s="5">
        <v>-28908</v>
      </c>
      <c r="F6173" s="3" t="s">
        <v>1060</v>
      </c>
      <c r="G6173" s="3" t="s">
        <v>62</v>
      </c>
      <c r="H6173" s="2" t="s">
        <v>21</v>
      </c>
      <c r="I6173" s="2" t="s">
        <v>12248</v>
      </c>
      <c r="J6173" s="3" t="str">
        <f>HYPERLINK("https://www.boe.es/gazeta/dias/1820/11/06/pdfs/GGB-1820-131.pdf#page=3","Abrir facsímil")</f>
        <v>Abrir facsímil</v>
      </c>
      <c r="K6173" s="3" t="s">
        <v>23</v>
      </c>
    </row>
    <row r="6174" spans="1:11" ht="42" customHeight="1">
      <c r="A6174" s="2" t="s">
        <v>12217</v>
      </c>
      <c r="B6174" s="2" t="s">
        <v>12218</v>
      </c>
      <c r="C6174" s="2" t="s">
        <v>74</v>
      </c>
      <c r="D6174" s="2" t="s">
        <v>18</v>
      </c>
      <c r="E6174" s="5">
        <v>-28907</v>
      </c>
      <c r="F6174" s="3" t="s">
        <v>374</v>
      </c>
      <c r="G6174" s="3" t="s">
        <v>62</v>
      </c>
      <c r="H6174" s="2" t="s">
        <v>21</v>
      </c>
      <c r="I6174" s="2" t="s">
        <v>12249</v>
      </c>
      <c r="J6174" s="3" t="str">
        <f>HYPERLINK("https://www.boe.es/gazeta/dias/1820/11/07/pdfs/GGB-1820-132.pdf#page=3","Abrir facsímil")</f>
        <v>Abrir facsímil</v>
      </c>
      <c r="K6174" s="3" t="s">
        <v>23</v>
      </c>
    </row>
    <row r="6175" spans="1:11" ht="42" customHeight="1">
      <c r="A6175" s="2" t="s">
        <v>12250</v>
      </c>
      <c r="B6175" s="2" t="s">
        <v>12251</v>
      </c>
      <c r="C6175" s="2" t="s">
        <v>35</v>
      </c>
      <c r="D6175" s="2" t="s">
        <v>36</v>
      </c>
      <c r="E6175" s="5">
        <v>-29025</v>
      </c>
      <c r="F6175" s="3" t="s">
        <v>902</v>
      </c>
      <c r="G6175" s="3" t="s">
        <v>62</v>
      </c>
      <c r="H6175" s="2" t="s">
        <v>21</v>
      </c>
      <c r="I6175" s="2" t="s">
        <v>12252</v>
      </c>
      <c r="J6175" s="3" t="str">
        <f>HYPERLINK("https://www.boe.es/gazeta/dias/1820/07/12/pdfs/GGB-1820-14.pdf#page=3","Abrir facsímil")</f>
        <v>Abrir facsímil</v>
      </c>
      <c r="K6175" s="3" t="s">
        <v>23</v>
      </c>
    </row>
    <row r="6176" spans="1:11" ht="42" customHeight="1">
      <c r="A6176" s="2" t="s">
        <v>12253</v>
      </c>
      <c r="B6176" s="2" t="s">
        <v>12254</v>
      </c>
      <c r="C6176" s="2" t="s">
        <v>17</v>
      </c>
      <c r="D6176" s="2" t="s">
        <v>18</v>
      </c>
      <c r="E6176" s="5">
        <v>-29141</v>
      </c>
      <c r="F6176" s="3" t="s">
        <v>319</v>
      </c>
      <c r="G6176" s="3" t="s">
        <v>38</v>
      </c>
      <c r="H6176" s="2" t="s">
        <v>21</v>
      </c>
      <c r="I6176" s="2" t="s">
        <v>12255</v>
      </c>
      <c r="J6176" s="3" t="str">
        <f>HYPERLINK("https://www.boe.es/gazeta/dias/1820/03/18/pdfs/GMD-1820-44.pdf#page=6","Abrir facsímil")</f>
        <v>Abrir facsímil</v>
      </c>
      <c r="K6176" s="3" t="s">
        <v>23</v>
      </c>
    </row>
    <row r="6177" spans="1:11" ht="42" customHeight="1">
      <c r="A6177" s="2" t="s">
        <v>12256</v>
      </c>
      <c r="B6177" s="2" t="s">
        <v>12256</v>
      </c>
      <c r="C6177" s="2" t="s">
        <v>26</v>
      </c>
      <c r="D6177" s="2" t="s">
        <v>27</v>
      </c>
      <c r="E6177" s="5">
        <v>-29005</v>
      </c>
      <c r="F6177" s="3" t="s">
        <v>1656</v>
      </c>
      <c r="G6177" s="3" t="s">
        <v>128</v>
      </c>
      <c r="H6177" s="2" t="s">
        <v>21</v>
      </c>
      <c r="I6177" s="2" t="s">
        <v>12257</v>
      </c>
      <c r="J6177" s="3" t="str">
        <f>HYPERLINK("https://www.boe.es/gazeta/dias/1820/08/01/pdfs/GGB-1820-34.pdf#page=1","Abrir facsímil")</f>
        <v>Abrir facsímil</v>
      </c>
      <c r="K6177" s="3" t="s">
        <v>23</v>
      </c>
    </row>
    <row r="6178" spans="1:11" ht="42" customHeight="1">
      <c r="A6178" s="2" t="s">
        <v>12258</v>
      </c>
      <c r="B6178" s="2" t="s">
        <v>12258</v>
      </c>
      <c r="C6178" s="2" t="s">
        <v>293</v>
      </c>
      <c r="D6178" s="2" t="s">
        <v>18</v>
      </c>
      <c r="E6178" s="5">
        <v>-28994</v>
      </c>
      <c r="F6178" s="3" t="s">
        <v>1612</v>
      </c>
      <c r="G6178" s="3" t="s">
        <v>62</v>
      </c>
      <c r="H6178" s="2" t="s">
        <v>21</v>
      </c>
      <c r="I6178" s="2" t="s">
        <v>12259</v>
      </c>
      <c r="J6178" s="3" t="str">
        <f>HYPERLINK("https://www.boe.es/gazeta/dias/1820/08/12/pdfs/GGB-1820-45.pdf#page=3","Abrir facsímil")</f>
        <v>Abrir facsímil</v>
      </c>
      <c r="K6178" s="3" t="s">
        <v>23</v>
      </c>
    </row>
    <row r="6179" spans="1:11" ht="42" customHeight="1">
      <c r="A6179" s="2" t="s">
        <v>12258</v>
      </c>
      <c r="B6179" s="2" t="s">
        <v>12258</v>
      </c>
      <c r="C6179" s="2" t="s">
        <v>17</v>
      </c>
      <c r="D6179" s="2" t="s">
        <v>18</v>
      </c>
      <c r="E6179" s="5">
        <v>-28917</v>
      </c>
      <c r="F6179" s="3" t="s">
        <v>19</v>
      </c>
      <c r="G6179" s="3" t="s">
        <v>20</v>
      </c>
      <c r="H6179" s="2" t="s">
        <v>21</v>
      </c>
      <c r="I6179" s="2" t="s">
        <v>12260</v>
      </c>
      <c r="J6179" s="3" t="str">
        <f>HYPERLINK("https://www.boe.es/gazeta/dias/1820/10/28/pdfs/GGB-1820-122.pdf#page=4","Abrir facsímil")</f>
        <v>Abrir facsímil</v>
      </c>
      <c r="K6179" s="3" t="s">
        <v>23</v>
      </c>
    </row>
    <row r="6180" spans="1:11" ht="42" customHeight="1">
      <c r="A6180" s="2" t="s">
        <v>12258</v>
      </c>
      <c r="B6180" s="2" t="s">
        <v>12258</v>
      </c>
      <c r="C6180" s="2" t="s">
        <v>111</v>
      </c>
      <c r="D6180" s="2" t="s">
        <v>18</v>
      </c>
      <c r="E6180" s="5">
        <v>-28900</v>
      </c>
      <c r="F6180" s="3" t="s">
        <v>878</v>
      </c>
      <c r="G6180" s="3" t="s">
        <v>20</v>
      </c>
      <c r="H6180" s="2" t="s">
        <v>21</v>
      </c>
      <c r="I6180" s="2" t="s">
        <v>12261</v>
      </c>
      <c r="J6180" s="3" t="str">
        <f>HYPERLINK("https://www.boe.es/gazeta/dias/1820/11/14/pdfs/GGB-1820-140.pdf#page=4","Abrir facsímil")</f>
        <v>Abrir facsímil</v>
      </c>
      <c r="K6180" s="3" t="s">
        <v>23</v>
      </c>
    </row>
    <row r="6181" spans="1:11" ht="42" customHeight="1">
      <c r="A6181" s="2" t="s">
        <v>12258</v>
      </c>
      <c r="B6181" s="2" t="s">
        <v>12258</v>
      </c>
      <c r="C6181" s="2" t="s">
        <v>35</v>
      </c>
      <c r="D6181" s="2" t="s">
        <v>36</v>
      </c>
      <c r="E6181" s="5">
        <v>-28882</v>
      </c>
      <c r="F6181" s="3" t="s">
        <v>1245</v>
      </c>
      <c r="G6181" s="3" t="s">
        <v>43</v>
      </c>
      <c r="H6181" s="2" t="s">
        <v>21</v>
      </c>
      <c r="I6181" s="2" t="s">
        <v>12262</v>
      </c>
      <c r="J6181" s="3" t="str">
        <f>HYPERLINK("https://www.boe.es/gazeta/dias/1820/12/02/pdfs/GGB-1820-159.pdf#page=2","Abrir facsímil")</f>
        <v>Abrir facsímil</v>
      </c>
      <c r="K6181" s="3" t="s">
        <v>23</v>
      </c>
    </row>
    <row r="6182" spans="1:11" ht="42" customHeight="1">
      <c r="A6182" s="2" t="s">
        <v>12263</v>
      </c>
      <c r="B6182" s="2" t="s">
        <v>12264</v>
      </c>
      <c r="C6182" s="2" t="s">
        <v>35</v>
      </c>
      <c r="D6182" s="2" t="s">
        <v>36</v>
      </c>
      <c r="E6182" s="5">
        <v>-28930</v>
      </c>
      <c r="F6182" s="3" t="s">
        <v>372</v>
      </c>
      <c r="G6182" s="3" t="s">
        <v>20</v>
      </c>
      <c r="H6182" s="2" t="s">
        <v>21</v>
      </c>
      <c r="I6182" s="2" t="s">
        <v>12265</v>
      </c>
      <c r="J6182" s="3" t="str">
        <f>HYPERLINK("https://www.boe.es/gazeta/dias/1820/10/15/pdfs/GGB-1820-109.pdf#page=4","Abrir facsímil")</f>
        <v>Abrir facsímil</v>
      </c>
      <c r="K6182" s="3" t="s">
        <v>23</v>
      </c>
    </row>
    <row r="6183" spans="1:11" ht="42" customHeight="1">
      <c r="A6183" s="2" t="s">
        <v>12266</v>
      </c>
      <c r="B6183" s="2" t="s">
        <v>12267</v>
      </c>
      <c r="C6183" s="2" t="s">
        <v>26</v>
      </c>
      <c r="D6183" s="2" t="s">
        <v>310</v>
      </c>
      <c r="E6183" s="5">
        <v>-29134</v>
      </c>
      <c r="F6183" s="3" t="s">
        <v>2560</v>
      </c>
      <c r="G6183" s="3" t="s">
        <v>128</v>
      </c>
      <c r="H6183" s="2" t="s">
        <v>21</v>
      </c>
      <c r="I6183" s="2" t="s">
        <v>12268</v>
      </c>
      <c r="J6183" s="3" t="str">
        <f>HYPERLINK("https://www.boe.es/gazeta/dias/1820/03/25/pdfs/GMD-1820-54E.pdf#page=1","Abrir facsímil")</f>
        <v>Abrir facsímil</v>
      </c>
      <c r="K6183" s="3" t="s">
        <v>23</v>
      </c>
    </row>
    <row r="6184" spans="1:11" ht="42" customHeight="1">
      <c r="A6184" s="2" t="s">
        <v>12269</v>
      </c>
      <c r="B6184" s="2" t="s">
        <v>12270</v>
      </c>
      <c r="C6184" s="2" t="s">
        <v>74</v>
      </c>
      <c r="D6184" s="2" t="s">
        <v>18</v>
      </c>
      <c r="E6184" s="5">
        <v>-28909</v>
      </c>
      <c r="F6184" s="3" t="s">
        <v>278</v>
      </c>
      <c r="G6184" s="3" t="s">
        <v>20</v>
      </c>
      <c r="H6184" s="2" t="s">
        <v>21</v>
      </c>
      <c r="I6184" s="2" t="s">
        <v>12271</v>
      </c>
      <c r="J6184" s="3" t="str">
        <f>HYPERLINK("https://www.boe.es/gazeta/dias/1820/11/05/pdfs/GGB-1820-130.pdf#page=4","Abrir facsímil")</f>
        <v>Abrir facsímil</v>
      </c>
      <c r="K6184" s="3" t="s">
        <v>23</v>
      </c>
    </row>
    <row r="6185" spans="1:11" ht="42" customHeight="1">
      <c r="A6185" s="2" t="s">
        <v>12272</v>
      </c>
      <c r="B6185" s="2" t="s">
        <v>12273</v>
      </c>
      <c r="C6185" s="2" t="s">
        <v>26</v>
      </c>
      <c r="D6185" s="2" t="s">
        <v>27</v>
      </c>
      <c r="E6185" s="5">
        <v>-29117</v>
      </c>
      <c r="F6185" s="3" t="s">
        <v>1451</v>
      </c>
      <c r="G6185" s="3" t="s">
        <v>201</v>
      </c>
      <c r="H6185" s="2" t="s">
        <v>21</v>
      </c>
      <c r="I6185" s="2" t="s">
        <v>12274</v>
      </c>
      <c r="J6185" s="3" t="str">
        <f>HYPERLINK("https://www.boe.es/gazeta/dias/1820/04/11/pdfs/GMD-1820-64.pdf#page=7","Abrir facsímil")</f>
        <v>Abrir facsímil</v>
      </c>
      <c r="K6185" s="3" t="s">
        <v>23</v>
      </c>
    </row>
    <row r="6186" spans="1:11" ht="42" customHeight="1">
      <c r="A6186" s="2" t="s">
        <v>12275</v>
      </c>
      <c r="B6186" s="2" t="s">
        <v>12276</v>
      </c>
      <c r="C6186" s="2" t="s">
        <v>17</v>
      </c>
      <c r="D6186" s="2" t="s">
        <v>18</v>
      </c>
      <c r="E6186" s="5">
        <v>-29011</v>
      </c>
      <c r="F6186" s="3" t="s">
        <v>338</v>
      </c>
      <c r="G6186" s="3" t="s">
        <v>43</v>
      </c>
      <c r="H6186" s="2" t="s">
        <v>21</v>
      </c>
      <c r="I6186" s="2" t="s">
        <v>12277</v>
      </c>
      <c r="J6186" s="3" t="str">
        <f>HYPERLINK("https://www.boe.es/gazeta/dias/1820/07/26/pdfs/GGB-1820-28.pdf#page=2","Abrir facsímil")</f>
        <v>Abrir facsímil</v>
      </c>
      <c r="K6186" s="3" t="s">
        <v>23</v>
      </c>
    </row>
    <row r="6187" spans="1:11" ht="42" customHeight="1">
      <c r="A6187" s="2" t="s">
        <v>12278</v>
      </c>
      <c r="B6187" s="2" t="s">
        <v>12278</v>
      </c>
      <c r="C6187" s="2" t="s">
        <v>35</v>
      </c>
      <c r="D6187" s="2" t="s">
        <v>36</v>
      </c>
      <c r="E6187" s="5">
        <v>-28874</v>
      </c>
      <c r="F6187" s="3" t="s">
        <v>103</v>
      </c>
      <c r="G6187" s="3" t="s">
        <v>20</v>
      </c>
      <c r="H6187" s="2" t="s">
        <v>21</v>
      </c>
      <c r="I6187" s="2" t="s">
        <v>12279</v>
      </c>
      <c r="J6187" s="3" t="str">
        <f>HYPERLINK("https://www.boe.es/gazeta/dias/1820/12/10/pdfs/GGB-1820-167.pdf#page=4","Abrir facsímil")</f>
        <v>Abrir facsímil</v>
      </c>
      <c r="K6187" s="3" t="s">
        <v>23</v>
      </c>
    </row>
    <row r="6188" spans="1:11" ht="42" customHeight="1">
      <c r="A6188" s="2" t="s">
        <v>12280</v>
      </c>
      <c r="B6188" s="2" t="s">
        <v>12281</v>
      </c>
      <c r="C6188" s="2" t="s">
        <v>35</v>
      </c>
      <c r="D6188" s="2" t="s">
        <v>36</v>
      </c>
      <c r="E6188" s="5">
        <v>-29131</v>
      </c>
      <c r="F6188" s="3" t="s">
        <v>1193</v>
      </c>
      <c r="G6188" s="3" t="s">
        <v>295</v>
      </c>
      <c r="H6188" s="2" t="s">
        <v>21</v>
      </c>
      <c r="I6188" s="2" t="s">
        <v>12282</v>
      </c>
      <c r="J6188" s="3" t="str">
        <f>HYPERLINK("https://www.boe.es/gazeta/dias/1820/03/28/pdfs/GMD-1820-56.pdf#page=8","Abrir facsímil")</f>
        <v>Abrir facsímil</v>
      </c>
      <c r="K6188" s="3" t="s">
        <v>23</v>
      </c>
    </row>
    <row r="6189" spans="1:11" ht="42" customHeight="1">
      <c r="A6189" s="2" t="s">
        <v>12283</v>
      </c>
      <c r="B6189" s="2" t="s">
        <v>12283</v>
      </c>
      <c r="C6189" s="2" t="s">
        <v>26</v>
      </c>
      <c r="D6189" s="2" t="s">
        <v>27</v>
      </c>
      <c r="E6189" s="5">
        <v>-29176</v>
      </c>
      <c r="F6189" s="3" t="s">
        <v>797</v>
      </c>
      <c r="G6189" s="3" t="s">
        <v>256</v>
      </c>
      <c r="H6189" s="2" t="s">
        <v>21</v>
      </c>
      <c r="I6189" s="2" t="s">
        <v>12284</v>
      </c>
      <c r="J6189" s="3" t="str">
        <f>HYPERLINK("https://www.boe.es/gazeta/dias/1820/02/12/pdfs/GMD-1820-19.pdf#page=5","Abrir facsímil")</f>
        <v>Abrir facsímil</v>
      </c>
      <c r="K6189" s="3" t="s">
        <v>23</v>
      </c>
    </row>
    <row r="6190" spans="1:11" ht="42" customHeight="1">
      <c r="A6190" s="2" t="s">
        <v>12283</v>
      </c>
      <c r="B6190" s="2" t="s">
        <v>12283</v>
      </c>
      <c r="C6190" s="2" t="s">
        <v>74</v>
      </c>
      <c r="D6190" s="2" t="s">
        <v>18</v>
      </c>
      <c r="E6190" s="5">
        <v>-29026</v>
      </c>
      <c r="F6190" s="3" t="s">
        <v>1197</v>
      </c>
      <c r="G6190" s="3" t="s">
        <v>43</v>
      </c>
      <c r="H6190" s="2" t="s">
        <v>21</v>
      </c>
      <c r="I6190" s="2" t="s">
        <v>12285</v>
      </c>
      <c r="J6190" s="3" t="str">
        <f>HYPERLINK("https://www.boe.es/gazeta/dias/1820/07/11/pdfs/GGB-1820-13.pdf#page=2","Abrir facsímil")</f>
        <v>Abrir facsímil</v>
      </c>
      <c r="K6190" s="3" t="s">
        <v>23</v>
      </c>
    </row>
    <row r="6191" spans="1:11" ht="42" customHeight="1">
      <c r="A6191" s="2" t="s">
        <v>12286</v>
      </c>
      <c r="B6191" s="2" t="s">
        <v>12287</v>
      </c>
      <c r="C6191" s="2" t="s">
        <v>26</v>
      </c>
      <c r="D6191" s="2" t="s">
        <v>27</v>
      </c>
      <c r="E6191" s="5">
        <v>-29176</v>
      </c>
      <c r="F6191" s="3" t="s">
        <v>797</v>
      </c>
      <c r="G6191" s="3" t="s">
        <v>38</v>
      </c>
      <c r="H6191" s="2" t="s">
        <v>21</v>
      </c>
      <c r="I6191" s="2" t="s">
        <v>12288</v>
      </c>
      <c r="J6191" s="3" t="str">
        <f>HYPERLINK("https://www.boe.es/gazeta/dias/1820/02/12/pdfs/GMD-1820-19.pdf#page=6","Abrir facsímil")</f>
        <v>Abrir facsímil</v>
      </c>
      <c r="K6191" s="3" t="s">
        <v>23</v>
      </c>
    </row>
    <row r="6192" spans="1:11" ht="42" customHeight="1">
      <c r="A6192" s="2" t="s">
        <v>12289</v>
      </c>
      <c r="B6192" s="2" t="s">
        <v>12290</v>
      </c>
      <c r="C6192" s="2" t="s">
        <v>26</v>
      </c>
      <c r="D6192" s="2" t="s">
        <v>27</v>
      </c>
      <c r="E6192" s="5">
        <v>-29183</v>
      </c>
      <c r="F6192" s="3" t="s">
        <v>476</v>
      </c>
      <c r="G6192" s="3" t="s">
        <v>256</v>
      </c>
      <c r="H6192" s="2" t="s">
        <v>21</v>
      </c>
      <c r="I6192" s="2" t="s">
        <v>12291</v>
      </c>
      <c r="J6192" s="3" t="str">
        <f>HYPERLINK("https://www.boe.es/gazeta/dias/1820/02/05/pdfs/GMD-1820-16.pdf#page=5","Abrir facsímil")</f>
        <v>Abrir facsímil</v>
      </c>
      <c r="K6192" s="3" t="s">
        <v>23</v>
      </c>
    </row>
    <row r="6193" spans="1:11" ht="42" customHeight="1">
      <c r="A6193" s="2" t="s">
        <v>12289</v>
      </c>
      <c r="B6193" s="2" t="s">
        <v>12290</v>
      </c>
      <c r="C6193" s="2" t="s">
        <v>17</v>
      </c>
      <c r="D6193" s="2" t="s">
        <v>18</v>
      </c>
      <c r="E6193" s="5">
        <v>-29176</v>
      </c>
      <c r="F6193" s="3" t="s">
        <v>797</v>
      </c>
      <c r="G6193" s="3" t="s">
        <v>20</v>
      </c>
      <c r="H6193" s="2" t="s">
        <v>21</v>
      </c>
      <c r="I6193" s="2" t="s">
        <v>12292</v>
      </c>
      <c r="J6193" s="3" t="str">
        <f>HYPERLINK("https://www.boe.es/gazeta/dias/1820/02/12/pdfs/GMD-1820-19.pdf#page=4","Abrir facsímil")</f>
        <v>Abrir facsímil</v>
      </c>
      <c r="K6193" s="3" t="s">
        <v>23</v>
      </c>
    </row>
    <row r="6194" spans="1:11" ht="42" customHeight="1">
      <c r="A6194" s="2" t="s">
        <v>12289</v>
      </c>
      <c r="B6194" s="2" t="s">
        <v>12290</v>
      </c>
      <c r="C6194" s="2" t="s">
        <v>26</v>
      </c>
      <c r="D6194" s="2" t="s">
        <v>27</v>
      </c>
      <c r="E6194" s="5">
        <v>-29176</v>
      </c>
      <c r="F6194" s="3" t="s">
        <v>797</v>
      </c>
      <c r="G6194" s="3" t="s">
        <v>256</v>
      </c>
      <c r="H6194" s="2" t="s">
        <v>21</v>
      </c>
      <c r="I6194" s="2" t="s">
        <v>12293</v>
      </c>
      <c r="J6194" s="3" t="str">
        <f>HYPERLINK("https://www.boe.es/gazeta/dias/1820/02/12/pdfs/GMD-1820-19.pdf#page=5","Abrir facsímil")</f>
        <v>Abrir facsímil</v>
      </c>
      <c r="K6194" s="3" t="s">
        <v>23</v>
      </c>
    </row>
    <row r="6195" spans="1:11" ht="42" customHeight="1">
      <c r="A6195" s="2" t="s">
        <v>12289</v>
      </c>
      <c r="B6195" s="2" t="s">
        <v>12290</v>
      </c>
      <c r="C6195" s="2" t="s">
        <v>26</v>
      </c>
      <c r="D6195" s="2" t="s">
        <v>27</v>
      </c>
      <c r="E6195" s="5">
        <v>-29164</v>
      </c>
      <c r="F6195" s="3" t="s">
        <v>2516</v>
      </c>
      <c r="G6195" s="3" t="s">
        <v>256</v>
      </c>
      <c r="H6195" s="2" t="s">
        <v>21</v>
      </c>
      <c r="I6195" s="2" t="s">
        <v>12294</v>
      </c>
      <c r="J6195" s="3" t="str">
        <f>HYPERLINK("https://www.boe.es/gazeta/dias/1820/02/24/pdfs/GMD-1820-24.pdf#page=5","Abrir facsímil")</f>
        <v>Abrir facsímil</v>
      </c>
      <c r="K6195" s="3" t="s">
        <v>23</v>
      </c>
    </row>
    <row r="6196" spans="1:11" ht="42" customHeight="1">
      <c r="A6196" s="2" t="s">
        <v>12295</v>
      </c>
      <c r="B6196" s="2" t="s">
        <v>12296</v>
      </c>
      <c r="C6196" s="2" t="s">
        <v>74</v>
      </c>
      <c r="D6196" s="2" t="s">
        <v>18</v>
      </c>
      <c r="E6196" s="5">
        <v>-28973</v>
      </c>
      <c r="F6196" s="3" t="s">
        <v>151</v>
      </c>
      <c r="G6196" s="3" t="s">
        <v>20</v>
      </c>
      <c r="H6196" s="2" t="s">
        <v>21</v>
      </c>
      <c r="I6196" s="2" t="s">
        <v>12297</v>
      </c>
      <c r="J6196" s="3" t="str">
        <f>HYPERLINK("https://www.boe.es/gazeta/dias/1820/09/02/pdfs/GGB-1820-66.pdf#page=4","Abrir facsímil")</f>
        <v>Abrir facsímil</v>
      </c>
      <c r="K6196" s="3" t="s">
        <v>23</v>
      </c>
    </row>
    <row r="6197" spans="1:11" ht="42" customHeight="1">
      <c r="A6197" s="2" t="s">
        <v>12298</v>
      </c>
      <c r="B6197" s="2" t="s">
        <v>12299</v>
      </c>
      <c r="C6197" s="2" t="s">
        <v>293</v>
      </c>
      <c r="D6197" s="2" t="s">
        <v>18</v>
      </c>
      <c r="E6197" s="5">
        <v>-28988</v>
      </c>
      <c r="F6197" s="3" t="s">
        <v>618</v>
      </c>
      <c r="G6197" s="3" t="s">
        <v>677</v>
      </c>
      <c r="H6197" s="2" t="s">
        <v>21</v>
      </c>
      <c r="I6197" s="2" t="s">
        <v>12300</v>
      </c>
      <c r="J6197" s="3" t="str">
        <f>HYPERLINK("https://www.boe.es/gazeta/dias/1820/08/18/pdfs/GGB-1820-51.pdf#page=2","Abrir facsímil")</f>
        <v>Abrir facsímil</v>
      </c>
      <c r="K6197" s="3" t="s">
        <v>23</v>
      </c>
    </row>
    <row r="6198" spans="1:11" ht="42" customHeight="1">
      <c r="A6198" s="2" t="s">
        <v>12301</v>
      </c>
      <c r="B6198" s="2" t="s">
        <v>12302</v>
      </c>
      <c r="C6198" s="2" t="s">
        <v>26</v>
      </c>
      <c r="D6198" s="2" t="s">
        <v>27</v>
      </c>
      <c r="E6198" s="5">
        <v>-28975</v>
      </c>
      <c r="F6198" s="3" t="s">
        <v>182</v>
      </c>
      <c r="G6198" s="3" t="s">
        <v>62</v>
      </c>
      <c r="H6198" s="2" t="s">
        <v>21</v>
      </c>
      <c r="I6198" s="2" t="s">
        <v>12303</v>
      </c>
      <c r="J6198" s="3" t="str">
        <f>HYPERLINK("https://www.boe.es/gazeta/dias/1820/08/31/pdfs/GGB-1820-64.pdf#page=3","Abrir facsímil")</f>
        <v>Abrir facsímil</v>
      </c>
      <c r="K6198" s="3" t="s">
        <v>23</v>
      </c>
    </row>
    <row r="6199" spans="1:11" ht="42" customHeight="1">
      <c r="A6199" s="2" t="s">
        <v>12304</v>
      </c>
      <c r="B6199" s="2" t="s">
        <v>12305</v>
      </c>
      <c r="C6199" s="2" t="s">
        <v>35</v>
      </c>
      <c r="D6199" s="2" t="s">
        <v>36</v>
      </c>
      <c r="E6199" s="5">
        <v>-29190</v>
      </c>
      <c r="F6199" s="3" t="s">
        <v>537</v>
      </c>
      <c r="G6199" s="3" t="s">
        <v>201</v>
      </c>
      <c r="H6199" s="2" t="s">
        <v>21</v>
      </c>
      <c r="I6199" s="2" t="s">
        <v>12306</v>
      </c>
      <c r="J6199" s="3" t="str">
        <f>HYPERLINK("https://www.boe.es/gazeta/dias/1820/01/29/pdfs/GMD-1820-13.pdf#page=7","Abrir facsímil")</f>
        <v>Abrir facsímil</v>
      </c>
      <c r="K6199" s="3" t="s">
        <v>23</v>
      </c>
    </row>
    <row r="6200" spans="1:11" ht="42" customHeight="1">
      <c r="A6200" s="2" t="s">
        <v>12307</v>
      </c>
      <c r="B6200" s="2" t="s">
        <v>12308</v>
      </c>
      <c r="C6200" s="2" t="s">
        <v>17</v>
      </c>
      <c r="D6200" s="2" t="s">
        <v>18</v>
      </c>
      <c r="E6200" s="5">
        <v>-28900</v>
      </c>
      <c r="F6200" s="3" t="s">
        <v>878</v>
      </c>
      <c r="G6200" s="3" t="s">
        <v>20</v>
      </c>
      <c r="H6200" s="2" t="s">
        <v>21</v>
      </c>
      <c r="I6200" s="2" t="s">
        <v>12309</v>
      </c>
      <c r="J6200" s="3" t="str">
        <f>HYPERLINK("https://www.boe.es/gazeta/dias/1820/11/14/pdfs/GGB-1820-140.pdf#page=4","Abrir facsímil")</f>
        <v>Abrir facsímil</v>
      </c>
      <c r="K6200" s="3" t="s">
        <v>23</v>
      </c>
    </row>
    <row r="6201" spans="1:11" ht="42" customHeight="1">
      <c r="A6201" s="2" t="s">
        <v>12310</v>
      </c>
      <c r="B6201" s="2" t="s">
        <v>12311</v>
      </c>
      <c r="C6201" s="2" t="s">
        <v>74</v>
      </c>
      <c r="D6201" s="2" t="s">
        <v>18</v>
      </c>
      <c r="E6201" s="5">
        <v>-28946</v>
      </c>
      <c r="F6201" s="3" t="s">
        <v>1055</v>
      </c>
      <c r="G6201" s="3" t="s">
        <v>4558</v>
      </c>
      <c r="H6201" s="2" t="s">
        <v>21</v>
      </c>
      <c r="I6201" s="2" t="s">
        <v>12312</v>
      </c>
      <c r="J6201" s="3" t="str">
        <f>HYPERLINK("https://www.boe.es/gazeta/dias/1820/09/29/pdfs/GGB-1820-93.pdf#page=3","Abrir facsímil")</f>
        <v>Abrir facsímil</v>
      </c>
      <c r="K6201" s="3" t="s">
        <v>23</v>
      </c>
    </row>
    <row r="6202" spans="1:11" ht="42" customHeight="1">
      <c r="A6202" s="2" t="s">
        <v>12313</v>
      </c>
      <c r="B6202" s="2" t="s">
        <v>12314</v>
      </c>
      <c r="C6202" s="2" t="s">
        <v>35</v>
      </c>
      <c r="D6202" s="2" t="s">
        <v>36</v>
      </c>
      <c r="E6202" s="5">
        <v>-28859</v>
      </c>
      <c r="F6202" s="3" t="s">
        <v>265</v>
      </c>
      <c r="G6202" s="3" t="s">
        <v>62</v>
      </c>
      <c r="H6202" s="2" t="s">
        <v>21</v>
      </c>
      <c r="I6202" s="2" t="s">
        <v>12315</v>
      </c>
      <c r="J6202" s="3" t="str">
        <f>HYPERLINK("https://www.boe.es/gazeta/dias/1820/12/25/pdfs/GGB-1820-182.pdf#page=3","Abrir facsímil")</f>
        <v>Abrir facsímil</v>
      </c>
      <c r="K6202" s="3" t="s">
        <v>23</v>
      </c>
    </row>
    <row r="6203" spans="1:11" ht="42" customHeight="1">
      <c r="A6203" s="2" t="s">
        <v>12316</v>
      </c>
      <c r="B6203" s="2" t="s">
        <v>12317</v>
      </c>
      <c r="C6203" s="2" t="s">
        <v>111</v>
      </c>
      <c r="D6203" s="2" t="s">
        <v>18</v>
      </c>
      <c r="E6203" s="5">
        <v>-29036</v>
      </c>
      <c r="F6203" s="3" t="s">
        <v>1167</v>
      </c>
      <c r="G6203" s="3" t="s">
        <v>20</v>
      </c>
      <c r="H6203" s="2" t="s">
        <v>21</v>
      </c>
      <c r="I6203" s="2" t="s">
        <v>12318</v>
      </c>
      <c r="J6203" s="3" t="str">
        <f>HYPERLINK("https://www.boe.es/gazeta/dias/1820/07/01/pdfs/GGB-1820-1.pdf#page=4","Abrir facsímil")</f>
        <v>Abrir facsímil</v>
      </c>
      <c r="K6203" s="3" t="s">
        <v>23</v>
      </c>
    </row>
    <row r="6204" spans="1:11" ht="42" customHeight="1">
      <c r="A6204" s="2" t="s">
        <v>12319</v>
      </c>
      <c r="B6204" s="2" t="s">
        <v>12319</v>
      </c>
      <c r="C6204" s="2" t="s">
        <v>293</v>
      </c>
      <c r="D6204" s="2" t="s">
        <v>18</v>
      </c>
      <c r="E6204" s="5">
        <v>-29013</v>
      </c>
      <c r="F6204" s="3" t="s">
        <v>52</v>
      </c>
      <c r="G6204" s="3" t="s">
        <v>20</v>
      </c>
      <c r="H6204" s="2" t="s">
        <v>21</v>
      </c>
      <c r="I6204" s="2" t="s">
        <v>12320</v>
      </c>
      <c r="J6204" s="3" t="str">
        <f>HYPERLINK("https://www.boe.es/gazeta/dias/1820/07/24/pdfs/GGB-1820-26.pdf#page=4","Abrir facsímil")</f>
        <v>Abrir facsímil</v>
      </c>
      <c r="K6204" s="3" t="s">
        <v>23</v>
      </c>
    </row>
    <row r="6205" spans="1:11" ht="42" customHeight="1">
      <c r="A6205" s="2" t="s">
        <v>12319</v>
      </c>
      <c r="B6205" s="2" t="s">
        <v>12319</v>
      </c>
      <c r="C6205" s="2" t="s">
        <v>35</v>
      </c>
      <c r="D6205" s="2" t="s">
        <v>36</v>
      </c>
      <c r="E6205" s="5">
        <v>-29010</v>
      </c>
      <c r="F6205" s="3" t="s">
        <v>664</v>
      </c>
      <c r="G6205" s="3" t="s">
        <v>665</v>
      </c>
      <c r="H6205" s="2" t="s">
        <v>21</v>
      </c>
      <c r="I6205" s="2" t="s">
        <v>12321</v>
      </c>
      <c r="J6205" s="3" t="str">
        <f>HYPERLINK("https://www.boe.es/gazeta/dias/1820/07/27/pdfs/GGB-1820-29.pdf#page=2","Abrir facsímil")</f>
        <v>Abrir facsímil</v>
      </c>
      <c r="K6205" s="3" t="s">
        <v>23</v>
      </c>
    </row>
    <row r="6206" spans="1:11" ht="42" customHeight="1">
      <c r="A6206" s="2" t="s">
        <v>12319</v>
      </c>
      <c r="B6206" s="2" t="s">
        <v>12319</v>
      </c>
      <c r="C6206" s="2" t="s">
        <v>26</v>
      </c>
      <c r="D6206" s="2" t="s">
        <v>27</v>
      </c>
      <c r="E6206" s="5">
        <v>-29003</v>
      </c>
      <c r="F6206" s="3" t="s">
        <v>340</v>
      </c>
      <c r="G6206" s="3" t="s">
        <v>62</v>
      </c>
      <c r="H6206" s="2" t="s">
        <v>21</v>
      </c>
      <c r="I6206" s="2" t="s">
        <v>12322</v>
      </c>
      <c r="J6206" s="3" t="str">
        <f>HYPERLINK("https://www.boe.es/gazeta/dias/1820/08/03/pdfs/GGB-1820-36.pdf#page=3","Abrir facsímil")</f>
        <v>Abrir facsímil</v>
      </c>
      <c r="K6206" s="3" t="s">
        <v>23</v>
      </c>
    </row>
    <row r="6207" spans="1:11" ht="42" customHeight="1">
      <c r="A6207" s="2" t="s">
        <v>12319</v>
      </c>
      <c r="B6207" s="2" t="s">
        <v>12319</v>
      </c>
      <c r="C6207" s="2" t="s">
        <v>26</v>
      </c>
      <c r="D6207" s="2" t="s">
        <v>27</v>
      </c>
      <c r="E6207" s="5">
        <v>-29003</v>
      </c>
      <c r="F6207" s="3" t="s">
        <v>340</v>
      </c>
      <c r="G6207" s="3" t="s">
        <v>20</v>
      </c>
      <c r="H6207" s="2" t="s">
        <v>21</v>
      </c>
      <c r="I6207" s="2" t="s">
        <v>12323</v>
      </c>
      <c r="J6207" s="3" t="str">
        <f>HYPERLINK("https://www.boe.es/gazeta/dias/1820/08/03/pdfs/GGB-1820-36.pdf#page=4","Abrir facsímil")</f>
        <v>Abrir facsímil</v>
      </c>
      <c r="K6207" s="3" t="s">
        <v>23</v>
      </c>
    </row>
    <row r="6208" spans="1:11" ht="42" customHeight="1">
      <c r="A6208" s="2" t="s">
        <v>12319</v>
      </c>
      <c r="B6208" s="2" t="s">
        <v>12319</v>
      </c>
      <c r="C6208" s="2" t="s">
        <v>26</v>
      </c>
      <c r="D6208" s="2" t="s">
        <v>27</v>
      </c>
      <c r="E6208" s="5">
        <v>-28997</v>
      </c>
      <c r="F6208" s="3" t="s">
        <v>1471</v>
      </c>
      <c r="G6208" s="3" t="s">
        <v>43</v>
      </c>
      <c r="H6208" s="2" t="s">
        <v>21</v>
      </c>
      <c r="I6208" s="2" t="s">
        <v>12324</v>
      </c>
      <c r="J6208" s="3" t="str">
        <f>HYPERLINK("https://www.boe.es/gazeta/dias/1820/08/09/pdfs/GGB-1820-42.pdf#page=2","Abrir facsímil")</f>
        <v>Abrir facsímil</v>
      </c>
      <c r="K6208" s="3" t="s">
        <v>23</v>
      </c>
    </row>
    <row r="6209" spans="1:11" ht="42" customHeight="1">
      <c r="A6209" s="2" t="s">
        <v>12319</v>
      </c>
      <c r="B6209" s="2" t="s">
        <v>12319</v>
      </c>
      <c r="C6209" s="2" t="s">
        <v>17</v>
      </c>
      <c r="D6209" s="2" t="s">
        <v>18</v>
      </c>
      <c r="E6209" s="5">
        <v>-28995</v>
      </c>
      <c r="F6209" s="3" t="s">
        <v>672</v>
      </c>
      <c r="G6209" s="3" t="s">
        <v>62</v>
      </c>
      <c r="H6209" s="2" t="s">
        <v>21</v>
      </c>
      <c r="I6209" s="2" t="s">
        <v>12325</v>
      </c>
      <c r="J6209" s="3" t="str">
        <f>HYPERLINK("https://www.boe.es/gazeta/dias/1820/08/11/pdfs/GGB-1820-44.pdf#page=3","Abrir facsímil")</f>
        <v>Abrir facsímil</v>
      </c>
      <c r="K6209" s="3" t="s">
        <v>23</v>
      </c>
    </row>
    <row r="6210" spans="1:11" ht="42" customHeight="1">
      <c r="A6210" s="2" t="s">
        <v>12319</v>
      </c>
      <c r="B6210" s="2" t="s">
        <v>12319</v>
      </c>
      <c r="C6210" s="2" t="s">
        <v>293</v>
      </c>
      <c r="D6210" s="2" t="s">
        <v>18</v>
      </c>
      <c r="E6210" s="5">
        <v>-28995</v>
      </c>
      <c r="F6210" s="3" t="s">
        <v>672</v>
      </c>
      <c r="G6210" s="3" t="s">
        <v>20</v>
      </c>
      <c r="H6210" s="2" t="s">
        <v>21</v>
      </c>
      <c r="I6210" s="2" t="s">
        <v>12326</v>
      </c>
      <c r="J6210" s="3" t="str">
        <f>HYPERLINK("https://www.boe.es/gazeta/dias/1820/08/11/pdfs/GGB-1820-44.pdf#page=4","Abrir facsímil")</f>
        <v>Abrir facsímil</v>
      </c>
      <c r="K6210" s="3" t="s">
        <v>23</v>
      </c>
    </row>
    <row r="6211" spans="1:11" ht="42" customHeight="1">
      <c r="A6211" s="2" t="s">
        <v>12319</v>
      </c>
      <c r="B6211" s="2" t="s">
        <v>12319</v>
      </c>
      <c r="C6211" s="2" t="s">
        <v>35</v>
      </c>
      <c r="D6211" s="2" t="s">
        <v>36</v>
      </c>
      <c r="E6211" s="5">
        <v>-28994</v>
      </c>
      <c r="F6211" s="3" t="s">
        <v>1612</v>
      </c>
      <c r="G6211" s="3" t="s">
        <v>62</v>
      </c>
      <c r="H6211" s="2" t="s">
        <v>21</v>
      </c>
      <c r="I6211" s="2" t="s">
        <v>12327</v>
      </c>
      <c r="J6211" s="3" t="str">
        <f>HYPERLINK("https://www.boe.es/gazeta/dias/1820/08/12/pdfs/GGB-1820-45.pdf#page=3","Abrir facsímil")</f>
        <v>Abrir facsímil</v>
      </c>
      <c r="K6211" s="3" t="s">
        <v>23</v>
      </c>
    </row>
    <row r="6212" spans="1:11" ht="42" customHeight="1">
      <c r="A6212" s="2" t="s">
        <v>12319</v>
      </c>
      <c r="B6212" s="2" t="s">
        <v>12319</v>
      </c>
      <c r="C6212" s="2" t="s">
        <v>26</v>
      </c>
      <c r="D6212" s="2" t="s">
        <v>27</v>
      </c>
      <c r="E6212" s="5">
        <v>-28993</v>
      </c>
      <c r="F6212" s="3" t="s">
        <v>465</v>
      </c>
      <c r="G6212" s="3" t="s">
        <v>62</v>
      </c>
      <c r="H6212" s="2" t="s">
        <v>21</v>
      </c>
      <c r="I6212" s="2" t="s">
        <v>12328</v>
      </c>
      <c r="J6212" s="3" t="str">
        <f>HYPERLINK("https://www.boe.es/gazeta/dias/1820/08/13/pdfs/GGB-1820-46.pdf#page=3","Abrir facsímil")</f>
        <v>Abrir facsímil</v>
      </c>
      <c r="K6212" s="3" t="s">
        <v>23</v>
      </c>
    </row>
    <row r="6213" spans="1:11" ht="42" customHeight="1">
      <c r="A6213" s="2" t="s">
        <v>12319</v>
      </c>
      <c r="B6213" s="2" t="s">
        <v>12319</v>
      </c>
      <c r="C6213" s="2" t="s">
        <v>17</v>
      </c>
      <c r="D6213" s="2" t="s">
        <v>18</v>
      </c>
      <c r="E6213" s="5">
        <v>-28988</v>
      </c>
      <c r="F6213" s="3" t="s">
        <v>618</v>
      </c>
      <c r="G6213" s="3" t="s">
        <v>62</v>
      </c>
      <c r="H6213" s="2" t="s">
        <v>21</v>
      </c>
      <c r="I6213" s="2" t="s">
        <v>12329</v>
      </c>
      <c r="J6213" s="3" t="str">
        <f>HYPERLINK("https://www.boe.es/gazeta/dias/1820/08/18/pdfs/GGB-1820-51.pdf#page=3","Abrir facsímil")</f>
        <v>Abrir facsímil</v>
      </c>
      <c r="K6213" s="3" t="s">
        <v>23</v>
      </c>
    </row>
    <row r="6214" spans="1:11" ht="42" customHeight="1">
      <c r="A6214" s="2" t="s">
        <v>12319</v>
      </c>
      <c r="B6214" s="2" t="s">
        <v>12319</v>
      </c>
      <c r="C6214" s="2" t="s">
        <v>17</v>
      </c>
      <c r="D6214" s="2" t="s">
        <v>18</v>
      </c>
      <c r="E6214" s="5">
        <v>-28984</v>
      </c>
      <c r="F6214" s="3" t="s">
        <v>520</v>
      </c>
      <c r="G6214" s="3" t="s">
        <v>62</v>
      </c>
      <c r="H6214" s="2" t="s">
        <v>21</v>
      </c>
      <c r="I6214" s="2" t="s">
        <v>12330</v>
      </c>
      <c r="J6214" s="3" t="str">
        <f>HYPERLINK("https://www.boe.es/gazeta/dias/1820/08/22/pdfs/GGB-1820-55.pdf#page=3","Abrir facsímil")</f>
        <v>Abrir facsímil</v>
      </c>
      <c r="K6214" s="3" t="s">
        <v>23</v>
      </c>
    </row>
    <row r="6215" spans="1:11" ht="42" customHeight="1">
      <c r="A6215" s="2" t="s">
        <v>12319</v>
      </c>
      <c r="B6215" s="2" t="s">
        <v>12319</v>
      </c>
      <c r="C6215" s="2" t="s">
        <v>74</v>
      </c>
      <c r="D6215" s="2" t="s">
        <v>18</v>
      </c>
      <c r="E6215" s="5">
        <v>-28984</v>
      </c>
      <c r="F6215" s="3" t="s">
        <v>520</v>
      </c>
      <c r="G6215" s="3" t="s">
        <v>20</v>
      </c>
      <c r="H6215" s="2" t="s">
        <v>21</v>
      </c>
      <c r="I6215" s="2" t="s">
        <v>12331</v>
      </c>
      <c r="J6215" s="3" t="str">
        <f>HYPERLINK("https://www.boe.es/gazeta/dias/1820/08/22/pdfs/GGB-1820-55.pdf#page=4","Abrir facsímil")</f>
        <v>Abrir facsímil</v>
      </c>
      <c r="K6215" s="3" t="s">
        <v>23</v>
      </c>
    </row>
    <row r="6216" spans="1:11" ht="42" customHeight="1">
      <c r="A6216" s="2" t="s">
        <v>12319</v>
      </c>
      <c r="B6216" s="2" t="s">
        <v>12319</v>
      </c>
      <c r="C6216" s="2" t="s">
        <v>293</v>
      </c>
      <c r="D6216" s="2" t="s">
        <v>18</v>
      </c>
      <c r="E6216" s="5">
        <v>-28981</v>
      </c>
      <c r="F6216" s="3" t="s">
        <v>42</v>
      </c>
      <c r="G6216" s="3" t="s">
        <v>62</v>
      </c>
      <c r="H6216" s="2" t="s">
        <v>21</v>
      </c>
      <c r="I6216" s="2" t="s">
        <v>12332</v>
      </c>
      <c r="J6216" s="3" t="str">
        <f>HYPERLINK("https://www.boe.es/gazeta/dias/1820/08/25/pdfs/GGB-1820-58.pdf#page=3","Abrir facsímil")</f>
        <v>Abrir facsímil</v>
      </c>
      <c r="K6216" s="3" t="s">
        <v>23</v>
      </c>
    </row>
    <row r="6217" spans="1:11" ht="42" customHeight="1">
      <c r="A6217" s="2" t="s">
        <v>12319</v>
      </c>
      <c r="B6217" s="2" t="s">
        <v>12319</v>
      </c>
      <c r="C6217" s="2" t="s">
        <v>47</v>
      </c>
      <c r="D6217" s="2" t="s">
        <v>18</v>
      </c>
      <c r="E6217" s="5">
        <v>-28977</v>
      </c>
      <c r="F6217" s="3" t="s">
        <v>687</v>
      </c>
      <c r="G6217" s="3" t="s">
        <v>20</v>
      </c>
      <c r="H6217" s="2" t="s">
        <v>21</v>
      </c>
      <c r="I6217" s="2" t="s">
        <v>12333</v>
      </c>
      <c r="J6217" s="3" t="str">
        <f>HYPERLINK("https://www.boe.es/gazeta/dias/1820/08/29/pdfs/GGB-1820-62.pdf#page=4","Abrir facsímil")</f>
        <v>Abrir facsímil</v>
      </c>
      <c r="K6217" s="3" t="s">
        <v>23</v>
      </c>
    </row>
    <row r="6218" spans="1:11" ht="42" customHeight="1">
      <c r="A6218" s="2" t="s">
        <v>12319</v>
      </c>
      <c r="B6218" s="2" t="s">
        <v>12319</v>
      </c>
      <c r="C6218" s="2" t="s">
        <v>17</v>
      </c>
      <c r="D6218" s="2" t="s">
        <v>18</v>
      </c>
      <c r="E6218" s="5">
        <v>-28968</v>
      </c>
      <c r="F6218" s="3" t="s">
        <v>66</v>
      </c>
      <c r="G6218" s="3" t="s">
        <v>403</v>
      </c>
      <c r="H6218" s="2" t="s">
        <v>21</v>
      </c>
      <c r="I6218" s="2" t="s">
        <v>12334</v>
      </c>
      <c r="J6218" s="3" t="str">
        <f>HYPERLINK("https://www.boe.es/gazeta/dias/1820/09/07/pdfs/GGB-1820-71.pdf#page=4","Abrir facsímil")</f>
        <v>Abrir facsímil</v>
      </c>
      <c r="K6218" s="3" t="s">
        <v>23</v>
      </c>
    </row>
    <row r="6219" spans="1:11" ht="42" customHeight="1">
      <c r="A6219" s="2" t="s">
        <v>12319</v>
      </c>
      <c r="B6219" s="2" t="s">
        <v>12319</v>
      </c>
      <c r="C6219" s="2" t="s">
        <v>17</v>
      </c>
      <c r="D6219" s="2" t="s">
        <v>18</v>
      </c>
      <c r="E6219" s="5">
        <v>-28965</v>
      </c>
      <c r="F6219" s="3" t="s">
        <v>1520</v>
      </c>
      <c r="G6219" s="3" t="s">
        <v>62</v>
      </c>
      <c r="H6219" s="2" t="s">
        <v>21</v>
      </c>
      <c r="I6219" s="2" t="s">
        <v>12335</v>
      </c>
      <c r="J6219" s="3" t="str">
        <f>HYPERLINK("https://www.boe.es/gazeta/dias/1820/09/10/pdfs/GGB-1820-74.pdf#page=3","Abrir facsímil")</f>
        <v>Abrir facsímil</v>
      </c>
      <c r="K6219" s="3" t="s">
        <v>23</v>
      </c>
    </row>
    <row r="6220" spans="1:11" ht="42" customHeight="1">
      <c r="A6220" s="2" t="s">
        <v>12319</v>
      </c>
      <c r="B6220" s="2" t="s">
        <v>12319</v>
      </c>
      <c r="C6220" s="2" t="s">
        <v>26</v>
      </c>
      <c r="D6220" s="2" t="s">
        <v>27</v>
      </c>
      <c r="E6220" s="5">
        <v>-28963</v>
      </c>
      <c r="F6220" s="3" t="s">
        <v>94</v>
      </c>
      <c r="G6220" s="3" t="s">
        <v>62</v>
      </c>
      <c r="H6220" s="2" t="s">
        <v>21</v>
      </c>
      <c r="I6220" s="2" t="s">
        <v>12336</v>
      </c>
      <c r="J6220" s="3" t="str">
        <f>HYPERLINK("https://www.boe.es/gazeta/dias/1820/09/12/pdfs/GGB-1820-76.pdf#page=3","Abrir facsímil")</f>
        <v>Abrir facsímil</v>
      </c>
      <c r="K6220" s="3" t="s">
        <v>23</v>
      </c>
    </row>
    <row r="6221" spans="1:11" ht="42" customHeight="1">
      <c r="A6221" s="2" t="s">
        <v>12319</v>
      </c>
      <c r="B6221" s="2" t="s">
        <v>12319</v>
      </c>
      <c r="C6221" s="2" t="s">
        <v>26</v>
      </c>
      <c r="D6221" s="2" t="s">
        <v>27</v>
      </c>
      <c r="E6221" s="5">
        <v>-28962</v>
      </c>
      <c r="F6221" s="3" t="s">
        <v>90</v>
      </c>
      <c r="G6221" s="3" t="s">
        <v>62</v>
      </c>
      <c r="H6221" s="2" t="s">
        <v>21</v>
      </c>
      <c r="I6221" s="2" t="s">
        <v>12337</v>
      </c>
      <c r="J6221" s="3" t="str">
        <f>HYPERLINK("https://www.boe.es/gazeta/dias/1820/09/13/pdfs/GGB-1820-77.pdf#page=3","Abrir facsímil")</f>
        <v>Abrir facsímil</v>
      </c>
      <c r="K6221" s="3" t="s">
        <v>23</v>
      </c>
    </row>
    <row r="6222" spans="1:11" ht="42" customHeight="1">
      <c r="A6222" s="2" t="s">
        <v>12319</v>
      </c>
      <c r="B6222" s="2" t="s">
        <v>12319</v>
      </c>
      <c r="C6222" s="2" t="s">
        <v>26</v>
      </c>
      <c r="D6222" s="2" t="s">
        <v>27</v>
      </c>
      <c r="E6222" s="5">
        <v>-28961</v>
      </c>
      <c r="F6222" s="3" t="s">
        <v>242</v>
      </c>
      <c r="G6222" s="3" t="s">
        <v>43</v>
      </c>
      <c r="H6222" s="2" t="s">
        <v>21</v>
      </c>
      <c r="I6222" s="2" t="s">
        <v>12338</v>
      </c>
      <c r="J6222" s="3" t="str">
        <f>HYPERLINK("https://www.boe.es/gazeta/dias/1820/09/14/pdfs/GGB-1820-78.pdf#page=2","Abrir facsímil")</f>
        <v>Abrir facsímil</v>
      </c>
      <c r="K6222" s="3" t="s">
        <v>23</v>
      </c>
    </row>
    <row r="6223" spans="1:11" ht="42" customHeight="1">
      <c r="A6223" s="2" t="s">
        <v>12319</v>
      </c>
      <c r="B6223" s="2" t="s">
        <v>12319</v>
      </c>
      <c r="C6223" s="2" t="s">
        <v>35</v>
      </c>
      <c r="D6223" s="2" t="s">
        <v>36</v>
      </c>
      <c r="E6223" s="5">
        <v>-28961</v>
      </c>
      <c r="F6223" s="3" t="s">
        <v>242</v>
      </c>
      <c r="G6223" s="3" t="s">
        <v>62</v>
      </c>
      <c r="H6223" s="2" t="s">
        <v>21</v>
      </c>
      <c r="I6223" s="2" t="s">
        <v>12339</v>
      </c>
      <c r="J6223" s="3" t="str">
        <f>HYPERLINK("https://www.boe.es/gazeta/dias/1820/09/14/pdfs/GGB-1820-78.pdf#page=3","Abrir facsímil")</f>
        <v>Abrir facsímil</v>
      </c>
      <c r="K6223" s="3" t="s">
        <v>23</v>
      </c>
    </row>
    <row r="6224" spans="1:11" ht="42" customHeight="1">
      <c r="A6224" s="2" t="s">
        <v>12319</v>
      </c>
      <c r="B6224" s="2" t="s">
        <v>12319</v>
      </c>
      <c r="C6224" s="2" t="s">
        <v>74</v>
      </c>
      <c r="D6224" s="2" t="s">
        <v>18</v>
      </c>
      <c r="E6224" s="5">
        <v>-28955</v>
      </c>
      <c r="F6224" s="3" t="s">
        <v>175</v>
      </c>
      <c r="G6224" s="3" t="s">
        <v>62</v>
      </c>
      <c r="H6224" s="2" t="s">
        <v>21</v>
      </c>
      <c r="I6224" s="2" t="s">
        <v>12340</v>
      </c>
      <c r="J6224" s="3" t="str">
        <f>HYPERLINK("https://www.boe.es/gazeta/dias/1820/09/20/pdfs/GGB-1820-84.pdf#page=3","Abrir facsímil")</f>
        <v>Abrir facsímil</v>
      </c>
      <c r="K6224" s="3" t="s">
        <v>23</v>
      </c>
    </row>
    <row r="6225" spans="1:11" ht="42" customHeight="1">
      <c r="A6225" s="2" t="s">
        <v>12319</v>
      </c>
      <c r="B6225" s="2" t="s">
        <v>12319</v>
      </c>
      <c r="C6225" s="2" t="s">
        <v>35</v>
      </c>
      <c r="D6225" s="2" t="s">
        <v>36</v>
      </c>
      <c r="E6225" s="5">
        <v>-28952</v>
      </c>
      <c r="F6225" s="3" t="s">
        <v>370</v>
      </c>
      <c r="G6225" s="3" t="s">
        <v>43</v>
      </c>
      <c r="H6225" s="2" t="s">
        <v>21</v>
      </c>
      <c r="I6225" s="2" t="s">
        <v>12341</v>
      </c>
      <c r="J6225" s="3" t="str">
        <f>HYPERLINK("https://www.boe.es/gazeta/dias/1820/09/23/pdfs/GGB-1820-87.pdf#page=2","Abrir facsímil")</f>
        <v>Abrir facsímil</v>
      </c>
      <c r="K6225" s="3" t="s">
        <v>23</v>
      </c>
    </row>
    <row r="6226" spans="1:11" ht="42" customHeight="1">
      <c r="A6226" s="2" t="s">
        <v>12319</v>
      </c>
      <c r="B6226" s="2" t="s">
        <v>12319</v>
      </c>
      <c r="C6226" s="2" t="s">
        <v>35</v>
      </c>
      <c r="D6226" s="2" t="s">
        <v>36</v>
      </c>
      <c r="E6226" s="5">
        <v>-28951</v>
      </c>
      <c r="F6226" s="3" t="s">
        <v>622</v>
      </c>
      <c r="G6226" s="3" t="s">
        <v>62</v>
      </c>
      <c r="H6226" s="2" t="s">
        <v>21</v>
      </c>
      <c r="I6226" s="2" t="s">
        <v>12342</v>
      </c>
      <c r="J6226" s="3" t="str">
        <f>HYPERLINK("https://www.boe.es/gazeta/dias/1820/09/24/pdfs/GGB-1820-88.pdf#page=3","Abrir facsímil")</f>
        <v>Abrir facsímil</v>
      </c>
      <c r="K6226" s="3" t="s">
        <v>23</v>
      </c>
    </row>
    <row r="6227" spans="1:11" ht="42" customHeight="1">
      <c r="A6227" s="2" t="s">
        <v>12319</v>
      </c>
      <c r="B6227" s="2" t="s">
        <v>12319</v>
      </c>
      <c r="C6227" s="2" t="s">
        <v>26</v>
      </c>
      <c r="D6227" s="2" t="s">
        <v>27</v>
      </c>
      <c r="E6227" s="5">
        <v>-28949</v>
      </c>
      <c r="F6227" s="3" t="s">
        <v>178</v>
      </c>
      <c r="G6227" s="3" t="s">
        <v>43</v>
      </c>
      <c r="H6227" s="2" t="s">
        <v>21</v>
      </c>
      <c r="I6227" s="2" t="s">
        <v>12343</v>
      </c>
      <c r="J6227" s="3" t="str">
        <f>HYPERLINK("https://www.boe.es/gazeta/dias/1820/09/26/pdfs/GGB-1820-90.pdf#page=2","Abrir facsímil")</f>
        <v>Abrir facsímil</v>
      </c>
      <c r="K6227" s="3" t="s">
        <v>23</v>
      </c>
    </row>
    <row r="6228" spans="1:11" ht="42" customHeight="1">
      <c r="A6228" s="2" t="s">
        <v>12319</v>
      </c>
      <c r="B6228" s="2" t="s">
        <v>12319</v>
      </c>
      <c r="C6228" s="2" t="s">
        <v>111</v>
      </c>
      <c r="D6228" s="2" t="s">
        <v>18</v>
      </c>
      <c r="E6228" s="5">
        <v>-28949</v>
      </c>
      <c r="F6228" s="3" t="s">
        <v>178</v>
      </c>
      <c r="G6228" s="3" t="s">
        <v>62</v>
      </c>
      <c r="H6228" s="2" t="s">
        <v>21</v>
      </c>
      <c r="I6228" s="2" t="s">
        <v>12344</v>
      </c>
      <c r="J6228" s="3" t="str">
        <f>HYPERLINK("https://www.boe.es/gazeta/dias/1820/09/26/pdfs/GGB-1820-90.pdf#page=3","Abrir facsímil")</f>
        <v>Abrir facsímil</v>
      </c>
      <c r="K6228" s="3" t="s">
        <v>23</v>
      </c>
    </row>
    <row r="6229" spans="1:11" ht="42" customHeight="1">
      <c r="A6229" s="2" t="s">
        <v>12319</v>
      </c>
      <c r="B6229" s="2" t="s">
        <v>12319</v>
      </c>
      <c r="C6229" s="2" t="s">
        <v>35</v>
      </c>
      <c r="D6229" s="2" t="s">
        <v>36</v>
      </c>
      <c r="E6229" s="5">
        <v>-28946</v>
      </c>
      <c r="F6229" s="3" t="s">
        <v>1055</v>
      </c>
      <c r="G6229" s="3" t="s">
        <v>4558</v>
      </c>
      <c r="H6229" s="2" t="s">
        <v>21</v>
      </c>
      <c r="I6229" s="2" t="s">
        <v>12345</v>
      </c>
      <c r="J6229" s="3" t="str">
        <f>HYPERLINK("https://www.boe.es/gazeta/dias/1820/09/29/pdfs/GGB-1820-93.pdf#page=3","Abrir facsímil")</f>
        <v>Abrir facsímil</v>
      </c>
      <c r="K6229" s="3" t="s">
        <v>23</v>
      </c>
    </row>
    <row r="6230" spans="1:11" ht="42" customHeight="1">
      <c r="A6230" s="2" t="s">
        <v>12319</v>
      </c>
      <c r="B6230" s="2" t="s">
        <v>12319</v>
      </c>
      <c r="C6230" s="2" t="s">
        <v>293</v>
      </c>
      <c r="D6230" s="2" t="s">
        <v>18</v>
      </c>
      <c r="E6230" s="5">
        <v>-28943</v>
      </c>
      <c r="F6230" s="3" t="s">
        <v>1403</v>
      </c>
      <c r="G6230" s="3" t="s">
        <v>1710</v>
      </c>
      <c r="H6230" s="2" t="s">
        <v>21</v>
      </c>
      <c r="I6230" s="2" t="s">
        <v>12346</v>
      </c>
      <c r="J6230" s="3" t="str">
        <f>HYPERLINK("https://www.boe.es/gazeta/dias/1820/10/02/pdfs/GGB-1820-96.pdf#page=4","Abrir facsímil")</f>
        <v>Abrir facsímil</v>
      </c>
      <c r="K6230" s="3" t="s">
        <v>23</v>
      </c>
    </row>
    <row r="6231" spans="1:11" ht="42" customHeight="1">
      <c r="A6231" s="2" t="s">
        <v>12319</v>
      </c>
      <c r="B6231" s="2" t="s">
        <v>12319</v>
      </c>
      <c r="C6231" s="2" t="s">
        <v>26</v>
      </c>
      <c r="D6231" s="2" t="s">
        <v>27</v>
      </c>
      <c r="E6231" s="5">
        <v>-28942</v>
      </c>
      <c r="F6231" s="3" t="s">
        <v>244</v>
      </c>
      <c r="G6231" s="3" t="s">
        <v>43</v>
      </c>
      <c r="H6231" s="2" t="s">
        <v>21</v>
      </c>
      <c r="I6231" s="2" t="s">
        <v>12347</v>
      </c>
      <c r="J6231" s="3" t="str">
        <f>HYPERLINK("https://www.boe.es/gazeta/dias/1820/10/03/pdfs/GGB-1820-97.pdf#page=2","Abrir facsímil")</f>
        <v>Abrir facsímil</v>
      </c>
      <c r="K6231" s="3" t="s">
        <v>23</v>
      </c>
    </row>
    <row r="6232" spans="1:11" ht="42" customHeight="1">
      <c r="A6232" s="2" t="s">
        <v>12319</v>
      </c>
      <c r="B6232" s="2" t="s">
        <v>12319</v>
      </c>
      <c r="C6232" s="2" t="s">
        <v>26</v>
      </c>
      <c r="D6232" s="2" t="s">
        <v>27</v>
      </c>
      <c r="E6232" s="5">
        <v>-28942</v>
      </c>
      <c r="F6232" s="3" t="s">
        <v>244</v>
      </c>
      <c r="G6232" s="3" t="s">
        <v>62</v>
      </c>
      <c r="H6232" s="2" t="s">
        <v>21</v>
      </c>
      <c r="I6232" s="2" t="s">
        <v>12348</v>
      </c>
      <c r="J6232" s="3" t="str">
        <f>HYPERLINK("https://www.boe.es/gazeta/dias/1820/10/03/pdfs/GGB-1820-97.pdf#page=3","Abrir facsímil")</f>
        <v>Abrir facsímil</v>
      </c>
      <c r="K6232" s="3" t="s">
        <v>23</v>
      </c>
    </row>
    <row r="6233" spans="1:11" ht="42" customHeight="1">
      <c r="A6233" s="2" t="s">
        <v>12319</v>
      </c>
      <c r="B6233" s="2" t="s">
        <v>12319</v>
      </c>
      <c r="C6233" s="2" t="s">
        <v>74</v>
      </c>
      <c r="D6233" s="2" t="s">
        <v>18</v>
      </c>
      <c r="E6233" s="5">
        <v>-28936</v>
      </c>
      <c r="F6233" s="3" t="s">
        <v>167</v>
      </c>
      <c r="G6233" s="3" t="s">
        <v>43</v>
      </c>
      <c r="H6233" s="2" t="s">
        <v>21</v>
      </c>
      <c r="I6233" s="2" t="s">
        <v>12349</v>
      </c>
      <c r="J6233" s="3" t="str">
        <f>HYPERLINK("https://www.boe.es/gazeta/dias/1820/10/09/pdfs/GGB-1820-103.pdf#page=2","Abrir facsímil")</f>
        <v>Abrir facsímil</v>
      </c>
      <c r="K6233" s="3" t="s">
        <v>23</v>
      </c>
    </row>
    <row r="6234" spans="1:11" ht="42" customHeight="1">
      <c r="A6234" s="2" t="s">
        <v>12319</v>
      </c>
      <c r="B6234" s="2" t="s">
        <v>12319</v>
      </c>
      <c r="C6234" s="2" t="s">
        <v>35</v>
      </c>
      <c r="D6234" s="2" t="s">
        <v>36</v>
      </c>
      <c r="E6234" s="5">
        <v>-28935</v>
      </c>
      <c r="F6234" s="3" t="s">
        <v>2464</v>
      </c>
      <c r="G6234" s="3" t="s">
        <v>62</v>
      </c>
      <c r="H6234" s="2" t="s">
        <v>21</v>
      </c>
      <c r="I6234" s="2" t="s">
        <v>12350</v>
      </c>
      <c r="J6234" s="3" t="str">
        <f>HYPERLINK("https://www.boe.es/gazeta/dias/1820/10/10/pdfs/GGB-1820-104.pdf#page=3","Abrir facsímil")</f>
        <v>Abrir facsímil</v>
      </c>
      <c r="K6234" s="3" t="s">
        <v>23</v>
      </c>
    </row>
    <row r="6235" spans="1:11" ht="42" customHeight="1">
      <c r="A6235" s="2" t="s">
        <v>12319</v>
      </c>
      <c r="B6235" s="2" t="s">
        <v>12319</v>
      </c>
      <c r="C6235" s="2" t="s">
        <v>26</v>
      </c>
      <c r="D6235" s="2" t="s">
        <v>27</v>
      </c>
      <c r="E6235" s="5">
        <v>-28931</v>
      </c>
      <c r="F6235" s="3" t="s">
        <v>724</v>
      </c>
      <c r="G6235" s="3" t="s">
        <v>725</v>
      </c>
      <c r="H6235" s="2" t="s">
        <v>21</v>
      </c>
      <c r="I6235" s="2" t="s">
        <v>12351</v>
      </c>
      <c r="J6235" s="3" t="str">
        <f>HYPERLINK("https://www.boe.es/gazeta/dias/1820/10/14/pdfs/GGB-1820-108.pdf#page=3","Abrir facsímil")</f>
        <v>Abrir facsímil</v>
      </c>
      <c r="K6235" s="3" t="s">
        <v>23</v>
      </c>
    </row>
    <row r="6236" spans="1:11" ht="42" customHeight="1">
      <c r="A6236" s="2" t="s">
        <v>12319</v>
      </c>
      <c r="B6236" s="2" t="s">
        <v>12319</v>
      </c>
      <c r="C6236" s="2" t="s">
        <v>35</v>
      </c>
      <c r="D6236" s="2" t="s">
        <v>36</v>
      </c>
      <c r="E6236" s="5">
        <v>-28926</v>
      </c>
      <c r="F6236" s="3" t="s">
        <v>597</v>
      </c>
      <c r="G6236" s="3" t="s">
        <v>43</v>
      </c>
      <c r="H6236" s="2" t="s">
        <v>21</v>
      </c>
      <c r="I6236" s="2" t="s">
        <v>12352</v>
      </c>
      <c r="J6236" s="3" t="str">
        <f>HYPERLINK("https://www.boe.es/gazeta/dias/1820/10/19/pdfs/GGB-1820-113.pdf#page=2","Abrir facsímil")</f>
        <v>Abrir facsímil</v>
      </c>
      <c r="K6236" s="3" t="s">
        <v>23</v>
      </c>
    </row>
    <row r="6237" spans="1:11" ht="42" customHeight="1">
      <c r="A6237" s="2" t="s">
        <v>12319</v>
      </c>
      <c r="B6237" s="2" t="s">
        <v>12319</v>
      </c>
      <c r="C6237" s="2" t="s">
        <v>26</v>
      </c>
      <c r="D6237" s="2" t="s">
        <v>27</v>
      </c>
      <c r="E6237" s="5">
        <v>-28925</v>
      </c>
      <c r="F6237" s="3" t="s">
        <v>228</v>
      </c>
      <c r="G6237" s="3" t="s">
        <v>128</v>
      </c>
      <c r="H6237" s="2" t="s">
        <v>21</v>
      </c>
      <c r="I6237" s="2" t="s">
        <v>12353</v>
      </c>
      <c r="J6237" s="3" t="str">
        <f>HYPERLINK("https://www.boe.es/gazeta/dias/1820/10/20/pdfs/GGB-1820-114.pdf#page=1","Abrir facsímil")</f>
        <v>Abrir facsímil</v>
      </c>
      <c r="K6237" s="3" t="s">
        <v>23</v>
      </c>
    </row>
    <row r="6238" spans="1:11" ht="42" customHeight="1">
      <c r="A6238" s="2" t="s">
        <v>12319</v>
      </c>
      <c r="B6238" s="2" t="s">
        <v>12319</v>
      </c>
      <c r="C6238" s="2" t="s">
        <v>35</v>
      </c>
      <c r="D6238" s="2" t="s">
        <v>36</v>
      </c>
      <c r="E6238" s="5">
        <v>-28925</v>
      </c>
      <c r="F6238" s="3" t="s">
        <v>228</v>
      </c>
      <c r="G6238" s="3" t="s">
        <v>20</v>
      </c>
      <c r="H6238" s="2" t="s">
        <v>21</v>
      </c>
      <c r="I6238" s="2" t="s">
        <v>12354</v>
      </c>
      <c r="J6238" s="3" t="str">
        <f>HYPERLINK("https://www.boe.es/gazeta/dias/1820/10/20/pdfs/GGB-1820-114.pdf#page=4","Abrir facsímil")</f>
        <v>Abrir facsímil</v>
      </c>
      <c r="K6238" s="3" t="s">
        <v>23</v>
      </c>
    </row>
    <row r="6239" spans="1:11" ht="42" customHeight="1">
      <c r="A6239" s="2" t="s">
        <v>12319</v>
      </c>
      <c r="B6239" s="2" t="s">
        <v>12319</v>
      </c>
      <c r="C6239" s="2" t="s">
        <v>26</v>
      </c>
      <c r="D6239" s="2" t="s">
        <v>27</v>
      </c>
      <c r="E6239" s="5">
        <v>-28919</v>
      </c>
      <c r="F6239" s="3" t="s">
        <v>516</v>
      </c>
      <c r="G6239" s="3" t="s">
        <v>20</v>
      </c>
      <c r="H6239" s="2" t="s">
        <v>21</v>
      </c>
      <c r="I6239" s="2" t="s">
        <v>12355</v>
      </c>
      <c r="J6239" s="3" t="str">
        <f>HYPERLINK("https://www.boe.es/gazeta/dias/1820/10/26/pdfs/GGB-1820-120.pdf#page=4","Abrir facsímil")</f>
        <v>Abrir facsímil</v>
      </c>
      <c r="K6239" s="3" t="s">
        <v>23</v>
      </c>
    </row>
    <row r="6240" spans="1:11" ht="42" customHeight="1">
      <c r="A6240" s="2" t="s">
        <v>12319</v>
      </c>
      <c r="B6240" s="2" t="s">
        <v>12319</v>
      </c>
      <c r="C6240" s="2" t="s">
        <v>74</v>
      </c>
      <c r="D6240" s="2" t="s">
        <v>18</v>
      </c>
      <c r="E6240" s="5">
        <v>-28915</v>
      </c>
      <c r="F6240" s="3" t="s">
        <v>525</v>
      </c>
      <c r="G6240" s="3" t="s">
        <v>62</v>
      </c>
      <c r="H6240" s="2" t="s">
        <v>21</v>
      </c>
      <c r="I6240" s="2" t="s">
        <v>12356</v>
      </c>
      <c r="J6240" s="3" t="str">
        <f>HYPERLINK("https://www.boe.es/gazeta/dias/1820/10/30/pdfs/GGB-1820-124.pdf#page=3","Abrir facsímil")</f>
        <v>Abrir facsímil</v>
      </c>
      <c r="K6240" s="3" t="s">
        <v>23</v>
      </c>
    </row>
    <row r="6241" spans="1:11" ht="42" customHeight="1">
      <c r="A6241" s="2" t="s">
        <v>12319</v>
      </c>
      <c r="B6241" s="2" t="s">
        <v>12319</v>
      </c>
      <c r="C6241" s="2" t="s">
        <v>17</v>
      </c>
      <c r="D6241" s="2" t="s">
        <v>18</v>
      </c>
      <c r="E6241" s="5">
        <v>-28911</v>
      </c>
      <c r="F6241" s="3" t="s">
        <v>82</v>
      </c>
      <c r="G6241" s="3" t="s">
        <v>62</v>
      </c>
      <c r="H6241" s="2" t="s">
        <v>21</v>
      </c>
      <c r="I6241" s="2" t="s">
        <v>12357</v>
      </c>
      <c r="J6241" s="3" t="str">
        <f>HYPERLINK("https://www.boe.es/gazeta/dias/1820/11/03/pdfs/GGB-1820-128.pdf#page=3","Abrir facsímil")</f>
        <v>Abrir facsímil</v>
      </c>
      <c r="K6241" s="3" t="s">
        <v>23</v>
      </c>
    </row>
    <row r="6242" spans="1:11" ht="42" customHeight="1">
      <c r="A6242" s="2" t="s">
        <v>12319</v>
      </c>
      <c r="B6242" s="2" t="s">
        <v>12319</v>
      </c>
      <c r="C6242" s="2" t="s">
        <v>17</v>
      </c>
      <c r="D6242" s="2" t="s">
        <v>18</v>
      </c>
      <c r="E6242" s="5">
        <v>-28911</v>
      </c>
      <c r="F6242" s="3" t="s">
        <v>82</v>
      </c>
      <c r="G6242" s="3" t="s">
        <v>20</v>
      </c>
      <c r="H6242" s="2" t="s">
        <v>21</v>
      </c>
      <c r="I6242" s="2" t="s">
        <v>12358</v>
      </c>
      <c r="J6242" s="3" t="str">
        <f>HYPERLINK("https://www.boe.es/gazeta/dias/1820/11/03/pdfs/GGB-1820-128.pdf#page=4","Abrir facsímil")</f>
        <v>Abrir facsímil</v>
      </c>
      <c r="K6242" s="3" t="s">
        <v>23</v>
      </c>
    </row>
    <row r="6243" spans="1:11" ht="42" customHeight="1">
      <c r="A6243" s="2" t="s">
        <v>12319</v>
      </c>
      <c r="B6243" s="2" t="s">
        <v>12319</v>
      </c>
      <c r="C6243" s="2" t="s">
        <v>35</v>
      </c>
      <c r="D6243" s="2" t="s">
        <v>36</v>
      </c>
      <c r="E6243" s="5">
        <v>-28910</v>
      </c>
      <c r="F6243" s="3" t="s">
        <v>746</v>
      </c>
      <c r="G6243" s="3" t="s">
        <v>62</v>
      </c>
      <c r="H6243" s="2" t="s">
        <v>21</v>
      </c>
      <c r="I6243" s="2" t="s">
        <v>12359</v>
      </c>
      <c r="J6243" s="3" t="str">
        <f>HYPERLINK("https://www.boe.es/gazeta/dias/1820/11/04/pdfs/GGB-1820-129.pdf#page=3","Abrir facsímil")</f>
        <v>Abrir facsímil</v>
      </c>
      <c r="K6243" s="3" t="s">
        <v>23</v>
      </c>
    </row>
    <row r="6244" spans="1:11" ht="42" customHeight="1">
      <c r="A6244" s="2" t="s">
        <v>12360</v>
      </c>
      <c r="B6244" s="2" t="s">
        <v>12361</v>
      </c>
      <c r="C6244" s="2" t="s">
        <v>26</v>
      </c>
      <c r="D6244" s="2" t="s">
        <v>310</v>
      </c>
      <c r="E6244" s="5">
        <v>-29150</v>
      </c>
      <c r="F6244" s="3" t="s">
        <v>4978</v>
      </c>
      <c r="G6244" s="3" t="s">
        <v>128</v>
      </c>
      <c r="H6244" s="2" t="s">
        <v>21</v>
      </c>
      <c r="I6244" s="2" t="s">
        <v>12362</v>
      </c>
      <c r="J6244" s="3" t="str">
        <f>HYPERLINK("https://www.boe.es/gazeta/dias/1820/03/09/pdfs/GMD-1820-34E.pdf#page=1","Abrir facsímil")</f>
        <v>Abrir facsímil</v>
      </c>
      <c r="K6244" s="3" t="s">
        <v>23</v>
      </c>
    </row>
    <row r="6245" spans="1:11" ht="42" customHeight="1">
      <c r="A6245" s="2" t="s">
        <v>12360</v>
      </c>
      <c r="B6245" s="2" t="s">
        <v>12361</v>
      </c>
      <c r="C6245" s="2" t="s">
        <v>35</v>
      </c>
      <c r="D6245" s="2" t="s">
        <v>36</v>
      </c>
      <c r="E6245" s="5">
        <v>-29143</v>
      </c>
      <c r="F6245" s="3" t="s">
        <v>334</v>
      </c>
      <c r="G6245" s="3" t="s">
        <v>38</v>
      </c>
      <c r="H6245" s="2" t="s">
        <v>21</v>
      </c>
      <c r="I6245" s="2" t="s">
        <v>12363</v>
      </c>
      <c r="J6245" s="3" t="str">
        <f>HYPERLINK("https://www.boe.es/gazeta/dias/1820/03/16/pdfs/GMD-1820-42.pdf#page=6","Abrir facsímil")</f>
        <v>Abrir facsímil</v>
      </c>
      <c r="K6245" s="3" t="s">
        <v>23</v>
      </c>
    </row>
    <row r="6246" spans="1:11" ht="42" customHeight="1">
      <c r="A6246" s="2" t="s">
        <v>12360</v>
      </c>
      <c r="B6246" s="2" t="s">
        <v>12361</v>
      </c>
      <c r="C6246" s="2" t="s">
        <v>35</v>
      </c>
      <c r="D6246" s="2" t="s">
        <v>36</v>
      </c>
      <c r="E6246" s="5">
        <v>-28899</v>
      </c>
      <c r="F6246" s="3" t="s">
        <v>285</v>
      </c>
      <c r="G6246" s="3" t="s">
        <v>20</v>
      </c>
      <c r="H6246" s="2" t="s">
        <v>21</v>
      </c>
      <c r="I6246" s="2" t="s">
        <v>12364</v>
      </c>
      <c r="J6246" s="3" t="str">
        <f>HYPERLINK("https://www.boe.es/gazeta/dias/1820/11/15/pdfs/GGB-1820-141.pdf#page=4","Abrir facsímil")</f>
        <v>Abrir facsímil</v>
      </c>
      <c r="K6246" s="3" t="s">
        <v>23</v>
      </c>
    </row>
    <row r="6247" spans="1:11" ht="42" customHeight="1">
      <c r="A6247" s="2" t="s">
        <v>12365</v>
      </c>
      <c r="B6247" s="2" t="s">
        <v>12365</v>
      </c>
      <c r="C6247" s="2" t="s">
        <v>74</v>
      </c>
      <c r="D6247" s="2" t="s">
        <v>18</v>
      </c>
      <c r="E6247" s="5">
        <v>-29025</v>
      </c>
      <c r="F6247" s="3" t="s">
        <v>902</v>
      </c>
      <c r="G6247" s="3" t="s">
        <v>62</v>
      </c>
      <c r="H6247" s="2" t="s">
        <v>21</v>
      </c>
      <c r="I6247" s="2" t="s">
        <v>12366</v>
      </c>
      <c r="J6247" s="3" t="str">
        <f>HYPERLINK("https://www.boe.es/gazeta/dias/1820/07/12/pdfs/GGB-1820-14.pdf#page=3","Abrir facsímil")</f>
        <v>Abrir facsímil</v>
      </c>
      <c r="K6247" s="3" t="s">
        <v>23</v>
      </c>
    </row>
    <row r="6248" spans="1:11" ht="42" customHeight="1">
      <c r="A6248" s="2" t="s">
        <v>12365</v>
      </c>
      <c r="B6248" s="2" t="s">
        <v>12365</v>
      </c>
      <c r="C6248" s="2" t="s">
        <v>26</v>
      </c>
      <c r="D6248" s="2" t="s">
        <v>27</v>
      </c>
      <c r="E6248" s="5">
        <v>-29017</v>
      </c>
      <c r="F6248" s="3" t="s">
        <v>274</v>
      </c>
      <c r="G6248" s="3" t="s">
        <v>62</v>
      </c>
      <c r="H6248" s="2" t="s">
        <v>21</v>
      </c>
      <c r="I6248" s="2" t="s">
        <v>12367</v>
      </c>
      <c r="J6248" s="3" t="str">
        <f>HYPERLINK("https://www.boe.es/gazeta/dias/1820/07/20/pdfs/GGB-1820-22.pdf#page=3","Abrir facsímil")</f>
        <v>Abrir facsímil</v>
      </c>
      <c r="K6248" s="3" t="s">
        <v>23</v>
      </c>
    </row>
    <row r="6249" spans="1:11" ht="42" customHeight="1">
      <c r="A6249" s="2" t="s">
        <v>12365</v>
      </c>
      <c r="B6249" s="2" t="s">
        <v>12365</v>
      </c>
      <c r="C6249" s="2" t="s">
        <v>74</v>
      </c>
      <c r="D6249" s="2" t="s">
        <v>18</v>
      </c>
      <c r="E6249" s="5">
        <v>-29006</v>
      </c>
      <c r="F6249" s="3" t="s">
        <v>609</v>
      </c>
      <c r="G6249" s="3" t="s">
        <v>43</v>
      </c>
      <c r="H6249" s="2" t="s">
        <v>21</v>
      </c>
      <c r="I6249" s="2" t="s">
        <v>12368</v>
      </c>
      <c r="J6249" s="3" t="str">
        <f>HYPERLINK("https://www.boe.es/gazeta/dias/1820/07/31/pdfs/GGB-1820-33.pdf#page=2","Abrir facsímil")</f>
        <v>Abrir facsímil</v>
      </c>
      <c r="K6249" s="3" t="s">
        <v>23</v>
      </c>
    </row>
    <row r="6250" spans="1:11" ht="42" customHeight="1">
      <c r="A6250" s="2" t="s">
        <v>12365</v>
      </c>
      <c r="B6250" s="2" t="s">
        <v>12365</v>
      </c>
      <c r="C6250" s="2" t="s">
        <v>74</v>
      </c>
      <c r="D6250" s="2" t="s">
        <v>18</v>
      </c>
      <c r="E6250" s="5">
        <v>-28945</v>
      </c>
      <c r="F6250" s="3" t="s">
        <v>99</v>
      </c>
      <c r="G6250" s="3" t="s">
        <v>62</v>
      </c>
      <c r="H6250" s="2" t="s">
        <v>21</v>
      </c>
      <c r="I6250" s="2" t="s">
        <v>12369</v>
      </c>
      <c r="J6250" s="3" t="str">
        <f>HYPERLINK("https://www.boe.es/gazeta/dias/1820/09/30/pdfs/GGB-1820-94.pdf#page=3","Abrir facsímil")</f>
        <v>Abrir facsímil</v>
      </c>
      <c r="K6250" s="3" t="s">
        <v>23</v>
      </c>
    </row>
    <row r="6251" spans="1:11" ht="42" customHeight="1">
      <c r="A6251" s="2" t="s">
        <v>12365</v>
      </c>
      <c r="B6251" s="2" t="s">
        <v>12365</v>
      </c>
      <c r="C6251" s="2" t="s">
        <v>293</v>
      </c>
      <c r="D6251" s="2" t="s">
        <v>18</v>
      </c>
      <c r="E6251" s="5">
        <v>-28939</v>
      </c>
      <c r="F6251" s="3" t="s">
        <v>992</v>
      </c>
      <c r="G6251" s="3" t="s">
        <v>43</v>
      </c>
      <c r="H6251" s="2" t="s">
        <v>21</v>
      </c>
      <c r="I6251" s="2" t="s">
        <v>12370</v>
      </c>
      <c r="J6251" s="3" t="str">
        <f>HYPERLINK("https://www.boe.es/gazeta/dias/1820/10/06/pdfs/GGB-1820-100.pdf#page=2","Abrir facsímil")</f>
        <v>Abrir facsímil</v>
      </c>
      <c r="K6251" s="3" t="s">
        <v>23</v>
      </c>
    </row>
    <row r="6252" spans="1:11" ht="42" customHeight="1">
      <c r="A6252" s="2" t="s">
        <v>12371</v>
      </c>
      <c r="B6252" s="2" t="s">
        <v>12371</v>
      </c>
      <c r="C6252" s="2" t="s">
        <v>35</v>
      </c>
      <c r="D6252" s="2" t="s">
        <v>36</v>
      </c>
      <c r="E6252" s="5">
        <v>-28935</v>
      </c>
      <c r="F6252" s="3" t="s">
        <v>2464</v>
      </c>
      <c r="G6252" s="3" t="s">
        <v>20</v>
      </c>
      <c r="H6252" s="2" t="s">
        <v>21</v>
      </c>
      <c r="I6252" s="2" t="s">
        <v>12372</v>
      </c>
      <c r="J6252" s="3" t="str">
        <f>HYPERLINK("https://www.boe.es/gazeta/dias/1820/10/10/pdfs/GGB-1820-104.pdf#page=4","Abrir facsímil")</f>
        <v>Abrir facsímil</v>
      </c>
      <c r="K6252" s="3" t="s">
        <v>23</v>
      </c>
    </row>
    <row r="6253" spans="1:11" ht="42" customHeight="1">
      <c r="A6253" s="2" t="s">
        <v>12373</v>
      </c>
      <c r="B6253" s="2" t="s">
        <v>12374</v>
      </c>
      <c r="C6253" s="2" t="s">
        <v>35</v>
      </c>
      <c r="D6253" s="2" t="s">
        <v>36</v>
      </c>
      <c r="E6253" s="5">
        <v>-29094</v>
      </c>
      <c r="F6253" s="3" t="s">
        <v>560</v>
      </c>
      <c r="G6253" s="3" t="s">
        <v>295</v>
      </c>
      <c r="H6253" s="2" t="s">
        <v>21</v>
      </c>
      <c r="I6253" s="2" t="s">
        <v>12375</v>
      </c>
      <c r="J6253" s="3" t="str">
        <f>HYPERLINK("https://www.boe.es/gazeta/dias/1820/05/04/pdfs/GMD-1820-75.pdf#page=8","Abrir facsímil")</f>
        <v>Abrir facsímil</v>
      </c>
      <c r="K6253" s="3" t="s">
        <v>23</v>
      </c>
    </row>
    <row r="6254" spans="1:11" ht="42" customHeight="1">
      <c r="A6254" s="2" t="s">
        <v>12376</v>
      </c>
      <c r="B6254" s="2" t="s">
        <v>12377</v>
      </c>
      <c r="C6254" s="2" t="s">
        <v>17</v>
      </c>
      <c r="D6254" s="2" t="s">
        <v>18</v>
      </c>
      <c r="E6254" s="5">
        <v>-29187</v>
      </c>
      <c r="F6254" s="3" t="s">
        <v>859</v>
      </c>
      <c r="G6254" s="3" t="s">
        <v>295</v>
      </c>
      <c r="H6254" s="2" t="s">
        <v>21</v>
      </c>
      <c r="I6254" s="2" t="s">
        <v>12378</v>
      </c>
      <c r="J6254" s="3" t="str">
        <f>HYPERLINK("https://www.boe.es/gazeta/dias/1820/02/01/pdfs/GMD-1820-14.pdf#page=8","Abrir facsímil")</f>
        <v>Abrir facsímil</v>
      </c>
      <c r="K6254" s="3" t="s">
        <v>23</v>
      </c>
    </row>
    <row r="6255" spans="1:11" ht="42" customHeight="1">
      <c r="A6255" s="2" t="s">
        <v>12379</v>
      </c>
      <c r="B6255" s="2" t="s">
        <v>12380</v>
      </c>
      <c r="C6255" s="2" t="s">
        <v>111</v>
      </c>
      <c r="D6255" s="2" t="s">
        <v>18</v>
      </c>
      <c r="E6255" s="5">
        <v>-29187</v>
      </c>
      <c r="F6255" s="3" t="s">
        <v>859</v>
      </c>
      <c r="G6255" s="3" t="s">
        <v>295</v>
      </c>
      <c r="H6255" s="2" t="s">
        <v>21</v>
      </c>
      <c r="I6255" s="2" t="s">
        <v>12381</v>
      </c>
      <c r="J6255" s="3" t="str">
        <f>HYPERLINK("https://www.boe.es/gazeta/dias/1820/02/01/pdfs/GMD-1820-14.pdf#page=8","Abrir facsímil")</f>
        <v>Abrir facsímil</v>
      </c>
      <c r="K6255" s="3" t="s">
        <v>23</v>
      </c>
    </row>
    <row r="6256" spans="1:11" ht="42" customHeight="1">
      <c r="A6256" s="2" t="s">
        <v>12382</v>
      </c>
      <c r="B6256" s="2" t="s">
        <v>12383</v>
      </c>
      <c r="C6256" s="2" t="s">
        <v>35</v>
      </c>
      <c r="D6256" s="2" t="s">
        <v>36</v>
      </c>
      <c r="E6256" s="5">
        <v>-28929</v>
      </c>
      <c r="F6256" s="3" t="s">
        <v>728</v>
      </c>
      <c r="G6256" s="3" t="s">
        <v>20</v>
      </c>
      <c r="H6256" s="2" t="s">
        <v>21</v>
      </c>
      <c r="I6256" s="2" t="s">
        <v>12384</v>
      </c>
      <c r="J6256" s="3" t="str">
        <f>HYPERLINK("https://www.boe.es/gazeta/dias/1820/10/16/pdfs/GGB-1820-110.pdf#page=4","Abrir facsímil")</f>
        <v>Abrir facsímil</v>
      </c>
      <c r="K6256" s="3" t="s">
        <v>23</v>
      </c>
    </row>
    <row r="6257" spans="1:11" ht="42" customHeight="1">
      <c r="A6257" s="2" t="s">
        <v>12385</v>
      </c>
      <c r="B6257" s="2" t="s">
        <v>12386</v>
      </c>
      <c r="C6257" s="2" t="s">
        <v>35</v>
      </c>
      <c r="D6257" s="2" t="s">
        <v>36</v>
      </c>
      <c r="E6257" s="5">
        <v>-29017</v>
      </c>
      <c r="F6257" s="3" t="s">
        <v>274</v>
      </c>
      <c r="G6257" s="3" t="s">
        <v>62</v>
      </c>
      <c r="H6257" s="2" t="s">
        <v>21</v>
      </c>
      <c r="I6257" s="2" t="s">
        <v>12387</v>
      </c>
      <c r="J6257" s="3" t="str">
        <f>HYPERLINK("https://www.boe.es/gazeta/dias/1820/07/20/pdfs/GGB-1820-22.pdf#page=3","Abrir facsímil")</f>
        <v>Abrir facsímil</v>
      </c>
      <c r="K6257" s="3" t="s">
        <v>23</v>
      </c>
    </row>
    <row r="6258" spans="1:11" ht="42" customHeight="1">
      <c r="A6258" s="2" t="s">
        <v>12385</v>
      </c>
      <c r="B6258" s="2" t="s">
        <v>12386</v>
      </c>
      <c r="C6258" s="2" t="s">
        <v>35</v>
      </c>
      <c r="D6258" s="2" t="s">
        <v>36</v>
      </c>
      <c r="E6258" s="5">
        <v>-29015</v>
      </c>
      <c r="F6258" s="3" t="s">
        <v>359</v>
      </c>
      <c r="G6258" s="3" t="s">
        <v>43</v>
      </c>
      <c r="H6258" s="2" t="s">
        <v>21</v>
      </c>
      <c r="I6258" s="2" t="s">
        <v>12388</v>
      </c>
      <c r="J6258" s="3" t="str">
        <f>HYPERLINK("https://www.boe.es/gazeta/dias/1820/07/22/pdfs/GGB-1820-24.pdf#page=2","Abrir facsímil")</f>
        <v>Abrir facsímil</v>
      </c>
      <c r="K6258" s="3" t="s">
        <v>23</v>
      </c>
    </row>
    <row r="6259" spans="1:11" ht="42" customHeight="1">
      <c r="A6259" s="2" t="s">
        <v>12389</v>
      </c>
      <c r="B6259" s="2" t="s">
        <v>12390</v>
      </c>
      <c r="C6259" s="2" t="s">
        <v>17</v>
      </c>
      <c r="D6259" s="2" t="s">
        <v>18</v>
      </c>
      <c r="E6259" s="5">
        <v>-29015</v>
      </c>
      <c r="F6259" s="3" t="s">
        <v>359</v>
      </c>
      <c r="G6259" s="3" t="s">
        <v>62</v>
      </c>
      <c r="H6259" s="2" t="s">
        <v>21</v>
      </c>
      <c r="I6259" s="2" t="s">
        <v>12391</v>
      </c>
      <c r="J6259" s="3" t="str">
        <f>HYPERLINK("https://www.boe.es/gazeta/dias/1820/07/22/pdfs/GGB-1820-24.pdf#page=3","Abrir facsímil")</f>
        <v>Abrir facsímil</v>
      </c>
      <c r="K6259" s="3" t="s">
        <v>23</v>
      </c>
    </row>
    <row r="6260" spans="1:11" ht="42" customHeight="1">
      <c r="A6260" s="2" t="s">
        <v>12385</v>
      </c>
      <c r="B6260" s="2" t="s">
        <v>12386</v>
      </c>
      <c r="C6260" s="2" t="s">
        <v>74</v>
      </c>
      <c r="D6260" s="2" t="s">
        <v>18</v>
      </c>
      <c r="E6260" s="5">
        <v>-29014</v>
      </c>
      <c r="F6260" s="3" t="s">
        <v>70</v>
      </c>
      <c r="G6260" s="3" t="s">
        <v>62</v>
      </c>
      <c r="H6260" s="2" t="s">
        <v>21</v>
      </c>
      <c r="I6260" s="2" t="s">
        <v>12392</v>
      </c>
      <c r="J6260" s="3" t="str">
        <f>HYPERLINK("https://www.boe.es/gazeta/dias/1820/07/23/pdfs/GGB-1820-25.pdf#page=3","Abrir facsímil")</f>
        <v>Abrir facsímil</v>
      </c>
      <c r="K6260" s="3" t="s">
        <v>23</v>
      </c>
    </row>
    <row r="6261" spans="1:11" ht="42" customHeight="1">
      <c r="A6261" s="2" t="s">
        <v>12385</v>
      </c>
      <c r="B6261" s="2" t="s">
        <v>12386</v>
      </c>
      <c r="C6261" s="2" t="s">
        <v>35</v>
      </c>
      <c r="D6261" s="2" t="s">
        <v>36</v>
      </c>
      <c r="E6261" s="5">
        <v>-28915</v>
      </c>
      <c r="F6261" s="3" t="s">
        <v>525</v>
      </c>
      <c r="G6261" s="3" t="s">
        <v>62</v>
      </c>
      <c r="H6261" s="2" t="s">
        <v>21</v>
      </c>
      <c r="I6261" s="2" t="s">
        <v>12393</v>
      </c>
      <c r="J6261" s="3" t="str">
        <f>HYPERLINK("https://www.boe.es/gazeta/dias/1820/10/30/pdfs/GGB-1820-124.pdf#page=3","Abrir facsímil")</f>
        <v>Abrir facsímil</v>
      </c>
      <c r="K6261" s="3" t="s">
        <v>23</v>
      </c>
    </row>
    <row r="6262" spans="1:11" ht="42" customHeight="1">
      <c r="A6262" s="2" t="s">
        <v>12394</v>
      </c>
      <c r="B6262" s="2" t="s">
        <v>12395</v>
      </c>
      <c r="C6262" s="2" t="s">
        <v>17</v>
      </c>
      <c r="D6262" s="2" t="s">
        <v>18</v>
      </c>
      <c r="E6262" s="5">
        <v>-29040</v>
      </c>
      <c r="F6262" s="3" t="s">
        <v>1125</v>
      </c>
      <c r="G6262" s="3" t="s">
        <v>196</v>
      </c>
      <c r="H6262" s="2" t="s">
        <v>21</v>
      </c>
      <c r="I6262" s="2" t="s">
        <v>12396</v>
      </c>
      <c r="J6262" s="3" t="str">
        <f>HYPERLINK("https://www.boe.es/gazeta/dias/1820/06/27/pdfs/GMD-1820-99.pdf#page=11","Abrir facsímil")</f>
        <v>Abrir facsímil</v>
      </c>
      <c r="K6262" s="3" t="s">
        <v>23</v>
      </c>
    </row>
    <row r="6263" spans="1:11" ht="42" customHeight="1">
      <c r="A6263" s="2" t="s">
        <v>12397</v>
      </c>
      <c r="B6263" s="2" t="s">
        <v>12397</v>
      </c>
      <c r="C6263" s="2" t="s">
        <v>26</v>
      </c>
      <c r="D6263" s="2" t="s">
        <v>27</v>
      </c>
      <c r="E6263" s="5">
        <v>-28913</v>
      </c>
      <c r="F6263" s="3" t="s">
        <v>230</v>
      </c>
      <c r="G6263" s="3" t="s">
        <v>43</v>
      </c>
      <c r="H6263" s="2" t="s">
        <v>21</v>
      </c>
      <c r="I6263" s="2" t="s">
        <v>12398</v>
      </c>
      <c r="J6263" s="3" t="str">
        <f>HYPERLINK("https://www.boe.es/gazeta/dias/1820/11/01/pdfs/GGB-1820-126.pdf#page=2","Abrir facsímil")</f>
        <v>Abrir facsímil</v>
      </c>
      <c r="K6263" s="3" t="s">
        <v>23</v>
      </c>
    </row>
    <row r="6264" spans="1:11" ht="42" customHeight="1">
      <c r="A6264" s="2" t="s">
        <v>12399</v>
      </c>
      <c r="B6264" s="2" t="s">
        <v>12400</v>
      </c>
      <c r="C6264" s="2" t="s">
        <v>111</v>
      </c>
      <c r="D6264" s="2" t="s">
        <v>18</v>
      </c>
      <c r="E6264" s="5">
        <v>-28890</v>
      </c>
      <c r="F6264" s="3" t="s">
        <v>248</v>
      </c>
      <c r="G6264" s="3" t="s">
        <v>20</v>
      </c>
      <c r="H6264" s="2" t="s">
        <v>21</v>
      </c>
      <c r="I6264" s="2" t="s">
        <v>12401</v>
      </c>
      <c r="J6264" s="3" t="str">
        <f>HYPERLINK("https://www.boe.es/gazeta/dias/1820/11/24/pdfs/GGB-1820-151.pdf#page=4","Abrir facsímil")</f>
        <v>Abrir facsímil</v>
      </c>
      <c r="K6264" s="3" t="s">
        <v>23</v>
      </c>
    </row>
    <row r="6265" spans="1:11" ht="42" customHeight="1">
      <c r="A6265" s="2" t="s">
        <v>12402</v>
      </c>
      <c r="B6265" s="2" t="s">
        <v>12402</v>
      </c>
      <c r="C6265" s="2" t="s">
        <v>74</v>
      </c>
      <c r="D6265" s="2" t="s">
        <v>18</v>
      </c>
      <c r="E6265" s="5">
        <v>-28911</v>
      </c>
      <c r="F6265" s="3" t="s">
        <v>82</v>
      </c>
      <c r="G6265" s="3" t="s">
        <v>43</v>
      </c>
      <c r="H6265" s="2" t="s">
        <v>21</v>
      </c>
      <c r="I6265" s="2" t="s">
        <v>12403</v>
      </c>
      <c r="J6265" s="3" t="str">
        <f>HYPERLINK("https://www.boe.es/gazeta/dias/1820/11/03/pdfs/GGB-1820-128.pdf#page=2","Abrir facsímil")</f>
        <v>Abrir facsímil</v>
      </c>
      <c r="K6265" s="3" t="s">
        <v>23</v>
      </c>
    </row>
    <row r="6266" spans="1:11" ht="42" customHeight="1">
      <c r="A6266" s="2" t="s">
        <v>12402</v>
      </c>
      <c r="B6266" s="2" t="s">
        <v>12402</v>
      </c>
      <c r="C6266" s="2" t="s">
        <v>26</v>
      </c>
      <c r="D6266" s="2" t="s">
        <v>27</v>
      </c>
      <c r="E6266" s="5">
        <v>-28884</v>
      </c>
      <c r="F6266" s="3" t="s">
        <v>882</v>
      </c>
      <c r="G6266" s="3" t="s">
        <v>38</v>
      </c>
      <c r="H6266" s="2" t="s">
        <v>21</v>
      </c>
      <c r="I6266" s="2" t="s">
        <v>12404</v>
      </c>
      <c r="J6266" s="3" t="str">
        <f>HYPERLINK("https://www.boe.es/gazeta/dias/1820/11/30/pdfs/GGB-1820-157.pdf#page=6","Abrir facsímil")</f>
        <v>Abrir facsímil</v>
      </c>
      <c r="K6266" s="3" t="s">
        <v>23</v>
      </c>
    </row>
    <row r="6267" spans="1:11" ht="42" customHeight="1">
      <c r="A6267" s="2" t="s">
        <v>12405</v>
      </c>
      <c r="B6267" s="2" t="s">
        <v>12406</v>
      </c>
      <c r="C6267" s="2" t="s">
        <v>111</v>
      </c>
      <c r="D6267" s="2" t="s">
        <v>18</v>
      </c>
      <c r="E6267" s="5">
        <v>-28989</v>
      </c>
      <c r="F6267" s="3" t="s">
        <v>809</v>
      </c>
      <c r="G6267" s="3" t="s">
        <v>62</v>
      </c>
      <c r="H6267" s="2" t="s">
        <v>21</v>
      </c>
      <c r="I6267" s="2" t="s">
        <v>12407</v>
      </c>
      <c r="J6267" s="3" t="str">
        <f>HYPERLINK("https://www.boe.es/gazeta/dias/1820/08/17/pdfs/GGB-1820-50.pdf#page=3","Abrir facsímil")</f>
        <v>Abrir facsímil</v>
      </c>
      <c r="K6267" s="3" t="s">
        <v>23</v>
      </c>
    </row>
    <row r="6268" spans="1:11" ht="42" customHeight="1">
      <c r="A6268" s="2" t="s">
        <v>12408</v>
      </c>
      <c r="B6268" s="2" t="s">
        <v>12409</v>
      </c>
      <c r="C6268" s="2" t="s">
        <v>74</v>
      </c>
      <c r="D6268" s="2" t="s">
        <v>18</v>
      </c>
      <c r="E6268" s="5">
        <v>-28996</v>
      </c>
      <c r="F6268" s="3" t="s">
        <v>636</v>
      </c>
      <c r="G6268" s="3" t="s">
        <v>637</v>
      </c>
      <c r="H6268" s="2" t="s">
        <v>21</v>
      </c>
      <c r="I6268" s="2" t="s">
        <v>12410</v>
      </c>
      <c r="J6268" s="3" t="str">
        <f>HYPERLINK("https://www.boe.es/gazeta/dias/1820/08/10/pdfs/GGB-1820-43.pdf#page=3","Abrir facsímil")</f>
        <v>Abrir facsímil</v>
      </c>
      <c r="K6268" s="3" t="s">
        <v>23</v>
      </c>
    </row>
    <row r="6269" spans="1:11" ht="42" customHeight="1">
      <c r="A6269" s="2" t="s">
        <v>12411</v>
      </c>
      <c r="B6269" s="2" t="s">
        <v>12412</v>
      </c>
      <c r="C6269" s="2" t="s">
        <v>26</v>
      </c>
      <c r="D6269" s="2" t="s">
        <v>310</v>
      </c>
      <c r="E6269" s="5">
        <v>-29138</v>
      </c>
      <c r="F6269" s="3" t="s">
        <v>2523</v>
      </c>
      <c r="G6269" s="3" t="s">
        <v>479</v>
      </c>
      <c r="H6269" s="2" t="s">
        <v>21</v>
      </c>
      <c r="I6269" s="2" t="s">
        <v>12413</v>
      </c>
      <c r="J6269" s="3" t="str">
        <f>HYPERLINK("https://www.boe.es/gazeta/dias/1820/03/21/pdfs/GMD-1820-48E.pdf#page=12","Abrir facsímil")</f>
        <v>Abrir facsímil</v>
      </c>
      <c r="K6269" s="3" t="s">
        <v>23</v>
      </c>
    </row>
    <row r="6270" spans="1:11" ht="42" customHeight="1">
      <c r="A6270" s="2" t="s">
        <v>12414</v>
      </c>
      <c r="B6270" s="2" t="s">
        <v>12415</v>
      </c>
      <c r="C6270" s="2" t="s">
        <v>293</v>
      </c>
      <c r="D6270" s="2" t="s">
        <v>18</v>
      </c>
      <c r="E6270" s="5">
        <v>-29038</v>
      </c>
      <c r="F6270" s="3" t="s">
        <v>957</v>
      </c>
      <c r="G6270" s="3" t="s">
        <v>38</v>
      </c>
      <c r="H6270" s="2" t="s">
        <v>21</v>
      </c>
      <c r="I6270" s="2" t="s">
        <v>12416</v>
      </c>
      <c r="J6270" s="3" t="str">
        <f>HYPERLINK("https://www.boe.es/gazeta/dias/1820/06/29/pdfs/GMD-1820-100.pdf#page=6","Abrir facsímil")</f>
        <v>Abrir facsímil</v>
      </c>
      <c r="K6270" s="3" t="s">
        <v>23</v>
      </c>
    </row>
    <row r="6271" spans="1:11" ht="42" customHeight="1">
      <c r="A6271" s="2" t="s">
        <v>12417</v>
      </c>
      <c r="B6271" s="2" t="s">
        <v>12418</v>
      </c>
      <c r="C6271" s="2" t="s">
        <v>26</v>
      </c>
      <c r="D6271" s="2" t="s">
        <v>27</v>
      </c>
      <c r="E6271" s="5">
        <v>-29117</v>
      </c>
      <c r="F6271" s="3" t="s">
        <v>1451</v>
      </c>
      <c r="G6271" s="3" t="s">
        <v>201</v>
      </c>
      <c r="H6271" s="2" t="s">
        <v>21</v>
      </c>
      <c r="I6271" s="2" t="s">
        <v>12419</v>
      </c>
      <c r="J6271" s="3" t="str">
        <f>HYPERLINK("https://www.boe.es/gazeta/dias/1820/04/11/pdfs/GMD-1820-64.pdf#page=7","Abrir facsímil")</f>
        <v>Abrir facsímil</v>
      </c>
      <c r="K6271" s="3" t="s">
        <v>23</v>
      </c>
    </row>
    <row r="6272" spans="1:11" ht="42" customHeight="1">
      <c r="A6272" s="2" t="s">
        <v>12420</v>
      </c>
      <c r="B6272" s="2" t="s">
        <v>12421</v>
      </c>
      <c r="C6272" s="2" t="s">
        <v>293</v>
      </c>
      <c r="D6272" s="2" t="s">
        <v>18</v>
      </c>
      <c r="E6272" s="5">
        <v>-29192</v>
      </c>
      <c r="F6272" s="3" t="s">
        <v>497</v>
      </c>
      <c r="G6272" s="3" t="s">
        <v>498</v>
      </c>
      <c r="H6272" s="2" t="s">
        <v>21</v>
      </c>
      <c r="I6272" s="2" t="s">
        <v>12422</v>
      </c>
      <c r="J6272" s="3" t="str">
        <f>HYPERLINK("https://www.boe.es/gazeta/dias/1820/01/27/pdfs/GMD-1820-12.pdf#page=7","Abrir facsímil")</f>
        <v>Abrir facsímil</v>
      </c>
      <c r="K6272" s="3" t="s">
        <v>23</v>
      </c>
    </row>
    <row r="6273" spans="1:11" ht="42" customHeight="1">
      <c r="A6273" s="2" t="s">
        <v>12423</v>
      </c>
      <c r="B6273" s="2" t="s">
        <v>12424</v>
      </c>
      <c r="C6273" s="2" t="s">
        <v>35</v>
      </c>
      <c r="D6273" s="2" t="s">
        <v>36</v>
      </c>
      <c r="E6273" s="5">
        <v>-28987</v>
      </c>
      <c r="F6273" s="3" t="s">
        <v>680</v>
      </c>
      <c r="G6273" s="3" t="s">
        <v>1300</v>
      </c>
      <c r="H6273" s="2" t="s">
        <v>21</v>
      </c>
      <c r="I6273" s="2" t="s">
        <v>12425</v>
      </c>
      <c r="J6273" s="3" t="str">
        <f>HYPERLINK("https://www.boe.es/gazeta/dias/1820/08/19/pdfs/GGB-1820-52.pdf#page=2","Abrir facsímil")</f>
        <v>Abrir facsímil</v>
      </c>
      <c r="K6273" s="3" t="s">
        <v>23</v>
      </c>
    </row>
    <row r="6274" spans="1:11" ht="42" customHeight="1">
      <c r="A6274" s="2" t="s">
        <v>12426</v>
      </c>
      <c r="B6274" s="2" t="s">
        <v>12427</v>
      </c>
      <c r="C6274" s="2" t="s">
        <v>74</v>
      </c>
      <c r="D6274" s="2" t="s">
        <v>18</v>
      </c>
      <c r="E6274" s="5">
        <v>-28990</v>
      </c>
      <c r="F6274" s="3" t="s">
        <v>61</v>
      </c>
      <c r="G6274" s="3" t="s">
        <v>1438</v>
      </c>
      <c r="H6274" s="2" t="s">
        <v>21</v>
      </c>
      <c r="I6274" s="2" t="s">
        <v>12428</v>
      </c>
      <c r="J6274" s="3" t="str">
        <f>HYPERLINK("https://www.boe.es/gazeta/dias/1820/08/16/pdfs/GGB-1820-49.pdf#page=4","Abrir facsímil")</f>
        <v>Abrir facsímil</v>
      </c>
      <c r="K6274" s="3" t="s">
        <v>23</v>
      </c>
    </row>
    <row r="6275" spans="1:11" ht="42" customHeight="1">
      <c r="A6275" s="2" t="s">
        <v>12429</v>
      </c>
      <c r="B6275" s="2" t="s">
        <v>12430</v>
      </c>
      <c r="C6275" s="2" t="s">
        <v>35</v>
      </c>
      <c r="D6275" s="2" t="s">
        <v>36</v>
      </c>
      <c r="E6275" s="5">
        <v>-28987</v>
      </c>
      <c r="F6275" s="3" t="s">
        <v>680</v>
      </c>
      <c r="G6275" s="3" t="s">
        <v>20</v>
      </c>
      <c r="H6275" s="2" t="s">
        <v>21</v>
      </c>
      <c r="I6275" s="2" t="s">
        <v>12431</v>
      </c>
      <c r="J6275" s="3" t="str">
        <f>HYPERLINK("https://www.boe.es/gazeta/dias/1820/08/19/pdfs/GGB-1820-52.pdf#page=4","Abrir facsímil")</f>
        <v>Abrir facsímil</v>
      </c>
      <c r="K6275" s="3" t="s">
        <v>23</v>
      </c>
    </row>
    <row r="6276" spans="1:11" ht="42" customHeight="1">
      <c r="A6276" s="2" t="s">
        <v>12432</v>
      </c>
      <c r="B6276" s="2" t="s">
        <v>12433</v>
      </c>
      <c r="C6276" s="2" t="s">
        <v>35</v>
      </c>
      <c r="D6276" s="2" t="s">
        <v>36</v>
      </c>
      <c r="E6276" s="5">
        <v>-29197</v>
      </c>
      <c r="F6276" s="3" t="s">
        <v>48</v>
      </c>
      <c r="G6276" s="3" t="s">
        <v>38</v>
      </c>
      <c r="H6276" s="2" t="s">
        <v>21</v>
      </c>
      <c r="I6276" s="2" t="s">
        <v>12434</v>
      </c>
      <c r="J6276" s="3" t="str">
        <f>HYPERLINK("https://www.boe.es/gazeta/dias/1820/01/22/pdfs/GMD-1820-10.pdf#page=6","Abrir facsímil")</f>
        <v>Abrir facsímil</v>
      </c>
      <c r="K6276" s="3" t="s">
        <v>23</v>
      </c>
    </row>
    <row r="6277" spans="1:11" ht="42" customHeight="1">
      <c r="A6277" s="2" t="s">
        <v>12435</v>
      </c>
      <c r="B6277" s="2" t="s">
        <v>12436</v>
      </c>
      <c r="C6277" s="2" t="s">
        <v>35</v>
      </c>
      <c r="D6277" s="2" t="s">
        <v>36</v>
      </c>
      <c r="E6277" s="5">
        <v>-29124</v>
      </c>
      <c r="F6277" s="3" t="s">
        <v>4097</v>
      </c>
      <c r="G6277" s="3" t="s">
        <v>295</v>
      </c>
      <c r="H6277" s="2" t="s">
        <v>21</v>
      </c>
      <c r="I6277" s="2" t="s">
        <v>12437</v>
      </c>
      <c r="J6277" s="3" t="str">
        <f>HYPERLINK("https://www.boe.es/gazeta/dias/1820/04/04/pdfs/GMD-1820-60.pdf#page=8","Abrir facsímil")</f>
        <v>Abrir facsímil</v>
      </c>
      <c r="K6277" s="3" t="s">
        <v>23</v>
      </c>
    </row>
    <row r="6278" spans="1:11" ht="42" customHeight="1">
      <c r="A6278" s="2" t="s">
        <v>12435</v>
      </c>
      <c r="B6278" s="2" t="s">
        <v>12436</v>
      </c>
      <c r="C6278" s="2" t="s">
        <v>35</v>
      </c>
      <c r="D6278" s="2" t="s">
        <v>36</v>
      </c>
      <c r="E6278" s="5">
        <v>-29103</v>
      </c>
      <c r="F6278" s="3" t="s">
        <v>313</v>
      </c>
      <c r="G6278" s="3" t="s">
        <v>295</v>
      </c>
      <c r="H6278" s="2" t="s">
        <v>21</v>
      </c>
      <c r="I6278" s="2" t="s">
        <v>12438</v>
      </c>
      <c r="J6278" s="3" t="str">
        <f>HYPERLINK("https://www.boe.es/gazeta/dias/1820/04/25/pdfs/GMD-1820-70.pdf#page=8","Abrir facsímil")</f>
        <v>Abrir facsímil</v>
      </c>
      <c r="K6278" s="3" t="s">
        <v>23</v>
      </c>
    </row>
    <row r="6279" spans="1:11" ht="42" customHeight="1">
      <c r="A6279" s="2" t="s">
        <v>12435</v>
      </c>
      <c r="B6279" s="2" t="s">
        <v>12436</v>
      </c>
      <c r="C6279" s="2" t="s">
        <v>35</v>
      </c>
      <c r="D6279" s="2" t="s">
        <v>36</v>
      </c>
      <c r="E6279" s="5">
        <v>-29031</v>
      </c>
      <c r="F6279" s="3" t="s">
        <v>1036</v>
      </c>
      <c r="G6279" s="3" t="s">
        <v>20</v>
      </c>
      <c r="H6279" s="2" t="s">
        <v>21</v>
      </c>
      <c r="I6279" s="2" t="s">
        <v>12439</v>
      </c>
      <c r="J6279" s="3" t="str">
        <f>HYPERLINK("https://www.boe.es/gazeta/dias/1820/07/06/pdfs/GGB-1820-6.pdf#page=4","Abrir facsímil")</f>
        <v>Abrir facsímil</v>
      </c>
      <c r="K6279" s="3" t="s">
        <v>23</v>
      </c>
    </row>
    <row r="6280" spans="1:11" ht="42" customHeight="1">
      <c r="A6280" s="2" t="s">
        <v>12435</v>
      </c>
      <c r="B6280" s="2" t="s">
        <v>12436</v>
      </c>
      <c r="C6280" s="2" t="s">
        <v>35</v>
      </c>
      <c r="D6280" s="2" t="s">
        <v>36</v>
      </c>
      <c r="E6280" s="5">
        <v>-28960</v>
      </c>
      <c r="F6280" s="3" t="s">
        <v>704</v>
      </c>
      <c r="G6280" s="3" t="s">
        <v>20</v>
      </c>
      <c r="H6280" s="2" t="s">
        <v>21</v>
      </c>
      <c r="I6280" s="2" t="s">
        <v>12440</v>
      </c>
      <c r="J6280" s="3" t="str">
        <f>HYPERLINK("https://www.boe.es/gazeta/dias/1820/09/15/pdfs/GGB-1820-79.pdf#page=4","Abrir facsímil")</f>
        <v>Abrir facsímil</v>
      </c>
      <c r="K6280" s="3" t="s">
        <v>23</v>
      </c>
    </row>
    <row r="6281" spans="1:11" ht="42" customHeight="1">
      <c r="A6281" s="2" t="s">
        <v>12435</v>
      </c>
      <c r="B6281" s="2" t="s">
        <v>12436</v>
      </c>
      <c r="C6281" s="2" t="s">
        <v>293</v>
      </c>
      <c r="D6281" s="2" t="s">
        <v>18</v>
      </c>
      <c r="E6281" s="5">
        <v>-28894</v>
      </c>
      <c r="F6281" s="3" t="s">
        <v>469</v>
      </c>
      <c r="G6281" s="3" t="s">
        <v>20</v>
      </c>
      <c r="H6281" s="2" t="s">
        <v>21</v>
      </c>
      <c r="I6281" s="2" t="s">
        <v>12441</v>
      </c>
      <c r="J6281" s="3" t="str">
        <f>HYPERLINK("https://www.boe.es/gazeta/dias/1820/11/20/pdfs/GGB-1820-147.pdf#page=4","Abrir facsímil")</f>
        <v>Abrir facsímil</v>
      </c>
      <c r="K6281" s="3" t="s">
        <v>23</v>
      </c>
    </row>
    <row r="6282" spans="1:11" ht="42" customHeight="1">
      <c r="A6282" s="2" t="s">
        <v>12442</v>
      </c>
      <c r="B6282" s="2" t="s">
        <v>12442</v>
      </c>
      <c r="C6282" s="2" t="s">
        <v>35</v>
      </c>
      <c r="D6282" s="2" t="s">
        <v>36</v>
      </c>
      <c r="E6282" s="5">
        <v>-28908</v>
      </c>
      <c r="F6282" s="3" t="s">
        <v>1060</v>
      </c>
      <c r="G6282" s="3" t="s">
        <v>128</v>
      </c>
      <c r="H6282" s="2" t="s">
        <v>21</v>
      </c>
      <c r="I6282" s="2" t="s">
        <v>12443</v>
      </c>
      <c r="J6282" s="3" t="str">
        <f>HYPERLINK("https://www.boe.es/gazeta/dias/1820/11/06/pdfs/GGB-1820-131.pdf#page=1","Abrir facsímil")</f>
        <v>Abrir facsímil</v>
      </c>
      <c r="K6282" s="3" t="s">
        <v>23</v>
      </c>
    </row>
    <row r="6283" spans="1:11" ht="42" customHeight="1">
      <c r="A6283" s="2" t="s">
        <v>12442</v>
      </c>
      <c r="B6283" s="2" t="s">
        <v>12442</v>
      </c>
      <c r="C6283" s="2" t="s">
        <v>26</v>
      </c>
      <c r="D6283" s="2" t="s">
        <v>27</v>
      </c>
      <c r="E6283" s="5">
        <v>-28890</v>
      </c>
      <c r="F6283" s="3" t="s">
        <v>248</v>
      </c>
      <c r="G6283" s="3" t="s">
        <v>43</v>
      </c>
      <c r="H6283" s="2" t="s">
        <v>21</v>
      </c>
      <c r="I6283" s="2" t="s">
        <v>12444</v>
      </c>
      <c r="J6283" s="3" t="str">
        <f>HYPERLINK("https://www.boe.es/gazeta/dias/1820/11/24/pdfs/GGB-1820-151.pdf#page=2","Abrir facsímil")</f>
        <v>Abrir facsímil</v>
      </c>
      <c r="K6283" s="3" t="s">
        <v>23</v>
      </c>
    </row>
    <row r="6284" spans="1:11" ht="42" customHeight="1">
      <c r="A6284" s="2" t="s">
        <v>12442</v>
      </c>
      <c r="B6284" s="2" t="s">
        <v>12442</v>
      </c>
      <c r="C6284" s="2" t="s">
        <v>111</v>
      </c>
      <c r="D6284" s="2" t="s">
        <v>18</v>
      </c>
      <c r="E6284" s="5">
        <v>-28872</v>
      </c>
      <c r="F6284" s="3" t="s">
        <v>1939</v>
      </c>
      <c r="G6284" s="3" t="s">
        <v>43</v>
      </c>
      <c r="H6284" s="2" t="s">
        <v>21</v>
      </c>
      <c r="I6284" s="2" t="s">
        <v>12445</v>
      </c>
      <c r="J6284" s="3" t="str">
        <f>HYPERLINK("https://www.boe.es/gazeta/dias/1820/12/12/pdfs/GGB-1820-169.pdf#page=2","Abrir facsímil")</f>
        <v>Abrir facsímil</v>
      </c>
      <c r="K6284" s="3" t="s">
        <v>23</v>
      </c>
    </row>
    <row r="6285" spans="1:11" ht="42" customHeight="1">
      <c r="A6285" s="2" t="s">
        <v>12446</v>
      </c>
      <c r="B6285" s="2" t="s">
        <v>12447</v>
      </c>
      <c r="C6285" s="2" t="s">
        <v>35</v>
      </c>
      <c r="D6285" s="2" t="s">
        <v>36</v>
      </c>
      <c r="E6285" s="5">
        <v>-29002</v>
      </c>
      <c r="F6285" s="3" t="s">
        <v>124</v>
      </c>
      <c r="G6285" s="3" t="s">
        <v>20</v>
      </c>
      <c r="H6285" s="2" t="s">
        <v>21</v>
      </c>
      <c r="I6285" s="2" t="s">
        <v>12448</v>
      </c>
      <c r="J6285" s="3" t="str">
        <f>HYPERLINK("https://www.boe.es/gazeta/dias/1820/08/04/pdfs/GGB-1820-37.pdf#page=4","Abrir facsímil")</f>
        <v>Abrir facsímil</v>
      </c>
      <c r="K6285" s="3" t="s">
        <v>23</v>
      </c>
    </row>
    <row r="6286" spans="1:11" ht="42" customHeight="1">
      <c r="A6286" s="2" t="s">
        <v>12449</v>
      </c>
      <c r="B6286" s="2" t="s">
        <v>12450</v>
      </c>
      <c r="C6286" s="2" t="s">
        <v>17</v>
      </c>
      <c r="D6286" s="2" t="s">
        <v>18</v>
      </c>
      <c r="E6286" s="5">
        <v>-28931</v>
      </c>
      <c r="F6286" s="3" t="s">
        <v>724</v>
      </c>
      <c r="G6286" s="3" t="s">
        <v>20</v>
      </c>
      <c r="H6286" s="2" t="s">
        <v>21</v>
      </c>
      <c r="I6286" s="2" t="s">
        <v>12451</v>
      </c>
      <c r="J6286" s="3" t="str">
        <f>HYPERLINK("https://www.boe.es/gazeta/dias/1820/10/14/pdfs/GGB-1820-108.pdf#page=4","Abrir facsímil")</f>
        <v>Abrir facsímil</v>
      </c>
      <c r="K6286" s="3" t="s">
        <v>23</v>
      </c>
    </row>
    <row r="6287" spans="1:11" ht="42" customHeight="1">
      <c r="A6287" s="2" t="s">
        <v>12452</v>
      </c>
      <c r="B6287" s="2" t="s">
        <v>12453</v>
      </c>
      <c r="C6287" s="2" t="s">
        <v>26</v>
      </c>
      <c r="D6287" s="2" t="s">
        <v>27</v>
      </c>
      <c r="E6287" s="5">
        <v>-29213</v>
      </c>
      <c r="F6287" s="3" t="s">
        <v>195</v>
      </c>
      <c r="G6287" s="3" t="s">
        <v>196</v>
      </c>
      <c r="H6287" s="2" t="s">
        <v>30</v>
      </c>
      <c r="I6287" s="2" t="s">
        <v>12454</v>
      </c>
      <c r="J6287" s="3" t="str">
        <f>HYPERLINK("https://www.boe.es/gazeta/dias/1820/01/06/pdfs/GMD-1820-3.pdf#page=11","Abrir facsímil")</f>
        <v>Abrir facsímil</v>
      </c>
      <c r="K6287" s="3" t="s">
        <v>32</v>
      </c>
    </row>
    <row r="6288" spans="1:11" ht="42" customHeight="1">
      <c r="A6288" s="2" t="s">
        <v>12455</v>
      </c>
      <c r="B6288" s="2" t="s">
        <v>12456</v>
      </c>
      <c r="C6288" s="2" t="s">
        <v>35</v>
      </c>
      <c r="D6288" s="2" t="s">
        <v>36</v>
      </c>
      <c r="E6288" s="5">
        <v>-29054</v>
      </c>
      <c r="F6288" s="3" t="s">
        <v>481</v>
      </c>
      <c r="G6288" s="3" t="s">
        <v>196</v>
      </c>
      <c r="H6288" s="2" t="s">
        <v>21</v>
      </c>
      <c r="I6288" s="2" t="s">
        <v>12457</v>
      </c>
      <c r="J6288" s="3" t="str">
        <f>HYPERLINK("https://www.boe.es/gazeta/dias/1820/06/13/pdfs/GMD-1820-93.pdf#page=11","Abrir facsímil")</f>
        <v>Abrir facsímil</v>
      </c>
      <c r="K6288" s="3" t="s">
        <v>23</v>
      </c>
    </row>
    <row r="6289" spans="1:11" ht="42" customHeight="1">
      <c r="A6289" s="2" t="s">
        <v>12458</v>
      </c>
      <c r="B6289" s="2" t="s">
        <v>12459</v>
      </c>
      <c r="C6289" s="2" t="s">
        <v>26</v>
      </c>
      <c r="D6289" s="2" t="s">
        <v>27</v>
      </c>
      <c r="E6289" s="5">
        <v>-29199</v>
      </c>
      <c r="F6289" s="3" t="s">
        <v>1178</v>
      </c>
      <c r="G6289" s="3" t="s">
        <v>201</v>
      </c>
      <c r="H6289" s="2" t="s">
        <v>21</v>
      </c>
      <c r="I6289" s="2" t="s">
        <v>12460</v>
      </c>
      <c r="J6289" s="3" t="str">
        <f>HYPERLINK("https://www.boe.es/gazeta/dias/1820/01/20/pdfs/GMD-1820-9.pdf#page=7","Abrir facsímil")</f>
        <v>Abrir facsímil</v>
      </c>
      <c r="K6289" s="3" t="s">
        <v>23</v>
      </c>
    </row>
    <row r="6290" spans="1:11" ht="42" customHeight="1">
      <c r="A6290" s="2" t="s">
        <v>12461</v>
      </c>
      <c r="B6290" s="2" t="s">
        <v>12462</v>
      </c>
      <c r="C6290" s="2" t="s">
        <v>26</v>
      </c>
      <c r="D6290" s="2" t="s">
        <v>27</v>
      </c>
      <c r="E6290" s="5">
        <v>-29148</v>
      </c>
      <c r="F6290" s="3" t="s">
        <v>493</v>
      </c>
      <c r="G6290" s="3" t="s">
        <v>295</v>
      </c>
      <c r="H6290" s="2" t="s">
        <v>21</v>
      </c>
      <c r="I6290" s="2" t="s">
        <v>12463</v>
      </c>
      <c r="J6290" s="3" t="str">
        <f>HYPERLINK("https://www.boe.es/gazeta/dias/1820/03/11/pdfs/GMD-1820-36.pdf#page=8","Abrir facsímil")</f>
        <v>Abrir facsímil</v>
      </c>
      <c r="K6290" s="3" t="s">
        <v>23</v>
      </c>
    </row>
    <row r="6291" spans="1:11" ht="42" customHeight="1">
      <c r="A6291" s="2" t="s">
        <v>12464</v>
      </c>
      <c r="B6291" s="2" t="s">
        <v>12464</v>
      </c>
      <c r="C6291" s="2" t="s">
        <v>26</v>
      </c>
      <c r="D6291" s="2" t="s">
        <v>27</v>
      </c>
      <c r="E6291" s="5">
        <v>-28948</v>
      </c>
      <c r="F6291" s="3" t="s">
        <v>1069</v>
      </c>
      <c r="G6291" s="3" t="s">
        <v>128</v>
      </c>
      <c r="H6291" s="2" t="s">
        <v>21</v>
      </c>
      <c r="I6291" s="2" t="s">
        <v>12465</v>
      </c>
      <c r="J6291" s="3" t="str">
        <f>HYPERLINK("https://www.boe.es/gazeta/dias/1820/09/27/pdfs/GGB-1820-91.pdf#page=1","Abrir facsímil")</f>
        <v>Abrir facsímil</v>
      </c>
      <c r="K6291" s="3" t="s">
        <v>23</v>
      </c>
    </row>
    <row r="6292" spans="1:11" ht="42" customHeight="1">
      <c r="A6292" s="2" t="s">
        <v>12464</v>
      </c>
      <c r="B6292" s="2" t="s">
        <v>12464</v>
      </c>
      <c r="C6292" s="2" t="s">
        <v>26</v>
      </c>
      <c r="D6292" s="2" t="s">
        <v>27</v>
      </c>
      <c r="E6292" s="5">
        <v>-28940</v>
      </c>
      <c r="F6292" s="3" t="s">
        <v>141</v>
      </c>
      <c r="G6292" s="3" t="s">
        <v>128</v>
      </c>
      <c r="H6292" s="2" t="s">
        <v>21</v>
      </c>
      <c r="I6292" s="2" t="s">
        <v>12466</v>
      </c>
      <c r="J6292" s="3" t="str">
        <f>HYPERLINK("https://www.boe.es/gazeta/dias/1820/10/05/pdfs/GGB-1820-99.pdf#page=1","Abrir facsímil")</f>
        <v>Abrir facsímil</v>
      </c>
      <c r="K6292" s="3" t="s">
        <v>23</v>
      </c>
    </row>
    <row r="6293" spans="1:11" ht="42" customHeight="1">
      <c r="A6293" s="2" t="s">
        <v>12467</v>
      </c>
      <c r="B6293" s="2" t="s">
        <v>12468</v>
      </c>
      <c r="C6293" s="2" t="s">
        <v>35</v>
      </c>
      <c r="D6293" s="2" t="s">
        <v>36</v>
      </c>
      <c r="E6293" s="5">
        <v>-29215</v>
      </c>
      <c r="F6293" s="3" t="s">
        <v>827</v>
      </c>
      <c r="G6293" s="3" t="s">
        <v>256</v>
      </c>
      <c r="H6293" s="2" t="s">
        <v>21</v>
      </c>
      <c r="I6293" s="2" t="s">
        <v>12469</v>
      </c>
      <c r="J6293" s="3" t="str">
        <f>HYPERLINK("https://www.boe.es/gazeta/dias/1820/01/04/pdfs/GMD-1820-2.pdf#page=5","Abrir facsímil")</f>
        <v>Abrir facsímil</v>
      </c>
      <c r="K6293" s="3" t="s">
        <v>23</v>
      </c>
    </row>
    <row r="6294" spans="1:11" ht="42" customHeight="1">
      <c r="A6294" s="2" t="s">
        <v>12470</v>
      </c>
      <c r="B6294" s="2" t="s">
        <v>12471</v>
      </c>
      <c r="C6294" s="2" t="s">
        <v>17</v>
      </c>
      <c r="D6294" s="2" t="s">
        <v>18</v>
      </c>
      <c r="E6294" s="5">
        <v>-29211</v>
      </c>
      <c r="F6294" s="3" t="s">
        <v>578</v>
      </c>
      <c r="G6294" s="3" t="s">
        <v>201</v>
      </c>
      <c r="H6294" s="2" t="s">
        <v>21</v>
      </c>
      <c r="I6294" s="2" t="s">
        <v>12472</v>
      </c>
      <c r="J6294" s="3" t="str">
        <f>HYPERLINK("https://www.boe.es/gazeta/dias/1820/01/08/pdfs/GMD-1820-4.pdf#page=7","Abrir facsímil")</f>
        <v>Abrir facsímil</v>
      </c>
      <c r="K6294" s="3" t="s">
        <v>23</v>
      </c>
    </row>
    <row r="6295" spans="1:11" ht="42" customHeight="1">
      <c r="A6295" s="2" t="s">
        <v>12473</v>
      </c>
      <c r="B6295" s="2" t="s">
        <v>12474</v>
      </c>
      <c r="C6295" s="2" t="s">
        <v>26</v>
      </c>
      <c r="D6295" s="2" t="s">
        <v>27</v>
      </c>
      <c r="E6295" s="5">
        <v>-29208</v>
      </c>
      <c r="F6295" s="3" t="s">
        <v>770</v>
      </c>
      <c r="G6295" s="3" t="s">
        <v>201</v>
      </c>
      <c r="H6295" s="2" t="s">
        <v>21</v>
      </c>
      <c r="I6295" s="2" t="s">
        <v>12475</v>
      </c>
      <c r="J6295" s="3" t="str">
        <f>HYPERLINK("https://www.boe.es/gazeta/dias/1820/01/11/pdfs/GMD-1820-5.pdf#page=7","Abrir facsímil")</f>
        <v>Abrir facsímil</v>
      </c>
      <c r="K6295" s="3" t="s">
        <v>23</v>
      </c>
    </row>
    <row r="6296" spans="1:11" ht="42" customHeight="1">
      <c r="A6296" s="2" t="s">
        <v>12467</v>
      </c>
      <c r="B6296" s="2" t="s">
        <v>12468</v>
      </c>
      <c r="C6296" s="2" t="s">
        <v>35</v>
      </c>
      <c r="D6296" s="2" t="s">
        <v>36</v>
      </c>
      <c r="E6296" s="5">
        <v>-29045</v>
      </c>
      <c r="F6296" s="3" t="s">
        <v>155</v>
      </c>
      <c r="G6296" s="3" t="s">
        <v>62</v>
      </c>
      <c r="H6296" s="2" t="s">
        <v>21</v>
      </c>
      <c r="I6296" s="2" t="s">
        <v>12476</v>
      </c>
      <c r="J6296" s="3" t="str">
        <f>HYPERLINK("https://www.boe.es/gazeta/dias/1820/06/22/pdfs/GMD-1820-97.pdf#page=3","Abrir facsímil")</f>
        <v>Abrir facsímil</v>
      </c>
      <c r="K6296" s="3" t="s">
        <v>23</v>
      </c>
    </row>
    <row r="6297" spans="1:11" ht="42" customHeight="1">
      <c r="A6297" s="2" t="s">
        <v>12477</v>
      </c>
      <c r="B6297" s="2" t="s">
        <v>12478</v>
      </c>
      <c r="C6297" s="2" t="s">
        <v>17</v>
      </c>
      <c r="D6297" s="2" t="s">
        <v>18</v>
      </c>
      <c r="E6297" s="5">
        <v>-28943</v>
      </c>
      <c r="F6297" s="3" t="s">
        <v>1403</v>
      </c>
      <c r="G6297" s="3" t="s">
        <v>128</v>
      </c>
      <c r="H6297" s="2" t="s">
        <v>21</v>
      </c>
      <c r="I6297" s="2" t="s">
        <v>12479</v>
      </c>
      <c r="J6297" s="3" t="str">
        <f>HYPERLINK("https://www.boe.es/gazeta/dias/1820/10/02/pdfs/GGB-1820-96.pdf#page=1","Abrir facsímil")</f>
        <v>Abrir facsímil</v>
      </c>
      <c r="K6297" s="3" t="s">
        <v>23</v>
      </c>
    </row>
    <row r="6298" spans="1:11" ht="42" customHeight="1">
      <c r="A6298" s="2" t="s">
        <v>12480</v>
      </c>
      <c r="B6298" s="2" t="s">
        <v>12480</v>
      </c>
      <c r="C6298" s="2" t="s">
        <v>35</v>
      </c>
      <c r="D6298" s="2" t="s">
        <v>36</v>
      </c>
      <c r="E6298" s="5">
        <v>-29031</v>
      </c>
      <c r="F6298" s="3" t="s">
        <v>1036</v>
      </c>
      <c r="G6298" s="3" t="s">
        <v>43</v>
      </c>
      <c r="H6298" s="2" t="s">
        <v>21</v>
      </c>
      <c r="I6298" s="2" t="s">
        <v>12481</v>
      </c>
      <c r="J6298" s="3" t="str">
        <f>HYPERLINK("https://www.boe.es/gazeta/dias/1820/07/06/pdfs/GGB-1820-6.pdf#page=2","Abrir facsímil")</f>
        <v>Abrir facsímil</v>
      </c>
      <c r="K6298" s="3" t="s">
        <v>23</v>
      </c>
    </row>
    <row r="6299" spans="1:11" ht="42" customHeight="1">
      <c r="A6299" s="2" t="s">
        <v>12482</v>
      </c>
      <c r="B6299" s="2" t="s">
        <v>12483</v>
      </c>
      <c r="C6299" s="2" t="s">
        <v>26</v>
      </c>
      <c r="D6299" s="2" t="s">
        <v>27</v>
      </c>
      <c r="E6299" s="5">
        <v>-28871</v>
      </c>
      <c r="F6299" s="3" t="s">
        <v>2368</v>
      </c>
      <c r="G6299" s="3" t="s">
        <v>20</v>
      </c>
      <c r="H6299" s="2" t="s">
        <v>21</v>
      </c>
      <c r="I6299" s="2" t="s">
        <v>12484</v>
      </c>
      <c r="J6299" s="3" t="str">
        <f>HYPERLINK("https://www.boe.es/gazeta/dias/1820/12/13/pdfs/GGB-1820-170.pdf#page=4","Abrir facsímil")</f>
        <v>Abrir facsímil</v>
      </c>
      <c r="K6299" s="3" t="s">
        <v>23</v>
      </c>
    </row>
    <row r="6300" spans="1:11" ht="42" customHeight="1">
      <c r="A6300" s="2" t="s">
        <v>12485</v>
      </c>
      <c r="B6300" s="2" t="s">
        <v>12485</v>
      </c>
      <c r="C6300" s="2" t="s">
        <v>26</v>
      </c>
      <c r="D6300" s="2" t="s">
        <v>27</v>
      </c>
      <c r="E6300" s="5">
        <v>-28853</v>
      </c>
      <c r="F6300" s="3" t="s">
        <v>3379</v>
      </c>
      <c r="G6300" s="3" t="s">
        <v>128</v>
      </c>
      <c r="H6300" s="2" t="s">
        <v>21</v>
      </c>
      <c r="I6300" s="2" t="s">
        <v>12486</v>
      </c>
      <c r="J6300" s="3" t="str">
        <f>HYPERLINK("https://www.boe.es/gazeta/dias/1820/12/31/pdfs/GGB-1820-188.pdf#page=1","Abrir facsímil")</f>
        <v>Abrir facsímil</v>
      </c>
      <c r="K6300" s="3" t="s">
        <v>23</v>
      </c>
    </row>
    <row r="6301" spans="1:11" ht="42" customHeight="1">
      <c r="A6301" s="2" t="s">
        <v>12487</v>
      </c>
      <c r="B6301" s="2" t="s">
        <v>12487</v>
      </c>
      <c r="C6301" s="2" t="s">
        <v>26</v>
      </c>
      <c r="D6301" s="2" t="s">
        <v>27</v>
      </c>
      <c r="E6301" s="5">
        <v>-28862</v>
      </c>
      <c r="F6301" s="3" t="s">
        <v>1905</v>
      </c>
      <c r="G6301" s="3" t="s">
        <v>128</v>
      </c>
      <c r="H6301" s="2" t="s">
        <v>21</v>
      </c>
      <c r="I6301" s="2" t="s">
        <v>12488</v>
      </c>
      <c r="J6301" s="3" t="str">
        <f>HYPERLINK("https://www.boe.es/gazeta/dias/1820/12/22/pdfs/GGB-1820-179.pdf#page=1","Abrir facsímil")</f>
        <v>Abrir facsímil</v>
      </c>
      <c r="K6301" s="3" t="s">
        <v>23</v>
      </c>
    </row>
    <row r="6302" spans="1:11" ht="42" customHeight="1">
      <c r="A6302" s="2" t="s">
        <v>12489</v>
      </c>
      <c r="B6302" s="2" t="s">
        <v>12490</v>
      </c>
      <c r="C6302" s="2" t="s">
        <v>17</v>
      </c>
      <c r="D6302" s="2" t="s">
        <v>18</v>
      </c>
      <c r="E6302" s="5">
        <v>-28983</v>
      </c>
      <c r="F6302" s="3" t="s">
        <v>682</v>
      </c>
      <c r="G6302" s="3" t="s">
        <v>20</v>
      </c>
      <c r="H6302" s="2" t="s">
        <v>21</v>
      </c>
      <c r="I6302" s="2" t="s">
        <v>12491</v>
      </c>
      <c r="J6302" s="3" t="str">
        <f>HYPERLINK("https://www.boe.es/gazeta/dias/1820/08/23/pdfs/GGB-1820-56.pdf#page=4","Abrir facsímil")</f>
        <v>Abrir facsímil</v>
      </c>
      <c r="K6302" s="3" t="s">
        <v>23</v>
      </c>
    </row>
    <row r="6303" spans="1:11" ht="42" customHeight="1">
      <c r="A6303" s="2" t="s">
        <v>12492</v>
      </c>
      <c r="B6303" s="2" t="s">
        <v>12493</v>
      </c>
      <c r="C6303" s="2" t="s">
        <v>17</v>
      </c>
      <c r="D6303" s="2" t="s">
        <v>18</v>
      </c>
      <c r="E6303" s="5">
        <v>-28931</v>
      </c>
      <c r="F6303" s="3" t="s">
        <v>724</v>
      </c>
      <c r="G6303" s="3" t="s">
        <v>20</v>
      </c>
      <c r="H6303" s="2" t="s">
        <v>21</v>
      </c>
      <c r="I6303" s="2" t="s">
        <v>12494</v>
      </c>
      <c r="J6303" s="3" t="str">
        <f>HYPERLINK("https://www.boe.es/gazeta/dias/1820/10/14/pdfs/GGB-1820-108.pdf#page=4","Abrir facsímil")</f>
        <v>Abrir facsímil</v>
      </c>
      <c r="K6303" s="3" t="s">
        <v>23</v>
      </c>
    </row>
    <row r="6304" spans="1:11" ht="42" customHeight="1">
      <c r="A6304" s="2" t="s">
        <v>12495</v>
      </c>
      <c r="B6304" s="2" t="s">
        <v>12495</v>
      </c>
      <c r="C6304" s="2" t="s">
        <v>26</v>
      </c>
      <c r="D6304" s="2" t="s">
        <v>27</v>
      </c>
      <c r="E6304" s="5">
        <v>-28985</v>
      </c>
      <c r="F6304" s="3" t="s">
        <v>905</v>
      </c>
      <c r="G6304" s="3" t="s">
        <v>62</v>
      </c>
      <c r="H6304" s="2" t="s">
        <v>21</v>
      </c>
      <c r="I6304" s="2" t="s">
        <v>12496</v>
      </c>
      <c r="J6304" s="3" t="str">
        <f>HYPERLINK("https://www.boe.es/gazeta/dias/1820/08/21/pdfs/GGB-1820-54.pdf#page=3","Abrir facsímil")</f>
        <v>Abrir facsímil</v>
      </c>
      <c r="K6304" s="3" t="s">
        <v>23</v>
      </c>
    </row>
    <row r="6305" spans="1:11" ht="42" customHeight="1">
      <c r="A6305" s="2" t="s">
        <v>12497</v>
      </c>
      <c r="B6305" s="2" t="s">
        <v>12498</v>
      </c>
      <c r="C6305" s="2" t="s">
        <v>74</v>
      </c>
      <c r="D6305" s="2" t="s">
        <v>18</v>
      </c>
      <c r="E6305" s="5">
        <v>-28929</v>
      </c>
      <c r="F6305" s="3" t="s">
        <v>728</v>
      </c>
      <c r="G6305" s="3" t="s">
        <v>62</v>
      </c>
      <c r="H6305" s="2" t="s">
        <v>21</v>
      </c>
      <c r="I6305" s="2" t="s">
        <v>12499</v>
      </c>
      <c r="J6305" s="3" t="str">
        <f>HYPERLINK("https://www.boe.es/gazeta/dias/1820/10/16/pdfs/GGB-1820-110.pdf#page=3","Abrir facsímil")</f>
        <v>Abrir facsímil</v>
      </c>
      <c r="K6305" s="3" t="s">
        <v>23</v>
      </c>
    </row>
    <row r="6306" spans="1:11" ht="42" customHeight="1">
      <c r="A6306" s="2" t="s">
        <v>12500</v>
      </c>
      <c r="B6306" s="2" t="s">
        <v>12501</v>
      </c>
      <c r="C6306" s="2" t="s">
        <v>74</v>
      </c>
      <c r="D6306" s="2" t="s">
        <v>18</v>
      </c>
      <c r="E6306" s="5">
        <v>-28972</v>
      </c>
      <c r="F6306" s="3" t="s">
        <v>522</v>
      </c>
      <c r="G6306" s="3" t="s">
        <v>20</v>
      </c>
      <c r="H6306" s="2" t="s">
        <v>30</v>
      </c>
      <c r="I6306" s="2" t="s">
        <v>12502</v>
      </c>
      <c r="J6306" s="3" t="str">
        <f>HYPERLINK("https://www.boe.es/gazeta/dias/1820/09/03/pdfs/GGB-1820-67.pdf#page=4","Abrir facsímil")</f>
        <v>Abrir facsímil</v>
      </c>
      <c r="K6306" s="3" t="s">
        <v>32</v>
      </c>
    </row>
    <row r="6307" spans="1:11" ht="42" customHeight="1">
      <c r="A6307" s="2" t="s">
        <v>12503</v>
      </c>
      <c r="B6307" s="2" t="s">
        <v>12504</v>
      </c>
      <c r="C6307" s="2" t="s">
        <v>107</v>
      </c>
      <c r="D6307" s="2" t="s">
        <v>18</v>
      </c>
      <c r="E6307" s="5">
        <v>-28910</v>
      </c>
      <c r="F6307" s="3" t="s">
        <v>746</v>
      </c>
      <c r="G6307" s="3" t="s">
        <v>62</v>
      </c>
      <c r="H6307" s="2" t="s">
        <v>21</v>
      </c>
      <c r="I6307" s="2" t="s">
        <v>12505</v>
      </c>
      <c r="J6307" s="3" t="str">
        <f>HYPERLINK("https://www.boe.es/gazeta/dias/1820/11/04/pdfs/GGB-1820-129.pdf#page=3","Abrir facsímil")</f>
        <v>Abrir facsímil</v>
      </c>
      <c r="K6307" s="3" t="s">
        <v>23</v>
      </c>
    </row>
    <row r="6308" spans="1:11" ht="42" customHeight="1">
      <c r="A6308" s="2" t="s">
        <v>12506</v>
      </c>
      <c r="B6308" s="2" t="s">
        <v>12507</v>
      </c>
      <c r="C6308" s="2" t="s">
        <v>111</v>
      </c>
      <c r="D6308" s="2" t="s">
        <v>18</v>
      </c>
      <c r="E6308" s="5">
        <v>-28954</v>
      </c>
      <c r="F6308" s="3" t="s">
        <v>28</v>
      </c>
      <c r="G6308" s="3" t="s">
        <v>29</v>
      </c>
      <c r="H6308" s="2" t="s">
        <v>21</v>
      </c>
      <c r="I6308" s="2" t="s">
        <v>12508</v>
      </c>
      <c r="J6308" s="3" t="str">
        <f>HYPERLINK("https://www.boe.es/gazeta/dias/1820/09/21/pdfs/GGB-1820-85.pdf#page=2","Abrir facsímil")</f>
        <v>Abrir facsímil</v>
      </c>
      <c r="K6308" s="3" t="s">
        <v>23</v>
      </c>
    </row>
    <row r="6309" spans="1:11" ht="42" customHeight="1">
      <c r="A6309" s="2" t="s">
        <v>12509</v>
      </c>
      <c r="B6309" s="2" t="s">
        <v>12510</v>
      </c>
      <c r="C6309" s="2" t="s">
        <v>74</v>
      </c>
      <c r="D6309" s="2" t="s">
        <v>18</v>
      </c>
      <c r="E6309" s="5">
        <v>-29021</v>
      </c>
      <c r="F6309" s="3" t="s">
        <v>377</v>
      </c>
      <c r="G6309" s="3" t="s">
        <v>20</v>
      </c>
      <c r="H6309" s="2" t="s">
        <v>30</v>
      </c>
      <c r="I6309" s="2" t="s">
        <v>12511</v>
      </c>
      <c r="J6309" s="3" t="str">
        <f>HYPERLINK("https://www.boe.es/gazeta/dias/1820/07/16/pdfs/GGB-1820-18.pdf#page=4","Abrir facsímil")</f>
        <v>Abrir facsímil</v>
      </c>
      <c r="K6309" s="3" t="s">
        <v>32</v>
      </c>
    </row>
    <row r="6310" spans="1:11" ht="42" customHeight="1">
      <c r="A6310" s="2" t="s">
        <v>12512</v>
      </c>
      <c r="B6310" s="2" t="s">
        <v>12513</v>
      </c>
      <c r="C6310" s="2" t="s">
        <v>26</v>
      </c>
      <c r="D6310" s="2" t="s">
        <v>27</v>
      </c>
      <c r="E6310" s="5">
        <v>-28923</v>
      </c>
      <c r="F6310" s="3" t="s">
        <v>648</v>
      </c>
      <c r="G6310" s="3" t="s">
        <v>62</v>
      </c>
      <c r="H6310" s="2" t="s">
        <v>21</v>
      </c>
      <c r="I6310" s="2" t="s">
        <v>12514</v>
      </c>
      <c r="J6310" s="3" t="str">
        <f>HYPERLINK("https://www.boe.es/gazeta/dias/1820/10/22/pdfs/GGB-1820-116.pdf#page=3","Abrir facsímil")</f>
        <v>Abrir facsímil</v>
      </c>
      <c r="K6310" s="3" t="s">
        <v>23</v>
      </c>
    </row>
    <row r="6311" spans="1:11" ht="42" customHeight="1">
      <c r="A6311" s="2" t="s">
        <v>12515</v>
      </c>
      <c r="B6311" s="2" t="s">
        <v>12516</v>
      </c>
      <c r="C6311" s="2" t="s">
        <v>26</v>
      </c>
      <c r="D6311" s="2" t="s">
        <v>27</v>
      </c>
      <c r="E6311" s="5">
        <v>-28915</v>
      </c>
      <c r="F6311" s="3" t="s">
        <v>525</v>
      </c>
      <c r="G6311" s="3" t="s">
        <v>43</v>
      </c>
      <c r="H6311" s="2" t="s">
        <v>21</v>
      </c>
      <c r="I6311" s="2" t="s">
        <v>12517</v>
      </c>
      <c r="J6311" s="3" t="str">
        <f>HYPERLINK("https://www.boe.es/gazeta/dias/1820/10/30/pdfs/GGB-1820-124.pdf#page=2","Abrir facsímil")</f>
        <v>Abrir facsímil</v>
      </c>
      <c r="K6311" s="3" t="s">
        <v>23</v>
      </c>
    </row>
    <row r="6312" spans="1:11" ht="42" customHeight="1">
      <c r="A6312" s="2" t="s">
        <v>12518</v>
      </c>
      <c r="B6312" s="2" t="s">
        <v>12519</v>
      </c>
      <c r="C6312" s="2" t="s">
        <v>74</v>
      </c>
      <c r="D6312" s="2" t="s">
        <v>18</v>
      </c>
      <c r="E6312" s="5">
        <v>-29008</v>
      </c>
      <c r="F6312" s="3" t="s">
        <v>2250</v>
      </c>
      <c r="G6312" s="3" t="s">
        <v>20</v>
      </c>
      <c r="H6312" s="2" t="s">
        <v>30</v>
      </c>
      <c r="I6312" s="2" t="s">
        <v>12520</v>
      </c>
      <c r="J6312" s="3" t="str">
        <f>HYPERLINK("https://www.boe.es/gazeta/dias/1820/07/29/pdfs/GGB-1820-31.pdf#page=4","Abrir facsímil")</f>
        <v>Abrir facsímil</v>
      </c>
      <c r="K6312" s="3" t="s">
        <v>32</v>
      </c>
    </row>
    <row r="6313" spans="1:11" ht="42" customHeight="1">
      <c r="A6313" s="2" t="s">
        <v>12521</v>
      </c>
      <c r="B6313" s="2" t="s">
        <v>12522</v>
      </c>
      <c r="C6313" s="2" t="s">
        <v>35</v>
      </c>
      <c r="D6313" s="2" t="s">
        <v>36</v>
      </c>
      <c r="E6313" s="5">
        <v>-28999</v>
      </c>
      <c r="F6313" s="3" t="s">
        <v>342</v>
      </c>
      <c r="G6313" s="3" t="s">
        <v>20</v>
      </c>
      <c r="H6313" s="2" t="s">
        <v>21</v>
      </c>
      <c r="I6313" s="2" t="s">
        <v>12523</v>
      </c>
      <c r="J6313" s="3" t="str">
        <f>HYPERLINK("https://www.boe.es/gazeta/dias/1820/08/07/pdfs/GGB-1820-40.pdf#page=4","Abrir facsímil")</f>
        <v>Abrir facsímil</v>
      </c>
      <c r="K6313" s="3" t="s">
        <v>23</v>
      </c>
    </row>
    <row r="6314" spans="1:11" ht="42" customHeight="1">
      <c r="A6314" s="2" t="s">
        <v>12524</v>
      </c>
      <c r="B6314" s="2" t="s">
        <v>12525</v>
      </c>
      <c r="C6314" s="2" t="s">
        <v>107</v>
      </c>
      <c r="D6314" s="2" t="s">
        <v>18</v>
      </c>
      <c r="E6314" s="5">
        <v>-28928</v>
      </c>
      <c r="F6314" s="3" t="s">
        <v>86</v>
      </c>
      <c r="G6314" s="3" t="s">
        <v>62</v>
      </c>
      <c r="H6314" s="2" t="s">
        <v>21</v>
      </c>
      <c r="I6314" s="2" t="s">
        <v>12526</v>
      </c>
      <c r="J6314" s="3" t="str">
        <f>HYPERLINK("https://www.boe.es/gazeta/dias/1820/10/17/pdfs/GGB-1820-111.pdf#page=3","Abrir facsímil")</f>
        <v>Abrir facsímil</v>
      </c>
      <c r="K6314" s="3" t="s">
        <v>23</v>
      </c>
    </row>
    <row r="6315" spans="1:11" ht="42" customHeight="1">
      <c r="A6315" s="2" t="s">
        <v>12527</v>
      </c>
      <c r="B6315" s="2" t="s">
        <v>12528</v>
      </c>
      <c r="C6315" s="2" t="s">
        <v>26</v>
      </c>
      <c r="D6315" s="2" t="s">
        <v>27</v>
      </c>
      <c r="E6315" s="5">
        <v>-29017</v>
      </c>
      <c r="F6315" s="3" t="s">
        <v>274</v>
      </c>
      <c r="G6315" s="3" t="s">
        <v>62</v>
      </c>
      <c r="H6315" s="2" t="s">
        <v>21</v>
      </c>
      <c r="I6315" s="2" t="s">
        <v>12529</v>
      </c>
      <c r="J6315" s="3" t="str">
        <f>HYPERLINK("https://www.boe.es/gazeta/dias/1820/07/20/pdfs/GGB-1820-22.pdf#page=3","Abrir facsímil")</f>
        <v>Abrir facsímil</v>
      </c>
      <c r="K6315" s="3" t="s">
        <v>23</v>
      </c>
    </row>
    <row r="6316" spans="1:11" ht="42" customHeight="1">
      <c r="A6316" s="2" t="s">
        <v>12530</v>
      </c>
      <c r="B6316" s="2" t="s">
        <v>12531</v>
      </c>
      <c r="C6316" s="2" t="s">
        <v>293</v>
      </c>
      <c r="D6316" s="2" t="s">
        <v>18</v>
      </c>
      <c r="E6316" s="5">
        <v>-28914</v>
      </c>
      <c r="F6316" s="3" t="s">
        <v>434</v>
      </c>
      <c r="G6316" s="3" t="s">
        <v>43</v>
      </c>
      <c r="H6316" s="2" t="s">
        <v>21</v>
      </c>
      <c r="I6316" s="2" t="s">
        <v>12532</v>
      </c>
      <c r="J6316" s="3" t="str">
        <f>HYPERLINK("https://www.boe.es/gazeta/dias/1820/10/31/pdfs/GGB-1820-125.pdf#page=2","Abrir facsímil")</f>
        <v>Abrir facsímil</v>
      </c>
      <c r="K6316" s="3" t="s">
        <v>23</v>
      </c>
    </row>
    <row r="6317" spans="1:11" ht="42" customHeight="1">
      <c r="A6317" s="2" t="s">
        <v>12533</v>
      </c>
      <c r="B6317" s="2" t="s">
        <v>12534</v>
      </c>
      <c r="C6317" s="2" t="s">
        <v>17</v>
      </c>
      <c r="D6317" s="2" t="s">
        <v>18</v>
      </c>
      <c r="E6317" s="5">
        <v>-29017</v>
      </c>
      <c r="F6317" s="3" t="s">
        <v>274</v>
      </c>
      <c r="G6317" s="3" t="s">
        <v>62</v>
      </c>
      <c r="H6317" s="2" t="s">
        <v>21</v>
      </c>
      <c r="I6317" s="2" t="s">
        <v>12535</v>
      </c>
      <c r="J6317" s="3" t="str">
        <f>HYPERLINK("https://www.boe.es/gazeta/dias/1820/07/20/pdfs/GGB-1820-22.pdf#page=3","Abrir facsímil")</f>
        <v>Abrir facsímil</v>
      </c>
      <c r="K6317" s="3" t="s">
        <v>23</v>
      </c>
    </row>
    <row r="6318" spans="1:11" ht="42" customHeight="1">
      <c r="A6318" s="2" t="s">
        <v>12536</v>
      </c>
      <c r="B6318" s="2" t="s">
        <v>12537</v>
      </c>
      <c r="C6318" s="2" t="s">
        <v>35</v>
      </c>
      <c r="D6318" s="2" t="s">
        <v>36</v>
      </c>
      <c r="E6318" s="5">
        <v>-28947</v>
      </c>
      <c r="F6318" s="3" t="s">
        <v>127</v>
      </c>
      <c r="G6318" s="3" t="s">
        <v>62</v>
      </c>
      <c r="H6318" s="2" t="s">
        <v>21</v>
      </c>
      <c r="I6318" s="2" t="s">
        <v>12538</v>
      </c>
      <c r="J6318" s="3" t="str">
        <f>HYPERLINK("https://www.boe.es/gazeta/dias/1820/09/28/pdfs/GGB-1820-92.pdf#page=3","Abrir facsímil")</f>
        <v>Abrir facsímil</v>
      </c>
      <c r="K6318" s="3" t="s">
        <v>23</v>
      </c>
    </row>
    <row r="6319" spans="1:11" ht="42" customHeight="1">
      <c r="A6319" s="2" t="s">
        <v>12539</v>
      </c>
      <c r="B6319" s="2" t="s">
        <v>12540</v>
      </c>
      <c r="C6319" s="2" t="s">
        <v>74</v>
      </c>
      <c r="D6319" s="2" t="s">
        <v>18</v>
      </c>
      <c r="E6319" s="5">
        <v>-28924</v>
      </c>
      <c r="F6319" s="3" t="s">
        <v>78</v>
      </c>
      <c r="G6319" s="3" t="s">
        <v>20</v>
      </c>
      <c r="H6319" s="2" t="s">
        <v>21</v>
      </c>
      <c r="I6319" s="2" t="s">
        <v>12541</v>
      </c>
      <c r="J6319" s="3" t="str">
        <f>HYPERLINK("https://www.boe.es/gazeta/dias/1820/10/21/pdfs/GGB-1820-115.pdf#page=4","Abrir facsímil")</f>
        <v>Abrir facsímil</v>
      </c>
      <c r="K6319" s="3" t="s">
        <v>23</v>
      </c>
    </row>
    <row r="6320" spans="1:11" ht="42" customHeight="1">
      <c r="A6320" s="2" t="s">
        <v>12542</v>
      </c>
      <c r="B6320" s="2" t="s">
        <v>12543</v>
      </c>
      <c r="C6320" s="2" t="s">
        <v>26</v>
      </c>
      <c r="D6320" s="2" t="s">
        <v>27</v>
      </c>
      <c r="E6320" s="5">
        <v>-28964</v>
      </c>
      <c r="F6320" s="3" t="s">
        <v>240</v>
      </c>
      <c r="G6320" s="3" t="s">
        <v>43</v>
      </c>
      <c r="H6320" s="2" t="s">
        <v>21</v>
      </c>
      <c r="I6320" s="2" t="s">
        <v>12544</v>
      </c>
      <c r="J6320" s="3" t="str">
        <f>HYPERLINK("https://www.boe.es/gazeta/dias/1820/09/11/pdfs/GGB-1820-75.pdf#page=2","Abrir facsímil")</f>
        <v>Abrir facsímil</v>
      </c>
      <c r="K6320" s="3" t="s">
        <v>23</v>
      </c>
    </row>
    <row r="6321" spans="1:11" ht="42" customHeight="1">
      <c r="A6321" s="2" t="s">
        <v>12545</v>
      </c>
      <c r="B6321" s="2" t="s">
        <v>12546</v>
      </c>
      <c r="C6321" s="2" t="s">
        <v>35</v>
      </c>
      <c r="D6321" s="2" t="s">
        <v>36</v>
      </c>
      <c r="E6321" s="5">
        <v>-28908</v>
      </c>
      <c r="F6321" s="3" t="s">
        <v>1060</v>
      </c>
      <c r="G6321" s="3" t="s">
        <v>43</v>
      </c>
      <c r="H6321" s="2" t="s">
        <v>21</v>
      </c>
      <c r="I6321" s="2" t="s">
        <v>12547</v>
      </c>
      <c r="J6321" s="3" t="str">
        <f>HYPERLINK("https://www.boe.es/gazeta/dias/1820/11/06/pdfs/GGB-1820-131.pdf#page=2","Abrir facsímil")</f>
        <v>Abrir facsímil</v>
      </c>
      <c r="K6321" s="3" t="s">
        <v>23</v>
      </c>
    </row>
    <row r="6322" spans="1:11" ht="42" customHeight="1">
      <c r="A6322" s="2" t="s">
        <v>12548</v>
      </c>
      <c r="B6322" s="2" t="s">
        <v>12548</v>
      </c>
      <c r="C6322" s="2" t="s">
        <v>26</v>
      </c>
      <c r="D6322" s="2" t="s">
        <v>27</v>
      </c>
      <c r="E6322" s="5">
        <v>-28959</v>
      </c>
      <c r="F6322" s="3" t="s">
        <v>37</v>
      </c>
      <c r="G6322" s="3" t="s">
        <v>62</v>
      </c>
      <c r="H6322" s="2" t="s">
        <v>21</v>
      </c>
      <c r="I6322" s="2" t="s">
        <v>12549</v>
      </c>
      <c r="J6322" s="3" t="str">
        <f>HYPERLINK("https://www.boe.es/gazeta/dias/1820/09/16/pdfs/GGB-1820-80.pdf#page=3","Abrir facsímil")</f>
        <v>Abrir facsímil</v>
      </c>
      <c r="K6322" s="3" t="s">
        <v>23</v>
      </c>
    </row>
    <row r="6323" spans="1:11" ht="42" customHeight="1">
      <c r="A6323" s="2" t="s">
        <v>12548</v>
      </c>
      <c r="B6323" s="2" t="s">
        <v>12548</v>
      </c>
      <c r="C6323" s="2" t="s">
        <v>26</v>
      </c>
      <c r="D6323" s="2" t="s">
        <v>27</v>
      </c>
      <c r="E6323" s="5">
        <v>-28948</v>
      </c>
      <c r="F6323" s="3" t="s">
        <v>1069</v>
      </c>
      <c r="G6323" s="3" t="s">
        <v>43</v>
      </c>
      <c r="H6323" s="2" t="s">
        <v>21</v>
      </c>
      <c r="I6323" s="2" t="s">
        <v>12550</v>
      </c>
      <c r="J6323" s="3" t="str">
        <f>HYPERLINK("https://www.boe.es/gazeta/dias/1820/09/27/pdfs/GGB-1820-91.pdf#page=2","Abrir facsímil")</f>
        <v>Abrir facsímil</v>
      </c>
      <c r="K6323" s="3" t="s">
        <v>23</v>
      </c>
    </row>
    <row r="6324" spans="1:11" ht="42" customHeight="1">
      <c r="A6324" s="2" t="s">
        <v>12548</v>
      </c>
      <c r="B6324" s="2" t="s">
        <v>12548</v>
      </c>
      <c r="C6324" s="2" t="s">
        <v>26</v>
      </c>
      <c r="D6324" s="2" t="s">
        <v>27</v>
      </c>
      <c r="E6324" s="5">
        <v>-28913</v>
      </c>
      <c r="F6324" s="3" t="s">
        <v>230</v>
      </c>
      <c r="G6324" s="3" t="s">
        <v>43</v>
      </c>
      <c r="H6324" s="2" t="s">
        <v>21</v>
      </c>
      <c r="I6324" s="2" t="s">
        <v>12551</v>
      </c>
      <c r="J6324" s="3" t="str">
        <f>HYPERLINK("https://www.boe.es/gazeta/dias/1820/11/01/pdfs/GGB-1820-126.pdf#page=2","Abrir facsímil")</f>
        <v>Abrir facsímil</v>
      </c>
      <c r="K6324" s="3" t="s">
        <v>23</v>
      </c>
    </row>
    <row r="6325" spans="1:11" ht="42" customHeight="1">
      <c r="A6325" s="2" t="s">
        <v>12552</v>
      </c>
      <c r="B6325" s="2" t="s">
        <v>12552</v>
      </c>
      <c r="C6325" s="2" t="s">
        <v>26</v>
      </c>
      <c r="D6325" s="2" t="s">
        <v>27</v>
      </c>
      <c r="E6325" s="5">
        <v>-29043</v>
      </c>
      <c r="F6325" s="3" t="s">
        <v>5696</v>
      </c>
      <c r="G6325" s="3" t="s">
        <v>12553</v>
      </c>
      <c r="H6325" s="2" t="s">
        <v>21</v>
      </c>
      <c r="I6325" s="2" t="s">
        <v>12554</v>
      </c>
      <c r="J6325" s="3" t="str">
        <f>HYPERLINK("https://www.boe.es/gazeta/dias/1820/06/24/pdfs/GMD-1820-98.pdf#page=4","Abrir facsímil")</f>
        <v>Abrir facsímil</v>
      </c>
      <c r="K6325" s="3" t="s">
        <v>23</v>
      </c>
    </row>
    <row r="6326" spans="1:11" ht="42" customHeight="1">
      <c r="A6326" s="2" t="s">
        <v>12555</v>
      </c>
      <c r="B6326" s="2" t="s">
        <v>12556</v>
      </c>
      <c r="C6326" s="2" t="s">
        <v>35</v>
      </c>
      <c r="D6326" s="2" t="s">
        <v>36</v>
      </c>
      <c r="E6326" s="5">
        <v>-29208</v>
      </c>
      <c r="F6326" s="3" t="s">
        <v>770</v>
      </c>
      <c r="G6326" s="3" t="s">
        <v>295</v>
      </c>
      <c r="H6326" s="2" t="s">
        <v>21</v>
      </c>
      <c r="I6326" s="2" t="s">
        <v>12557</v>
      </c>
      <c r="J6326" s="3" t="str">
        <f>HYPERLINK("https://www.boe.es/gazeta/dias/1820/01/11/pdfs/GMD-1820-5.pdf#page=8","Abrir facsímil")</f>
        <v>Abrir facsímil</v>
      </c>
      <c r="K6326" s="3" t="s">
        <v>23</v>
      </c>
    </row>
    <row r="6327" spans="1:11" ht="42" customHeight="1">
      <c r="A6327" s="2" t="s">
        <v>12555</v>
      </c>
      <c r="B6327" s="2" t="s">
        <v>12556</v>
      </c>
      <c r="C6327" s="2" t="s">
        <v>35</v>
      </c>
      <c r="D6327" s="2" t="s">
        <v>36</v>
      </c>
      <c r="E6327" s="5">
        <v>-29087</v>
      </c>
      <c r="F6327" s="3" t="s">
        <v>1018</v>
      </c>
      <c r="G6327" s="3" t="s">
        <v>295</v>
      </c>
      <c r="H6327" s="2" t="s">
        <v>21</v>
      </c>
      <c r="I6327" s="2" t="s">
        <v>12558</v>
      </c>
      <c r="J6327" s="3" t="str">
        <f>HYPERLINK("https://www.boe.es/gazeta/dias/1820/05/11/pdfs/GMD-1820-78.pdf#page=8","Abrir facsímil")</f>
        <v>Abrir facsímil</v>
      </c>
      <c r="K6327" s="3" t="s">
        <v>23</v>
      </c>
    </row>
    <row r="6328" spans="1:11" ht="42" customHeight="1">
      <c r="A6328" s="2" t="s">
        <v>12555</v>
      </c>
      <c r="B6328" s="2" t="s">
        <v>12556</v>
      </c>
      <c r="C6328" s="2" t="s">
        <v>26</v>
      </c>
      <c r="D6328" s="2" t="s">
        <v>27</v>
      </c>
      <c r="E6328" s="5">
        <v>-29027</v>
      </c>
      <c r="F6328" s="3" t="s">
        <v>937</v>
      </c>
      <c r="G6328" s="3" t="s">
        <v>20</v>
      </c>
      <c r="H6328" s="2" t="s">
        <v>21</v>
      </c>
      <c r="I6328" s="2" t="s">
        <v>12559</v>
      </c>
      <c r="J6328" s="3" t="str">
        <f>HYPERLINK("https://www.boe.es/gazeta/dias/1820/07/10/pdfs/GGB-1820-11.pdf#page=4","Abrir facsímil")</f>
        <v>Abrir facsímil</v>
      </c>
      <c r="K6328" s="3" t="s">
        <v>23</v>
      </c>
    </row>
    <row r="6329" spans="1:11" ht="42" customHeight="1">
      <c r="A6329" s="2" t="s">
        <v>12560</v>
      </c>
      <c r="B6329" s="2" t="s">
        <v>12560</v>
      </c>
      <c r="C6329" s="2" t="s">
        <v>26</v>
      </c>
      <c r="D6329" s="2" t="s">
        <v>27</v>
      </c>
      <c r="E6329" s="5">
        <v>-28942</v>
      </c>
      <c r="F6329" s="3" t="s">
        <v>244</v>
      </c>
      <c r="G6329" s="3" t="s">
        <v>20</v>
      </c>
      <c r="H6329" s="2" t="s">
        <v>21</v>
      </c>
      <c r="I6329" s="2" t="s">
        <v>12561</v>
      </c>
      <c r="J6329" s="3" t="str">
        <f>HYPERLINK("https://www.boe.es/gazeta/dias/1820/10/03/pdfs/GGB-1820-97.pdf#page=4","Abrir facsímil")</f>
        <v>Abrir facsímil</v>
      </c>
      <c r="K6329" s="3" t="s">
        <v>23</v>
      </c>
    </row>
    <row r="6330" spans="1:11" ht="42" customHeight="1">
      <c r="A6330" s="2" t="s">
        <v>12562</v>
      </c>
      <c r="B6330" s="2" t="s">
        <v>12562</v>
      </c>
      <c r="C6330" s="2" t="s">
        <v>293</v>
      </c>
      <c r="D6330" s="2" t="s">
        <v>310</v>
      </c>
      <c r="E6330" s="5">
        <v>-29145</v>
      </c>
      <c r="F6330" s="3" t="s">
        <v>392</v>
      </c>
      <c r="G6330" s="3" t="s">
        <v>128</v>
      </c>
      <c r="H6330" s="2" t="s">
        <v>21</v>
      </c>
      <c r="I6330" s="2" t="s">
        <v>12563</v>
      </c>
      <c r="J6330" s="3" t="str">
        <f>HYPERLINK("https://www.boe.es/gazeta/dias/1820/03/14/pdfs/GMD-1820-40E.pdf#page=1","Abrir facsímil")</f>
        <v>Abrir facsímil</v>
      </c>
      <c r="K6330" s="3" t="s">
        <v>23</v>
      </c>
    </row>
    <row r="6331" spans="1:11" ht="42" customHeight="1">
      <c r="A6331" s="2" t="s">
        <v>12562</v>
      </c>
      <c r="B6331" s="2" t="s">
        <v>12562</v>
      </c>
      <c r="C6331" s="2" t="s">
        <v>26</v>
      </c>
      <c r="D6331" s="2" t="s">
        <v>27</v>
      </c>
      <c r="E6331" s="5">
        <v>-29029</v>
      </c>
      <c r="F6331" s="3" t="s">
        <v>282</v>
      </c>
      <c r="G6331" s="3" t="s">
        <v>62</v>
      </c>
      <c r="H6331" s="2" t="s">
        <v>21</v>
      </c>
      <c r="I6331" s="2" t="s">
        <v>12564</v>
      </c>
      <c r="J6331" s="3" t="str">
        <f>HYPERLINK("https://www.boe.es/gazeta/dias/1820/07/08/pdfs/GGB-1820-9.pdf#page=3","Abrir facsímil")</f>
        <v>Abrir facsímil</v>
      </c>
      <c r="K6331" s="3" t="s">
        <v>23</v>
      </c>
    </row>
    <row r="6332" spans="1:11" ht="42" customHeight="1">
      <c r="A6332" s="2" t="s">
        <v>12565</v>
      </c>
      <c r="B6332" s="2" t="s">
        <v>12565</v>
      </c>
      <c r="C6332" s="2" t="s">
        <v>26</v>
      </c>
      <c r="D6332" s="2" t="s">
        <v>27</v>
      </c>
      <c r="E6332" s="5">
        <v>-29206</v>
      </c>
      <c r="F6332" s="3" t="s">
        <v>897</v>
      </c>
      <c r="G6332" s="3" t="s">
        <v>20</v>
      </c>
      <c r="H6332" s="2" t="s">
        <v>21</v>
      </c>
      <c r="I6332" s="2" t="s">
        <v>12566</v>
      </c>
      <c r="J6332" s="3" t="str">
        <f>HYPERLINK("https://www.boe.es/gazeta/dias/1820/01/13/pdfs/GMD-1820-6.pdf#page=4","Abrir facsímil")</f>
        <v>Abrir facsímil</v>
      </c>
      <c r="K6332" s="3" t="s">
        <v>23</v>
      </c>
    </row>
    <row r="6333" spans="1:11" ht="42" customHeight="1">
      <c r="A6333" s="2" t="s">
        <v>12565</v>
      </c>
      <c r="B6333" s="2" t="s">
        <v>12565</v>
      </c>
      <c r="C6333" s="2" t="s">
        <v>26</v>
      </c>
      <c r="D6333" s="2" t="s">
        <v>310</v>
      </c>
      <c r="E6333" s="5">
        <v>-29138</v>
      </c>
      <c r="F6333" s="3" t="s">
        <v>2523</v>
      </c>
      <c r="G6333" s="3" t="s">
        <v>2551</v>
      </c>
      <c r="H6333" s="2" t="s">
        <v>21</v>
      </c>
      <c r="I6333" s="2" t="s">
        <v>12567</v>
      </c>
      <c r="J6333" s="3" t="str">
        <f>HYPERLINK("https://www.boe.es/gazeta/dias/1820/03/21/pdfs/GMD-1820-48E.pdf#page=13","Abrir facsímil")</f>
        <v>Abrir facsímil</v>
      </c>
      <c r="K6333" s="3" t="s">
        <v>23</v>
      </c>
    </row>
    <row r="6334" spans="1:11" ht="42" customHeight="1">
      <c r="A6334" s="2" t="s">
        <v>12565</v>
      </c>
      <c r="B6334" s="2" t="s">
        <v>12565</v>
      </c>
      <c r="C6334" s="2" t="s">
        <v>26</v>
      </c>
      <c r="D6334" s="2" t="s">
        <v>310</v>
      </c>
      <c r="E6334" s="5">
        <v>-29132</v>
      </c>
      <c r="F6334" s="3" t="s">
        <v>311</v>
      </c>
      <c r="G6334" s="3" t="s">
        <v>128</v>
      </c>
      <c r="H6334" s="2" t="s">
        <v>21</v>
      </c>
      <c r="I6334" s="2" t="s">
        <v>12568</v>
      </c>
      <c r="J6334" s="3" t="str">
        <f>HYPERLINK("https://www.boe.es/gazeta/dias/1820/03/27/pdfs/GMD-1820-55E.pdf#page=1","Abrir facsímil")</f>
        <v>Abrir facsímil</v>
      </c>
      <c r="K6334" s="3" t="s">
        <v>23</v>
      </c>
    </row>
    <row r="6335" spans="1:11" ht="42" customHeight="1">
      <c r="A6335" s="2" t="s">
        <v>12565</v>
      </c>
      <c r="B6335" s="2" t="s">
        <v>12565</v>
      </c>
      <c r="C6335" s="2" t="s">
        <v>26</v>
      </c>
      <c r="D6335" s="2" t="s">
        <v>27</v>
      </c>
      <c r="E6335" s="5">
        <v>-29099</v>
      </c>
      <c r="F6335" s="3" t="s">
        <v>871</v>
      </c>
      <c r="G6335" s="3" t="s">
        <v>12569</v>
      </c>
      <c r="H6335" s="2" t="s">
        <v>21</v>
      </c>
      <c r="I6335" s="2" t="s">
        <v>12570</v>
      </c>
      <c r="J6335" s="3" t="str">
        <f>HYPERLINK("https://www.boe.es/gazeta/dias/1820/04/29/pdfs/GMD-1820-73.pdf#page=6","Abrir facsímil")</f>
        <v>Abrir facsímil</v>
      </c>
      <c r="K6335" s="3" t="s">
        <v>23</v>
      </c>
    </row>
    <row r="6336" spans="1:11" ht="42" customHeight="1">
      <c r="A6336" s="2" t="s">
        <v>12565</v>
      </c>
      <c r="B6336" s="2" t="s">
        <v>12565</v>
      </c>
      <c r="C6336" s="2" t="s">
        <v>26</v>
      </c>
      <c r="D6336" s="2" t="s">
        <v>27</v>
      </c>
      <c r="E6336" s="5">
        <v>-29082</v>
      </c>
      <c r="F6336" s="3" t="s">
        <v>478</v>
      </c>
      <c r="G6336" s="3" t="s">
        <v>38</v>
      </c>
      <c r="H6336" s="2" t="s">
        <v>21</v>
      </c>
      <c r="I6336" s="2" t="s">
        <v>12571</v>
      </c>
      <c r="J6336" s="3" t="str">
        <f>HYPERLINK("https://www.boe.es/gazeta/dias/1820/05/16/pdfs/GMD-1820-80.pdf#page=6","Abrir facsímil")</f>
        <v>Abrir facsímil</v>
      </c>
      <c r="K6336" s="3" t="s">
        <v>23</v>
      </c>
    </row>
    <row r="6337" spans="1:11" ht="42" customHeight="1">
      <c r="A6337" s="2" t="s">
        <v>12565</v>
      </c>
      <c r="B6337" s="2" t="s">
        <v>12565</v>
      </c>
      <c r="C6337" s="2" t="s">
        <v>26</v>
      </c>
      <c r="D6337" s="2" t="s">
        <v>27</v>
      </c>
      <c r="E6337" s="5">
        <v>-29064</v>
      </c>
      <c r="F6337" s="3" t="s">
        <v>1264</v>
      </c>
      <c r="G6337" s="3" t="s">
        <v>4023</v>
      </c>
      <c r="H6337" s="2" t="s">
        <v>21</v>
      </c>
      <c r="I6337" s="2" t="s">
        <v>12572</v>
      </c>
      <c r="J6337" s="3" t="str">
        <f>HYPERLINK("https://www.boe.es/gazeta/dias/1820/06/03/pdfs/GMD-1820-89.pdf#page=7","Abrir facsímil")</f>
        <v>Abrir facsímil</v>
      </c>
      <c r="K6337" s="3" t="s">
        <v>23</v>
      </c>
    </row>
    <row r="6338" spans="1:11" ht="42" customHeight="1">
      <c r="A6338" s="2" t="s">
        <v>12565</v>
      </c>
      <c r="B6338" s="2" t="s">
        <v>12565</v>
      </c>
      <c r="C6338" s="2" t="s">
        <v>26</v>
      </c>
      <c r="D6338" s="2" t="s">
        <v>27</v>
      </c>
      <c r="E6338" s="5">
        <v>-29047</v>
      </c>
      <c r="F6338" s="3" t="s">
        <v>1033</v>
      </c>
      <c r="G6338" s="3" t="s">
        <v>196</v>
      </c>
      <c r="H6338" s="2" t="s">
        <v>21</v>
      </c>
      <c r="I6338" s="2" t="s">
        <v>12573</v>
      </c>
      <c r="J6338" s="3" t="str">
        <f>HYPERLINK("https://www.boe.es/gazeta/dias/1820/06/20/pdfs/GMD-1820-96.pdf#page=11","Abrir facsímil")</f>
        <v>Abrir facsímil</v>
      </c>
      <c r="K6338" s="3" t="s">
        <v>23</v>
      </c>
    </row>
    <row r="6339" spans="1:11" ht="42" customHeight="1">
      <c r="A6339" s="2" t="s">
        <v>12565</v>
      </c>
      <c r="B6339" s="2" t="s">
        <v>12565</v>
      </c>
      <c r="C6339" s="2" t="s">
        <v>26</v>
      </c>
      <c r="D6339" s="2" t="s">
        <v>27</v>
      </c>
      <c r="E6339" s="5">
        <v>-29035</v>
      </c>
      <c r="F6339" s="3" t="s">
        <v>2267</v>
      </c>
      <c r="G6339" s="3" t="s">
        <v>62</v>
      </c>
      <c r="H6339" s="2" t="s">
        <v>21</v>
      </c>
      <c r="I6339" s="2" t="s">
        <v>12574</v>
      </c>
      <c r="J6339" s="3" t="str">
        <f>HYPERLINK("https://www.boe.es/gazeta/dias/1820/07/02/pdfs/GGB-1820-2.pdf#page=3","Abrir facsímil")</f>
        <v>Abrir facsímil</v>
      </c>
      <c r="K6339" s="3" t="s">
        <v>23</v>
      </c>
    </row>
    <row r="6340" spans="1:11" ht="42" customHeight="1">
      <c r="A6340" s="2" t="s">
        <v>12565</v>
      </c>
      <c r="B6340" s="2" t="s">
        <v>12565</v>
      </c>
      <c r="C6340" s="2" t="s">
        <v>26</v>
      </c>
      <c r="D6340" s="2" t="s">
        <v>27</v>
      </c>
      <c r="E6340" s="5">
        <v>-29034</v>
      </c>
      <c r="F6340" s="3" t="s">
        <v>460</v>
      </c>
      <c r="G6340" s="3" t="s">
        <v>62</v>
      </c>
      <c r="H6340" s="2" t="s">
        <v>21</v>
      </c>
      <c r="I6340" s="2" t="s">
        <v>12575</v>
      </c>
      <c r="J6340" s="3" t="str">
        <f>HYPERLINK("https://www.boe.es/gazeta/dias/1820/07/03/pdfs/GGB-1820-3.pdf#page=3","Abrir facsímil")</f>
        <v>Abrir facsímil</v>
      </c>
      <c r="K6340" s="3" t="s">
        <v>23</v>
      </c>
    </row>
    <row r="6341" spans="1:11" ht="42" customHeight="1">
      <c r="A6341" s="2" t="s">
        <v>12565</v>
      </c>
      <c r="B6341" s="2" t="s">
        <v>12565</v>
      </c>
      <c r="C6341" s="2" t="s">
        <v>26</v>
      </c>
      <c r="D6341" s="2" t="s">
        <v>27</v>
      </c>
      <c r="E6341" s="5">
        <v>-29033</v>
      </c>
      <c r="F6341" s="3" t="s">
        <v>1240</v>
      </c>
      <c r="G6341" s="3" t="s">
        <v>20</v>
      </c>
      <c r="H6341" s="2" t="s">
        <v>21</v>
      </c>
      <c r="I6341" s="2" t="s">
        <v>12576</v>
      </c>
      <c r="J6341" s="3" t="str">
        <f>HYPERLINK("https://www.boe.es/gazeta/dias/1820/07/04/pdfs/GGB-1820-4.pdf#page=4","Abrir facsímil")</f>
        <v>Abrir facsímil</v>
      </c>
      <c r="K6341" s="3" t="s">
        <v>23</v>
      </c>
    </row>
    <row r="6342" spans="1:11" ht="42" customHeight="1">
      <c r="A6342" s="2" t="s">
        <v>12565</v>
      </c>
      <c r="B6342" s="2" t="s">
        <v>12565</v>
      </c>
      <c r="C6342" s="2" t="s">
        <v>35</v>
      </c>
      <c r="D6342" s="2" t="s">
        <v>36</v>
      </c>
      <c r="E6342" s="5">
        <v>-29028</v>
      </c>
      <c r="F6342" s="3" t="s">
        <v>132</v>
      </c>
      <c r="G6342" s="3" t="s">
        <v>62</v>
      </c>
      <c r="H6342" s="2" t="s">
        <v>21</v>
      </c>
      <c r="I6342" s="2" t="s">
        <v>12577</v>
      </c>
      <c r="J6342" s="3" t="str">
        <f>HYPERLINK("https://www.boe.es/gazeta/dias/1820/07/09/pdfs/GGB-1820-10.pdf#page=3","Abrir facsímil")</f>
        <v>Abrir facsímil</v>
      </c>
      <c r="K6342" s="3" t="s">
        <v>23</v>
      </c>
    </row>
    <row r="6343" spans="1:11" ht="42" customHeight="1">
      <c r="A6343" s="2" t="s">
        <v>12565</v>
      </c>
      <c r="B6343" s="2" t="s">
        <v>12565</v>
      </c>
      <c r="C6343" s="2" t="s">
        <v>26</v>
      </c>
      <c r="D6343" s="2" t="s">
        <v>27</v>
      </c>
      <c r="E6343" s="5">
        <v>-29021</v>
      </c>
      <c r="F6343" s="3" t="s">
        <v>377</v>
      </c>
      <c r="G6343" s="3" t="s">
        <v>43</v>
      </c>
      <c r="H6343" s="2" t="s">
        <v>21</v>
      </c>
      <c r="I6343" s="2" t="s">
        <v>12578</v>
      </c>
      <c r="J6343" s="3" t="str">
        <f>HYPERLINK("https://www.boe.es/gazeta/dias/1820/07/16/pdfs/GGB-1820-18.pdf#page=2","Abrir facsímil")</f>
        <v>Abrir facsímil</v>
      </c>
      <c r="K6343" s="3" t="s">
        <v>23</v>
      </c>
    </row>
    <row r="6344" spans="1:11" ht="42" customHeight="1">
      <c r="A6344" s="2" t="s">
        <v>12565</v>
      </c>
      <c r="B6344" s="2" t="s">
        <v>12565</v>
      </c>
      <c r="C6344" s="2" t="s">
        <v>35</v>
      </c>
      <c r="D6344" s="2" t="s">
        <v>36</v>
      </c>
      <c r="E6344" s="5">
        <v>-29020</v>
      </c>
      <c r="F6344" s="3" t="s">
        <v>756</v>
      </c>
      <c r="G6344" s="3" t="s">
        <v>43</v>
      </c>
      <c r="H6344" s="2" t="s">
        <v>21</v>
      </c>
      <c r="I6344" s="2" t="s">
        <v>12579</v>
      </c>
      <c r="J6344" s="3" t="str">
        <f>HYPERLINK("https://www.boe.es/gazeta/dias/1820/07/17/pdfs/GGB-1820-19.pdf#page=2","Abrir facsímil")</f>
        <v>Abrir facsímil</v>
      </c>
      <c r="K6344" s="3" t="s">
        <v>23</v>
      </c>
    </row>
    <row r="6345" spans="1:11" ht="42" customHeight="1">
      <c r="A6345" s="2" t="s">
        <v>12565</v>
      </c>
      <c r="B6345" s="2" t="s">
        <v>12565</v>
      </c>
      <c r="C6345" s="2" t="s">
        <v>26</v>
      </c>
      <c r="D6345" s="2" t="s">
        <v>27</v>
      </c>
      <c r="E6345" s="5">
        <v>-29019</v>
      </c>
      <c r="F6345" s="3" t="s">
        <v>655</v>
      </c>
      <c r="G6345" s="3" t="s">
        <v>945</v>
      </c>
      <c r="H6345" s="2" t="s">
        <v>21</v>
      </c>
      <c r="I6345" s="2" t="s">
        <v>12580</v>
      </c>
      <c r="J6345" s="3" t="str">
        <f>HYPERLINK("https://www.boe.es/gazeta/dias/1820/07/18/pdfs/GGB-1820-20.pdf#page=2","Abrir facsímil")</f>
        <v>Abrir facsímil</v>
      </c>
      <c r="K6345" s="3" t="s">
        <v>23</v>
      </c>
    </row>
    <row r="6346" spans="1:11" ht="42" customHeight="1">
      <c r="A6346" s="2" t="s">
        <v>12565</v>
      </c>
      <c r="B6346" s="2" t="s">
        <v>12565</v>
      </c>
      <c r="C6346" s="2" t="s">
        <v>35</v>
      </c>
      <c r="D6346" s="2" t="s">
        <v>36</v>
      </c>
      <c r="E6346" s="5">
        <v>-29018</v>
      </c>
      <c r="F6346" s="3" t="s">
        <v>601</v>
      </c>
      <c r="G6346" s="3" t="s">
        <v>43</v>
      </c>
      <c r="H6346" s="2" t="s">
        <v>21</v>
      </c>
      <c r="I6346" s="2" t="s">
        <v>12581</v>
      </c>
      <c r="J6346" s="3" t="str">
        <f>HYPERLINK("https://www.boe.es/gazeta/dias/1820/07/19/pdfs/GGB-1820-21.pdf#page=2","Abrir facsímil")</f>
        <v>Abrir facsímil</v>
      </c>
      <c r="K6346" s="3" t="s">
        <v>23</v>
      </c>
    </row>
    <row r="6347" spans="1:11" ht="42" customHeight="1">
      <c r="A6347" s="2" t="s">
        <v>12565</v>
      </c>
      <c r="B6347" s="2" t="s">
        <v>12565</v>
      </c>
      <c r="C6347" s="2" t="s">
        <v>35</v>
      </c>
      <c r="D6347" s="2" t="s">
        <v>36</v>
      </c>
      <c r="E6347" s="5">
        <v>-29018</v>
      </c>
      <c r="F6347" s="3" t="s">
        <v>601</v>
      </c>
      <c r="G6347" s="3" t="s">
        <v>62</v>
      </c>
      <c r="H6347" s="2" t="s">
        <v>21</v>
      </c>
      <c r="I6347" s="2" t="s">
        <v>12582</v>
      </c>
      <c r="J6347" s="3" t="str">
        <f>HYPERLINK("https://www.boe.es/gazeta/dias/1820/07/19/pdfs/GGB-1820-21.pdf#page=3","Abrir facsímil")</f>
        <v>Abrir facsímil</v>
      </c>
      <c r="K6347" s="3" t="s">
        <v>23</v>
      </c>
    </row>
    <row r="6348" spans="1:11" ht="42" customHeight="1">
      <c r="A6348" s="2" t="s">
        <v>12565</v>
      </c>
      <c r="B6348" s="2" t="s">
        <v>12565</v>
      </c>
      <c r="C6348" s="2" t="s">
        <v>35</v>
      </c>
      <c r="D6348" s="2" t="s">
        <v>36</v>
      </c>
      <c r="E6348" s="5">
        <v>-29012</v>
      </c>
      <c r="F6348" s="3" t="s">
        <v>72</v>
      </c>
      <c r="G6348" s="3" t="s">
        <v>20</v>
      </c>
      <c r="H6348" s="2" t="s">
        <v>21</v>
      </c>
      <c r="I6348" s="2" t="s">
        <v>12583</v>
      </c>
      <c r="J6348" s="3" t="str">
        <f>HYPERLINK("https://www.boe.es/gazeta/dias/1820/07/25/pdfs/GGB-1820-27.pdf#page=4","Abrir facsímil")</f>
        <v>Abrir facsímil</v>
      </c>
      <c r="K6348" s="3" t="s">
        <v>23</v>
      </c>
    </row>
    <row r="6349" spans="1:11" ht="42" customHeight="1">
      <c r="A6349" s="2" t="s">
        <v>12565</v>
      </c>
      <c r="B6349" s="2" t="s">
        <v>12565</v>
      </c>
      <c r="C6349" s="2" t="s">
        <v>35</v>
      </c>
      <c r="D6349" s="2" t="s">
        <v>36</v>
      </c>
      <c r="E6349" s="5">
        <v>-29011</v>
      </c>
      <c r="F6349" s="3" t="s">
        <v>338</v>
      </c>
      <c r="G6349" s="3" t="s">
        <v>62</v>
      </c>
      <c r="H6349" s="2" t="s">
        <v>21</v>
      </c>
      <c r="I6349" s="2" t="s">
        <v>12584</v>
      </c>
      <c r="J6349" s="3" t="str">
        <f>HYPERLINK("https://www.boe.es/gazeta/dias/1820/07/26/pdfs/GGB-1820-28.pdf#page=3","Abrir facsímil")</f>
        <v>Abrir facsímil</v>
      </c>
      <c r="K6349" s="3" t="s">
        <v>23</v>
      </c>
    </row>
    <row r="6350" spans="1:11" ht="42" customHeight="1">
      <c r="A6350" s="2" t="s">
        <v>12565</v>
      </c>
      <c r="B6350" s="2" t="s">
        <v>12565</v>
      </c>
      <c r="C6350" s="2" t="s">
        <v>35</v>
      </c>
      <c r="D6350" s="2" t="s">
        <v>36</v>
      </c>
      <c r="E6350" s="5">
        <v>-29010</v>
      </c>
      <c r="F6350" s="3" t="s">
        <v>664</v>
      </c>
      <c r="G6350" s="3" t="s">
        <v>773</v>
      </c>
      <c r="H6350" s="2" t="s">
        <v>21</v>
      </c>
      <c r="I6350" s="2" t="s">
        <v>12585</v>
      </c>
      <c r="J6350" s="3" t="str">
        <f>HYPERLINK("https://www.boe.es/gazeta/dias/1820/07/27/pdfs/GGB-1820-29.pdf#page=4","Abrir facsímil")</f>
        <v>Abrir facsímil</v>
      </c>
      <c r="K6350" s="3" t="s">
        <v>23</v>
      </c>
    </row>
    <row r="6351" spans="1:11" ht="42" customHeight="1">
      <c r="A6351" s="2" t="s">
        <v>12565</v>
      </c>
      <c r="B6351" s="2" t="s">
        <v>12565</v>
      </c>
      <c r="C6351" s="2" t="s">
        <v>35</v>
      </c>
      <c r="D6351" s="2" t="s">
        <v>36</v>
      </c>
      <c r="E6351" s="5">
        <v>-29009</v>
      </c>
      <c r="F6351" s="3" t="s">
        <v>605</v>
      </c>
      <c r="G6351" s="3" t="s">
        <v>20</v>
      </c>
      <c r="H6351" s="2" t="s">
        <v>21</v>
      </c>
      <c r="I6351" s="2" t="s">
        <v>12586</v>
      </c>
      <c r="J6351" s="3" t="str">
        <f>HYPERLINK("https://www.boe.es/gazeta/dias/1820/07/28/pdfs/GGB-1820-30.pdf#page=4","Abrir facsímil")</f>
        <v>Abrir facsímil</v>
      </c>
      <c r="K6351" s="3" t="s">
        <v>23</v>
      </c>
    </row>
    <row r="6352" spans="1:11" ht="42" customHeight="1">
      <c r="A6352" s="2" t="s">
        <v>12565</v>
      </c>
      <c r="B6352" s="2" t="s">
        <v>12565</v>
      </c>
      <c r="C6352" s="2" t="s">
        <v>35</v>
      </c>
      <c r="D6352" s="2" t="s">
        <v>36</v>
      </c>
      <c r="E6352" s="5">
        <v>-29008</v>
      </c>
      <c r="F6352" s="3" t="s">
        <v>2250</v>
      </c>
      <c r="G6352" s="3" t="s">
        <v>20</v>
      </c>
      <c r="H6352" s="2" t="s">
        <v>21</v>
      </c>
      <c r="I6352" s="2" t="s">
        <v>12587</v>
      </c>
      <c r="J6352" s="3" t="str">
        <f>HYPERLINK("https://www.boe.es/gazeta/dias/1820/07/29/pdfs/GGB-1820-31.pdf#page=4","Abrir facsímil")</f>
        <v>Abrir facsímil</v>
      </c>
      <c r="K6352" s="3" t="s">
        <v>23</v>
      </c>
    </row>
    <row r="6353" spans="1:11" ht="42" customHeight="1">
      <c r="A6353" s="2" t="s">
        <v>12565</v>
      </c>
      <c r="B6353" s="2" t="s">
        <v>12565</v>
      </c>
      <c r="C6353" s="2" t="s">
        <v>35</v>
      </c>
      <c r="D6353" s="2" t="s">
        <v>36</v>
      </c>
      <c r="E6353" s="5">
        <v>-29007</v>
      </c>
      <c r="F6353" s="3" t="s">
        <v>251</v>
      </c>
      <c r="G6353" s="3" t="s">
        <v>20</v>
      </c>
      <c r="H6353" s="2" t="s">
        <v>21</v>
      </c>
      <c r="I6353" s="2" t="s">
        <v>12588</v>
      </c>
      <c r="J6353" s="3" t="str">
        <f>HYPERLINK("https://www.boe.es/gazeta/dias/1820/07/30/pdfs/GGB-1820-32.pdf#page=4","Abrir facsímil")</f>
        <v>Abrir facsímil</v>
      </c>
      <c r="K6353" s="3" t="s">
        <v>23</v>
      </c>
    </row>
    <row r="6354" spans="1:11" ht="42" customHeight="1">
      <c r="A6354" s="2" t="s">
        <v>12565</v>
      </c>
      <c r="B6354" s="2" t="s">
        <v>12565</v>
      </c>
      <c r="C6354" s="2" t="s">
        <v>35</v>
      </c>
      <c r="D6354" s="2" t="s">
        <v>36</v>
      </c>
      <c r="E6354" s="5">
        <v>-29006</v>
      </c>
      <c r="F6354" s="3" t="s">
        <v>609</v>
      </c>
      <c r="G6354" s="3" t="s">
        <v>62</v>
      </c>
      <c r="H6354" s="2" t="s">
        <v>21</v>
      </c>
      <c r="I6354" s="2" t="s">
        <v>12589</v>
      </c>
      <c r="J6354" s="3" t="str">
        <f>HYPERLINK("https://www.boe.es/gazeta/dias/1820/07/31/pdfs/GGB-1820-33.pdf#page=3","Abrir facsímil")</f>
        <v>Abrir facsímil</v>
      </c>
      <c r="K6354" s="3" t="s">
        <v>23</v>
      </c>
    </row>
    <row r="6355" spans="1:11" ht="42" customHeight="1">
      <c r="A6355" s="2" t="s">
        <v>12565</v>
      </c>
      <c r="B6355" s="2" t="s">
        <v>12565</v>
      </c>
      <c r="C6355" s="2" t="s">
        <v>35</v>
      </c>
      <c r="D6355" s="2" t="s">
        <v>36</v>
      </c>
      <c r="E6355" s="5">
        <v>-29005</v>
      </c>
      <c r="F6355" s="3" t="s">
        <v>1656</v>
      </c>
      <c r="G6355" s="3" t="s">
        <v>1657</v>
      </c>
      <c r="H6355" s="2" t="s">
        <v>21</v>
      </c>
      <c r="I6355" s="2" t="s">
        <v>12590</v>
      </c>
      <c r="J6355" s="3" t="str">
        <f>HYPERLINK("https://www.boe.es/gazeta/dias/1820/08/01/pdfs/GGB-1820-34.pdf#page=4","Abrir facsímil")</f>
        <v>Abrir facsímil</v>
      </c>
      <c r="K6355" s="3" t="s">
        <v>23</v>
      </c>
    </row>
    <row r="6356" spans="1:11" ht="42" customHeight="1">
      <c r="A6356" s="2" t="s">
        <v>12565</v>
      </c>
      <c r="B6356" s="2" t="s">
        <v>12565</v>
      </c>
      <c r="C6356" s="2" t="s">
        <v>35</v>
      </c>
      <c r="D6356" s="2" t="s">
        <v>36</v>
      </c>
      <c r="E6356" s="5">
        <v>-29004</v>
      </c>
      <c r="F6356" s="3" t="s">
        <v>75</v>
      </c>
      <c r="G6356" s="3" t="s">
        <v>62</v>
      </c>
      <c r="H6356" s="2" t="s">
        <v>21</v>
      </c>
      <c r="I6356" s="2" t="s">
        <v>12591</v>
      </c>
      <c r="J6356" s="3" t="str">
        <f>HYPERLINK("https://www.boe.es/gazeta/dias/1820/08/02/pdfs/GGB-1820-35.pdf#page=3","Abrir facsímil")</f>
        <v>Abrir facsímil</v>
      </c>
      <c r="K6356" s="3" t="s">
        <v>23</v>
      </c>
    </row>
    <row r="6357" spans="1:11" ht="42" customHeight="1">
      <c r="A6357" s="2" t="s">
        <v>12565</v>
      </c>
      <c r="B6357" s="2" t="s">
        <v>12565</v>
      </c>
      <c r="C6357" s="2" t="s">
        <v>35</v>
      </c>
      <c r="D6357" s="2" t="s">
        <v>36</v>
      </c>
      <c r="E6357" s="5">
        <v>-28992</v>
      </c>
      <c r="F6357" s="3" t="s">
        <v>587</v>
      </c>
      <c r="G6357" s="3" t="s">
        <v>128</v>
      </c>
      <c r="H6357" s="2" t="s">
        <v>21</v>
      </c>
      <c r="I6357" s="2" t="s">
        <v>12592</v>
      </c>
      <c r="J6357" s="3" t="str">
        <f>HYPERLINK("https://www.boe.es/gazeta/dias/1820/08/14/pdfs/GGB-1820-47.pdf#page=1","Abrir facsímil")</f>
        <v>Abrir facsímil</v>
      </c>
      <c r="K6357" s="3" t="s">
        <v>23</v>
      </c>
    </row>
    <row r="6358" spans="1:11" ht="42" customHeight="1">
      <c r="A6358" s="2" t="s">
        <v>12565</v>
      </c>
      <c r="B6358" s="2" t="s">
        <v>12565</v>
      </c>
      <c r="C6358" s="2" t="s">
        <v>26</v>
      </c>
      <c r="D6358" s="2" t="s">
        <v>27</v>
      </c>
      <c r="E6358" s="5">
        <v>-28929</v>
      </c>
      <c r="F6358" s="3" t="s">
        <v>728</v>
      </c>
      <c r="G6358" s="3" t="s">
        <v>62</v>
      </c>
      <c r="H6358" s="2" t="s">
        <v>21</v>
      </c>
      <c r="I6358" s="2" t="s">
        <v>12593</v>
      </c>
      <c r="J6358" s="3" t="str">
        <f>HYPERLINK("https://www.boe.es/gazeta/dias/1820/10/16/pdfs/GGB-1820-110.pdf#page=3","Abrir facsímil")</f>
        <v>Abrir facsímil</v>
      </c>
      <c r="K6358" s="3" t="s">
        <v>23</v>
      </c>
    </row>
    <row r="6359" spans="1:11" ht="42" customHeight="1">
      <c r="A6359" s="2" t="s">
        <v>12565</v>
      </c>
      <c r="B6359" s="2" t="s">
        <v>12565</v>
      </c>
      <c r="C6359" s="2" t="s">
        <v>35</v>
      </c>
      <c r="D6359" s="2" t="s">
        <v>36</v>
      </c>
      <c r="E6359" s="5">
        <v>-28926</v>
      </c>
      <c r="F6359" s="3" t="s">
        <v>597</v>
      </c>
      <c r="G6359" s="3" t="s">
        <v>43</v>
      </c>
      <c r="H6359" s="2" t="s">
        <v>21</v>
      </c>
      <c r="I6359" s="2" t="s">
        <v>12594</v>
      </c>
      <c r="J6359" s="3" t="str">
        <f>HYPERLINK("https://www.boe.es/gazeta/dias/1820/10/19/pdfs/GGB-1820-113.pdf#page=2","Abrir facsímil")</f>
        <v>Abrir facsímil</v>
      </c>
      <c r="K6359" s="3" t="s">
        <v>23</v>
      </c>
    </row>
    <row r="6360" spans="1:11" ht="42" customHeight="1">
      <c r="A6360" s="2" t="s">
        <v>12565</v>
      </c>
      <c r="B6360" s="2" t="s">
        <v>12565</v>
      </c>
      <c r="C6360" s="2" t="s">
        <v>35</v>
      </c>
      <c r="D6360" s="2" t="s">
        <v>36</v>
      </c>
      <c r="E6360" s="5">
        <v>-28895</v>
      </c>
      <c r="F6360" s="3" t="s">
        <v>347</v>
      </c>
      <c r="G6360" s="3" t="s">
        <v>62</v>
      </c>
      <c r="H6360" s="2" t="s">
        <v>21</v>
      </c>
      <c r="I6360" s="2" t="s">
        <v>12595</v>
      </c>
      <c r="J6360" s="3" t="str">
        <f>HYPERLINK("https://www.boe.es/gazeta/dias/1820/11/19/pdfs/GGB-1820-146.pdf#page=3","Abrir facsímil")</f>
        <v>Abrir facsímil</v>
      </c>
      <c r="K6360" s="3" t="s">
        <v>23</v>
      </c>
    </row>
    <row r="6361" spans="1:11" ht="42" customHeight="1">
      <c r="A6361" s="2" t="s">
        <v>12565</v>
      </c>
      <c r="B6361" s="2" t="s">
        <v>12565</v>
      </c>
      <c r="C6361" s="2" t="s">
        <v>35</v>
      </c>
      <c r="D6361" s="2" t="s">
        <v>36</v>
      </c>
      <c r="E6361" s="5">
        <v>-28889</v>
      </c>
      <c r="F6361" s="3" t="s">
        <v>777</v>
      </c>
      <c r="G6361" s="3" t="s">
        <v>62</v>
      </c>
      <c r="H6361" s="2" t="s">
        <v>21</v>
      </c>
      <c r="I6361" s="2" t="s">
        <v>12596</v>
      </c>
      <c r="J6361" s="3" t="str">
        <f>HYPERLINK("https://www.boe.es/gazeta/dias/1820/11/25/pdfs/GGB-1820-152.pdf#page=3","Abrir facsímil")</f>
        <v>Abrir facsímil</v>
      </c>
      <c r="K6361" s="3" t="s">
        <v>23</v>
      </c>
    </row>
    <row r="6362" spans="1:11" ht="42" customHeight="1">
      <c r="A6362" s="2" t="s">
        <v>12597</v>
      </c>
      <c r="B6362" s="2" t="s">
        <v>12597</v>
      </c>
      <c r="C6362" s="2" t="s">
        <v>26</v>
      </c>
      <c r="D6362" s="2" t="s">
        <v>27</v>
      </c>
      <c r="E6362" s="5">
        <v>-29166</v>
      </c>
      <c r="F6362" s="3" t="s">
        <v>799</v>
      </c>
      <c r="G6362" s="3" t="s">
        <v>201</v>
      </c>
      <c r="H6362" s="2" t="s">
        <v>21</v>
      </c>
      <c r="I6362" s="2" t="s">
        <v>12598</v>
      </c>
      <c r="J6362" s="3" t="str">
        <f>HYPERLINK("https://www.boe.es/gazeta/dias/1820/02/22/pdfs/GMD-1820-23.pdf#page=7","Abrir facsímil")</f>
        <v>Abrir facsímil</v>
      </c>
      <c r="K6362" s="3" t="s">
        <v>23</v>
      </c>
    </row>
    <row r="6363" spans="1:11" ht="42" customHeight="1">
      <c r="A6363" s="2" t="s">
        <v>12599</v>
      </c>
      <c r="B6363" s="2" t="s">
        <v>12600</v>
      </c>
      <c r="C6363" s="2" t="s">
        <v>26</v>
      </c>
      <c r="D6363" s="2" t="s">
        <v>27</v>
      </c>
      <c r="E6363" s="5">
        <v>-29213</v>
      </c>
      <c r="F6363" s="3" t="s">
        <v>195</v>
      </c>
      <c r="G6363" s="3" t="s">
        <v>196</v>
      </c>
      <c r="H6363" s="2" t="s">
        <v>30</v>
      </c>
      <c r="I6363" s="2" t="s">
        <v>12601</v>
      </c>
      <c r="J6363" s="3" t="str">
        <f>HYPERLINK("https://www.boe.es/gazeta/dias/1820/01/06/pdfs/GMD-1820-3.pdf#page=11","Abrir facsímil")</f>
        <v>Abrir facsímil</v>
      </c>
      <c r="K6363" s="3" t="s">
        <v>32</v>
      </c>
    </row>
    <row r="6364" spans="1:11" ht="42" customHeight="1">
      <c r="A6364" s="2" t="s">
        <v>12602</v>
      </c>
      <c r="B6364" s="2" t="s">
        <v>12603</v>
      </c>
      <c r="C6364" s="2" t="s">
        <v>35</v>
      </c>
      <c r="D6364" s="2" t="s">
        <v>36</v>
      </c>
      <c r="E6364" s="5">
        <v>-29015</v>
      </c>
      <c r="F6364" s="3" t="s">
        <v>359</v>
      </c>
      <c r="G6364" s="3" t="s">
        <v>20</v>
      </c>
      <c r="H6364" s="2" t="s">
        <v>21</v>
      </c>
      <c r="I6364" s="2" t="s">
        <v>12604</v>
      </c>
      <c r="J6364" s="3" t="str">
        <f>HYPERLINK("https://www.boe.es/gazeta/dias/1820/07/22/pdfs/GGB-1820-24.pdf#page=4","Abrir facsímil")</f>
        <v>Abrir facsímil</v>
      </c>
      <c r="K6364" s="3" t="s">
        <v>23</v>
      </c>
    </row>
    <row r="6365" spans="1:11" ht="42" customHeight="1">
      <c r="A6365" s="2" t="s">
        <v>12605</v>
      </c>
      <c r="B6365" s="2" t="s">
        <v>12606</v>
      </c>
      <c r="C6365" s="2" t="s">
        <v>35</v>
      </c>
      <c r="D6365" s="2" t="s">
        <v>36</v>
      </c>
      <c r="E6365" s="5">
        <v>-28877</v>
      </c>
      <c r="F6365" s="3" t="s">
        <v>5611</v>
      </c>
      <c r="G6365" s="3" t="s">
        <v>20</v>
      </c>
      <c r="H6365" s="2" t="s">
        <v>21</v>
      </c>
      <c r="I6365" s="2" t="s">
        <v>12607</v>
      </c>
      <c r="J6365" s="3" t="str">
        <f>HYPERLINK("https://www.boe.es/gazeta/dias/1820/12/07/pdfs/GGB-1820-164.pdf#page=4","Abrir facsímil")</f>
        <v>Abrir facsímil</v>
      </c>
      <c r="K6365" s="3" t="s">
        <v>23</v>
      </c>
    </row>
    <row r="6366" spans="1:11" ht="42" customHeight="1">
      <c r="A6366" s="2" t="s">
        <v>12608</v>
      </c>
      <c r="B6366" s="2" t="s">
        <v>12609</v>
      </c>
      <c r="C6366" s="2" t="s">
        <v>26</v>
      </c>
      <c r="D6366" s="2" t="s">
        <v>27</v>
      </c>
      <c r="E6366" s="5">
        <v>-28987</v>
      </c>
      <c r="F6366" s="3" t="s">
        <v>680</v>
      </c>
      <c r="G6366" s="3" t="s">
        <v>20</v>
      </c>
      <c r="H6366" s="2" t="s">
        <v>21</v>
      </c>
      <c r="I6366" s="2" t="s">
        <v>12610</v>
      </c>
      <c r="J6366" s="3" t="str">
        <f>HYPERLINK("https://www.boe.es/gazeta/dias/1820/08/19/pdfs/GGB-1820-52.pdf#page=4","Abrir facsímil")</f>
        <v>Abrir facsímil</v>
      </c>
      <c r="K6366" s="3" t="s">
        <v>23</v>
      </c>
    </row>
    <row r="6367" spans="1:11" ht="42" customHeight="1">
      <c r="A6367" s="2" t="s">
        <v>12611</v>
      </c>
      <c r="B6367" s="2" t="s">
        <v>12612</v>
      </c>
      <c r="C6367" s="2" t="s">
        <v>293</v>
      </c>
      <c r="D6367" s="2" t="s">
        <v>18</v>
      </c>
      <c r="E6367" s="5">
        <v>-28902</v>
      </c>
      <c r="F6367" s="3" t="s">
        <v>440</v>
      </c>
      <c r="G6367" s="3" t="s">
        <v>62</v>
      </c>
      <c r="H6367" s="2" t="s">
        <v>21</v>
      </c>
      <c r="I6367" s="2" t="s">
        <v>12613</v>
      </c>
      <c r="J6367" s="3" t="str">
        <f>HYPERLINK("https://www.boe.es/gazeta/dias/1820/11/12/pdfs/GGB-1820-138.pdf#page=3","Abrir facsímil")</f>
        <v>Abrir facsímil</v>
      </c>
      <c r="K6367" s="3" t="s">
        <v>23</v>
      </c>
    </row>
    <row r="6368" spans="1:11" ht="42" customHeight="1">
      <c r="A6368" s="2" t="s">
        <v>12614</v>
      </c>
      <c r="B6368" s="2" t="s">
        <v>12615</v>
      </c>
      <c r="C6368" s="2" t="s">
        <v>26</v>
      </c>
      <c r="D6368" s="2" t="s">
        <v>310</v>
      </c>
      <c r="E6368" s="5">
        <v>-29142</v>
      </c>
      <c r="F6368" s="3" t="s">
        <v>2712</v>
      </c>
      <c r="G6368" s="3" t="s">
        <v>43</v>
      </c>
      <c r="H6368" s="2" t="s">
        <v>21</v>
      </c>
      <c r="I6368" s="2" t="s">
        <v>12616</v>
      </c>
      <c r="J6368" s="3" t="str">
        <f>HYPERLINK("https://www.boe.es/gazeta/dias/1820/03/17/pdfs/GMD-1820-43E.pdf#page=2","Abrir facsímil")</f>
        <v>Abrir facsímil</v>
      </c>
      <c r="K6368" s="3" t="s">
        <v>23</v>
      </c>
    </row>
    <row r="6369" spans="1:11" ht="42" customHeight="1">
      <c r="A6369" s="2" t="s">
        <v>12617</v>
      </c>
      <c r="B6369" s="2" t="s">
        <v>12618</v>
      </c>
      <c r="C6369" s="2" t="s">
        <v>35</v>
      </c>
      <c r="D6369" s="2" t="s">
        <v>36</v>
      </c>
      <c r="E6369" s="5">
        <v>-29011</v>
      </c>
      <c r="F6369" s="3" t="s">
        <v>338</v>
      </c>
      <c r="G6369" s="3" t="s">
        <v>62</v>
      </c>
      <c r="H6369" s="2" t="s">
        <v>30</v>
      </c>
      <c r="I6369" s="2" t="s">
        <v>12619</v>
      </c>
      <c r="J6369" s="3" t="str">
        <f>HYPERLINK("https://www.boe.es/gazeta/dias/1820/07/26/pdfs/GGB-1820-28.pdf#page=3","Abrir facsímil")</f>
        <v>Abrir facsímil</v>
      </c>
      <c r="K6369" s="3" t="s">
        <v>32</v>
      </c>
    </row>
    <row r="6370" spans="1:11" ht="42" customHeight="1">
      <c r="A6370" s="2" t="s">
        <v>12620</v>
      </c>
      <c r="B6370" s="2" t="s">
        <v>12620</v>
      </c>
      <c r="C6370" s="2" t="s">
        <v>35</v>
      </c>
      <c r="D6370" s="2" t="s">
        <v>36</v>
      </c>
      <c r="E6370" s="5">
        <v>-29032</v>
      </c>
      <c r="F6370" s="3" t="s">
        <v>3052</v>
      </c>
      <c r="G6370" s="3" t="s">
        <v>821</v>
      </c>
      <c r="H6370" s="2" t="s">
        <v>21</v>
      </c>
      <c r="I6370" s="2" t="s">
        <v>12621</v>
      </c>
      <c r="J6370" s="3" t="str">
        <f>HYPERLINK("https://www.boe.es/gazeta/dias/1820/07/05/pdfs/GGB-1820-5.pdf#page=2","Abrir facsímil")</f>
        <v>Abrir facsímil</v>
      </c>
      <c r="K6370" s="3" t="s">
        <v>23</v>
      </c>
    </row>
    <row r="6371" spans="1:11" ht="42" customHeight="1">
      <c r="A6371" s="2" t="s">
        <v>12622</v>
      </c>
      <c r="B6371" s="2" t="s">
        <v>12623</v>
      </c>
      <c r="C6371" s="2" t="s">
        <v>26</v>
      </c>
      <c r="D6371" s="2" t="s">
        <v>27</v>
      </c>
      <c r="E6371" s="5">
        <v>-28913</v>
      </c>
      <c r="F6371" s="3" t="s">
        <v>230</v>
      </c>
      <c r="G6371" s="3" t="s">
        <v>43</v>
      </c>
      <c r="H6371" s="2" t="s">
        <v>21</v>
      </c>
      <c r="I6371" s="2" t="s">
        <v>12624</v>
      </c>
      <c r="J6371" s="3" t="str">
        <f>HYPERLINK("https://www.boe.es/gazeta/dias/1820/11/01/pdfs/GGB-1820-126.pdf#page=2","Abrir facsímil")</f>
        <v>Abrir facsímil</v>
      </c>
      <c r="K6371" s="3" t="s">
        <v>23</v>
      </c>
    </row>
    <row r="6372" spans="1:11" ht="42" customHeight="1">
      <c r="A6372" s="2" t="s">
        <v>12625</v>
      </c>
      <c r="B6372" s="2" t="s">
        <v>12625</v>
      </c>
      <c r="C6372" s="2" t="s">
        <v>35</v>
      </c>
      <c r="D6372" s="2" t="s">
        <v>36</v>
      </c>
      <c r="E6372" s="5">
        <v>-28891</v>
      </c>
      <c r="F6372" s="3" t="s">
        <v>965</v>
      </c>
      <c r="G6372" s="3" t="s">
        <v>43</v>
      </c>
      <c r="H6372" s="2" t="s">
        <v>21</v>
      </c>
      <c r="I6372" s="2" t="s">
        <v>12626</v>
      </c>
      <c r="J6372" s="3" t="str">
        <f>HYPERLINK("https://www.boe.es/gazeta/dias/1820/11/23/pdfs/GGB-1820-150.pdf#page=2","Abrir facsímil")</f>
        <v>Abrir facsímil</v>
      </c>
      <c r="K6372" s="3" t="s">
        <v>23</v>
      </c>
    </row>
    <row r="6373" spans="1:11" ht="42" customHeight="1">
      <c r="A6373" s="2" t="s">
        <v>12627</v>
      </c>
      <c r="B6373" s="2" t="s">
        <v>12628</v>
      </c>
      <c r="C6373" s="2" t="s">
        <v>74</v>
      </c>
      <c r="D6373" s="2" t="s">
        <v>18</v>
      </c>
      <c r="E6373" s="5">
        <v>-29169</v>
      </c>
      <c r="F6373" s="3" t="s">
        <v>962</v>
      </c>
      <c r="G6373" s="3" t="s">
        <v>20</v>
      </c>
      <c r="H6373" s="2" t="s">
        <v>21</v>
      </c>
      <c r="I6373" s="2" t="s">
        <v>12629</v>
      </c>
      <c r="J6373" s="3" t="str">
        <f>HYPERLINK("https://www.boe.es/gazeta/dias/1820/02/19/pdfs/GMD-1820-22.pdf#page=4","Abrir facsímil")</f>
        <v>Abrir facsímil</v>
      </c>
      <c r="K6373" s="3" t="s">
        <v>23</v>
      </c>
    </row>
    <row r="6374" spans="1:11" ht="42" customHeight="1">
      <c r="A6374" s="2" t="s">
        <v>12630</v>
      </c>
      <c r="B6374" s="2" t="s">
        <v>12631</v>
      </c>
      <c r="C6374" s="2" t="s">
        <v>293</v>
      </c>
      <c r="D6374" s="2" t="s">
        <v>18</v>
      </c>
      <c r="E6374" s="5">
        <v>-28965</v>
      </c>
      <c r="F6374" s="3" t="s">
        <v>1520</v>
      </c>
      <c r="G6374" s="3" t="s">
        <v>20</v>
      </c>
      <c r="H6374" s="2" t="s">
        <v>21</v>
      </c>
      <c r="I6374" s="2" t="s">
        <v>12632</v>
      </c>
      <c r="J6374" s="3" t="str">
        <f>HYPERLINK("https://www.boe.es/gazeta/dias/1820/09/10/pdfs/GGB-1820-74.pdf#page=4","Abrir facsímil")</f>
        <v>Abrir facsímil</v>
      </c>
      <c r="K6374" s="3" t="s">
        <v>23</v>
      </c>
    </row>
    <row r="6375" spans="1:11" ht="42" customHeight="1">
      <c r="A6375" s="2" t="s">
        <v>12633</v>
      </c>
      <c r="B6375" s="2" t="s">
        <v>12634</v>
      </c>
      <c r="C6375" s="2" t="s">
        <v>26</v>
      </c>
      <c r="D6375" s="2" t="s">
        <v>27</v>
      </c>
      <c r="E6375" s="5">
        <v>-28990</v>
      </c>
      <c r="F6375" s="3" t="s">
        <v>61</v>
      </c>
      <c r="G6375" s="3" t="s">
        <v>128</v>
      </c>
      <c r="H6375" s="2" t="s">
        <v>21</v>
      </c>
      <c r="I6375" s="2" t="s">
        <v>12635</v>
      </c>
      <c r="J6375" s="3" t="str">
        <f>HYPERLINK("https://www.boe.es/gazeta/dias/1820/08/16/pdfs/GGB-1820-49.pdf#page=1","Abrir facsímil")</f>
        <v>Abrir facsímil</v>
      </c>
      <c r="K6375" s="3" t="s">
        <v>23</v>
      </c>
    </row>
    <row r="6376" spans="1:11" ht="42" customHeight="1">
      <c r="A6376" s="2" t="s">
        <v>12636</v>
      </c>
      <c r="B6376" s="2" t="s">
        <v>12636</v>
      </c>
      <c r="C6376" s="2" t="s">
        <v>17</v>
      </c>
      <c r="D6376" s="2" t="s">
        <v>18</v>
      </c>
      <c r="E6376" s="5">
        <v>-29008</v>
      </c>
      <c r="F6376" s="3" t="s">
        <v>2250</v>
      </c>
      <c r="G6376" s="3" t="s">
        <v>62</v>
      </c>
      <c r="H6376" s="2" t="s">
        <v>21</v>
      </c>
      <c r="I6376" s="2" t="s">
        <v>12637</v>
      </c>
      <c r="J6376" s="3" t="str">
        <f>HYPERLINK("https://www.boe.es/gazeta/dias/1820/07/29/pdfs/GGB-1820-31.pdf#page=3","Abrir facsímil")</f>
        <v>Abrir facsímil</v>
      </c>
      <c r="K6376" s="3" t="s">
        <v>23</v>
      </c>
    </row>
    <row r="6377" spans="1:11" ht="42" customHeight="1">
      <c r="A6377" s="2" t="s">
        <v>12638</v>
      </c>
      <c r="B6377" s="2" t="s">
        <v>12639</v>
      </c>
      <c r="C6377" s="2" t="s">
        <v>26</v>
      </c>
      <c r="D6377" s="2" t="s">
        <v>27</v>
      </c>
      <c r="E6377" s="5">
        <v>-28990</v>
      </c>
      <c r="F6377" s="3" t="s">
        <v>61</v>
      </c>
      <c r="G6377" s="3" t="s">
        <v>128</v>
      </c>
      <c r="H6377" s="2" t="s">
        <v>21</v>
      </c>
      <c r="I6377" s="2" t="s">
        <v>12640</v>
      </c>
      <c r="J6377" s="3" t="str">
        <f>HYPERLINK("https://www.boe.es/gazeta/dias/1820/08/16/pdfs/GGB-1820-49.pdf#page=1","Abrir facsímil")</f>
        <v>Abrir facsímil</v>
      </c>
      <c r="K6377" s="3" t="s">
        <v>23</v>
      </c>
    </row>
    <row r="6378" spans="1:11" ht="42" customHeight="1">
      <c r="A6378" s="2" t="s">
        <v>12641</v>
      </c>
      <c r="B6378" s="2" t="s">
        <v>12642</v>
      </c>
      <c r="C6378" s="2" t="s">
        <v>111</v>
      </c>
      <c r="D6378" s="2" t="s">
        <v>18</v>
      </c>
      <c r="E6378" s="5">
        <v>-29002</v>
      </c>
      <c r="F6378" s="3" t="s">
        <v>124</v>
      </c>
      <c r="G6378" s="3" t="s">
        <v>20</v>
      </c>
      <c r="H6378" s="2" t="s">
        <v>21</v>
      </c>
      <c r="I6378" s="2" t="s">
        <v>12643</v>
      </c>
      <c r="J6378" s="3" t="str">
        <f>HYPERLINK("https://www.boe.es/gazeta/dias/1820/08/04/pdfs/GGB-1820-37.pdf#page=4","Abrir facsímil")</f>
        <v>Abrir facsímil</v>
      </c>
      <c r="K6378" s="3" t="s">
        <v>23</v>
      </c>
    </row>
    <row r="6379" spans="1:11" ht="42" customHeight="1">
      <c r="A6379" s="2" t="s">
        <v>12644</v>
      </c>
      <c r="B6379" s="2" t="s">
        <v>12644</v>
      </c>
      <c r="C6379" s="2" t="s">
        <v>74</v>
      </c>
      <c r="D6379" s="2" t="s">
        <v>18</v>
      </c>
      <c r="E6379" s="5">
        <v>-28940</v>
      </c>
      <c r="F6379" s="3" t="s">
        <v>141</v>
      </c>
      <c r="G6379" s="3" t="s">
        <v>62</v>
      </c>
      <c r="H6379" s="2" t="s">
        <v>21</v>
      </c>
      <c r="I6379" s="2" t="s">
        <v>12645</v>
      </c>
      <c r="J6379" s="3" t="str">
        <f>HYPERLINK("https://www.boe.es/gazeta/dias/1820/10/05/pdfs/GGB-1820-99.pdf#page=3","Abrir facsímil")</f>
        <v>Abrir facsímil</v>
      </c>
      <c r="K6379" s="3" t="s">
        <v>23</v>
      </c>
    </row>
    <row r="6380" spans="1:11" ht="42" customHeight="1">
      <c r="A6380" s="2" t="s">
        <v>12646</v>
      </c>
      <c r="B6380" s="2" t="s">
        <v>12646</v>
      </c>
      <c r="C6380" s="2" t="s">
        <v>26</v>
      </c>
      <c r="D6380" s="2" t="s">
        <v>27</v>
      </c>
      <c r="E6380" s="5">
        <v>-28998</v>
      </c>
      <c r="F6380" s="3" t="s">
        <v>629</v>
      </c>
      <c r="G6380" s="3" t="s">
        <v>43</v>
      </c>
      <c r="H6380" s="2" t="s">
        <v>21</v>
      </c>
      <c r="I6380" s="2" t="s">
        <v>12647</v>
      </c>
      <c r="J6380" s="3" t="str">
        <f>HYPERLINK("https://www.boe.es/gazeta/dias/1820/08/08/pdfs/GGB-1820-41.pdf#page=2","Abrir facsímil")</f>
        <v>Abrir facsímil</v>
      </c>
      <c r="K6380" s="3" t="s">
        <v>23</v>
      </c>
    </row>
    <row r="6381" spans="1:11" ht="42" customHeight="1">
      <c r="A6381" s="2" t="s">
        <v>12648</v>
      </c>
      <c r="B6381" s="2" t="s">
        <v>12648</v>
      </c>
      <c r="C6381" s="2" t="s">
        <v>17</v>
      </c>
      <c r="D6381" s="2" t="s">
        <v>18</v>
      </c>
      <c r="E6381" s="5">
        <v>-29018</v>
      </c>
      <c r="F6381" s="3" t="s">
        <v>601</v>
      </c>
      <c r="G6381" s="3" t="s">
        <v>43</v>
      </c>
      <c r="H6381" s="2" t="s">
        <v>21</v>
      </c>
      <c r="I6381" s="2" t="s">
        <v>12649</v>
      </c>
      <c r="J6381" s="3" t="str">
        <f>HYPERLINK("https://www.boe.es/gazeta/dias/1820/07/19/pdfs/GGB-1820-21.pdf#page=2","Abrir facsímil")</f>
        <v>Abrir facsímil</v>
      </c>
      <c r="K6381" s="3" t="s">
        <v>23</v>
      </c>
    </row>
    <row r="6382" spans="1:11" ht="42" customHeight="1">
      <c r="A6382" s="2" t="s">
        <v>12648</v>
      </c>
      <c r="B6382" s="2" t="s">
        <v>12648</v>
      </c>
      <c r="C6382" s="2" t="s">
        <v>111</v>
      </c>
      <c r="D6382" s="2" t="s">
        <v>18</v>
      </c>
      <c r="E6382" s="5">
        <v>-29007</v>
      </c>
      <c r="F6382" s="3" t="s">
        <v>251</v>
      </c>
      <c r="G6382" s="3" t="s">
        <v>43</v>
      </c>
      <c r="H6382" s="2" t="s">
        <v>21</v>
      </c>
      <c r="I6382" s="2" t="s">
        <v>12650</v>
      </c>
      <c r="J6382" s="3" t="str">
        <f>HYPERLINK("https://www.boe.es/gazeta/dias/1820/07/30/pdfs/GGB-1820-32.pdf#page=2","Abrir facsímil")</f>
        <v>Abrir facsímil</v>
      </c>
      <c r="K6382" s="3" t="s">
        <v>23</v>
      </c>
    </row>
    <row r="6383" spans="1:11" ht="42" customHeight="1">
      <c r="A6383" s="2" t="s">
        <v>12648</v>
      </c>
      <c r="B6383" s="2" t="s">
        <v>12648</v>
      </c>
      <c r="C6383" s="2" t="s">
        <v>35</v>
      </c>
      <c r="D6383" s="2" t="s">
        <v>36</v>
      </c>
      <c r="E6383" s="5">
        <v>-28994</v>
      </c>
      <c r="F6383" s="3" t="s">
        <v>1612</v>
      </c>
      <c r="G6383" s="3" t="s">
        <v>43</v>
      </c>
      <c r="H6383" s="2" t="s">
        <v>21</v>
      </c>
      <c r="I6383" s="2" t="s">
        <v>12651</v>
      </c>
      <c r="J6383" s="3" t="str">
        <f>HYPERLINK("https://www.boe.es/gazeta/dias/1820/08/12/pdfs/GGB-1820-45.pdf#page=2","Abrir facsímil")</f>
        <v>Abrir facsímil</v>
      </c>
      <c r="K6383" s="3" t="s">
        <v>23</v>
      </c>
    </row>
    <row r="6384" spans="1:11" ht="42" customHeight="1">
      <c r="A6384" s="2" t="s">
        <v>12648</v>
      </c>
      <c r="B6384" s="2" t="s">
        <v>12648</v>
      </c>
      <c r="C6384" s="2" t="s">
        <v>17</v>
      </c>
      <c r="D6384" s="2" t="s">
        <v>18</v>
      </c>
      <c r="E6384" s="5">
        <v>-28989</v>
      </c>
      <c r="F6384" s="3" t="s">
        <v>809</v>
      </c>
      <c r="G6384" s="3" t="s">
        <v>43</v>
      </c>
      <c r="H6384" s="2" t="s">
        <v>21</v>
      </c>
      <c r="I6384" s="2" t="s">
        <v>12652</v>
      </c>
      <c r="J6384" s="3" t="str">
        <f>HYPERLINK("https://www.boe.es/gazeta/dias/1820/08/17/pdfs/GGB-1820-50.pdf#page=2","Abrir facsímil")</f>
        <v>Abrir facsímil</v>
      </c>
      <c r="K6384" s="3" t="s">
        <v>23</v>
      </c>
    </row>
    <row r="6385" spans="1:11" ht="42" customHeight="1">
      <c r="A6385" s="2" t="s">
        <v>12653</v>
      </c>
      <c r="B6385" s="2" t="s">
        <v>12654</v>
      </c>
      <c r="C6385" s="2" t="s">
        <v>26</v>
      </c>
      <c r="D6385" s="2" t="s">
        <v>27</v>
      </c>
      <c r="E6385" s="5">
        <v>-28973</v>
      </c>
      <c r="F6385" s="3" t="s">
        <v>151</v>
      </c>
      <c r="G6385" s="3" t="s">
        <v>20</v>
      </c>
      <c r="H6385" s="2" t="s">
        <v>21</v>
      </c>
      <c r="I6385" s="2" t="s">
        <v>12655</v>
      </c>
      <c r="J6385" s="3" t="str">
        <f>HYPERLINK("https://www.boe.es/gazeta/dias/1820/09/02/pdfs/GGB-1820-66.pdf#page=4","Abrir facsímil")</f>
        <v>Abrir facsímil</v>
      </c>
      <c r="K6385" s="3" t="s">
        <v>23</v>
      </c>
    </row>
    <row r="6386" spans="1:11" ht="42" customHeight="1">
      <c r="A6386" s="2" t="s">
        <v>12656</v>
      </c>
      <c r="B6386" s="2" t="s">
        <v>12657</v>
      </c>
      <c r="C6386" s="2" t="s">
        <v>17</v>
      </c>
      <c r="D6386" s="2" t="s">
        <v>18</v>
      </c>
      <c r="E6386" s="5">
        <v>-29143</v>
      </c>
      <c r="F6386" s="3" t="s">
        <v>334</v>
      </c>
      <c r="G6386" s="3" t="s">
        <v>295</v>
      </c>
      <c r="H6386" s="2" t="s">
        <v>21</v>
      </c>
      <c r="I6386" s="2" t="s">
        <v>12658</v>
      </c>
      <c r="J6386" s="3" t="str">
        <f>HYPERLINK("https://www.boe.es/gazeta/dias/1820/03/16/pdfs/GMD-1820-42.pdf#page=8","Abrir facsímil")</f>
        <v>Abrir facsímil</v>
      </c>
      <c r="K6386" s="3" t="s">
        <v>23</v>
      </c>
    </row>
    <row r="6387" spans="1:11" ht="42" customHeight="1">
      <c r="A6387" s="2" t="s">
        <v>12659</v>
      </c>
      <c r="B6387" s="2" t="s">
        <v>12660</v>
      </c>
      <c r="C6387" s="2" t="s">
        <v>26</v>
      </c>
      <c r="D6387" s="2" t="s">
        <v>27</v>
      </c>
      <c r="E6387" s="5">
        <v>-28881</v>
      </c>
      <c r="F6387" s="3" t="s">
        <v>57</v>
      </c>
      <c r="G6387" s="3" t="s">
        <v>128</v>
      </c>
      <c r="H6387" s="2" t="s">
        <v>21</v>
      </c>
      <c r="I6387" s="2" t="s">
        <v>12661</v>
      </c>
      <c r="J6387" s="3" t="str">
        <f>HYPERLINK("https://www.boe.es/gazeta/dias/1820/12/03/pdfs/GGB-1820-160.pdf#page=1","Abrir facsímil")</f>
        <v>Abrir facsímil</v>
      </c>
      <c r="K6387" s="3" t="s">
        <v>23</v>
      </c>
    </row>
    <row r="6388" spans="1:11" ht="42" customHeight="1">
      <c r="A6388" s="2" t="s">
        <v>12662</v>
      </c>
      <c r="B6388" s="2" t="s">
        <v>12662</v>
      </c>
      <c r="C6388" s="2" t="s">
        <v>26</v>
      </c>
      <c r="D6388" s="2" t="s">
        <v>27</v>
      </c>
      <c r="E6388" s="5">
        <v>-28915</v>
      </c>
      <c r="F6388" s="3" t="s">
        <v>525</v>
      </c>
      <c r="G6388" s="3" t="s">
        <v>43</v>
      </c>
      <c r="H6388" s="2" t="s">
        <v>21</v>
      </c>
      <c r="I6388" s="2" t="s">
        <v>12663</v>
      </c>
      <c r="J6388" s="3" t="str">
        <f>HYPERLINK("https://www.boe.es/gazeta/dias/1820/10/30/pdfs/GGB-1820-124.pdf#page=2","Abrir facsímil")</f>
        <v>Abrir facsímil</v>
      </c>
      <c r="K6388" s="3" t="s">
        <v>23</v>
      </c>
    </row>
    <row r="6389" spans="1:11" ht="42" customHeight="1">
      <c r="A6389" s="2" t="s">
        <v>12664</v>
      </c>
      <c r="B6389" s="2" t="s">
        <v>12665</v>
      </c>
      <c r="C6389" s="2" t="s">
        <v>26</v>
      </c>
      <c r="D6389" s="2" t="s">
        <v>27</v>
      </c>
      <c r="E6389" s="5">
        <v>-28910</v>
      </c>
      <c r="F6389" s="3" t="s">
        <v>746</v>
      </c>
      <c r="G6389" s="3" t="s">
        <v>43</v>
      </c>
      <c r="H6389" s="2" t="s">
        <v>21</v>
      </c>
      <c r="I6389" s="2" t="s">
        <v>12666</v>
      </c>
      <c r="J6389" s="3" t="str">
        <f>HYPERLINK("https://www.boe.es/gazeta/dias/1820/11/04/pdfs/GGB-1820-129.pdf#page=2","Abrir facsímil")</f>
        <v>Abrir facsímil</v>
      </c>
      <c r="K6389" s="3" t="s">
        <v>23</v>
      </c>
    </row>
    <row r="6390" spans="1:11" ht="42" customHeight="1">
      <c r="A6390" s="2" t="s">
        <v>12667</v>
      </c>
      <c r="B6390" s="2" t="s">
        <v>12668</v>
      </c>
      <c r="C6390" s="2" t="s">
        <v>17</v>
      </c>
      <c r="D6390" s="2" t="s">
        <v>18</v>
      </c>
      <c r="E6390" s="5">
        <v>-28869</v>
      </c>
      <c r="F6390" s="3" t="s">
        <v>449</v>
      </c>
      <c r="G6390" s="3" t="s">
        <v>450</v>
      </c>
      <c r="H6390" s="2" t="s">
        <v>21</v>
      </c>
      <c r="I6390" s="2" t="s">
        <v>12669</v>
      </c>
      <c r="J6390" s="3" t="str">
        <f>HYPERLINK("https://www.boe.es/gazeta/dias/1820/12/15/pdfs/GGB-1820-172.pdf#page=4","Abrir facsímil")</f>
        <v>Abrir facsímil</v>
      </c>
      <c r="K6390" s="3" t="s">
        <v>23</v>
      </c>
    </row>
    <row r="6391" spans="1:11" ht="42" customHeight="1">
      <c r="A6391" s="2" t="s">
        <v>12670</v>
      </c>
      <c r="B6391" s="2" t="s">
        <v>12671</v>
      </c>
      <c r="C6391" s="2" t="s">
        <v>26</v>
      </c>
      <c r="D6391" s="2" t="s">
        <v>27</v>
      </c>
      <c r="E6391" s="5">
        <v>-28871</v>
      </c>
      <c r="F6391" s="3" t="s">
        <v>2368</v>
      </c>
      <c r="G6391" s="3" t="s">
        <v>62</v>
      </c>
      <c r="H6391" s="2" t="s">
        <v>21</v>
      </c>
      <c r="I6391" s="2" t="s">
        <v>12672</v>
      </c>
      <c r="J6391" s="3" t="str">
        <f>HYPERLINK("https://www.boe.es/gazeta/dias/1820/12/13/pdfs/GGB-1820-170.pdf#page=3","Abrir facsímil")</f>
        <v>Abrir facsímil</v>
      </c>
      <c r="K6391" s="3" t="s">
        <v>23</v>
      </c>
    </row>
    <row r="6392" spans="1:11" ht="42" customHeight="1">
      <c r="A6392" s="2" t="s">
        <v>12673</v>
      </c>
      <c r="B6392" s="2" t="s">
        <v>12674</v>
      </c>
      <c r="C6392" s="2" t="s">
        <v>111</v>
      </c>
      <c r="D6392" s="2" t="s">
        <v>18</v>
      </c>
      <c r="E6392" s="5">
        <v>-29021</v>
      </c>
      <c r="F6392" s="3" t="s">
        <v>377</v>
      </c>
      <c r="G6392" s="3" t="s">
        <v>20</v>
      </c>
      <c r="H6392" s="2" t="s">
        <v>21</v>
      </c>
      <c r="I6392" s="2" t="s">
        <v>12675</v>
      </c>
      <c r="J6392" s="3" t="str">
        <f>HYPERLINK("https://www.boe.es/gazeta/dias/1820/07/16/pdfs/GGB-1820-18.pdf#page=4","Abrir facsímil")</f>
        <v>Abrir facsímil</v>
      </c>
      <c r="K6392" s="3" t="s">
        <v>23</v>
      </c>
    </row>
    <row r="6393" spans="1:11" ht="42" customHeight="1">
      <c r="A6393" s="2" t="s">
        <v>12676</v>
      </c>
      <c r="B6393" s="2" t="s">
        <v>12676</v>
      </c>
      <c r="C6393" s="2" t="s">
        <v>17</v>
      </c>
      <c r="D6393" s="2" t="s">
        <v>18</v>
      </c>
      <c r="E6393" s="5">
        <v>-28976</v>
      </c>
      <c r="F6393" s="3" t="s">
        <v>689</v>
      </c>
      <c r="G6393" s="3" t="s">
        <v>128</v>
      </c>
      <c r="H6393" s="2" t="s">
        <v>21</v>
      </c>
      <c r="I6393" s="2" t="s">
        <v>12677</v>
      </c>
      <c r="J6393" s="3" t="str">
        <f>HYPERLINK("https://www.boe.es/gazeta/dias/1820/08/30/pdfs/GGB-1820-63.pdf#page=1","Abrir facsímil")</f>
        <v>Abrir facsímil</v>
      </c>
      <c r="K6393" s="3" t="s">
        <v>23</v>
      </c>
    </row>
    <row r="6394" spans="1:11" ht="42" customHeight="1">
      <c r="A6394" s="2" t="s">
        <v>12678</v>
      </c>
      <c r="B6394" s="2" t="s">
        <v>12679</v>
      </c>
      <c r="C6394" s="2" t="s">
        <v>17</v>
      </c>
      <c r="D6394" s="2" t="s">
        <v>18</v>
      </c>
      <c r="E6394" s="5">
        <v>-28931</v>
      </c>
      <c r="F6394" s="3" t="s">
        <v>724</v>
      </c>
      <c r="G6394" s="3" t="s">
        <v>20</v>
      </c>
      <c r="H6394" s="2" t="s">
        <v>21</v>
      </c>
      <c r="I6394" s="2" t="s">
        <v>12680</v>
      </c>
      <c r="J6394" s="3" t="str">
        <f>HYPERLINK("https://www.boe.es/gazeta/dias/1820/10/14/pdfs/GGB-1820-108.pdf#page=4","Abrir facsímil")</f>
        <v>Abrir facsímil</v>
      </c>
      <c r="K6394" s="3" t="s">
        <v>23</v>
      </c>
    </row>
    <row r="6395" spans="1:11" ht="42" customHeight="1">
      <c r="A6395" s="2" t="s">
        <v>12681</v>
      </c>
      <c r="B6395" s="2" t="s">
        <v>12681</v>
      </c>
      <c r="C6395" s="2" t="s">
        <v>26</v>
      </c>
      <c r="D6395" s="2" t="s">
        <v>27</v>
      </c>
      <c r="E6395" s="5">
        <v>-29218</v>
      </c>
      <c r="F6395" s="3" t="s">
        <v>834</v>
      </c>
      <c r="G6395" s="3" t="s">
        <v>43</v>
      </c>
      <c r="H6395" s="2" t="s">
        <v>21</v>
      </c>
      <c r="I6395" s="2" t="s">
        <v>12682</v>
      </c>
      <c r="J6395" s="3" t="str">
        <f>HYPERLINK("https://www.boe.es/gazeta/dias/1820/01/01/pdfs/GMD-1820-1.pdf#page=2","Abrir facsímil")</f>
        <v>Abrir facsímil</v>
      </c>
      <c r="K6395" s="3" t="s">
        <v>23</v>
      </c>
    </row>
    <row r="6396" spans="1:11" ht="42" customHeight="1">
      <c r="A6396" s="2" t="s">
        <v>12681</v>
      </c>
      <c r="B6396" s="2" t="s">
        <v>12681</v>
      </c>
      <c r="C6396" s="2" t="s">
        <v>35</v>
      </c>
      <c r="D6396" s="2" t="s">
        <v>36</v>
      </c>
      <c r="E6396" s="5">
        <v>-29169</v>
      </c>
      <c r="F6396" s="3" t="s">
        <v>962</v>
      </c>
      <c r="G6396" s="3" t="s">
        <v>62</v>
      </c>
      <c r="H6396" s="2" t="s">
        <v>21</v>
      </c>
      <c r="I6396" s="2" t="s">
        <v>12683</v>
      </c>
      <c r="J6396" s="3" t="str">
        <f>HYPERLINK("https://www.boe.es/gazeta/dias/1820/02/19/pdfs/GMD-1820-22.pdf#page=3","Abrir facsímil")</f>
        <v>Abrir facsímil</v>
      </c>
      <c r="K6396" s="3" t="s">
        <v>23</v>
      </c>
    </row>
    <row r="6397" spans="1:11" ht="42" customHeight="1">
      <c r="A6397" s="2" t="s">
        <v>12681</v>
      </c>
      <c r="B6397" s="2" t="s">
        <v>12681</v>
      </c>
      <c r="C6397" s="2" t="s">
        <v>74</v>
      </c>
      <c r="D6397" s="2" t="s">
        <v>18</v>
      </c>
      <c r="E6397" s="5">
        <v>-28904</v>
      </c>
      <c r="F6397" s="3" t="s">
        <v>541</v>
      </c>
      <c r="G6397" s="3" t="s">
        <v>128</v>
      </c>
      <c r="H6397" s="2" t="s">
        <v>21</v>
      </c>
      <c r="I6397" s="2" t="s">
        <v>12684</v>
      </c>
      <c r="J6397" s="3" t="str">
        <f>HYPERLINK("https://www.boe.es/gazeta/dias/1820/11/10/pdfs/GGB-1820-136.pdf#page=1","Abrir facsímil")</f>
        <v>Abrir facsímil</v>
      </c>
      <c r="K6397" s="3" t="s">
        <v>23</v>
      </c>
    </row>
    <row r="6398" spans="1:11" ht="42" customHeight="1">
      <c r="A6398" s="2" t="s">
        <v>12685</v>
      </c>
      <c r="B6398" s="2" t="s">
        <v>12685</v>
      </c>
      <c r="C6398" s="2" t="s">
        <v>26</v>
      </c>
      <c r="D6398" s="2" t="s">
        <v>27</v>
      </c>
      <c r="E6398" s="5">
        <v>-29034</v>
      </c>
      <c r="F6398" s="3" t="s">
        <v>460</v>
      </c>
      <c r="G6398" s="3" t="s">
        <v>461</v>
      </c>
      <c r="H6398" s="2" t="s">
        <v>21</v>
      </c>
      <c r="I6398" s="2" t="s">
        <v>12686</v>
      </c>
      <c r="J6398" s="3" t="str">
        <f>HYPERLINK("https://www.boe.es/gazeta/dias/1820/07/03/pdfs/GGB-1820-3.pdf#page=4","Abrir facsímil")</f>
        <v>Abrir facsímil</v>
      </c>
      <c r="K6398" s="3" t="s">
        <v>23</v>
      </c>
    </row>
    <row r="6399" spans="1:11" ht="42" customHeight="1">
      <c r="A6399" s="2" t="s">
        <v>12687</v>
      </c>
      <c r="B6399" s="2" t="s">
        <v>12687</v>
      </c>
      <c r="C6399" s="2" t="s">
        <v>74</v>
      </c>
      <c r="D6399" s="2" t="s">
        <v>18</v>
      </c>
      <c r="E6399" s="5">
        <v>-29014</v>
      </c>
      <c r="F6399" s="3" t="s">
        <v>70</v>
      </c>
      <c r="G6399" s="3" t="s">
        <v>43</v>
      </c>
      <c r="H6399" s="2" t="s">
        <v>21</v>
      </c>
      <c r="I6399" s="2" t="s">
        <v>12688</v>
      </c>
      <c r="J6399" s="3" t="str">
        <f>HYPERLINK("https://www.boe.es/gazeta/dias/1820/07/23/pdfs/GGB-1820-25.pdf#page=2","Abrir facsímil")</f>
        <v>Abrir facsímil</v>
      </c>
      <c r="K6399" s="3" t="s">
        <v>23</v>
      </c>
    </row>
    <row r="6400" spans="1:11" ht="42" customHeight="1">
      <c r="A6400" s="2" t="s">
        <v>12687</v>
      </c>
      <c r="B6400" s="2" t="s">
        <v>12687</v>
      </c>
      <c r="C6400" s="2" t="s">
        <v>17</v>
      </c>
      <c r="D6400" s="2" t="s">
        <v>18</v>
      </c>
      <c r="E6400" s="5">
        <v>-29010</v>
      </c>
      <c r="F6400" s="3" t="s">
        <v>664</v>
      </c>
      <c r="G6400" s="3" t="s">
        <v>62</v>
      </c>
      <c r="H6400" s="2" t="s">
        <v>21</v>
      </c>
      <c r="I6400" s="2" t="s">
        <v>12689</v>
      </c>
      <c r="J6400" s="3" t="str">
        <f>HYPERLINK("https://www.boe.es/gazeta/dias/1820/07/27/pdfs/GGB-1820-29.pdf#page=3","Abrir facsímil")</f>
        <v>Abrir facsímil</v>
      </c>
      <c r="K6400" s="3" t="s">
        <v>23</v>
      </c>
    </row>
    <row r="6401" spans="1:11" ht="42" customHeight="1">
      <c r="A6401" s="2" t="s">
        <v>12687</v>
      </c>
      <c r="B6401" s="2" t="s">
        <v>12687</v>
      </c>
      <c r="C6401" s="2" t="s">
        <v>17</v>
      </c>
      <c r="D6401" s="2" t="s">
        <v>18</v>
      </c>
      <c r="E6401" s="5">
        <v>-29009</v>
      </c>
      <c r="F6401" s="3" t="s">
        <v>605</v>
      </c>
      <c r="G6401" s="3" t="s">
        <v>20</v>
      </c>
      <c r="H6401" s="2" t="s">
        <v>21</v>
      </c>
      <c r="I6401" s="2" t="s">
        <v>12690</v>
      </c>
      <c r="J6401" s="3" t="str">
        <f>HYPERLINK("https://www.boe.es/gazeta/dias/1820/07/28/pdfs/GGB-1820-30.pdf#page=4","Abrir facsímil")</f>
        <v>Abrir facsímil</v>
      </c>
      <c r="K6401" s="3" t="s">
        <v>23</v>
      </c>
    </row>
    <row r="6402" spans="1:11" ht="42" customHeight="1">
      <c r="A6402" s="2" t="s">
        <v>12687</v>
      </c>
      <c r="B6402" s="2" t="s">
        <v>12687</v>
      </c>
      <c r="C6402" s="2" t="s">
        <v>17</v>
      </c>
      <c r="D6402" s="2" t="s">
        <v>18</v>
      </c>
      <c r="E6402" s="5">
        <v>-29001</v>
      </c>
      <c r="F6402" s="3" t="s">
        <v>633</v>
      </c>
      <c r="G6402" s="3" t="s">
        <v>43</v>
      </c>
      <c r="H6402" s="2" t="s">
        <v>21</v>
      </c>
      <c r="I6402" s="2" t="s">
        <v>12691</v>
      </c>
      <c r="J6402" s="3" t="str">
        <f>HYPERLINK("https://www.boe.es/gazeta/dias/1820/08/05/pdfs/GGB-1820-38.pdf#page=2","Abrir facsímil")</f>
        <v>Abrir facsímil</v>
      </c>
      <c r="K6402" s="3" t="s">
        <v>23</v>
      </c>
    </row>
    <row r="6403" spans="1:11" ht="42" customHeight="1">
      <c r="A6403" s="2" t="s">
        <v>12687</v>
      </c>
      <c r="B6403" s="2" t="s">
        <v>12687</v>
      </c>
      <c r="C6403" s="2" t="s">
        <v>293</v>
      </c>
      <c r="D6403" s="2" t="s">
        <v>18</v>
      </c>
      <c r="E6403" s="5">
        <v>-28996</v>
      </c>
      <c r="F6403" s="3" t="s">
        <v>636</v>
      </c>
      <c r="G6403" s="3" t="s">
        <v>637</v>
      </c>
      <c r="H6403" s="2" t="s">
        <v>21</v>
      </c>
      <c r="I6403" s="2" t="s">
        <v>12692</v>
      </c>
      <c r="J6403" s="3" t="str">
        <f>HYPERLINK("https://www.boe.es/gazeta/dias/1820/08/10/pdfs/GGB-1820-43.pdf#page=3","Abrir facsímil")</f>
        <v>Abrir facsímil</v>
      </c>
      <c r="K6403" s="3" t="s">
        <v>23</v>
      </c>
    </row>
    <row r="6404" spans="1:11" ht="42" customHeight="1">
      <c r="A6404" s="2" t="s">
        <v>12687</v>
      </c>
      <c r="B6404" s="2" t="s">
        <v>12687</v>
      </c>
      <c r="C6404" s="2" t="s">
        <v>293</v>
      </c>
      <c r="D6404" s="2" t="s">
        <v>18</v>
      </c>
      <c r="E6404" s="5">
        <v>-28991</v>
      </c>
      <c r="F6404" s="3" t="s">
        <v>213</v>
      </c>
      <c r="G6404" s="3" t="s">
        <v>62</v>
      </c>
      <c r="H6404" s="2" t="s">
        <v>21</v>
      </c>
      <c r="I6404" s="2" t="s">
        <v>12693</v>
      </c>
      <c r="J6404" s="3" t="str">
        <f>HYPERLINK("https://www.boe.es/gazeta/dias/1820/08/15/pdfs/GGB-1820-48.pdf#page=3","Abrir facsímil")</f>
        <v>Abrir facsímil</v>
      </c>
      <c r="K6404" s="3" t="s">
        <v>23</v>
      </c>
    </row>
    <row r="6405" spans="1:11" ht="42" customHeight="1">
      <c r="A6405" s="2" t="s">
        <v>12687</v>
      </c>
      <c r="B6405" s="2" t="s">
        <v>12687</v>
      </c>
      <c r="C6405" s="2" t="s">
        <v>35</v>
      </c>
      <c r="D6405" s="2" t="s">
        <v>36</v>
      </c>
      <c r="E6405" s="5">
        <v>-28987</v>
      </c>
      <c r="F6405" s="3" t="s">
        <v>680</v>
      </c>
      <c r="G6405" s="3" t="s">
        <v>62</v>
      </c>
      <c r="H6405" s="2" t="s">
        <v>21</v>
      </c>
      <c r="I6405" s="2" t="s">
        <v>12694</v>
      </c>
      <c r="J6405" s="3" t="str">
        <f>HYPERLINK("https://www.boe.es/gazeta/dias/1820/08/19/pdfs/GGB-1820-52.pdf#page=3","Abrir facsímil")</f>
        <v>Abrir facsímil</v>
      </c>
      <c r="K6405" s="3" t="s">
        <v>23</v>
      </c>
    </row>
    <row r="6406" spans="1:11" ht="42" customHeight="1">
      <c r="A6406" s="2" t="s">
        <v>12687</v>
      </c>
      <c r="B6406" s="2" t="s">
        <v>12687</v>
      </c>
      <c r="C6406" s="2" t="s">
        <v>35</v>
      </c>
      <c r="D6406" s="2" t="s">
        <v>36</v>
      </c>
      <c r="E6406" s="5">
        <v>-28987</v>
      </c>
      <c r="F6406" s="3" t="s">
        <v>680</v>
      </c>
      <c r="G6406" s="3" t="s">
        <v>20</v>
      </c>
      <c r="H6406" s="2" t="s">
        <v>21</v>
      </c>
      <c r="I6406" s="2" t="s">
        <v>12695</v>
      </c>
      <c r="J6406" s="3" t="str">
        <f>HYPERLINK("https://www.boe.es/gazeta/dias/1820/08/19/pdfs/GGB-1820-52.pdf#page=4","Abrir facsímil")</f>
        <v>Abrir facsímil</v>
      </c>
      <c r="K6406" s="3" t="s">
        <v>23</v>
      </c>
    </row>
    <row r="6407" spans="1:11" ht="42" customHeight="1">
      <c r="A6407" s="2" t="s">
        <v>12687</v>
      </c>
      <c r="B6407" s="2" t="s">
        <v>12687</v>
      </c>
      <c r="C6407" s="2" t="s">
        <v>17</v>
      </c>
      <c r="D6407" s="2" t="s">
        <v>18</v>
      </c>
      <c r="E6407" s="5">
        <v>-28977</v>
      </c>
      <c r="F6407" s="3" t="s">
        <v>687</v>
      </c>
      <c r="G6407" s="3" t="s">
        <v>20</v>
      </c>
      <c r="H6407" s="2" t="s">
        <v>21</v>
      </c>
      <c r="I6407" s="2" t="s">
        <v>12696</v>
      </c>
      <c r="J6407" s="3" t="str">
        <f>HYPERLINK("https://www.boe.es/gazeta/dias/1820/08/29/pdfs/GGB-1820-62.pdf#page=4","Abrir facsímil")</f>
        <v>Abrir facsímil</v>
      </c>
      <c r="K6407" s="3" t="s">
        <v>23</v>
      </c>
    </row>
    <row r="6408" spans="1:11" ht="42" customHeight="1">
      <c r="A6408" s="2" t="s">
        <v>12687</v>
      </c>
      <c r="B6408" s="2" t="s">
        <v>12687</v>
      </c>
      <c r="C6408" s="2" t="s">
        <v>17</v>
      </c>
      <c r="D6408" s="2" t="s">
        <v>18</v>
      </c>
      <c r="E6408" s="5">
        <v>-28952</v>
      </c>
      <c r="F6408" s="3" t="s">
        <v>370</v>
      </c>
      <c r="G6408" s="3" t="s">
        <v>62</v>
      </c>
      <c r="H6408" s="2" t="s">
        <v>21</v>
      </c>
      <c r="I6408" s="2" t="s">
        <v>12697</v>
      </c>
      <c r="J6408" s="3" t="str">
        <f>HYPERLINK("https://www.boe.es/gazeta/dias/1820/09/23/pdfs/GGB-1820-87.pdf#page=3","Abrir facsímil")</f>
        <v>Abrir facsímil</v>
      </c>
      <c r="K6408" s="3" t="s">
        <v>23</v>
      </c>
    </row>
    <row r="6409" spans="1:11" ht="42" customHeight="1">
      <c r="A6409" s="2" t="s">
        <v>12687</v>
      </c>
      <c r="B6409" s="2" t="s">
        <v>12687</v>
      </c>
      <c r="C6409" s="2" t="s">
        <v>293</v>
      </c>
      <c r="D6409" s="2" t="s">
        <v>18</v>
      </c>
      <c r="E6409" s="5">
        <v>-28936</v>
      </c>
      <c r="F6409" s="3" t="s">
        <v>167</v>
      </c>
      <c r="G6409" s="3" t="s">
        <v>62</v>
      </c>
      <c r="H6409" s="2" t="s">
        <v>21</v>
      </c>
      <c r="I6409" s="2" t="s">
        <v>12698</v>
      </c>
      <c r="J6409" s="3" t="str">
        <f>HYPERLINK("https://www.boe.es/gazeta/dias/1820/10/09/pdfs/GGB-1820-103.pdf#page=3","Abrir facsímil")</f>
        <v>Abrir facsímil</v>
      </c>
      <c r="K6409" s="3" t="s">
        <v>23</v>
      </c>
    </row>
    <row r="6410" spans="1:11" ht="42" customHeight="1">
      <c r="A6410" s="2" t="s">
        <v>12687</v>
      </c>
      <c r="B6410" s="2" t="s">
        <v>12687</v>
      </c>
      <c r="C6410" s="2" t="s">
        <v>74</v>
      </c>
      <c r="D6410" s="2" t="s">
        <v>18</v>
      </c>
      <c r="E6410" s="5">
        <v>-28931</v>
      </c>
      <c r="F6410" s="3" t="s">
        <v>724</v>
      </c>
      <c r="G6410" s="3" t="s">
        <v>725</v>
      </c>
      <c r="H6410" s="2" t="s">
        <v>21</v>
      </c>
      <c r="I6410" s="2" t="s">
        <v>12699</v>
      </c>
      <c r="J6410" s="3" t="str">
        <f>HYPERLINK("https://www.boe.es/gazeta/dias/1820/10/14/pdfs/GGB-1820-108.pdf#page=3","Abrir facsímil")</f>
        <v>Abrir facsímil</v>
      </c>
      <c r="K6410" s="3" t="s">
        <v>23</v>
      </c>
    </row>
    <row r="6411" spans="1:11" ht="42" customHeight="1">
      <c r="A6411" s="2" t="s">
        <v>12687</v>
      </c>
      <c r="B6411" s="2" t="s">
        <v>12687</v>
      </c>
      <c r="C6411" s="2" t="s">
        <v>17</v>
      </c>
      <c r="D6411" s="2" t="s">
        <v>18</v>
      </c>
      <c r="E6411" s="5">
        <v>-28914</v>
      </c>
      <c r="F6411" s="3" t="s">
        <v>434</v>
      </c>
      <c r="G6411" s="3" t="s">
        <v>62</v>
      </c>
      <c r="H6411" s="2" t="s">
        <v>21</v>
      </c>
      <c r="I6411" s="2" t="s">
        <v>12700</v>
      </c>
      <c r="J6411" s="3" t="str">
        <f>HYPERLINK("https://www.boe.es/gazeta/dias/1820/10/31/pdfs/GGB-1820-125.pdf#page=3","Abrir facsímil")</f>
        <v>Abrir facsímil</v>
      </c>
      <c r="K6411" s="3" t="s">
        <v>23</v>
      </c>
    </row>
    <row r="6412" spans="1:11" ht="42" customHeight="1">
      <c r="A6412" s="2" t="s">
        <v>12701</v>
      </c>
      <c r="B6412" s="2" t="s">
        <v>12702</v>
      </c>
      <c r="C6412" s="2" t="s">
        <v>17</v>
      </c>
      <c r="D6412" s="2" t="s">
        <v>18</v>
      </c>
      <c r="E6412" s="5">
        <v>-28869</v>
      </c>
      <c r="F6412" s="3" t="s">
        <v>449</v>
      </c>
      <c r="G6412" s="3" t="s">
        <v>450</v>
      </c>
      <c r="H6412" s="2" t="s">
        <v>21</v>
      </c>
      <c r="I6412" s="2" t="s">
        <v>12703</v>
      </c>
      <c r="J6412" s="3" t="str">
        <f>HYPERLINK("https://www.boe.es/gazeta/dias/1820/12/15/pdfs/GGB-1820-172.pdf#page=4","Abrir facsímil")</f>
        <v>Abrir facsímil</v>
      </c>
      <c r="K6412" s="3" t="s">
        <v>23</v>
      </c>
    </row>
    <row r="6413" spans="1:11" ht="42" customHeight="1">
      <c r="A6413" s="2" t="s">
        <v>12701</v>
      </c>
      <c r="B6413" s="2" t="s">
        <v>12702</v>
      </c>
      <c r="C6413" s="2" t="s">
        <v>35</v>
      </c>
      <c r="D6413" s="2" t="s">
        <v>36</v>
      </c>
      <c r="E6413" s="5">
        <v>-28867</v>
      </c>
      <c r="F6413" s="3" t="s">
        <v>590</v>
      </c>
      <c r="G6413" s="3" t="s">
        <v>62</v>
      </c>
      <c r="H6413" s="2" t="s">
        <v>21</v>
      </c>
      <c r="I6413" s="2" t="s">
        <v>12704</v>
      </c>
      <c r="J6413" s="3" t="str">
        <f>HYPERLINK("https://www.boe.es/gazeta/dias/1820/12/17/pdfs/GGB-1820-174.pdf#page=3","Abrir facsímil")</f>
        <v>Abrir facsímil</v>
      </c>
      <c r="K6413" s="3" t="s">
        <v>23</v>
      </c>
    </row>
    <row r="6414" spans="1:11" ht="42" customHeight="1">
      <c r="A6414" s="2" t="s">
        <v>12705</v>
      </c>
      <c r="B6414" s="2" t="s">
        <v>12706</v>
      </c>
      <c r="C6414" s="2" t="s">
        <v>17</v>
      </c>
      <c r="D6414" s="2" t="s">
        <v>18</v>
      </c>
      <c r="E6414" s="5">
        <v>-29178</v>
      </c>
      <c r="F6414" s="3" t="s">
        <v>782</v>
      </c>
      <c r="G6414" s="3" t="s">
        <v>201</v>
      </c>
      <c r="H6414" s="2" t="s">
        <v>21</v>
      </c>
      <c r="I6414" s="2" t="s">
        <v>12707</v>
      </c>
      <c r="J6414" s="3" t="str">
        <f>HYPERLINK("https://www.boe.es/gazeta/dias/1820/02/10/pdfs/GMD-1820-18.pdf#page=7","Abrir facsímil")</f>
        <v>Abrir facsímil</v>
      </c>
      <c r="K6414" s="3" t="s">
        <v>23</v>
      </c>
    </row>
    <row r="6415" spans="1:11" ht="42" customHeight="1">
      <c r="A6415" s="2" t="s">
        <v>12708</v>
      </c>
      <c r="B6415" s="2" t="s">
        <v>12709</v>
      </c>
      <c r="C6415" s="2" t="s">
        <v>17</v>
      </c>
      <c r="D6415" s="2" t="s">
        <v>18</v>
      </c>
      <c r="E6415" s="5">
        <v>-28931</v>
      </c>
      <c r="F6415" s="3" t="s">
        <v>724</v>
      </c>
      <c r="G6415" s="3" t="s">
        <v>20</v>
      </c>
      <c r="H6415" s="2" t="s">
        <v>21</v>
      </c>
      <c r="I6415" s="2" t="s">
        <v>12710</v>
      </c>
      <c r="J6415" s="3" t="str">
        <f>HYPERLINK("https://www.boe.es/gazeta/dias/1820/10/14/pdfs/GGB-1820-108.pdf#page=4","Abrir facsímil")</f>
        <v>Abrir facsímil</v>
      </c>
      <c r="K6415" s="3" t="s">
        <v>23</v>
      </c>
    </row>
    <row r="6416" spans="1:11" ht="42" customHeight="1">
      <c r="A6416" s="2" t="s">
        <v>12711</v>
      </c>
      <c r="B6416" s="2" t="s">
        <v>12711</v>
      </c>
      <c r="C6416" s="2" t="s">
        <v>74</v>
      </c>
      <c r="D6416" s="2" t="s">
        <v>18</v>
      </c>
      <c r="E6416" s="5">
        <v>-28979</v>
      </c>
      <c r="F6416" s="3" t="s">
        <v>218</v>
      </c>
      <c r="G6416" s="3" t="s">
        <v>62</v>
      </c>
      <c r="H6416" s="2" t="s">
        <v>21</v>
      </c>
      <c r="I6416" s="2" t="s">
        <v>12712</v>
      </c>
      <c r="J6416" s="3" t="str">
        <f>HYPERLINK("https://www.boe.es/gazeta/dias/1820/08/27/pdfs/GGB-1820-60.pdf#page=3","Abrir facsímil")</f>
        <v>Abrir facsímil</v>
      </c>
      <c r="K6416" s="3" t="s">
        <v>23</v>
      </c>
    </row>
    <row r="6417" spans="1:11" ht="42" customHeight="1">
      <c r="A6417" s="2" t="s">
        <v>12713</v>
      </c>
      <c r="B6417" s="2" t="s">
        <v>12713</v>
      </c>
      <c r="C6417" s="2" t="s">
        <v>111</v>
      </c>
      <c r="D6417" s="2" t="s">
        <v>18</v>
      </c>
      <c r="E6417" s="5">
        <v>-29018</v>
      </c>
      <c r="F6417" s="3" t="s">
        <v>601</v>
      </c>
      <c r="G6417" s="3" t="s">
        <v>43</v>
      </c>
      <c r="H6417" s="2" t="s">
        <v>21</v>
      </c>
      <c r="I6417" s="2" t="s">
        <v>12714</v>
      </c>
      <c r="J6417" s="3" t="str">
        <f>HYPERLINK("https://www.boe.es/gazeta/dias/1820/07/19/pdfs/GGB-1820-21.pdf#page=2","Abrir facsímil")</f>
        <v>Abrir facsímil</v>
      </c>
      <c r="K6417" s="3" t="s">
        <v>23</v>
      </c>
    </row>
    <row r="6418" spans="1:11" ht="42" customHeight="1">
      <c r="A6418" s="2" t="s">
        <v>12713</v>
      </c>
      <c r="B6418" s="2" t="s">
        <v>12713</v>
      </c>
      <c r="C6418" s="2" t="s">
        <v>35</v>
      </c>
      <c r="D6418" s="2" t="s">
        <v>36</v>
      </c>
      <c r="E6418" s="5">
        <v>-28990</v>
      </c>
      <c r="F6418" s="3" t="s">
        <v>61</v>
      </c>
      <c r="G6418" s="3" t="s">
        <v>62</v>
      </c>
      <c r="H6418" s="2" t="s">
        <v>21</v>
      </c>
      <c r="I6418" s="2" t="s">
        <v>12715</v>
      </c>
      <c r="J6418" s="3" t="str">
        <f>HYPERLINK("https://www.boe.es/gazeta/dias/1820/08/16/pdfs/GGB-1820-49.pdf#page=3","Abrir facsímil")</f>
        <v>Abrir facsímil</v>
      </c>
      <c r="K6418" s="3" t="s">
        <v>23</v>
      </c>
    </row>
    <row r="6419" spans="1:11" ht="42" customHeight="1">
      <c r="A6419" s="2" t="s">
        <v>12713</v>
      </c>
      <c r="B6419" s="2" t="s">
        <v>12713</v>
      </c>
      <c r="C6419" s="2" t="s">
        <v>26</v>
      </c>
      <c r="D6419" s="2" t="s">
        <v>27</v>
      </c>
      <c r="E6419" s="5">
        <v>-28987</v>
      </c>
      <c r="F6419" s="3" t="s">
        <v>680</v>
      </c>
      <c r="G6419" s="3" t="s">
        <v>1300</v>
      </c>
      <c r="H6419" s="2" t="s">
        <v>21</v>
      </c>
      <c r="I6419" s="2" t="s">
        <v>12716</v>
      </c>
      <c r="J6419" s="3" t="str">
        <f>HYPERLINK("https://www.boe.es/gazeta/dias/1820/08/19/pdfs/GGB-1820-52.pdf#page=2","Abrir facsímil")</f>
        <v>Abrir facsímil</v>
      </c>
      <c r="K6419" s="3" t="s">
        <v>23</v>
      </c>
    </row>
    <row r="6420" spans="1:11" ht="42" customHeight="1">
      <c r="A6420" s="2" t="s">
        <v>12713</v>
      </c>
      <c r="B6420" s="2" t="s">
        <v>12713</v>
      </c>
      <c r="C6420" s="2" t="s">
        <v>74</v>
      </c>
      <c r="D6420" s="2" t="s">
        <v>18</v>
      </c>
      <c r="E6420" s="5">
        <v>-28981</v>
      </c>
      <c r="F6420" s="3" t="s">
        <v>42</v>
      </c>
      <c r="G6420" s="3" t="s">
        <v>62</v>
      </c>
      <c r="H6420" s="2" t="s">
        <v>21</v>
      </c>
      <c r="I6420" s="2" t="s">
        <v>12717</v>
      </c>
      <c r="J6420" s="3" t="str">
        <f>HYPERLINK("https://www.boe.es/gazeta/dias/1820/08/25/pdfs/GGB-1820-58.pdf#page=3","Abrir facsímil")</f>
        <v>Abrir facsímil</v>
      </c>
      <c r="K6420" s="3" t="s">
        <v>23</v>
      </c>
    </row>
    <row r="6421" spans="1:11" ht="42" customHeight="1">
      <c r="A6421" s="2" t="s">
        <v>12713</v>
      </c>
      <c r="B6421" s="2" t="s">
        <v>12713</v>
      </c>
      <c r="C6421" s="2" t="s">
        <v>111</v>
      </c>
      <c r="D6421" s="2" t="s">
        <v>18</v>
      </c>
      <c r="E6421" s="5">
        <v>-28979</v>
      </c>
      <c r="F6421" s="3" t="s">
        <v>218</v>
      </c>
      <c r="G6421" s="3" t="s">
        <v>62</v>
      </c>
      <c r="H6421" s="2" t="s">
        <v>21</v>
      </c>
      <c r="I6421" s="2" t="s">
        <v>12718</v>
      </c>
      <c r="J6421" s="3" t="str">
        <f>HYPERLINK("https://www.boe.es/gazeta/dias/1820/08/27/pdfs/GGB-1820-60.pdf#page=3","Abrir facsímil")</f>
        <v>Abrir facsímil</v>
      </c>
      <c r="K6421" s="3" t="s">
        <v>23</v>
      </c>
    </row>
    <row r="6422" spans="1:11" ht="42" customHeight="1">
      <c r="A6422" s="2" t="s">
        <v>12713</v>
      </c>
      <c r="B6422" s="2" t="s">
        <v>12713</v>
      </c>
      <c r="C6422" s="2" t="s">
        <v>26</v>
      </c>
      <c r="D6422" s="2" t="s">
        <v>27</v>
      </c>
      <c r="E6422" s="5">
        <v>-28979</v>
      </c>
      <c r="F6422" s="3" t="s">
        <v>218</v>
      </c>
      <c r="G6422" s="3" t="s">
        <v>20</v>
      </c>
      <c r="H6422" s="2" t="s">
        <v>21</v>
      </c>
      <c r="I6422" s="2" t="s">
        <v>12719</v>
      </c>
      <c r="J6422" s="3" t="str">
        <f>HYPERLINK("https://www.boe.es/gazeta/dias/1820/08/27/pdfs/GGB-1820-60.pdf#page=4","Abrir facsímil")</f>
        <v>Abrir facsímil</v>
      </c>
      <c r="K6422" s="3" t="s">
        <v>23</v>
      </c>
    </row>
    <row r="6423" spans="1:11" ht="42" customHeight="1">
      <c r="A6423" s="2" t="s">
        <v>12713</v>
      </c>
      <c r="B6423" s="2" t="s">
        <v>12713</v>
      </c>
      <c r="C6423" s="2" t="s">
        <v>17</v>
      </c>
      <c r="D6423" s="2" t="s">
        <v>18</v>
      </c>
      <c r="E6423" s="5">
        <v>-28962</v>
      </c>
      <c r="F6423" s="3" t="s">
        <v>90</v>
      </c>
      <c r="G6423" s="3" t="s">
        <v>62</v>
      </c>
      <c r="H6423" s="2" t="s">
        <v>21</v>
      </c>
      <c r="I6423" s="2" t="s">
        <v>12720</v>
      </c>
      <c r="J6423" s="3" t="str">
        <f>HYPERLINK("https://www.boe.es/gazeta/dias/1820/09/13/pdfs/GGB-1820-77.pdf#page=3","Abrir facsímil")</f>
        <v>Abrir facsímil</v>
      </c>
      <c r="K6423" s="3" t="s">
        <v>23</v>
      </c>
    </row>
    <row r="6424" spans="1:11" ht="42" customHeight="1">
      <c r="A6424" s="2" t="s">
        <v>12713</v>
      </c>
      <c r="B6424" s="2" t="s">
        <v>12713</v>
      </c>
      <c r="C6424" s="2" t="s">
        <v>17</v>
      </c>
      <c r="D6424" s="2" t="s">
        <v>18</v>
      </c>
      <c r="E6424" s="5">
        <v>-28961</v>
      </c>
      <c r="F6424" s="3" t="s">
        <v>242</v>
      </c>
      <c r="G6424" s="3" t="s">
        <v>62</v>
      </c>
      <c r="H6424" s="2" t="s">
        <v>21</v>
      </c>
      <c r="I6424" s="2" t="s">
        <v>12721</v>
      </c>
      <c r="J6424" s="3" t="str">
        <f>HYPERLINK("https://www.boe.es/gazeta/dias/1820/09/14/pdfs/GGB-1820-78.pdf#page=3","Abrir facsímil")</f>
        <v>Abrir facsímil</v>
      </c>
      <c r="K6424" s="3" t="s">
        <v>23</v>
      </c>
    </row>
    <row r="6425" spans="1:11" ht="42" customHeight="1">
      <c r="A6425" s="2" t="s">
        <v>12713</v>
      </c>
      <c r="B6425" s="2" t="s">
        <v>12713</v>
      </c>
      <c r="C6425" s="2" t="s">
        <v>293</v>
      </c>
      <c r="D6425" s="2" t="s">
        <v>18</v>
      </c>
      <c r="E6425" s="5">
        <v>-28933</v>
      </c>
      <c r="F6425" s="3" t="s">
        <v>720</v>
      </c>
      <c r="G6425" s="3" t="s">
        <v>20</v>
      </c>
      <c r="H6425" s="2" t="s">
        <v>21</v>
      </c>
      <c r="I6425" s="2" t="s">
        <v>12722</v>
      </c>
      <c r="J6425" s="3" t="str">
        <f>HYPERLINK("https://www.boe.es/gazeta/dias/1820/10/12/pdfs/GGB-1820-106.pdf#page=4","Abrir facsímil")</f>
        <v>Abrir facsímil</v>
      </c>
      <c r="K6425" s="3" t="s">
        <v>23</v>
      </c>
    </row>
    <row r="6426" spans="1:11" ht="42" customHeight="1">
      <c r="A6426" s="2" t="s">
        <v>12713</v>
      </c>
      <c r="B6426" s="2" t="s">
        <v>12713</v>
      </c>
      <c r="C6426" s="2" t="s">
        <v>17</v>
      </c>
      <c r="D6426" s="2" t="s">
        <v>18</v>
      </c>
      <c r="E6426" s="5">
        <v>-28927</v>
      </c>
      <c r="F6426" s="3" t="s">
        <v>345</v>
      </c>
      <c r="G6426" s="3" t="s">
        <v>43</v>
      </c>
      <c r="H6426" s="2" t="s">
        <v>21</v>
      </c>
      <c r="I6426" s="2" t="s">
        <v>12723</v>
      </c>
      <c r="J6426" s="3" t="str">
        <f>HYPERLINK("https://www.boe.es/gazeta/dias/1820/10/18/pdfs/GGB-1820-112.pdf#page=2","Abrir facsímil")</f>
        <v>Abrir facsímil</v>
      </c>
      <c r="K6426" s="3" t="s">
        <v>23</v>
      </c>
    </row>
    <row r="6427" spans="1:11" ht="42" customHeight="1">
      <c r="A6427" s="2" t="s">
        <v>12713</v>
      </c>
      <c r="B6427" s="2" t="s">
        <v>12713</v>
      </c>
      <c r="C6427" s="2" t="s">
        <v>293</v>
      </c>
      <c r="D6427" s="2" t="s">
        <v>18</v>
      </c>
      <c r="E6427" s="5">
        <v>-28914</v>
      </c>
      <c r="F6427" s="3" t="s">
        <v>434</v>
      </c>
      <c r="G6427" s="3" t="s">
        <v>43</v>
      </c>
      <c r="H6427" s="2" t="s">
        <v>21</v>
      </c>
      <c r="I6427" s="2" t="s">
        <v>12724</v>
      </c>
      <c r="J6427" s="3" t="str">
        <f>HYPERLINK("https://www.boe.es/gazeta/dias/1820/10/31/pdfs/GGB-1820-125.pdf#page=2","Abrir facsímil")</f>
        <v>Abrir facsímil</v>
      </c>
      <c r="K6427" s="3" t="s">
        <v>23</v>
      </c>
    </row>
    <row r="6428" spans="1:11" ht="42" customHeight="1">
      <c r="A6428" s="2" t="s">
        <v>12713</v>
      </c>
      <c r="B6428" s="2" t="s">
        <v>12713</v>
      </c>
      <c r="C6428" s="2" t="s">
        <v>293</v>
      </c>
      <c r="D6428" s="2" t="s">
        <v>18</v>
      </c>
      <c r="E6428" s="5">
        <v>-28910</v>
      </c>
      <c r="F6428" s="3" t="s">
        <v>746</v>
      </c>
      <c r="G6428" s="3" t="s">
        <v>62</v>
      </c>
      <c r="H6428" s="2" t="s">
        <v>21</v>
      </c>
      <c r="I6428" s="2" t="s">
        <v>12725</v>
      </c>
      <c r="J6428" s="3" t="str">
        <f>HYPERLINK("https://www.boe.es/gazeta/dias/1820/11/04/pdfs/GGB-1820-129.pdf#page=3","Abrir facsímil")</f>
        <v>Abrir facsímil</v>
      </c>
      <c r="K6428" s="3" t="s">
        <v>23</v>
      </c>
    </row>
    <row r="6429" spans="1:11" ht="42" customHeight="1">
      <c r="A6429" s="2" t="s">
        <v>12713</v>
      </c>
      <c r="B6429" s="2" t="s">
        <v>12713</v>
      </c>
      <c r="C6429" s="2" t="s">
        <v>35</v>
      </c>
      <c r="D6429" s="2" t="s">
        <v>36</v>
      </c>
      <c r="E6429" s="5">
        <v>-28906</v>
      </c>
      <c r="F6429" s="3" t="s">
        <v>232</v>
      </c>
      <c r="G6429" s="3" t="s">
        <v>43</v>
      </c>
      <c r="H6429" s="2" t="s">
        <v>21</v>
      </c>
      <c r="I6429" s="2" t="s">
        <v>12726</v>
      </c>
      <c r="J6429" s="3" t="str">
        <f>HYPERLINK("https://www.boe.es/gazeta/dias/1820/11/08/pdfs/GGB-1820-133.pdf#page=2","Abrir facsímil")</f>
        <v>Abrir facsímil</v>
      </c>
      <c r="K6429" s="3" t="s">
        <v>23</v>
      </c>
    </row>
    <row r="6430" spans="1:11" ht="42" customHeight="1">
      <c r="A6430" s="2" t="s">
        <v>12727</v>
      </c>
      <c r="B6430" s="2" t="s">
        <v>12728</v>
      </c>
      <c r="C6430" s="2" t="s">
        <v>35</v>
      </c>
      <c r="D6430" s="2" t="s">
        <v>36</v>
      </c>
      <c r="E6430" s="5">
        <v>-29045</v>
      </c>
      <c r="F6430" s="3" t="s">
        <v>155</v>
      </c>
      <c r="G6430" s="3" t="s">
        <v>38</v>
      </c>
      <c r="H6430" s="2" t="s">
        <v>21</v>
      </c>
      <c r="I6430" s="2" t="s">
        <v>12729</v>
      </c>
      <c r="J6430" s="3" t="str">
        <f>HYPERLINK("https://www.boe.es/gazeta/dias/1820/06/22/pdfs/GMD-1820-97.pdf#page=6","Abrir facsímil")</f>
        <v>Abrir facsímil</v>
      </c>
      <c r="K6430" s="3" t="s">
        <v>23</v>
      </c>
    </row>
    <row r="6431" spans="1:11" ht="42" customHeight="1">
      <c r="A6431" s="2" t="s">
        <v>12730</v>
      </c>
      <c r="B6431" s="2" t="s">
        <v>12730</v>
      </c>
      <c r="C6431" s="2" t="s">
        <v>293</v>
      </c>
      <c r="D6431" s="2" t="s">
        <v>18</v>
      </c>
      <c r="E6431" s="5">
        <v>-29171</v>
      </c>
      <c r="F6431" s="3" t="s">
        <v>764</v>
      </c>
      <c r="G6431" s="3" t="s">
        <v>3896</v>
      </c>
      <c r="H6431" s="2" t="s">
        <v>21</v>
      </c>
      <c r="I6431" s="2" t="s">
        <v>12731</v>
      </c>
      <c r="J6431" s="3" t="str">
        <f>HYPERLINK("https://www.boe.es/gazeta/dias/1820/02/17/pdfs/GMD-1820-21.pdf#page=6","Abrir facsímil")</f>
        <v>Abrir facsímil</v>
      </c>
      <c r="K6431" s="3" t="s">
        <v>23</v>
      </c>
    </row>
    <row r="6432" spans="1:11" ht="42" customHeight="1">
      <c r="A6432" s="2" t="s">
        <v>12730</v>
      </c>
      <c r="B6432" s="2" t="s">
        <v>12730</v>
      </c>
      <c r="C6432" s="2" t="s">
        <v>17</v>
      </c>
      <c r="D6432" s="2" t="s">
        <v>18</v>
      </c>
      <c r="E6432" s="5">
        <v>-29005</v>
      </c>
      <c r="F6432" s="3" t="s">
        <v>1656</v>
      </c>
      <c r="G6432" s="3" t="s">
        <v>43</v>
      </c>
      <c r="H6432" s="2" t="s">
        <v>21</v>
      </c>
      <c r="I6432" s="2" t="s">
        <v>12732</v>
      </c>
      <c r="J6432" s="3" t="str">
        <f>HYPERLINK("https://www.boe.es/gazeta/dias/1820/08/01/pdfs/GGB-1820-34.pdf#page=2","Abrir facsímil")</f>
        <v>Abrir facsímil</v>
      </c>
      <c r="K6432" s="3" t="s">
        <v>23</v>
      </c>
    </row>
    <row r="6433" spans="1:11" ht="42" customHeight="1">
      <c r="A6433" s="2" t="s">
        <v>12733</v>
      </c>
      <c r="B6433" s="2" t="s">
        <v>12733</v>
      </c>
      <c r="C6433" s="2" t="s">
        <v>35</v>
      </c>
      <c r="D6433" s="2" t="s">
        <v>36</v>
      </c>
      <c r="E6433" s="5">
        <v>-28987</v>
      </c>
      <c r="F6433" s="3" t="s">
        <v>680</v>
      </c>
      <c r="G6433" s="3" t="s">
        <v>1300</v>
      </c>
      <c r="H6433" s="2" t="s">
        <v>21</v>
      </c>
      <c r="I6433" s="2" t="s">
        <v>12734</v>
      </c>
      <c r="J6433" s="3" t="str">
        <f>HYPERLINK("https://www.boe.es/gazeta/dias/1820/08/19/pdfs/GGB-1820-52.pdf#page=2","Abrir facsímil")</f>
        <v>Abrir facsímil</v>
      </c>
      <c r="K6433" s="3" t="s">
        <v>23</v>
      </c>
    </row>
    <row r="6434" spans="1:11" ht="42" customHeight="1">
      <c r="A6434" s="2" t="s">
        <v>12735</v>
      </c>
      <c r="B6434" s="2" t="s">
        <v>12736</v>
      </c>
      <c r="C6434" s="2" t="s">
        <v>111</v>
      </c>
      <c r="D6434" s="2" t="s">
        <v>18</v>
      </c>
      <c r="E6434" s="5">
        <v>-29169</v>
      </c>
      <c r="F6434" s="3" t="s">
        <v>962</v>
      </c>
      <c r="G6434" s="3" t="s">
        <v>295</v>
      </c>
      <c r="H6434" s="2" t="s">
        <v>30</v>
      </c>
      <c r="I6434" s="2" t="s">
        <v>12737</v>
      </c>
      <c r="J6434" s="3" t="str">
        <f>HYPERLINK("https://www.boe.es/gazeta/dias/1820/02/19/pdfs/GMD-1820-22.pdf#page=8","Abrir facsímil")</f>
        <v>Abrir facsímil</v>
      </c>
      <c r="K6434" s="3" t="s">
        <v>32</v>
      </c>
    </row>
    <row r="6435" spans="1:11" ht="42" customHeight="1">
      <c r="A6435" s="2" t="s">
        <v>12738</v>
      </c>
      <c r="B6435" s="2" t="s">
        <v>12739</v>
      </c>
      <c r="C6435" s="2" t="s">
        <v>74</v>
      </c>
      <c r="D6435" s="2" t="s">
        <v>18</v>
      </c>
      <c r="E6435" s="5">
        <v>-28966</v>
      </c>
      <c r="F6435" s="3" t="s">
        <v>701</v>
      </c>
      <c r="G6435" s="3" t="s">
        <v>43</v>
      </c>
      <c r="H6435" s="2" t="s">
        <v>21</v>
      </c>
      <c r="I6435" s="2" t="s">
        <v>12740</v>
      </c>
      <c r="J6435" s="3" t="str">
        <f>HYPERLINK("https://www.boe.es/gazeta/dias/1820/09/09/pdfs/GGB-1820-73.pdf#page=2","Abrir facsímil")</f>
        <v>Abrir facsímil</v>
      </c>
      <c r="K6435" s="3" t="s">
        <v>23</v>
      </c>
    </row>
    <row r="6436" spans="1:11" ht="42" customHeight="1">
      <c r="A6436" s="2" t="s">
        <v>12741</v>
      </c>
      <c r="B6436" s="2" t="s">
        <v>12742</v>
      </c>
      <c r="C6436" s="2" t="s">
        <v>26</v>
      </c>
      <c r="D6436" s="2" t="s">
        <v>27</v>
      </c>
      <c r="E6436" s="5">
        <v>-28950</v>
      </c>
      <c r="F6436" s="3" t="s">
        <v>1052</v>
      </c>
      <c r="G6436" s="3" t="s">
        <v>20</v>
      </c>
      <c r="H6436" s="2" t="s">
        <v>30</v>
      </c>
      <c r="I6436" s="2" t="s">
        <v>12743</v>
      </c>
      <c r="J6436" s="3" t="str">
        <f>HYPERLINK("https://www.boe.es/gazeta/dias/1820/09/25/pdfs/GGB-1820-89.pdf#page=4","Abrir facsímil")</f>
        <v>Abrir facsímil</v>
      </c>
      <c r="K6436" s="3" t="s">
        <v>32</v>
      </c>
    </row>
    <row r="6437" spans="1:11" ht="42" customHeight="1">
      <c r="A6437" s="2" t="s">
        <v>12744</v>
      </c>
      <c r="B6437" s="2" t="s">
        <v>12745</v>
      </c>
      <c r="C6437" s="2" t="s">
        <v>17</v>
      </c>
      <c r="D6437" s="2" t="s">
        <v>18</v>
      </c>
      <c r="E6437" s="5">
        <v>-28891</v>
      </c>
      <c r="F6437" s="3" t="s">
        <v>965</v>
      </c>
      <c r="G6437" s="3" t="s">
        <v>20</v>
      </c>
      <c r="H6437" s="2" t="s">
        <v>21</v>
      </c>
      <c r="I6437" s="2" t="s">
        <v>12746</v>
      </c>
      <c r="J6437" s="3" t="str">
        <f>HYPERLINK("https://www.boe.es/gazeta/dias/1820/11/23/pdfs/GGB-1820-150.pdf#page=4","Abrir facsímil")</f>
        <v>Abrir facsímil</v>
      </c>
      <c r="K6437" s="3" t="s">
        <v>23</v>
      </c>
    </row>
    <row r="6438" spans="1:11" ht="42" customHeight="1">
      <c r="A6438" s="2" t="s">
        <v>12747</v>
      </c>
      <c r="B6438" s="2" t="s">
        <v>12748</v>
      </c>
      <c r="C6438" s="2" t="s">
        <v>17</v>
      </c>
      <c r="D6438" s="2" t="s">
        <v>18</v>
      </c>
      <c r="E6438" s="5">
        <v>-28931</v>
      </c>
      <c r="F6438" s="3" t="s">
        <v>724</v>
      </c>
      <c r="G6438" s="3" t="s">
        <v>20</v>
      </c>
      <c r="H6438" s="2" t="s">
        <v>21</v>
      </c>
      <c r="I6438" s="2" t="s">
        <v>12749</v>
      </c>
      <c r="J6438" s="3" t="str">
        <f>HYPERLINK("https://www.boe.es/gazeta/dias/1820/10/14/pdfs/GGB-1820-108.pdf#page=4","Abrir facsímil")</f>
        <v>Abrir facsímil</v>
      </c>
      <c r="K6438" s="3" t="s">
        <v>23</v>
      </c>
    </row>
    <row r="6439" spans="1:11" ht="42" customHeight="1">
      <c r="A6439" s="2" t="s">
        <v>12750</v>
      </c>
      <c r="B6439" s="2" t="s">
        <v>12751</v>
      </c>
      <c r="C6439" s="2" t="s">
        <v>107</v>
      </c>
      <c r="D6439" s="2" t="s">
        <v>18</v>
      </c>
      <c r="E6439" s="5">
        <v>-28975</v>
      </c>
      <c r="F6439" s="3" t="s">
        <v>182</v>
      </c>
      <c r="G6439" s="3" t="s">
        <v>43</v>
      </c>
      <c r="H6439" s="2" t="s">
        <v>21</v>
      </c>
      <c r="I6439" s="2" t="s">
        <v>12752</v>
      </c>
      <c r="J6439" s="3" t="str">
        <f>HYPERLINK("https://www.boe.es/gazeta/dias/1820/08/31/pdfs/GGB-1820-64.pdf#page=2","Abrir facsímil")</f>
        <v>Abrir facsímil</v>
      </c>
      <c r="K6439" s="3" t="s">
        <v>23</v>
      </c>
    </row>
    <row r="6440" spans="1:11" ht="42" customHeight="1">
      <c r="A6440" s="2" t="s">
        <v>12753</v>
      </c>
      <c r="B6440" s="2" t="s">
        <v>12754</v>
      </c>
      <c r="C6440" s="2" t="s">
        <v>35</v>
      </c>
      <c r="D6440" s="2" t="s">
        <v>36</v>
      </c>
      <c r="E6440" s="5">
        <v>-29015</v>
      </c>
      <c r="F6440" s="3" t="s">
        <v>359</v>
      </c>
      <c r="G6440" s="3" t="s">
        <v>20</v>
      </c>
      <c r="H6440" s="2" t="s">
        <v>21</v>
      </c>
      <c r="I6440" s="2" t="s">
        <v>12755</v>
      </c>
      <c r="J6440" s="3" t="str">
        <f>HYPERLINK("https://www.boe.es/gazeta/dias/1820/07/22/pdfs/GGB-1820-24.pdf#page=4","Abrir facsímil")</f>
        <v>Abrir facsímil</v>
      </c>
      <c r="K6440" s="3" t="s">
        <v>23</v>
      </c>
    </row>
    <row r="6441" spans="1:11" ht="42" customHeight="1">
      <c r="A6441" s="2" t="s">
        <v>12756</v>
      </c>
      <c r="B6441" s="2" t="s">
        <v>12757</v>
      </c>
      <c r="C6441" s="2" t="s">
        <v>35</v>
      </c>
      <c r="D6441" s="2" t="s">
        <v>36</v>
      </c>
      <c r="E6441" s="5">
        <v>-29022</v>
      </c>
      <c r="F6441" s="3" t="s">
        <v>1310</v>
      </c>
      <c r="G6441" s="3" t="s">
        <v>62</v>
      </c>
      <c r="H6441" s="2" t="s">
        <v>21</v>
      </c>
      <c r="I6441" s="2" t="s">
        <v>12758</v>
      </c>
      <c r="J6441" s="3" t="str">
        <f>HYPERLINK("https://www.boe.es/gazeta/dias/1820/07/15/pdfs/GGB-1820-17.pdf#page=3","Abrir facsímil")</f>
        <v>Abrir facsímil</v>
      </c>
      <c r="K6441" s="3" t="s">
        <v>23</v>
      </c>
    </row>
    <row r="6442" spans="1:11" ht="42" customHeight="1">
      <c r="A6442" s="2" t="s">
        <v>12759</v>
      </c>
      <c r="B6442" s="2" t="s">
        <v>12760</v>
      </c>
      <c r="C6442" s="2" t="s">
        <v>26</v>
      </c>
      <c r="D6442" s="2" t="s">
        <v>27</v>
      </c>
      <c r="E6442" s="5">
        <v>-28905</v>
      </c>
      <c r="F6442" s="3" t="s">
        <v>749</v>
      </c>
      <c r="G6442" s="3" t="s">
        <v>43</v>
      </c>
      <c r="H6442" s="2" t="s">
        <v>21</v>
      </c>
      <c r="I6442" s="2" t="s">
        <v>12761</v>
      </c>
      <c r="J6442" s="3" t="str">
        <f>HYPERLINK("https://www.boe.es/gazeta/dias/1820/11/09/pdfs/GGB-1820-134.pdf#page=2","Abrir facsímil")</f>
        <v>Abrir facsímil</v>
      </c>
      <c r="K6442" s="3" t="s">
        <v>23</v>
      </c>
    </row>
    <row r="6443" spans="1:11" ht="42" customHeight="1">
      <c r="A6443" s="2" t="s">
        <v>12762</v>
      </c>
      <c r="B6443" s="2" t="s">
        <v>12763</v>
      </c>
      <c r="C6443" s="2" t="s">
        <v>26</v>
      </c>
      <c r="D6443" s="2" t="s">
        <v>27</v>
      </c>
      <c r="E6443" s="5">
        <v>-28963</v>
      </c>
      <c r="F6443" s="3" t="s">
        <v>94</v>
      </c>
      <c r="G6443" s="3" t="s">
        <v>43</v>
      </c>
      <c r="H6443" s="2" t="s">
        <v>21</v>
      </c>
      <c r="I6443" s="2" t="s">
        <v>12764</v>
      </c>
      <c r="J6443" s="3" t="str">
        <f>HYPERLINK("https://www.boe.es/gazeta/dias/1820/09/12/pdfs/GGB-1820-76.pdf#page=2","Abrir facsímil")</f>
        <v>Abrir facsímil</v>
      </c>
      <c r="K6443" s="3" t="s">
        <v>23</v>
      </c>
    </row>
    <row r="6444" spans="1:11" ht="42" customHeight="1">
      <c r="A6444" s="2" t="s">
        <v>12765</v>
      </c>
      <c r="B6444" s="2" t="s">
        <v>12766</v>
      </c>
      <c r="C6444" s="2" t="s">
        <v>74</v>
      </c>
      <c r="D6444" s="2" t="s">
        <v>18</v>
      </c>
      <c r="E6444" s="5">
        <v>-28993</v>
      </c>
      <c r="F6444" s="3" t="s">
        <v>465</v>
      </c>
      <c r="G6444" s="3" t="s">
        <v>62</v>
      </c>
      <c r="H6444" s="2" t="s">
        <v>21</v>
      </c>
      <c r="I6444" s="2" t="s">
        <v>12767</v>
      </c>
      <c r="J6444" s="3" t="str">
        <f>HYPERLINK("https://www.boe.es/gazeta/dias/1820/08/13/pdfs/GGB-1820-46.pdf#page=3","Abrir facsímil")</f>
        <v>Abrir facsímil</v>
      </c>
      <c r="K6444" s="3" t="s">
        <v>23</v>
      </c>
    </row>
    <row r="6445" spans="1:11" ht="42" customHeight="1">
      <c r="A6445" s="2" t="s">
        <v>12768</v>
      </c>
      <c r="B6445" s="2" t="s">
        <v>12769</v>
      </c>
      <c r="C6445" s="2" t="s">
        <v>17</v>
      </c>
      <c r="D6445" s="2" t="s">
        <v>18</v>
      </c>
      <c r="E6445" s="5">
        <v>-29211</v>
      </c>
      <c r="F6445" s="3" t="s">
        <v>578</v>
      </c>
      <c r="G6445" s="3" t="s">
        <v>256</v>
      </c>
      <c r="H6445" s="2" t="s">
        <v>21</v>
      </c>
      <c r="I6445" s="2" t="s">
        <v>12770</v>
      </c>
      <c r="J6445" s="3" t="str">
        <f>HYPERLINK("https://www.boe.es/gazeta/dias/1820/01/08/pdfs/GMD-1820-4.pdf#page=5","Abrir facsímil")</f>
        <v>Abrir facsímil</v>
      </c>
      <c r="K6445" s="3" t="s">
        <v>23</v>
      </c>
    </row>
    <row r="6446" spans="1:11" ht="42" customHeight="1">
      <c r="A6446" s="2" t="s">
        <v>12771</v>
      </c>
      <c r="B6446" s="2" t="s">
        <v>12772</v>
      </c>
      <c r="C6446" s="2" t="s">
        <v>293</v>
      </c>
      <c r="D6446" s="2" t="s">
        <v>18</v>
      </c>
      <c r="E6446" s="5">
        <v>-29034</v>
      </c>
      <c r="F6446" s="3" t="s">
        <v>460</v>
      </c>
      <c r="G6446" s="3" t="s">
        <v>461</v>
      </c>
      <c r="H6446" s="2" t="s">
        <v>21</v>
      </c>
      <c r="I6446" s="2" t="s">
        <v>12773</v>
      </c>
      <c r="J6446" s="3" t="str">
        <f>HYPERLINK("https://www.boe.es/gazeta/dias/1820/07/03/pdfs/GGB-1820-3.pdf#page=4","Abrir facsímil")</f>
        <v>Abrir facsímil</v>
      </c>
      <c r="K6446" s="3" t="s">
        <v>23</v>
      </c>
    </row>
    <row r="6447" spans="1:11" ht="42" customHeight="1">
      <c r="A6447" s="2" t="s">
        <v>12774</v>
      </c>
      <c r="B6447" s="2" t="s">
        <v>12775</v>
      </c>
      <c r="C6447" s="2" t="s">
        <v>26</v>
      </c>
      <c r="D6447" s="2" t="s">
        <v>27</v>
      </c>
      <c r="E6447" s="5">
        <v>-29141</v>
      </c>
      <c r="F6447" s="3" t="s">
        <v>319</v>
      </c>
      <c r="G6447" s="3" t="s">
        <v>295</v>
      </c>
      <c r="H6447" s="2" t="s">
        <v>21</v>
      </c>
      <c r="I6447" s="2" t="s">
        <v>12776</v>
      </c>
      <c r="J6447" s="3" t="str">
        <f>HYPERLINK("https://www.boe.es/gazeta/dias/1820/03/18/pdfs/GMD-1820-44.pdf#page=8","Abrir facsímil")</f>
        <v>Abrir facsímil</v>
      </c>
      <c r="K6447" s="3" t="s">
        <v>23</v>
      </c>
    </row>
    <row r="6448" spans="1:11" ht="42" customHeight="1">
      <c r="A6448" s="2" t="s">
        <v>12774</v>
      </c>
      <c r="B6448" s="2" t="s">
        <v>12775</v>
      </c>
      <c r="C6448" s="2" t="s">
        <v>35</v>
      </c>
      <c r="D6448" s="2" t="s">
        <v>36</v>
      </c>
      <c r="E6448" s="5">
        <v>-29138</v>
      </c>
      <c r="F6448" s="3" t="s">
        <v>200</v>
      </c>
      <c r="G6448" s="3" t="s">
        <v>295</v>
      </c>
      <c r="H6448" s="2" t="s">
        <v>21</v>
      </c>
      <c r="I6448" s="2" t="s">
        <v>12777</v>
      </c>
      <c r="J6448" s="3" t="str">
        <f>HYPERLINK("https://www.boe.es/gazeta/dias/1820/03/21/pdfs/GMD-1820-46.pdf#page=8","Abrir facsímil")</f>
        <v>Abrir facsímil</v>
      </c>
      <c r="K6448" s="3" t="s">
        <v>23</v>
      </c>
    </row>
    <row r="6449" spans="1:11" ht="42" customHeight="1">
      <c r="A6449" s="2" t="s">
        <v>12774</v>
      </c>
      <c r="B6449" s="2" t="s">
        <v>12775</v>
      </c>
      <c r="C6449" s="2" t="s">
        <v>107</v>
      </c>
      <c r="D6449" s="2" t="s">
        <v>18</v>
      </c>
      <c r="E6449" s="5">
        <v>-29136</v>
      </c>
      <c r="F6449" s="3" t="s">
        <v>2972</v>
      </c>
      <c r="G6449" s="3" t="s">
        <v>295</v>
      </c>
      <c r="H6449" s="2" t="s">
        <v>21</v>
      </c>
      <c r="I6449" s="2" t="s">
        <v>12778</v>
      </c>
      <c r="J6449" s="3" t="str">
        <f>HYPERLINK("https://www.boe.es/gazeta/dias/1820/03/23/pdfs/GMD-1820-51.pdf#page=8","Abrir facsímil")</f>
        <v>Abrir facsímil</v>
      </c>
      <c r="K6449" s="3" t="s">
        <v>23</v>
      </c>
    </row>
    <row r="6450" spans="1:11" ht="42" customHeight="1">
      <c r="A6450" s="2" t="s">
        <v>12774</v>
      </c>
      <c r="B6450" s="2" t="s">
        <v>12775</v>
      </c>
      <c r="C6450" s="2" t="s">
        <v>35</v>
      </c>
      <c r="D6450" s="2" t="s">
        <v>36</v>
      </c>
      <c r="E6450" s="5">
        <v>-29124</v>
      </c>
      <c r="F6450" s="3" t="s">
        <v>4097</v>
      </c>
      <c r="G6450" s="3" t="s">
        <v>295</v>
      </c>
      <c r="H6450" s="2" t="s">
        <v>21</v>
      </c>
      <c r="I6450" s="2" t="s">
        <v>12779</v>
      </c>
      <c r="J6450" s="3" t="str">
        <f>HYPERLINK("https://www.boe.es/gazeta/dias/1820/04/04/pdfs/GMD-1820-60.pdf#page=8","Abrir facsímil")</f>
        <v>Abrir facsímil</v>
      </c>
      <c r="K6450" s="3" t="s">
        <v>23</v>
      </c>
    </row>
    <row r="6451" spans="1:11" ht="42" customHeight="1">
      <c r="A6451" s="2" t="s">
        <v>12774</v>
      </c>
      <c r="B6451" s="2" t="s">
        <v>12775</v>
      </c>
      <c r="C6451" s="2" t="s">
        <v>35</v>
      </c>
      <c r="D6451" s="2" t="s">
        <v>36</v>
      </c>
      <c r="E6451" s="5">
        <v>-29117</v>
      </c>
      <c r="F6451" s="3" t="s">
        <v>1451</v>
      </c>
      <c r="G6451" s="3" t="s">
        <v>1452</v>
      </c>
      <c r="H6451" s="2" t="s">
        <v>21</v>
      </c>
      <c r="I6451" s="2" t="s">
        <v>12780</v>
      </c>
      <c r="J6451" s="3" t="str">
        <f>HYPERLINK("https://www.boe.es/gazeta/dias/1820/04/11/pdfs/GMD-1820-64.pdf#page=8","Abrir facsímil")</f>
        <v>Abrir facsímil</v>
      </c>
      <c r="K6451" s="3" t="s">
        <v>23</v>
      </c>
    </row>
    <row r="6452" spans="1:11" ht="42" customHeight="1">
      <c r="A6452" s="2" t="s">
        <v>12781</v>
      </c>
      <c r="B6452" s="2" t="s">
        <v>12782</v>
      </c>
      <c r="C6452" s="2" t="s">
        <v>35</v>
      </c>
      <c r="D6452" s="2" t="s">
        <v>36</v>
      </c>
      <c r="E6452" s="5">
        <v>-29113</v>
      </c>
      <c r="F6452" s="3" t="s">
        <v>501</v>
      </c>
      <c r="G6452" s="3" t="s">
        <v>295</v>
      </c>
      <c r="H6452" s="2" t="s">
        <v>21</v>
      </c>
      <c r="I6452" s="2" t="s">
        <v>12783</v>
      </c>
      <c r="J6452" s="3" t="str">
        <f>HYPERLINK("https://www.boe.es/gazeta/dias/1820/04/15/pdfs/GMD-1820-66.pdf#page=8","Abrir facsímil")</f>
        <v>Abrir facsímil</v>
      </c>
      <c r="K6452" s="3" t="s">
        <v>23</v>
      </c>
    </row>
    <row r="6453" spans="1:11" ht="42" customHeight="1">
      <c r="A6453" s="2" t="s">
        <v>12774</v>
      </c>
      <c r="B6453" s="2" t="s">
        <v>12775</v>
      </c>
      <c r="C6453" s="2" t="s">
        <v>35</v>
      </c>
      <c r="D6453" s="2" t="s">
        <v>36</v>
      </c>
      <c r="E6453" s="5">
        <v>-29106</v>
      </c>
      <c r="F6453" s="3" t="s">
        <v>430</v>
      </c>
      <c r="G6453" s="3" t="s">
        <v>295</v>
      </c>
      <c r="H6453" s="2" t="s">
        <v>21</v>
      </c>
      <c r="I6453" s="2" t="s">
        <v>12784</v>
      </c>
      <c r="J6453" s="3" t="str">
        <f>HYPERLINK("https://www.boe.es/gazeta/dias/1820/04/22/pdfs/GMD-1820-69.pdf#page=8","Abrir facsímil")</f>
        <v>Abrir facsímil</v>
      </c>
      <c r="K6453" s="3" t="s">
        <v>23</v>
      </c>
    </row>
    <row r="6454" spans="1:11" ht="42" customHeight="1">
      <c r="A6454" s="2" t="s">
        <v>12774</v>
      </c>
      <c r="B6454" s="2" t="s">
        <v>12775</v>
      </c>
      <c r="C6454" s="2" t="s">
        <v>35</v>
      </c>
      <c r="D6454" s="2" t="s">
        <v>36</v>
      </c>
      <c r="E6454" s="5">
        <v>-29103</v>
      </c>
      <c r="F6454" s="3" t="s">
        <v>313</v>
      </c>
      <c r="G6454" s="3" t="s">
        <v>295</v>
      </c>
      <c r="H6454" s="2" t="s">
        <v>21</v>
      </c>
      <c r="I6454" s="2" t="s">
        <v>12785</v>
      </c>
      <c r="J6454" s="3" t="str">
        <f>HYPERLINK("https://www.boe.es/gazeta/dias/1820/04/25/pdfs/GMD-1820-70.pdf#page=8","Abrir facsímil")</f>
        <v>Abrir facsímil</v>
      </c>
      <c r="K6454" s="3" t="s">
        <v>23</v>
      </c>
    </row>
    <row r="6455" spans="1:11" ht="42" customHeight="1">
      <c r="A6455" s="2" t="s">
        <v>12774</v>
      </c>
      <c r="B6455" s="2" t="s">
        <v>12775</v>
      </c>
      <c r="C6455" s="2" t="s">
        <v>35</v>
      </c>
      <c r="D6455" s="2" t="s">
        <v>36</v>
      </c>
      <c r="E6455" s="5">
        <v>-29101</v>
      </c>
      <c r="F6455" s="3" t="s">
        <v>999</v>
      </c>
      <c r="G6455" s="3" t="s">
        <v>196</v>
      </c>
      <c r="H6455" s="2" t="s">
        <v>21</v>
      </c>
      <c r="I6455" s="2" t="s">
        <v>12786</v>
      </c>
      <c r="J6455" s="3" t="str">
        <f>HYPERLINK("https://www.boe.es/gazeta/dias/1820/04/27/pdfs/GMD-1820-72.pdf#page=11","Abrir facsímil")</f>
        <v>Abrir facsímil</v>
      </c>
      <c r="K6455" s="3" t="s">
        <v>23</v>
      </c>
    </row>
    <row r="6456" spans="1:11" ht="42" customHeight="1">
      <c r="A6456" s="2" t="s">
        <v>12787</v>
      </c>
      <c r="B6456" s="2" t="s">
        <v>12788</v>
      </c>
      <c r="C6456" s="2" t="s">
        <v>35</v>
      </c>
      <c r="D6456" s="2" t="s">
        <v>36</v>
      </c>
      <c r="E6456" s="5">
        <v>-29094</v>
      </c>
      <c r="F6456" s="3" t="s">
        <v>560</v>
      </c>
      <c r="G6456" s="3" t="s">
        <v>295</v>
      </c>
      <c r="H6456" s="2" t="s">
        <v>21</v>
      </c>
      <c r="I6456" s="2" t="s">
        <v>12789</v>
      </c>
      <c r="J6456" s="3" t="str">
        <f>HYPERLINK("https://www.boe.es/gazeta/dias/1820/05/04/pdfs/GMD-1820-75.pdf#page=8","Abrir facsímil")</f>
        <v>Abrir facsímil</v>
      </c>
      <c r="K6456" s="3" t="s">
        <v>23</v>
      </c>
    </row>
    <row r="6457" spans="1:11" ht="42" customHeight="1">
      <c r="A6457" s="2" t="s">
        <v>12774</v>
      </c>
      <c r="B6457" s="2" t="s">
        <v>12775</v>
      </c>
      <c r="C6457" s="2" t="s">
        <v>35</v>
      </c>
      <c r="D6457" s="2" t="s">
        <v>36</v>
      </c>
      <c r="E6457" s="5">
        <v>-29087</v>
      </c>
      <c r="F6457" s="3" t="s">
        <v>1018</v>
      </c>
      <c r="G6457" s="3" t="s">
        <v>295</v>
      </c>
      <c r="H6457" s="2" t="s">
        <v>21</v>
      </c>
      <c r="I6457" s="2" t="s">
        <v>12790</v>
      </c>
      <c r="J6457" s="3" t="str">
        <f>HYPERLINK("https://www.boe.es/gazeta/dias/1820/05/11/pdfs/GMD-1820-78.pdf#page=8","Abrir facsímil")</f>
        <v>Abrir facsímil</v>
      </c>
      <c r="K6457" s="3" t="s">
        <v>23</v>
      </c>
    </row>
    <row r="6458" spans="1:11" ht="42" customHeight="1">
      <c r="A6458" s="2" t="s">
        <v>12774</v>
      </c>
      <c r="B6458" s="2" t="s">
        <v>12775</v>
      </c>
      <c r="C6458" s="2" t="s">
        <v>26</v>
      </c>
      <c r="D6458" s="2" t="s">
        <v>27</v>
      </c>
      <c r="E6458" s="5">
        <v>-29085</v>
      </c>
      <c r="F6458" s="3" t="s">
        <v>1502</v>
      </c>
      <c r="G6458" s="3" t="s">
        <v>479</v>
      </c>
      <c r="H6458" s="2" t="s">
        <v>21</v>
      </c>
      <c r="I6458" s="2" t="s">
        <v>12791</v>
      </c>
      <c r="J6458" s="3" t="str">
        <f>HYPERLINK("https://www.boe.es/gazeta/dias/1820/05/13/pdfs/GMD-1820-79.pdf#page=12","Abrir facsímil")</f>
        <v>Abrir facsímil</v>
      </c>
      <c r="K6458" s="3" t="s">
        <v>23</v>
      </c>
    </row>
    <row r="6459" spans="1:11" ht="42" customHeight="1">
      <c r="A6459" s="2" t="s">
        <v>12774</v>
      </c>
      <c r="B6459" s="2" t="s">
        <v>12775</v>
      </c>
      <c r="C6459" s="2" t="s">
        <v>35</v>
      </c>
      <c r="D6459" s="2" t="s">
        <v>36</v>
      </c>
      <c r="E6459" s="5">
        <v>-29071</v>
      </c>
      <c r="F6459" s="3" t="s">
        <v>329</v>
      </c>
      <c r="G6459" s="3" t="s">
        <v>330</v>
      </c>
      <c r="H6459" s="2" t="s">
        <v>21</v>
      </c>
      <c r="I6459" s="2" t="s">
        <v>12792</v>
      </c>
      <c r="J6459" s="3" t="str">
        <f>HYPERLINK("https://www.boe.es/gazeta/dias/1820/05/27/pdfs/GMD-1820-86.pdf#page=8","Abrir facsímil")</f>
        <v>Abrir facsímil</v>
      </c>
      <c r="K6459" s="3" t="s">
        <v>23</v>
      </c>
    </row>
    <row r="6460" spans="1:11" ht="42" customHeight="1">
      <c r="A6460" s="2" t="s">
        <v>12774</v>
      </c>
      <c r="B6460" s="2" t="s">
        <v>12775</v>
      </c>
      <c r="C6460" s="2" t="s">
        <v>35</v>
      </c>
      <c r="D6460" s="2" t="s">
        <v>36</v>
      </c>
      <c r="E6460" s="5">
        <v>-29054</v>
      </c>
      <c r="F6460" s="3" t="s">
        <v>481</v>
      </c>
      <c r="G6460" s="3" t="s">
        <v>479</v>
      </c>
      <c r="H6460" s="2" t="s">
        <v>21</v>
      </c>
      <c r="I6460" s="2" t="s">
        <v>12793</v>
      </c>
      <c r="J6460" s="3" t="str">
        <f>HYPERLINK("https://www.boe.es/gazeta/dias/1820/06/13/pdfs/GMD-1820-93.pdf#page=12","Abrir facsímil")</f>
        <v>Abrir facsímil</v>
      </c>
      <c r="K6460" s="3" t="s">
        <v>23</v>
      </c>
    </row>
    <row r="6461" spans="1:11" ht="42" customHeight="1">
      <c r="A6461" s="2" t="s">
        <v>12774</v>
      </c>
      <c r="B6461" s="2" t="s">
        <v>12775</v>
      </c>
      <c r="C6461" s="2" t="s">
        <v>35</v>
      </c>
      <c r="D6461" s="2" t="s">
        <v>36</v>
      </c>
      <c r="E6461" s="5">
        <v>-29027</v>
      </c>
      <c r="F6461" s="3" t="s">
        <v>937</v>
      </c>
      <c r="G6461" s="3" t="s">
        <v>20</v>
      </c>
      <c r="H6461" s="2" t="s">
        <v>21</v>
      </c>
      <c r="I6461" s="2" t="s">
        <v>12794</v>
      </c>
      <c r="J6461" s="3" t="str">
        <f>HYPERLINK("https://www.boe.es/gazeta/dias/1820/07/10/pdfs/GGB-1820-11.pdf#page=4","Abrir facsímil")</f>
        <v>Abrir facsímil</v>
      </c>
      <c r="K6461" s="3" t="s">
        <v>23</v>
      </c>
    </row>
    <row r="6462" spans="1:11" ht="42" customHeight="1">
      <c r="A6462" s="2" t="s">
        <v>12774</v>
      </c>
      <c r="B6462" s="2" t="s">
        <v>12775</v>
      </c>
      <c r="C6462" s="2" t="s">
        <v>35</v>
      </c>
      <c r="D6462" s="2" t="s">
        <v>36</v>
      </c>
      <c r="E6462" s="5">
        <v>-28973</v>
      </c>
      <c r="F6462" s="3" t="s">
        <v>151</v>
      </c>
      <c r="G6462" s="3" t="s">
        <v>20</v>
      </c>
      <c r="H6462" s="2" t="s">
        <v>21</v>
      </c>
      <c r="I6462" s="2" t="s">
        <v>12795</v>
      </c>
      <c r="J6462" s="3" t="str">
        <f>HYPERLINK("https://www.boe.es/gazeta/dias/1820/09/02/pdfs/GGB-1820-66.pdf#page=4","Abrir facsímil")</f>
        <v>Abrir facsímil</v>
      </c>
      <c r="K6462" s="3" t="s">
        <v>23</v>
      </c>
    </row>
    <row r="6463" spans="1:11" ht="42" customHeight="1">
      <c r="A6463" s="2" t="s">
        <v>12774</v>
      </c>
      <c r="B6463" s="2" t="s">
        <v>12775</v>
      </c>
      <c r="C6463" s="2" t="s">
        <v>35</v>
      </c>
      <c r="D6463" s="2" t="s">
        <v>36</v>
      </c>
      <c r="E6463" s="5">
        <v>-28943</v>
      </c>
      <c r="F6463" s="3" t="s">
        <v>1403</v>
      </c>
      <c r="G6463" s="3" t="s">
        <v>1710</v>
      </c>
      <c r="H6463" s="2" t="s">
        <v>21</v>
      </c>
      <c r="I6463" s="2" t="s">
        <v>12796</v>
      </c>
      <c r="J6463" s="3" t="str">
        <f>HYPERLINK("https://www.boe.es/gazeta/dias/1820/10/02/pdfs/GGB-1820-96.pdf#page=4","Abrir facsímil")</f>
        <v>Abrir facsímil</v>
      </c>
      <c r="K6463" s="3" t="s">
        <v>23</v>
      </c>
    </row>
    <row r="6464" spans="1:11" ht="42" customHeight="1">
      <c r="A6464" s="2" t="s">
        <v>12774</v>
      </c>
      <c r="B6464" s="2" t="s">
        <v>12775</v>
      </c>
      <c r="C6464" s="2" t="s">
        <v>35</v>
      </c>
      <c r="D6464" s="2" t="s">
        <v>36</v>
      </c>
      <c r="E6464" s="5">
        <v>-28937</v>
      </c>
      <c r="F6464" s="3" t="s">
        <v>4254</v>
      </c>
      <c r="G6464" s="3" t="s">
        <v>20</v>
      </c>
      <c r="H6464" s="2" t="s">
        <v>21</v>
      </c>
      <c r="I6464" s="2" t="s">
        <v>12797</v>
      </c>
      <c r="J6464" s="3" t="str">
        <f>HYPERLINK("https://www.boe.es/gazeta/dias/1820/10/08/pdfs/GGB-1820-102.pdf#page=4","Abrir facsímil")</f>
        <v>Abrir facsímil</v>
      </c>
      <c r="K6464" s="3" t="s">
        <v>23</v>
      </c>
    </row>
    <row r="6465" spans="1:11" ht="42" customHeight="1">
      <c r="A6465" s="2" t="s">
        <v>12774</v>
      </c>
      <c r="B6465" s="2" t="s">
        <v>12775</v>
      </c>
      <c r="C6465" s="2" t="s">
        <v>35</v>
      </c>
      <c r="D6465" s="2" t="s">
        <v>36</v>
      </c>
      <c r="E6465" s="5">
        <v>-28918</v>
      </c>
      <c r="F6465" s="3" t="s">
        <v>160</v>
      </c>
      <c r="G6465" s="3" t="s">
        <v>20</v>
      </c>
      <c r="H6465" s="2" t="s">
        <v>21</v>
      </c>
      <c r="I6465" s="2" t="s">
        <v>12798</v>
      </c>
      <c r="J6465" s="3" t="str">
        <f>HYPERLINK("https://www.boe.es/gazeta/dias/1820/10/27/pdfs/GGB-1820-121.pdf#page=4","Abrir facsímil")</f>
        <v>Abrir facsímil</v>
      </c>
      <c r="K6465" s="3" t="s">
        <v>23</v>
      </c>
    </row>
    <row r="6466" spans="1:11" ht="42" customHeight="1">
      <c r="A6466" s="2" t="s">
        <v>12774</v>
      </c>
      <c r="B6466" s="2" t="s">
        <v>12775</v>
      </c>
      <c r="C6466" s="2" t="s">
        <v>47</v>
      </c>
      <c r="D6466" s="2" t="s">
        <v>18</v>
      </c>
      <c r="E6466" s="5">
        <v>-28914</v>
      </c>
      <c r="F6466" s="3" t="s">
        <v>434</v>
      </c>
      <c r="G6466" s="3" t="s">
        <v>20</v>
      </c>
      <c r="H6466" s="2" t="s">
        <v>21</v>
      </c>
      <c r="I6466" s="2" t="s">
        <v>12799</v>
      </c>
      <c r="J6466" s="3" t="str">
        <f>HYPERLINK("https://www.boe.es/gazeta/dias/1820/10/31/pdfs/GGB-1820-125.pdf#page=4","Abrir facsímil")</f>
        <v>Abrir facsímil</v>
      </c>
      <c r="K6466" s="3" t="s">
        <v>23</v>
      </c>
    </row>
    <row r="6467" spans="1:11" ht="42" customHeight="1">
      <c r="A6467" s="2" t="s">
        <v>12774</v>
      </c>
      <c r="B6467" s="2" t="s">
        <v>12775</v>
      </c>
      <c r="C6467" s="2" t="s">
        <v>26</v>
      </c>
      <c r="D6467" s="2" t="s">
        <v>27</v>
      </c>
      <c r="E6467" s="5">
        <v>-28895</v>
      </c>
      <c r="F6467" s="3" t="s">
        <v>347</v>
      </c>
      <c r="G6467" s="3" t="s">
        <v>20</v>
      </c>
      <c r="H6467" s="2" t="s">
        <v>21</v>
      </c>
      <c r="I6467" s="2" t="s">
        <v>12800</v>
      </c>
      <c r="J6467" s="3" t="str">
        <f>HYPERLINK("https://www.boe.es/gazeta/dias/1820/11/19/pdfs/GGB-1820-146.pdf#page=4","Abrir facsímil")</f>
        <v>Abrir facsímil</v>
      </c>
      <c r="K6467" s="3" t="s">
        <v>23</v>
      </c>
    </row>
    <row r="6468" spans="1:11" ht="42" customHeight="1">
      <c r="A6468" s="2" t="s">
        <v>12774</v>
      </c>
      <c r="B6468" s="2" t="s">
        <v>12775</v>
      </c>
      <c r="C6468" s="2" t="s">
        <v>35</v>
      </c>
      <c r="D6468" s="2" t="s">
        <v>36</v>
      </c>
      <c r="E6468" s="5">
        <v>-28893</v>
      </c>
      <c r="F6468" s="3" t="s">
        <v>546</v>
      </c>
      <c r="G6468" s="3" t="s">
        <v>20</v>
      </c>
      <c r="H6468" s="2" t="s">
        <v>21</v>
      </c>
      <c r="I6468" s="2" t="s">
        <v>12801</v>
      </c>
      <c r="J6468" s="3" t="str">
        <f>HYPERLINK("https://www.boe.es/gazeta/dias/1820/11/21/pdfs/GGB-1820-148.pdf#page=4","Abrir facsímil")</f>
        <v>Abrir facsímil</v>
      </c>
      <c r="K6468" s="3" t="s">
        <v>23</v>
      </c>
    </row>
    <row r="6469" spans="1:11" ht="42" customHeight="1">
      <c r="A6469" s="2" t="s">
        <v>12774</v>
      </c>
      <c r="B6469" s="2" t="s">
        <v>12775</v>
      </c>
      <c r="C6469" s="2" t="s">
        <v>35</v>
      </c>
      <c r="D6469" s="2" t="s">
        <v>36</v>
      </c>
      <c r="E6469" s="5">
        <v>-28884</v>
      </c>
      <c r="F6469" s="3" t="s">
        <v>882</v>
      </c>
      <c r="G6469" s="3" t="s">
        <v>38</v>
      </c>
      <c r="H6469" s="2" t="s">
        <v>21</v>
      </c>
      <c r="I6469" s="2" t="s">
        <v>12802</v>
      </c>
      <c r="J6469" s="3" t="str">
        <f>HYPERLINK("https://www.boe.es/gazeta/dias/1820/11/30/pdfs/GGB-1820-157.pdf#page=6","Abrir facsímil")</f>
        <v>Abrir facsímil</v>
      </c>
      <c r="K6469" s="3" t="s">
        <v>23</v>
      </c>
    </row>
    <row r="6470" spans="1:11" ht="42" customHeight="1">
      <c r="A6470" s="2" t="s">
        <v>12774</v>
      </c>
      <c r="B6470" s="2" t="s">
        <v>12775</v>
      </c>
      <c r="C6470" s="2" t="s">
        <v>17</v>
      </c>
      <c r="D6470" s="2" t="s">
        <v>18</v>
      </c>
      <c r="E6470" s="5">
        <v>-28873</v>
      </c>
      <c r="F6470" s="3" t="s">
        <v>4997</v>
      </c>
      <c r="G6470" s="3" t="s">
        <v>20</v>
      </c>
      <c r="H6470" s="2" t="s">
        <v>21</v>
      </c>
      <c r="I6470" s="2" t="s">
        <v>12803</v>
      </c>
      <c r="J6470" s="3" t="str">
        <f>HYPERLINK("https://www.boe.es/gazeta/dias/1820/12/11/pdfs/GGB-1820-168.pdf#page=4","Abrir facsímil")</f>
        <v>Abrir facsímil</v>
      </c>
      <c r="K6470" s="3" t="s">
        <v>23</v>
      </c>
    </row>
    <row r="6471" spans="1:11" ht="42" customHeight="1">
      <c r="A6471" s="2" t="s">
        <v>12774</v>
      </c>
      <c r="B6471" s="2" t="s">
        <v>12775</v>
      </c>
      <c r="C6471" s="2" t="s">
        <v>35</v>
      </c>
      <c r="D6471" s="2" t="s">
        <v>36</v>
      </c>
      <c r="E6471" s="5">
        <v>-28857</v>
      </c>
      <c r="F6471" s="3" t="s">
        <v>889</v>
      </c>
      <c r="G6471" s="3" t="s">
        <v>890</v>
      </c>
      <c r="H6471" s="2" t="s">
        <v>21</v>
      </c>
      <c r="I6471" s="2" t="s">
        <v>12804</v>
      </c>
      <c r="J6471" s="3" t="str">
        <f>HYPERLINK("https://www.boe.es/gazeta/dias/1820/12/27/pdfs/GGB-1820-184.pdf#page=4","Abrir facsímil")</f>
        <v>Abrir facsímil</v>
      </c>
      <c r="K6471" s="3" t="s">
        <v>23</v>
      </c>
    </row>
    <row r="6472" spans="1:11" ht="42" customHeight="1">
      <c r="A6472" s="2" t="s">
        <v>12805</v>
      </c>
      <c r="B6472" s="2" t="s">
        <v>12806</v>
      </c>
      <c r="C6472" s="2" t="s">
        <v>35</v>
      </c>
      <c r="D6472" s="2" t="s">
        <v>36</v>
      </c>
      <c r="E6472" s="5">
        <v>-29138</v>
      </c>
      <c r="F6472" s="3" t="s">
        <v>200</v>
      </c>
      <c r="G6472" s="3" t="s">
        <v>295</v>
      </c>
      <c r="H6472" s="2" t="s">
        <v>21</v>
      </c>
      <c r="I6472" s="2" t="s">
        <v>12807</v>
      </c>
      <c r="J6472" s="3" t="str">
        <f>HYPERLINK("https://www.boe.es/gazeta/dias/1820/03/21/pdfs/GMD-1820-46.pdf#page=8","Abrir facsímil")</f>
        <v>Abrir facsímil</v>
      </c>
      <c r="K6472" s="3" t="s">
        <v>23</v>
      </c>
    </row>
    <row r="6473" spans="1:11" ht="42" customHeight="1">
      <c r="A6473" s="2" t="s">
        <v>12808</v>
      </c>
      <c r="B6473" s="2" t="s">
        <v>12808</v>
      </c>
      <c r="C6473" s="2" t="s">
        <v>26</v>
      </c>
      <c r="D6473" s="2" t="s">
        <v>27</v>
      </c>
      <c r="E6473" s="5">
        <v>-29015</v>
      </c>
      <c r="F6473" s="3" t="s">
        <v>359</v>
      </c>
      <c r="G6473" s="3" t="s">
        <v>62</v>
      </c>
      <c r="H6473" s="2" t="s">
        <v>21</v>
      </c>
      <c r="I6473" s="2" t="s">
        <v>12809</v>
      </c>
      <c r="J6473" s="3" t="str">
        <f>HYPERLINK("https://www.boe.es/gazeta/dias/1820/07/22/pdfs/GGB-1820-24.pdf#page=3","Abrir facsímil")</f>
        <v>Abrir facsímil</v>
      </c>
      <c r="K6473" s="3" t="s">
        <v>23</v>
      </c>
    </row>
    <row r="6474" spans="1:11" ht="42" customHeight="1">
      <c r="A6474" s="2" t="s">
        <v>12808</v>
      </c>
      <c r="B6474" s="2" t="s">
        <v>12808</v>
      </c>
      <c r="C6474" s="2" t="s">
        <v>26</v>
      </c>
      <c r="D6474" s="2" t="s">
        <v>27</v>
      </c>
      <c r="E6474" s="5">
        <v>-28998</v>
      </c>
      <c r="F6474" s="3" t="s">
        <v>629</v>
      </c>
      <c r="G6474" s="3" t="s">
        <v>62</v>
      </c>
      <c r="H6474" s="2" t="s">
        <v>21</v>
      </c>
      <c r="I6474" s="2" t="s">
        <v>12810</v>
      </c>
      <c r="J6474" s="3" t="str">
        <f>HYPERLINK("https://www.boe.es/gazeta/dias/1820/08/08/pdfs/GGB-1820-41.pdf#page=3","Abrir facsímil")</f>
        <v>Abrir facsímil</v>
      </c>
      <c r="K6474" s="3" t="s">
        <v>23</v>
      </c>
    </row>
    <row r="6475" spans="1:11" ht="42" customHeight="1">
      <c r="A6475" s="2" t="s">
        <v>12808</v>
      </c>
      <c r="B6475" s="2" t="s">
        <v>12808</v>
      </c>
      <c r="C6475" s="2" t="s">
        <v>111</v>
      </c>
      <c r="D6475" s="2" t="s">
        <v>18</v>
      </c>
      <c r="E6475" s="5">
        <v>-28997</v>
      </c>
      <c r="F6475" s="3" t="s">
        <v>1471</v>
      </c>
      <c r="G6475" s="3" t="s">
        <v>4782</v>
      </c>
      <c r="H6475" s="2" t="s">
        <v>21</v>
      </c>
      <c r="I6475" s="2" t="s">
        <v>12811</v>
      </c>
      <c r="J6475" s="3" t="str">
        <f>HYPERLINK("https://www.boe.es/gazeta/dias/1820/08/09/pdfs/GGB-1820-42.pdf#page=4","Abrir facsímil")</f>
        <v>Abrir facsímil</v>
      </c>
      <c r="K6475" s="3" t="s">
        <v>23</v>
      </c>
    </row>
    <row r="6476" spans="1:11" ht="42" customHeight="1">
      <c r="A6476" s="2" t="s">
        <v>12808</v>
      </c>
      <c r="B6476" s="2" t="s">
        <v>12808</v>
      </c>
      <c r="C6476" s="2" t="s">
        <v>111</v>
      </c>
      <c r="D6476" s="2" t="s">
        <v>18</v>
      </c>
      <c r="E6476" s="5">
        <v>-28957</v>
      </c>
      <c r="F6476" s="3" t="s">
        <v>361</v>
      </c>
      <c r="G6476" s="3" t="s">
        <v>708</v>
      </c>
      <c r="H6476" s="2" t="s">
        <v>21</v>
      </c>
      <c r="I6476" s="2" t="s">
        <v>12812</v>
      </c>
      <c r="J6476" s="3" t="str">
        <f>HYPERLINK("https://www.boe.es/gazeta/dias/1820/09/18/pdfs/GGB-1820-82.pdf#page=4","Abrir facsímil")</f>
        <v>Abrir facsímil</v>
      </c>
      <c r="K6476" s="3" t="s">
        <v>23</v>
      </c>
    </row>
    <row r="6477" spans="1:11" ht="42" customHeight="1">
      <c r="A6477" s="2" t="s">
        <v>12808</v>
      </c>
      <c r="B6477" s="2" t="s">
        <v>12808</v>
      </c>
      <c r="C6477" s="2" t="s">
        <v>17</v>
      </c>
      <c r="D6477" s="2" t="s">
        <v>18</v>
      </c>
      <c r="E6477" s="5">
        <v>-28920</v>
      </c>
      <c r="F6477" s="3" t="s">
        <v>399</v>
      </c>
      <c r="G6477" s="3" t="s">
        <v>20</v>
      </c>
      <c r="H6477" s="2" t="s">
        <v>21</v>
      </c>
      <c r="I6477" s="2" t="s">
        <v>12813</v>
      </c>
      <c r="J6477" s="3" t="str">
        <f>HYPERLINK("https://www.boe.es/gazeta/dias/1820/10/25/pdfs/GGB-1820-119.pdf#page=4","Abrir facsímil")</f>
        <v>Abrir facsímil</v>
      </c>
      <c r="K6477" s="3" t="s">
        <v>23</v>
      </c>
    </row>
    <row r="6478" spans="1:11" ht="42" customHeight="1">
      <c r="A6478" s="2" t="s">
        <v>12814</v>
      </c>
      <c r="B6478" s="2" t="s">
        <v>12815</v>
      </c>
      <c r="C6478" s="2" t="s">
        <v>26</v>
      </c>
      <c r="D6478" s="2" t="s">
        <v>27</v>
      </c>
      <c r="E6478" s="5">
        <v>-29215</v>
      </c>
      <c r="F6478" s="3" t="s">
        <v>827</v>
      </c>
      <c r="G6478" s="3" t="s">
        <v>295</v>
      </c>
      <c r="H6478" s="2" t="s">
        <v>21</v>
      </c>
      <c r="I6478" s="2" t="s">
        <v>12816</v>
      </c>
      <c r="J6478" s="3" t="str">
        <f>HYPERLINK("https://www.boe.es/gazeta/dias/1820/01/04/pdfs/GMD-1820-2.pdf#page=8","Abrir facsímil")</f>
        <v>Abrir facsímil</v>
      </c>
      <c r="K6478" s="3" t="s">
        <v>23</v>
      </c>
    </row>
    <row r="6479" spans="1:11" ht="42" customHeight="1">
      <c r="A6479" s="2" t="s">
        <v>12817</v>
      </c>
      <c r="B6479" s="2" t="s">
        <v>12817</v>
      </c>
      <c r="C6479" s="2" t="s">
        <v>26</v>
      </c>
      <c r="D6479" s="2" t="s">
        <v>27</v>
      </c>
      <c r="E6479" s="5">
        <v>-29020</v>
      </c>
      <c r="F6479" s="3" t="s">
        <v>756</v>
      </c>
      <c r="G6479" s="3" t="s">
        <v>20</v>
      </c>
      <c r="H6479" s="2" t="s">
        <v>21</v>
      </c>
      <c r="I6479" s="2" t="s">
        <v>12818</v>
      </c>
      <c r="J6479" s="3" t="str">
        <f>HYPERLINK("https://www.boe.es/gazeta/dias/1820/07/17/pdfs/GGB-1820-19.pdf#page=4","Abrir facsímil")</f>
        <v>Abrir facsímil</v>
      </c>
      <c r="K6479" s="3" t="s">
        <v>23</v>
      </c>
    </row>
    <row r="6480" spans="1:11" ht="42" customHeight="1">
      <c r="A6480" s="2" t="s">
        <v>12817</v>
      </c>
      <c r="B6480" s="2" t="s">
        <v>12817</v>
      </c>
      <c r="C6480" s="2" t="s">
        <v>74</v>
      </c>
      <c r="D6480" s="2" t="s">
        <v>18</v>
      </c>
      <c r="E6480" s="5">
        <v>-29018</v>
      </c>
      <c r="F6480" s="3" t="s">
        <v>601</v>
      </c>
      <c r="G6480" s="3" t="s">
        <v>43</v>
      </c>
      <c r="H6480" s="2" t="s">
        <v>21</v>
      </c>
      <c r="I6480" s="2" t="s">
        <v>12819</v>
      </c>
      <c r="J6480" s="3" t="str">
        <f>HYPERLINK("https://www.boe.es/gazeta/dias/1820/07/19/pdfs/GGB-1820-21.pdf#page=2","Abrir facsímil")</f>
        <v>Abrir facsímil</v>
      </c>
      <c r="K6480" s="3" t="s">
        <v>23</v>
      </c>
    </row>
    <row r="6481" spans="1:11" ht="42" customHeight="1">
      <c r="A6481" s="2" t="s">
        <v>12817</v>
      </c>
      <c r="B6481" s="2" t="s">
        <v>12817</v>
      </c>
      <c r="C6481" s="2" t="s">
        <v>35</v>
      </c>
      <c r="D6481" s="2" t="s">
        <v>36</v>
      </c>
      <c r="E6481" s="5">
        <v>-29017</v>
      </c>
      <c r="F6481" s="3" t="s">
        <v>274</v>
      </c>
      <c r="G6481" s="3" t="s">
        <v>62</v>
      </c>
      <c r="H6481" s="2" t="s">
        <v>21</v>
      </c>
      <c r="I6481" s="2" t="s">
        <v>12820</v>
      </c>
      <c r="J6481" s="3" t="str">
        <f>HYPERLINK("https://www.boe.es/gazeta/dias/1820/07/20/pdfs/GGB-1820-22.pdf#page=3","Abrir facsímil")</f>
        <v>Abrir facsímil</v>
      </c>
      <c r="K6481" s="3" t="s">
        <v>23</v>
      </c>
    </row>
    <row r="6482" spans="1:11" ht="42" customHeight="1">
      <c r="A6482" s="2" t="s">
        <v>12817</v>
      </c>
      <c r="B6482" s="2" t="s">
        <v>12817</v>
      </c>
      <c r="C6482" s="2" t="s">
        <v>17</v>
      </c>
      <c r="D6482" s="2" t="s">
        <v>18</v>
      </c>
      <c r="E6482" s="5">
        <v>-29016</v>
      </c>
      <c r="F6482" s="3" t="s">
        <v>657</v>
      </c>
      <c r="G6482" s="3" t="s">
        <v>62</v>
      </c>
      <c r="H6482" s="2" t="s">
        <v>21</v>
      </c>
      <c r="I6482" s="2" t="s">
        <v>12821</v>
      </c>
      <c r="J6482" s="3" t="str">
        <f>HYPERLINK("https://www.boe.es/gazeta/dias/1820/07/21/pdfs/GGB-1820-23.pdf#page=3","Abrir facsímil")</f>
        <v>Abrir facsímil</v>
      </c>
      <c r="K6482" s="3" t="s">
        <v>23</v>
      </c>
    </row>
    <row r="6483" spans="1:11" ht="42" customHeight="1">
      <c r="A6483" s="2" t="s">
        <v>12817</v>
      </c>
      <c r="B6483" s="2" t="s">
        <v>12817</v>
      </c>
      <c r="C6483" s="2" t="s">
        <v>17</v>
      </c>
      <c r="D6483" s="2" t="s">
        <v>18</v>
      </c>
      <c r="E6483" s="5">
        <v>-29003</v>
      </c>
      <c r="F6483" s="3" t="s">
        <v>340</v>
      </c>
      <c r="G6483" s="3" t="s">
        <v>62</v>
      </c>
      <c r="H6483" s="2" t="s">
        <v>21</v>
      </c>
      <c r="I6483" s="2" t="s">
        <v>12822</v>
      </c>
      <c r="J6483" s="3" t="str">
        <f>HYPERLINK("https://www.boe.es/gazeta/dias/1820/08/03/pdfs/GGB-1820-36.pdf#page=3","Abrir facsímil")</f>
        <v>Abrir facsímil</v>
      </c>
      <c r="K6483" s="3" t="s">
        <v>23</v>
      </c>
    </row>
    <row r="6484" spans="1:11" ht="42" customHeight="1">
      <c r="A6484" s="2" t="s">
        <v>12817</v>
      </c>
      <c r="B6484" s="2" t="s">
        <v>12817</v>
      </c>
      <c r="C6484" s="2" t="s">
        <v>107</v>
      </c>
      <c r="D6484" s="2" t="s">
        <v>18</v>
      </c>
      <c r="E6484" s="5">
        <v>-29002</v>
      </c>
      <c r="F6484" s="3" t="s">
        <v>124</v>
      </c>
      <c r="G6484" s="3" t="s">
        <v>62</v>
      </c>
      <c r="H6484" s="2" t="s">
        <v>21</v>
      </c>
      <c r="I6484" s="2" t="s">
        <v>12823</v>
      </c>
      <c r="J6484" s="3" t="str">
        <f>HYPERLINK("https://www.boe.es/gazeta/dias/1820/08/04/pdfs/GGB-1820-37.pdf#page=3","Abrir facsímil")</f>
        <v>Abrir facsímil</v>
      </c>
      <c r="K6484" s="3" t="s">
        <v>23</v>
      </c>
    </row>
    <row r="6485" spans="1:11" ht="42" customHeight="1">
      <c r="A6485" s="2" t="s">
        <v>12817</v>
      </c>
      <c r="B6485" s="2" t="s">
        <v>12817</v>
      </c>
      <c r="C6485" s="2" t="s">
        <v>47</v>
      </c>
      <c r="D6485" s="2" t="s">
        <v>18</v>
      </c>
      <c r="E6485" s="5">
        <v>-28984</v>
      </c>
      <c r="F6485" s="3" t="s">
        <v>520</v>
      </c>
      <c r="G6485" s="3" t="s">
        <v>62</v>
      </c>
      <c r="H6485" s="2" t="s">
        <v>21</v>
      </c>
      <c r="I6485" s="2" t="s">
        <v>12824</v>
      </c>
      <c r="J6485" s="3" t="str">
        <f>HYPERLINK("https://www.boe.es/gazeta/dias/1820/08/22/pdfs/GGB-1820-55.pdf#page=3","Abrir facsímil")</f>
        <v>Abrir facsímil</v>
      </c>
      <c r="K6485" s="3" t="s">
        <v>23</v>
      </c>
    </row>
    <row r="6486" spans="1:11" ht="42" customHeight="1">
      <c r="A6486" s="2" t="s">
        <v>12817</v>
      </c>
      <c r="B6486" s="2" t="s">
        <v>12817</v>
      </c>
      <c r="C6486" s="2" t="s">
        <v>26</v>
      </c>
      <c r="D6486" s="2" t="s">
        <v>27</v>
      </c>
      <c r="E6486" s="5">
        <v>-28968</v>
      </c>
      <c r="F6486" s="3" t="s">
        <v>66</v>
      </c>
      <c r="G6486" s="3" t="s">
        <v>62</v>
      </c>
      <c r="H6486" s="2" t="s">
        <v>21</v>
      </c>
      <c r="I6486" s="2" t="s">
        <v>12825</v>
      </c>
      <c r="J6486" s="3" t="str">
        <f>HYPERLINK("https://www.boe.es/gazeta/dias/1820/09/07/pdfs/GGB-1820-71.pdf#page=3","Abrir facsímil")</f>
        <v>Abrir facsímil</v>
      </c>
      <c r="K6486" s="3" t="s">
        <v>23</v>
      </c>
    </row>
    <row r="6487" spans="1:11" ht="42" customHeight="1">
      <c r="A6487" s="2" t="s">
        <v>12817</v>
      </c>
      <c r="B6487" s="2" t="s">
        <v>12817</v>
      </c>
      <c r="C6487" s="2" t="s">
        <v>26</v>
      </c>
      <c r="D6487" s="2" t="s">
        <v>27</v>
      </c>
      <c r="E6487" s="5">
        <v>-28941</v>
      </c>
      <c r="F6487" s="3" t="s">
        <v>1727</v>
      </c>
      <c r="G6487" s="3" t="s">
        <v>62</v>
      </c>
      <c r="H6487" s="2" t="s">
        <v>21</v>
      </c>
      <c r="I6487" s="2" t="s">
        <v>12826</v>
      </c>
      <c r="J6487" s="3" t="str">
        <f>HYPERLINK("https://www.boe.es/gazeta/dias/1820/10/04/pdfs/GGB-1820-98.pdf#page=3","Abrir facsímil")</f>
        <v>Abrir facsímil</v>
      </c>
      <c r="K6487" s="3" t="s">
        <v>23</v>
      </c>
    </row>
    <row r="6488" spans="1:11" ht="42" customHeight="1">
      <c r="A6488" s="2" t="s">
        <v>12817</v>
      </c>
      <c r="B6488" s="2" t="s">
        <v>12817</v>
      </c>
      <c r="C6488" s="2" t="s">
        <v>111</v>
      </c>
      <c r="D6488" s="2" t="s">
        <v>18</v>
      </c>
      <c r="E6488" s="5">
        <v>-28940</v>
      </c>
      <c r="F6488" s="3" t="s">
        <v>141</v>
      </c>
      <c r="G6488" s="3" t="s">
        <v>142</v>
      </c>
      <c r="H6488" s="2" t="s">
        <v>21</v>
      </c>
      <c r="I6488" s="2" t="s">
        <v>12827</v>
      </c>
      <c r="J6488" s="3" t="str">
        <f>HYPERLINK("https://www.boe.es/gazeta/dias/1820/10/05/pdfs/GGB-1820-99.pdf#page=4","Abrir facsímil")</f>
        <v>Abrir facsímil</v>
      </c>
      <c r="K6488" s="3" t="s">
        <v>23</v>
      </c>
    </row>
    <row r="6489" spans="1:11" ht="42" customHeight="1">
      <c r="A6489" s="2" t="s">
        <v>12817</v>
      </c>
      <c r="B6489" s="2" t="s">
        <v>12817</v>
      </c>
      <c r="C6489" s="2" t="s">
        <v>35</v>
      </c>
      <c r="D6489" s="2" t="s">
        <v>36</v>
      </c>
      <c r="E6489" s="5">
        <v>-28939</v>
      </c>
      <c r="F6489" s="3" t="s">
        <v>992</v>
      </c>
      <c r="G6489" s="3" t="s">
        <v>62</v>
      </c>
      <c r="H6489" s="2" t="s">
        <v>21</v>
      </c>
      <c r="I6489" s="2" t="s">
        <v>12828</v>
      </c>
      <c r="J6489" s="3" t="str">
        <f>HYPERLINK("https://www.boe.es/gazeta/dias/1820/10/06/pdfs/GGB-1820-100.pdf#page=3","Abrir facsímil")</f>
        <v>Abrir facsímil</v>
      </c>
      <c r="K6489" s="3" t="s">
        <v>23</v>
      </c>
    </row>
    <row r="6490" spans="1:11" ht="42" customHeight="1">
      <c r="A6490" s="2" t="s">
        <v>12817</v>
      </c>
      <c r="B6490" s="2" t="s">
        <v>12817</v>
      </c>
      <c r="C6490" s="2" t="s">
        <v>74</v>
      </c>
      <c r="D6490" s="2" t="s">
        <v>18</v>
      </c>
      <c r="E6490" s="5">
        <v>-28934</v>
      </c>
      <c r="F6490" s="3" t="s">
        <v>163</v>
      </c>
      <c r="G6490" s="3" t="s">
        <v>62</v>
      </c>
      <c r="H6490" s="2" t="s">
        <v>21</v>
      </c>
      <c r="I6490" s="2" t="s">
        <v>12829</v>
      </c>
      <c r="J6490" s="3" t="str">
        <f>HYPERLINK("https://www.boe.es/gazeta/dias/1820/10/11/pdfs/GGB-1820-105.pdf#page=3","Abrir facsímil")</f>
        <v>Abrir facsímil</v>
      </c>
      <c r="K6490" s="3" t="s">
        <v>23</v>
      </c>
    </row>
    <row r="6491" spans="1:11" ht="42" customHeight="1">
      <c r="A6491" s="2" t="s">
        <v>12817</v>
      </c>
      <c r="B6491" s="2" t="s">
        <v>12817</v>
      </c>
      <c r="C6491" s="2" t="s">
        <v>74</v>
      </c>
      <c r="D6491" s="2" t="s">
        <v>18</v>
      </c>
      <c r="E6491" s="5">
        <v>-28918</v>
      </c>
      <c r="F6491" s="3" t="s">
        <v>160</v>
      </c>
      <c r="G6491" s="3" t="s">
        <v>20</v>
      </c>
      <c r="H6491" s="2" t="s">
        <v>21</v>
      </c>
      <c r="I6491" s="2" t="s">
        <v>12830</v>
      </c>
      <c r="J6491" s="3" t="str">
        <f>HYPERLINK("https://www.boe.es/gazeta/dias/1820/10/27/pdfs/GGB-1820-121.pdf#page=4","Abrir facsímil")</f>
        <v>Abrir facsímil</v>
      </c>
      <c r="K6491" s="3" t="s">
        <v>23</v>
      </c>
    </row>
    <row r="6492" spans="1:11" ht="42" customHeight="1">
      <c r="A6492" s="2" t="s">
        <v>12817</v>
      </c>
      <c r="B6492" s="2" t="s">
        <v>12817</v>
      </c>
      <c r="C6492" s="2" t="s">
        <v>74</v>
      </c>
      <c r="D6492" s="2" t="s">
        <v>18</v>
      </c>
      <c r="E6492" s="5">
        <v>-28905</v>
      </c>
      <c r="F6492" s="3" t="s">
        <v>749</v>
      </c>
      <c r="G6492" s="3" t="s">
        <v>62</v>
      </c>
      <c r="H6492" s="2" t="s">
        <v>21</v>
      </c>
      <c r="I6492" s="2" t="s">
        <v>12831</v>
      </c>
      <c r="J6492" s="3" t="str">
        <f>HYPERLINK("https://www.boe.es/gazeta/dias/1820/11/09/pdfs/GGB-1820-134.pdf#page=3","Abrir facsímil")</f>
        <v>Abrir facsímil</v>
      </c>
      <c r="K6492" s="3" t="s">
        <v>23</v>
      </c>
    </row>
    <row r="6493" spans="1:11" ht="42" customHeight="1">
      <c r="A6493" s="2" t="s">
        <v>12817</v>
      </c>
      <c r="B6493" s="2" t="s">
        <v>12817</v>
      </c>
      <c r="C6493" s="2" t="s">
        <v>35</v>
      </c>
      <c r="D6493" s="2" t="s">
        <v>36</v>
      </c>
      <c r="E6493" s="5">
        <v>-28904</v>
      </c>
      <c r="F6493" s="3" t="s">
        <v>541</v>
      </c>
      <c r="G6493" s="3" t="s">
        <v>20</v>
      </c>
      <c r="H6493" s="2" t="s">
        <v>21</v>
      </c>
      <c r="I6493" s="2" t="s">
        <v>12832</v>
      </c>
      <c r="J6493" s="3" t="str">
        <f>HYPERLINK("https://www.boe.es/gazeta/dias/1820/11/10/pdfs/GGB-1820-136.pdf#page=4","Abrir facsímil")</f>
        <v>Abrir facsímil</v>
      </c>
      <c r="K6493" s="3" t="s">
        <v>23</v>
      </c>
    </row>
    <row r="6494" spans="1:11" ht="42" customHeight="1">
      <c r="A6494" s="2" t="s">
        <v>12833</v>
      </c>
      <c r="B6494" s="2" t="s">
        <v>12833</v>
      </c>
      <c r="C6494" s="2" t="s">
        <v>26</v>
      </c>
      <c r="D6494" s="2" t="s">
        <v>27</v>
      </c>
      <c r="E6494" s="5">
        <v>-28924</v>
      </c>
      <c r="F6494" s="3" t="s">
        <v>78</v>
      </c>
      <c r="G6494" s="3" t="s">
        <v>20</v>
      </c>
      <c r="H6494" s="2" t="s">
        <v>21</v>
      </c>
      <c r="I6494" s="2" t="s">
        <v>12834</v>
      </c>
      <c r="J6494" s="3" t="str">
        <f>HYPERLINK("https://www.boe.es/gazeta/dias/1820/10/21/pdfs/GGB-1820-115.pdf#page=4","Abrir facsímil")</f>
        <v>Abrir facsímil</v>
      </c>
      <c r="K6494" s="3" t="s">
        <v>23</v>
      </c>
    </row>
    <row r="6495" spans="1:11" ht="42" customHeight="1">
      <c r="A6495" s="2" t="s">
        <v>12835</v>
      </c>
      <c r="B6495" s="2" t="s">
        <v>12836</v>
      </c>
      <c r="C6495" s="2" t="s">
        <v>26</v>
      </c>
      <c r="D6495" s="2" t="s">
        <v>27</v>
      </c>
      <c r="E6495" s="5">
        <v>-29148</v>
      </c>
      <c r="F6495" s="3" t="s">
        <v>493</v>
      </c>
      <c r="G6495" s="3" t="s">
        <v>295</v>
      </c>
      <c r="H6495" s="2" t="s">
        <v>21</v>
      </c>
      <c r="I6495" s="2" t="s">
        <v>12837</v>
      </c>
      <c r="J6495" s="3" t="str">
        <f>HYPERLINK("https://www.boe.es/gazeta/dias/1820/03/11/pdfs/GMD-1820-36.pdf#page=8","Abrir facsímil")</f>
        <v>Abrir facsímil</v>
      </c>
      <c r="K6495" s="3" t="s">
        <v>23</v>
      </c>
    </row>
    <row r="6496" spans="1:11" ht="42" customHeight="1">
      <c r="A6496" s="2" t="s">
        <v>12838</v>
      </c>
      <c r="B6496" s="2" t="s">
        <v>12839</v>
      </c>
      <c r="C6496" s="2" t="s">
        <v>26</v>
      </c>
      <c r="D6496" s="2" t="s">
        <v>27</v>
      </c>
      <c r="E6496" s="5">
        <v>-29213</v>
      </c>
      <c r="F6496" s="3" t="s">
        <v>195</v>
      </c>
      <c r="G6496" s="3" t="s">
        <v>196</v>
      </c>
      <c r="H6496" s="2" t="s">
        <v>21</v>
      </c>
      <c r="I6496" s="2" t="s">
        <v>12840</v>
      </c>
      <c r="J6496" s="3" t="str">
        <f>HYPERLINK("https://www.boe.es/gazeta/dias/1820/01/06/pdfs/GMD-1820-3.pdf#page=11","Abrir facsímil")</f>
        <v>Abrir facsímil</v>
      </c>
      <c r="K6496" s="3" t="s">
        <v>23</v>
      </c>
    </row>
    <row r="6497" spans="1:11" ht="42" customHeight="1">
      <c r="A6497" s="2" t="s">
        <v>12841</v>
      </c>
      <c r="B6497" s="2" t="s">
        <v>12842</v>
      </c>
      <c r="C6497" s="2" t="s">
        <v>17</v>
      </c>
      <c r="D6497" s="2" t="s">
        <v>18</v>
      </c>
      <c r="E6497" s="5">
        <v>-28917</v>
      </c>
      <c r="F6497" s="3" t="s">
        <v>19</v>
      </c>
      <c r="G6497" s="3" t="s">
        <v>62</v>
      </c>
      <c r="H6497" s="2" t="s">
        <v>21</v>
      </c>
      <c r="I6497" s="2" t="s">
        <v>12843</v>
      </c>
      <c r="J6497" s="3" t="str">
        <f>HYPERLINK("https://www.boe.es/gazeta/dias/1820/10/28/pdfs/GGB-1820-122.pdf#page=3","Abrir facsímil")</f>
        <v>Abrir facsímil</v>
      </c>
      <c r="K6497" s="3" t="s">
        <v>23</v>
      </c>
    </row>
    <row r="6498" spans="1:11" ht="42" customHeight="1">
      <c r="A6498" s="2" t="s">
        <v>12844</v>
      </c>
      <c r="B6498" s="2" t="s">
        <v>12844</v>
      </c>
      <c r="C6498" s="2" t="s">
        <v>26</v>
      </c>
      <c r="D6498" s="2" t="s">
        <v>27</v>
      </c>
      <c r="E6498" s="5">
        <v>-28910</v>
      </c>
      <c r="F6498" s="3" t="s">
        <v>746</v>
      </c>
      <c r="G6498" s="3" t="s">
        <v>128</v>
      </c>
      <c r="H6498" s="2" t="s">
        <v>21</v>
      </c>
      <c r="I6498" s="2" t="s">
        <v>12845</v>
      </c>
      <c r="J6498" s="3" t="str">
        <f>HYPERLINK("https://www.boe.es/gazeta/dias/1820/11/04/pdfs/GGB-1820-129.pdf#page=1","Abrir facsímil")</f>
        <v>Abrir facsímil</v>
      </c>
      <c r="K6498" s="3" t="s">
        <v>23</v>
      </c>
    </row>
    <row r="6499" spans="1:11" ht="42" customHeight="1">
      <c r="A6499" s="2" t="s">
        <v>12846</v>
      </c>
      <c r="B6499" s="2" t="s">
        <v>12847</v>
      </c>
      <c r="C6499" s="2" t="s">
        <v>26</v>
      </c>
      <c r="D6499" s="2" t="s">
        <v>27</v>
      </c>
      <c r="E6499" s="5">
        <v>-28879</v>
      </c>
      <c r="F6499" s="3" t="s">
        <v>953</v>
      </c>
      <c r="G6499" s="3" t="s">
        <v>20</v>
      </c>
      <c r="H6499" s="2" t="s">
        <v>30</v>
      </c>
      <c r="I6499" s="2" t="s">
        <v>12848</v>
      </c>
      <c r="J6499" s="3" t="str">
        <f>HYPERLINK("https://www.boe.es/gazeta/dias/1820/12/05/pdfs/GGB-1820-162.pdf#page=4","Abrir facsímil")</f>
        <v>Abrir facsímil</v>
      </c>
      <c r="K6499" s="3" t="s">
        <v>32</v>
      </c>
    </row>
    <row r="6500" spans="1:11" ht="42" customHeight="1">
      <c r="A6500" s="2" t="s">
        <v>12849</v>
      </c>
      <c r="B6500" s="2" t="s">
        <v>12850</v>
      </c>
      <c r="C6500" s="2" t="s">
        <v>17</v>
      </c>
      <c r="D6500" s="2" t="s">
        <v>18</v>
      </c>
      <c r="E6500" s="5">
        <v>-28870</v>
      </c>
      <c r="F6500" s="3" t="s">
        <v>1014</v>
      </c>
      <c r="G6500" s="3" t="s">
        <v>62</v>
      </c>
      <c r="H6500" s="2" t="s">
        <v>21</v>
      </c>
      <c r="I6500" s="2" t="s">
        <v>12851</v>
      </c>
      <c r="J6500" s="3" t="str">
        <f>HYPERLINK("https://www.boe.es/gazeta/dias/1820/12/14/pdfs/GGB-1820-171.pdf#page=3","Abrir facsímil")</f>
        <v>Abrir facsímil</v>
      </c>
      <c r="K6500" s="3" t="s">
        <v>23</v>
      </c>
    </row>
    <row r="6501" spans="1:11" ht="42" customHeight="1">
      <c r="A6501" s="2" t="s">
        <v>12852</v>
      </c>
      <c r="B6501" s="2" t="s">
        <v>12852</v>
      </c>
      <c r="C6501" s="2" t="s">
        <v>35</v>
      </c>
      <c r="D6501" s="2" t="s">
        <v>36</v>
      </c>
      <c r="E6501" s="5">
        <v>-28885</v>
      </c>
      <c r="F6501" s="3" t="s">
        <v>2588</v>
      </c>
      <c r="G6501" s="3" t="s">
        <v>128</v>
      </c>
      <c r="H6501" s="2" t="s">
        <v>21</v>
      </c>
      <c r="I6501" s="2" t="s">
        <v>12853</v>
      </c>
      <c r="J6501" s="3" t="str">
        <f>HYPERLINK("https://www.boe.es/gazeta/dias/1820/11/29/pdfs/GGB-1820-156.pdf#page=1","Abrir facsímil")</f>
        <v>Abrir facsímil</v>
      </c>
      <c r="K6501" s="3" t="s">
        <v>23</v>
      </c>
    </row>
    <row r="6502" spans="1:11" ht="42" customHeight="1">
      <c r="A6502" s="2" t="s">
        <v>12854</v>
      </c>
      <c r="B6502" s="2" t="s">
        <v>12854</v>
      </c>
      <c r="C6502" s="2" t="s">
        <v>17</v>
      </c>
      <c r="D6502" s="2" t="s">
        <v>18</v>
      </c>
      <c r="E6502" s="5">
        <v>-29192</v>
      </c>
      <c r="F6502" s="3" t="s">
        <v>497</v>
      </c>
      <c r="G6502" s="3" t="s">
        <v>62</v>
      </c>
      <c r="H6502" s="2" t="s">
        <v>21</v>
      </c>
      <c r="I6502" s="2" t="s">
        <v>12855</v>
      </c>
      <c r="J6502" s="3" t="str">
        <f>HYPERLINK("https://www.boe.es/gazeta/dias/1820/01/27/pdfs/GMD-1820-12.pdf#page=3","Abrir facsímil")</f>
        <v>Abrir facsímil</v>
      </c>
      <c r="K6502" s="3" t="s">
        <v>23</v>
      </c>
    </row>
    <row r="6503" spans="1:11" ht="42" customHeight="1">
      <c r="A6503" s="2" t="s">
        <v>12854</v>
      </c>
      <c r="B6503" s="2" t="s">
        <v>12854</v>
      </c>
      <c r="C6503" s="2" t="s">
        <v>26</v>
      </c>
      <c r="D6503" s="2" t="s">
        <v>27</v>
      </c>
      <c r="E6503" s="5">
        <v>-29192</v>
      </c>
      <c r="F6503" s="3" t="s">
        <v>497</v>
      </c>
      <c r="G6503" s="3" t="s">
        <v>20</v>
      </c>
      <c r="H6503" s="2" t="s">
        <v>21</v>
      </c>
      <c r="I6503" s="2" t="s">
        <v>12856</v>
      </c>
      <c r="J6503" s="3" t="str">
        <f>HYPERLINK("https://www.boe.es/gazeta/dias/1820/01/27/pdfs/GMD-1820-12.pdf#page=4","Abrir facsímil")</f>
        <v>Abrir facsímil</v>
      </c>
      <c r="K6503" s="3" t="s">
        <v>23</v>
      </c>
    </row>
    <row r="6504" spans="1:11" ht="42" customHeight="1">
      <c r="A6504" s="2" t="s">
        <v>12857</v>
      </c>
      <c r="B6504" s="2" t="s">
        <v>12858</v>
      </c>
      <c r="C6504" s="2" t="s">
        <v>111</v>
      </c>
      <c r="D6504" s="2" t="s">
        <v>18</v>
      </c>
      <c r="E6504" s="5">
        <v>-29071</v>
      </c>
      <c r="F6504" s="3" t="s">
        <v>329</v>
      </c>
      <c r="G6504" s="3" t="s">
        <v>330</v>
      </c>
      <c r="H6504" s="2" t="s">
        <v>21</v>
      </c>
      <c r="I6504" s="2" t="s">
        <v>12859</v>
      </c>
      <c r="J6504" s="3" t="str">
        <f>HYPERLINK("https://www.boe.es/gazeta/dias/1820/05/27/pdfs/GMD-1820-86.pdf#page=8","Abrir facsímil")</f>
        <v>Abrir facsímil</v>
      </c>
      <c r="K6504" s="3" t="s">
        <v>23</v>
      </c>
    </row>
    <row r="6505" spans="1:11" ht="42" customHeight="1">
      <c r="A6505" s="2" t="s">
        <v>12860</v>
      </c>
      <c r="B6505" s="2" t="s">
        <v>12861</v>
      </c>
      <c r="C6505" s="2" t="s">
        <v>35</v>
      </c>
      <c r="D6505" s="2" t="s">
        <v>36</v>
      </c>
      <c r="E6505" s="5">
        <v>-29138</v>
      </c>
      <c r="F6505" s="3" t="s">
        <v>200</v>
      </c>
      <c r="G6505" s="3" t="s">
        <v>201</v>
      </c>
      <c r="H6505" s="2" t="s">
        <v>21</v>
      </c>
      <c r="I6505" s="2" t="s">
        <v>12862</v>
      </c>
      <c r="J6505" s="3" t="str">
        <f>HYPERLINK("https://www.boe.es/gazeta/dias/1820/03/21/pdfs/GMD-1820-46.pdf#page=7","Abrir facsímil")</f>
        <v>Abrir facsímil</v>
      </c>
      <c r="K6505" s="3" t="s">
        <v>23</v>
      </c>
    </row>
    <row r="6506" spans="1:11" ht="42" customHeight="1">
      <c r="A6506" s="2" t="s">
        <v>12863</v>
      </c>
      <c r="B6506" s="2" t="s">
        <v>12864</v>
      </c>
      <c r="C6506" s="2" t="s">
        <v>35</v>
      </c>
      <c r="D6506" s="2" t="s">
        <v>36</v>
      </c>
      <c r="E6506" s="5">
        <v>-29054</v>
      </c>
      <c r="F6506" s="3" t="s">
        <v>481</v>
      </c>
      <c r="G6506" s="3" t="s">
        <v>38</v>
      </c>
      <c r="H6506" s="2" t="s">
        <v>21</v>
      </c>
      <c r="I6506" s="2" t="s">
        <v>12865</v>
      </c>
      <c r="J6506" s="3" t="str">
        <f>HYPERLINK("https://www.boe.es/gazeta/dias/1820/06/13/pdfs/GMD-1820-93.pdf#page=6","Abrir facsímil")</f>
        <v>Abrir facsímil</v>
      </c>
      <c r="K6506" s="3" t="s">
        <v>23</v>
      </c>
    </row>
    <row r="6507" spans="1:11" ht="42" customHeight="1">
      <c r="A6507" s="2" t="s">
        <v>12866</v>
      </c>
      <c r="B6507" s="2" t="s">
        <v>12867</v>
      </c>
      <c r="C6507" s="2" t="s">
        <v>74</v>
      </c>
      <c r="D6507" s="2" t="s">
        <v>18</v>
      </c>
      <c r="E6507" s="5">
        <v>-29013</v>
      </c>
      <c r="F6507" s="3" t="s">
        <v>52</v>
      </c>
      <c r="G6507" s="3" t="s">
        <v>53</v>
      </c>
      <c r="H6507" s="2" t="s">
        <v>21</v>
      </c>
      <c r="I6507" s="2" t="s">
        <v>12868</v>
      </c>
      <c r="J6507" s="3" t="str">
        <f>HYPERLINK("https://www.boe.es/gazeta/dias/1820/07/24/pdfs/GGB-1820-26.pdf#page=3","Abrir facsímil")</f>
        <v>Abrir facsímil</v>
      </c>
      <c r="K6507" s="3" t="s">
        <v>23</v>
      </c>
    </row>
    <row r="6508" spans="1:11" ht="42" customHeight="1">
      <c r="A6508" s="2" t="s">
        <v>12869</v>
      </c>
      <c r="B6508" s="2" t="s">
        <v>12870</v>
      </c>
      <c r="C6508" s="2" t="s">
        <v>17</v>
      </c>
      <c r="D6508" s="2" t="s">
        <v>18</v>
      </c>
      <c r="E6508" s="5">
        <v>-28948</v>
      </c>
      <c r="F6508" s="3" t="s">
        <v>1069</v>
      </c>
      <c r="G6508" s="3" t="s">
        <v>20</v>
      </c>
      <c r="H6508" s="2" t="s">
        <v>21</v>
      </c>
      <c r="I6508" s="2" t="s">
        <v>12871</v>
      </c>
      <c r="J6508" s="3" t="str">
        <f>HYPERLINK("https://www.boe.es/gazeta/dias/1820/09/27/pdfs/GGB-1820-91.pdf#page=4","Abrir facsímil")</f>
        <v>Abrir facsímil</v>
      </c>
      <c r="K6508" s="3" t="s">
        <v>23</v>
      </c>
    </row>
    <row r="6509" spans="1:11" ht="42" customHeight="1">
      <c r="A6509" s="2" t="s">
        <v>12872</v>
      </c>
      <c r="B6509" s="2" t="s">
        <v>12873</v>
      </c>
      <c r="C6509" s="2" t="s">
        <v>26</v>
      </c>
      <c r="D6509" s="2" t="s">
        <v>27</v>
      </c>
      <c r="E6509" s="5">
        <v>-28867</v>
      </c>
      <c r="F6509" s="3" t="s">
        <v>590</v>
      </c>
      <c r="G6509" s="3" t="s">
        <v>43</v>
      </c>
      <c r="H6509" s="2" t="s">
        <v>21</v>
      </c>
      <c r="I6509" s="2" t="s">
        <v>12874</v>
      </c>
      <c r="J6509" s="3" t="str">
        <f>HYPERLINK("https://www.boe.es/gazeta/dias/1820/12/17/pdfs/GGB-1820-174.pdf#page=2","Abrir facsímil")</f>
        <v>Abrir facsímil</v>
      </c>
      <c r="K6509" s="3" t="s">
        <v>23</v>
      </c>
    </row>
    <row r="6510" spans="1:11" ht="42" customHeight="1">
      <c r="A6510" s="2" t="s">
        <v>12875</v>
      </c>
      <c r="B6510" s="2" t="s">
        <v>12876</v>
      </c>
      <c r="C6510" s="2" t="s">
        <v>35</v>
      </c>
      <c r="D6510" s="2" t="s">
        <v>36</v>
      </c>
      <c r="E6510" s="5">
        <v>-28986</v>
      </c>
      <c r="F6510" s="3" t="s">
        <v>488</v>
      </c>
      <c r="G6510" s="3" t="s">
        <v>489</v>
      </c>
      <c r="H6510" s="2" t="s">
        <v>21</v>
      </c>
      <c r="I6510" s="2" t="s">
        <v>12877</v>
      </c>
      <c r="J6510" s="3" t="str">
        <f>HYPERLINK("https://www.boe.es/gazeta/dias/1820/08/20/pdfs/GGB-1820-53.pdf#page=2","Abrir facsímil")</f>
        <v>Abrir facsímil</v>
      </c>
      <c r="K6510" s="3" t="s">
        <v>23</v>
      </c>
    </row>
    <row r="6511" spans="1:11" ht="42" customHeight="1">
      <c r="A6511" s="2" t="s">
        <v>12878</v>
      </c>
      <c r="B6511" s="2" t="s">
        <v>12879</v>
      </c>
      <c r="C6511" s="2" t="s">
        <v>26</v>
      </c>
      <c r="D6511" s="2" t="s">
        <v>27</v>
      </c>
      <c r="E6511" s="5">
        <v>-29061</v>
      </c>
      <c r="F6511" s="3" t="s">
        <v>4467</v>
      </c>
      <c r="G6511" s="3" t="s">
        <v>295</v>
      </c>
      <c r="H6511" s="2" t="s">
        <v>21</v>
      </c>
      <c r="I6511" s="2" t="s">
        <v>12880</v>
      </c>
      <c r="J6511" s="3" t="str">
        <f>HYPERLINK("https://www.boe.es/gazeta/dias/1820/06/06/pdfs/GMD-1820-90.pdf#page=8","Abrir facsímil")</f>
        <v>Abrir facsímil</v>
      </c>
      <c r="K6511" s="3" t="s">
        <v>23</v>
      </c>
    </row>
    <row r="6512" spans="1:11" ht="42" customHeight="1">
      <c r="A6512" s="2" t="s">
        <v>12881</v>
      </c>
      <c r="B6512" s="2" t="s">
        <v>12882</v>
      </c>
      <c r="C6512" s="2" t="s">
        <v>111</v>
      </c>
      <c r="D6512" s="2" t="s">
        <v>18</v>
      </c>
      <c r="E6512" s="5">
        <v>-28920</v>
      </c>
      <c r="F6512" s="3" t="s">
        <v>399</v>
      </c>
      <c r="G6512" s="3" t="s">
        <v>20</v>
      </c>
      <c r="H6512" s="2" t="s">
        <v>21</v>
      </c>
      <c r="I6512" s="2" t="s">
        <v>12883</v>
      </c>
      <c r="J6512" s="3" t="str">
        <f>HYPERLINK("https://www.boe.es/gazeta/dias/1820/10/25/pdfs/GGB-1820-119.pdf#page=4","Abrir facsímil")</f>
        <v>Abrir facsímil</v>
      </c>
      <c r="K6512" s="3" t="s">
        <v>23</v>
      </c>
    </row>
    <row r="6513" spans="1:11" ht="42" customHeight="1">
      <c r="A6513" s="2" t="s">
        <v>12884</v>
      </c>
      <c r="B6513" s="2" t="s">
        <v>12884</v>
      </c>
      <c r="C6513" s="2" t="s">
        <v>111</v>
      </c>
      <c r="D6513" s="2" t="s">
        <v>18</v>
      </c>
      <c r="E6513" s="5">
        <v>-28983</v>
      </c>
      <c r="F6513" s="3" t="s">
        <v>682</v>
      </c>
      <c r="G6513" s="3" t="s">
        <v>62</v>
      </c>
      <c r="H6513" s="2" t="s">
        <v>21</v>
      </c>
      <c r="I6513" s="2" t="s">
        <v>12885</v>
      </c>
      <c r="J6513" s="3" t="str">
        <f>HYPERLINK("https://www.boe.es/gazeta/dias/1820/08/23/pdfs/GGB-1820-56.pdf#page=3","Abrir facsímil")</f>
        <v>Abrir facsímil</v>
      </c>
      <c r="K6513" s="3" t="s">
        <v>23</v>
      </c>
    </row>
    <row r="6514" spans="1:11" ht="42" customHeight="1">
      <c r="A6514" s="2" t="s">
        <v>12886</v>
      </c>
      <c r="B6514" s="2" t="s">
        <v>12887</v>
      </c>
      <c r="C6514" s="2" t="s">
        <v>35</v>
      </c>
      <c r="D6514" s="2" t="s">
        <v>36</v>
      </c>
      <c r="E6514" s="5">
        <v>-29014</v>
      </c>
      <c r="F6514" s="3" t="s">
        <v>70</v>
      </c>
      <c r="G6514" s="3" t="s">
        <v>20</v>
      </c>
      <c r="H6514" s="2" t="s">
        <v>21</v>
      </c>
      <c r="I6514" s="2" t="s">
        <v>12888</v>
      </c>
      <c r="J6514" s="3" t="str">
        <f>HYPERLINK("https://www.boe.es/gazeta/dias/1820/07/23/pdfs/GGB-1820-25.pdf#page=4","Abrir facsímil")</f>
        <v>Abrir facsímil</v>
      </c>
      <c r="K6514" s="3" t="s">
        <v>23</v>
      </c>
    </row>
    <row r="6515" spans="1:11" ht="42" customHeight="1">
      <c r="A6515" s="2" t="s">
        <v>12886</v>
      </c>
      <c r="B6515" s="2" t="s">
        <v>12887</v>
      </c>
      <c r="C6515" s="2" t="s">
        <v>74</v>
      </c>
      <c r="D6515" s="2" t="s">
        <v>18</v>
      </c>
      <c r="E6515" s="5">
        <v>-29012</v>
      </c>
      <c r="F6515" s="3" t="s">
        <v>72</v>
      </c>
      <c r="G6515" s="3" t="s">
        <v>62</v>
      </c>
      <c r="H6515" s="2" t="s">
        <v>21</v>
      </c>
      <c r="I6515" s="2" t="s">
        <v>12889</v>
      </c>
      <c r="J6515" s="3" t="str">
        <f>HYPERLINK("https://www.boe.es/gazeta/dias/1820/07/25/pdfs/GGB-1820-27.pdf#page=3","Abrir facsímil")</f>
        <v>Abrir facsímil</v>
      </c>
      <c r="K6515" s="3" t="s">
        <v>23</v>
      </c>
    </row>
    <row r="6516" spans="1:11" ht="42" customHeight="1">
      <c r="A6516" s="2" t="s">
        <v>12890</v>
      </c>
      <c r="B6516" s="2" t="s">
        <v>12891</v>
      </c>
      <c r="C6516" s="2" t="s">
        <v>17</v>
      </c>
      <c r="D6516" s="2" t="s">
        <v>18</v>
      </c>
      <c r="E6516" s="5">
        <v>-28993</v>
      </c>
      <c r="F6516" s="3" t="s">
        <v>465</v>
      </c>
      <c r="G6516" s="3" t="s">
        <v>62</v>
      </c>
      <c r="H6516" s="2" t="s">
        <v>21</v>
      </c>
      <c r="I6516" s="2" t="s">
        <v>12892</v>
      </c>
      <c r="J6516" s="3" t="str">
        <f>HYPERLINK("https://www.boe.es/gazeta/dias/1820/08/13/pdfs/GGB-1820-46.pdf#page=3","Abrir facsímil")</f>
        <v>Abrir facsímil</v>
      </c>
      <c r="K6516" s="3" t="s">
        <v>23</v>
      </c>
    </row>
    <row r="6517" spans="1:11" ht="42" customHeight="1">
      <c r="A6517" s="2" t="s">
        <v>12893</v>
      </c>
      <c r="B6517" s="2" t="s">
        <v>12893</v>
      </c>
      <c r="C6517" s="2" t="s">
        <v>26</v>
      </c>
      <c r="D6517" s="2" t="s">
        <v>27</v>
      </c>
      <c r="E6517" s="5">
        <v>-29192</v>
      </c>
      <c r="F6517" s="3" t="s">
        <v>497</v>
      </c>
      <c r="G6517" s="3" t="s">
        <v>38</v>
      </c>
      <c r="H6517" s="2" t="s">
        <v>21</v>
      </c>
      <c r="I6517" s="2" t="s">
        <v>12894</v>
      </c>
      <c r="J6517" s="3" t="str">
        <f>HYPERLINK("https://www.boe.es/gazeta/dias/1820/01/27/pdfs/GMD-1820-12.pdf#page=6","Abrir facsímil")</f>
        <v>Abrir facsímil</v>
      </c>
      <c r="K6517" s="3" t="s">
        <v>23</v>
      </c>
    </row>
    <row r="6518" spans="1:11" ht="42" customHeight="1">
      <c r="A6518" s="2" t="s">
        <v>12895</v>
      </c>
      <c r="B6518" s="2" t="s">
        <v>12896</v>
      </c>
      <c r="C6518" s="2" t="s">
        <v>293</v>
      </c>
      <c r="D6518" s="2" t="s">
        <v>18</v>
      </c>
      <c r="E6518" s="5">
        <v>-29013</v>
      </c>
      <c r="F6518" s="3" t="s">
        <v>52</v>
      </c>
      <c r="G6518" s="3" t="s">
        <v>43</v>
      </c>
      <c r="H6518" s="2" t="s">
        <v>21</v>
      </c>
      <c r="I6518" s="2" t="s">
        <v>12897</v>
      </c>
      <c r="J6518" s="3" t="str">
        <f>HYPERLINK("https://www.boe.es/gazeta/dias/1820/07/24/pdfs/GGB-1820-26.pdf#page=2","Abrir facsímil")</f>
        <v>Abrir facsímil</v>
      </c>
      <c r="K6518" s="3" t="s">
        <v>23</v>
      </c>
    </row>
    <row r="6519" spans="1:11" ht="42" customHeight="1">
      <c r="A6519" s="2" t="s">
        <v>12898</v>
      </c>
      <c r="B6519" s="2" t="s">
        <v>12898</v>
      </c>
      <c r="C6519" s="2" t="s">
        <v>35</v>
      </c>
      <c r="D6519" s="2" t="s">
        <v>36</v>
      </c>
      <c r="E6519" s="5">
        <v>-28864</v>
      </c>
      <c r="F6519" s="3" t="s">
        <v>1275</v>
      </c>
      <c r="G6519" s="3" t="s">
        <v>62</v>
      </c>
      <c r="H6519" s="2" t="s">
        <v>21</v>
      </c>
      <c r="I6519" s="2" t="s">
        <v>12899</v>
      </c>
      <c r="J6519" s="3" t="str">
        <f>HYPERLINK("https://www.boe.es/gazeta/dias/1820/12/20/pdfs/GGB-1820-177.pdf#page=3","Abrir facsímil")</f>
        <v>Abrir facsímil</v>
      </c>
      <c r="K6519" s="3" t="s">
        <v>23</v>
      </c>
    </row>
    <row r="6520" spans="1:11" ht="42" customHeight="1">
      <c r="A6520" s="2" t="s">
        <v>12900</v>
      </c>
      <c r="B6520" s="2" t="s">
        <v>12901</v>
      </c>
      <c r="C6520" s="2" t="s">
        <v>17</v>
      </c>
      <c r="D6520" s="2" t="s">
        <v>18</v>
      </c>
      <c r="E6520" s="5">
        <v>-28969</v>
      </c>
      <c r="F6520" s="3" t="s">
        <v>225</v>
      </c>
      <c r="G6520" s="3" t="s">
        <v>226</v>
      </c>
      <c r="H6520" s="2" t="s">
        <v>21</v>
      </c>
      <c r="I6520" s="2" t="s">
        <v>12902</v>
      </c>
      <c r="J6520" s="3" t="str">
        <f>HYPERLINK("https://www.boe.es/gazeta/dias/1820/09/06/pdfs/GGB-1820-70.pdf#page=3","Abrir facsímil")</f>
        <v>Abrir facsímil</v>
      </c>
      <c r="K6520" s="3" t="s">
        <v>23</v>
      </c>
    </row>
    <row r="6521" spans="1:11" ht="42" customHeight="1">
      <c r="A6521" s="2" t="s">
        <v>12903</v>
      </c>
      <c r="B6521" s="2" t="s">
        <v>12904</v>
      </c>
      <c r="C6521" s="2" t="s">
        <v>26</v>
      </c>
      <c r="D6521" s="2" t="s">
        <v>27</v>
      </c>
      <c r="E6521" s="5">
        <v>-29003</v>
      </c>
      <c r="F6521" s="3" t="s">
        <v>340</v>
      </c>
      <c r="G6521" s="3" t="s">
        <v>62</v>
      </c>
      <c r="H6521" s="2" t="s">
        <v>21</v>
      </c>
      <c r="I6521" s="2" t="s">
        <v>12905</v>
      </c>
      <c r="J6521" s="3" t="str">
        <f>HYPERLINK("https://www.boe.es/gazeta/dias/1820/08/03/pdfs/GGB-1820-36.pdf#page=3","Abrir facsímil")</f>
        <v>Abrir facsímil</v>
      </c>
      <c r="K6521" s="3" t="s">
        <v>23</v>
      </c>
    </row>
    <row r="6522" spans="1:11" ht="42" customHeight="1">
      <c r="A6522" s="2" t="s">
        <v>12903</v>
      </c>
      <c r="B6522" s="2" t="s">
        <v>12904</v>
      </c>
      <c r="C6522" s="2" t="s">
        <v>111</v>
      </c>
      <c r="D6522" s="2" t="s">
        <v>18</v>
      </c>
      <c r="E6522" s="5">
        <v>-28981</v>
      </c>
      <c r="F6522" s="3" t="s">
        <v>42</v>
      </c>
      <c r="G6522" s="3" t="s">
        <v>20</v>
      </c>
      <c r="H6522" s="2" t="s">
        <v>21</v>
      </c>
      <c r="I6522" s="2" t="s">
        <v>12906</v>
      </c>
      <c r="J6522" s="3" t="str">
        <f>HYPERLINK("https://www.boe.es/gazeta/dias/1820/08/25/pdfs/GGB-1820-58.pdf#page=4","Abrir facsímil")</f>
        <v>Abrir facsímil</v>
      </c>
      <c r="K6522" s="3" t="s">
        <v>23</v>
      </c>
    </row>
    <row r="6523" spans="1:11" ht="42" customHeight="1">
      <c r="A6523" s="2" t="s">
        <v>12903</v>
      </c>
      <c r="B6523" s="2" t="s">
        <v>12904</v>
      </c>
      <c r="C6523" s="2" t="s">
        <v>26</v>
      </c>
      <c r="D6523" s="2" t="s">
        <v>27</v>
      </c>
      <c r="E6523" s="5">
        <v>-28978</v>
      </c>
      <c r="F6523" s="3" t="s">
        <v>203</v>
      </c>
      <c r="G6523" s="3" t="s">
        <v>43</v>
      </c>
      <c r="H6523" s="2" t="s">
        <v>21</v>
      </c>
      <c r="I6523" s="2" t="s">
        <v>12907</v>
      </c>
      <c r="J6523" s="3" t="str">
        <f>HYPERLINK("https://www.boe.es/gazeta/dias/1820/08/28/pdfs/GGB-1820-61.pdf#page=2","Abrir facsímil")</f>
        <v>Abrir facsímil</v>
      </c>
      <c r="K6523" s="3" t="s">
        <v>23</v>
      </c>
    </row>
    <row r="6524" spans="1:11" ht="42" customHeight="1">
      <c r="A6524" s="2" t="s">
        <v>12903</v>
      </c>
      <c r="B6524" s="2" t="s">
        <v>12904</v>
      </c>
      <c r="C6524" s="2" t="s">
        <v>26</v>
      </c>
      <c r="D6524" s="2" t="s">
        <v>27</v>
      </c>
      <c r="E6524" s="5">
        <v>-28951</v>
      </c>
      <c r="F6524" s="3" t="s">
        <v>622</v>
      </c>
      <c r="G6524" s="3" t="s">
        <v>62</v>
      </c>
      <c r="H6524" s="2" t="s">
        <v>21</v>
      </c>
      <c r="I6524" s="2" t="s">
        <v>12908</v>
      </c>
      <c r="J6524" s="3" t="str">
        <f>HYPERLINK("https://www.boe.es/gazeta/dias/1820/09/24/pdfs/GGB-1820-88.pdf#page=3","Abrir facsímil")</f>
        <v>Abrir facsímil</v>
      </c>
      <c r="K6524" s="3" t="s">
        <v>23</v>
      </c>
    </row>
    <row r="6525" spans="1:11" ht="42" customHeight="1">
      <c r="A6525" s="2" t="s">
        <v>12903</v>
      </c>
      <c r="B6525" s="2" t="s">
        <v>12904</v>
      </c>
      <c r="C6525" s="2" t="s">
        <v>35</v>
      </c>
      <c r="D6525" s="2" t="s">
        <v>36</v>
      </c>
      <c r="E6525" s="5">
        <v>-28926</v>
      </c>
      <c r="F6525" s="3" t="s">
        <v>597</v>
      </c>
      <c r="G6525" s="3" t="s">
        <v>20</v>
      </c>
      <c r="H6525" s="2" t="s">
        <v>21</v>
      </c>
      <c r="I6525" s="2" t="s">
        <v>12909</v>
      </c>
      <c r="J6525" s="3" t="str">
        <f>HYPERLINK("https://www.boe.es/gazeta/dias/1820/10/19/pdfs/GGB-1820-113.pdf#page=4","Abrir facsímil")</f>
        <v>Abrir facsímil</v>
      </c>
      <c r="K6525" s="3" t="s">
        <v>23</v>
      </c>
    </row>
    <row r="6526" spans="1:11" ht="42" customHeight="1">
      <c r="A6526" s="2" t="s">
        <v>12910</v>
      </c>
      <c r="B6526" s="2" t="s">
        <v>12911</v>
      </c>
      <c r="C6526" s="2" t="s">
        <v>47</v>
      </c>
      <c r="D6526" s="2" t="s">
        <v>18</v>
      </c>
      <c r="E6526" s="5">
        <v>-28981</v>
      </c>
      <c r="F6526" s="3" t="s">
        <v>42</v>
      </c>
      <c r="G6526" s="3" t="s">
        <v>20</v>
      </c>
      <c r="H6526" s="2" t="s">
        <v>21</v>
      </c>
      <c r="I6526" s="2" t="s">
        <v>12912</v>
      </c>
      <c r="J6526" s="3" t="str">
        <f>HYPERLINK("https://www.boe.es/gazeta/dias/1820/08/25/pdfs/GGB-1820-58.pdf#page=4","Abrir facsímil")</f>
        <v>Abrir facsímil</v>
      </c>
      <c r="K6526" s="3" t="s">
        <v>23</v>
      </c>
    </row>
    <row r="6527" spans="1:11" ht="42" customHeight="1">
      <c r="A6527" s="2" t="s">
        <v>12913</v>
      </c>
      <c r="B6527" s="2" t="s">
        <v>12914</v>
      </c>
      <c r="C6527" s="2" t="s">
        <v>17</v>
      </c>
      <c r="D6527" s="2" t="s">
        <v>18</v>
      </c>
      <c r="E6527" s="5">
        <v>-29018</v>
      </c>
      <c r="F6527" s="3" t="s">
        <v>601</v>
      </c>
      <c r="G6527" s="3" t="s">
        <v>62</v>
      </c>
      <c r="H6527" s="2" t="s">
        <v>21</v>
      </c>
      <c r="I6527" s="2" t="s">
        <v>12915</v>
      </c>
      <c r="J6527" s="3" t="str">
        <f>HYPERLINK("https://www.boe.es/gazeta/dias/1820/07/19/pdfs/GGB-1820-21.pdf#page=3","Abrir facsímil")</f>
        <v>Abrir facsímil</v>
      </c>
      <c r="K6527" s="3" t="s">
        <v>23</v>
      </c>
    </row>
    <row r="6528" spans="1:11" ht="42" customHeight="1">
      <c r="A6528" s="2" t="s">
        <v>12916</v>
      </c>
      <c r="B6528" s="2" t="s">
        <v>12917</v>
      </c>
      <c r="C6528" s="2" t="s">
        <v>74</v>
      </c>
      <c r="D6528" s="2" t="s">
        <v>18</v>
      </c>
      <c r="E6528" s="5">
        <v>-28923</v>
      </c>
      <c r="F6528" s="3" t="s">
        <v>648</v>
      </c>
      <c r="G6528" s="3" t="s">
        <v>20</v>
      </c>
      <c r="H6528" s="2" t="s">
        <v>21</v>
      </c>
      <c r="I6528" s="2" t="s">
        <v>12918</v>
      </c>
      <c r="J6528" s="3" t="str">
        <f>HYPERLINK("https://www.boe.es/gazeta/dias/1820/10/22/pdfs/GGB-1820-116.pdf#page=4","Abrir facsímil")</f>
        <v>Abrir facsímil</v>
      </c>
      <c r="K6528" s="3" t="s">
        <v>23</v>
      </c>
    </row>
    <row r="6529" spans="1:11" ht="42" customHeight="1">
      <c r="A6529" s="2" t="s">
        <v>12919</v>
      </c>
      <c r="B6529" s="2" t="s">
        <v>12920</v>
      </c>
      <c r="C6529" s="2" t="s">
        <v>26</v>
      </c>
      <c r="D6529" s="2" t="s">
        <v>27</v>
      </c>
      <c r="E6529" s="5">
        <v>-28907</v>
      </c>
      <c r="F6529" s="3" t="s">
        <v>374</v>
      </c>
      <c r="G6529" s="3" t="s">
        <v>62</v>
      </c>
      <c r="H6529" s="2" t="s">
        <v>21</v>
      </c>
      <c r="I6529" s="2" t="s">
        <v>12921</v>
      </c>
      <c r="J6529" s="3" t="str">
        <f>HYPERLINK("https://www.boe.es/gazeta/dias/1820/11/07/pdfs/GGB-1820-132.pdf#page=3","Abrir facsímil")</f>
        <v>Abrir facsímil</v>
      </c>
      <c r="K6529" s="3" t="s">
        <v>23</v>
      </c>
    </row>
    <row r="6530" spans="1:11" ht="42" customHeight="1">
      <c r="A6530" s="2" t="s">
        <v>12922</v>
      </c>
      <c r="B6530" s="2" t="s">
        <v>12923</v>
      </c>
      <c r="C6530" s="2" t="s">
        <v>293</v>
      </c>
      <c r="D6530" s="2" t="s">
        <v>18</v>
      </c>
      <c r="E6530" s="5">
        <v>-28953</v>
      </c>
      <c r="F6530" s="3" t="s">
        <v>367</v>
      </c>
      <c r="G6530" s="3" t="s">
        <v>62</v>
      </c>
      <c r="H6530" s="2" t="s">
        <v>21</v>
      </c>
      <c r="I6530" s="2" t="s">
        <v>12924</v>
      </c>
      <c r="J6530" s="3" t="str">
        <f>HYPERLINK("https://www.boe.es/gazeta/dias/1820/09/22/pdfs/GGB-1820-86.pdf#page=3","Abrir facsímil")</f>
        <v>Abrir facsímil</v>
      </c>
      <c r="K6530" s="3" t="s">
        <v>23</v>
      </c>
    </row>
    <row r="6531" spans="1:11" ht="42" customHeight="1">
      <c r="A6531" s="2" t="s">
        <v>12925</v>
      </c>
      <c r="B6531" s="2" t="s">
        <v>12925</v>
      </c>
      <c r="C6531" s="2" t="s">
        <v>74</v>
      </c>
      <c r="D6531" s="2" t="s">
        <v>18</v>
      </c>
      <c r="E6531" s="5">
        <v>-28961</v>
      </c>
      <c r="F6531" s="3" t="s">
        <v>242</v>
      </c>
      <c r="G6531" s="3" t="s">
        <v>62</v>
      </c>
      <c r="H6531" s="2" t="s">
        <v>21</v>
      </c>
      <c r="I6531" s="2" t="s">
        <v>12926</v>
      </c>
      <c r="J6531" s="3" t="str">
        <f>HYPERLINK("https://www.boe.es/gazeta/dias/1820/09/14/pdfs/GGB-1820-78.pdf#page=3","Abrir facsímil")</f>
        <v>Abrir facsímil</v>
      </c>
      <c r="K6531" s="3" t="s">
        <v>23</v>
      </c>
    </row>
    <row r="6532" spans="1:11" ht="42" customHeight="1">
      <c r="A6532" s="2" t="s">
        <v>12927</v>
      </c>
      <c r="B6532" s="2" t="s">
        <v>12928</v>
      </c>
      <c r="C6532" s="2" t="s">
        <v>26</v>
      </c>
      <c r="D6532" s="2" t="s">
        <v>27</v>
      </c>
      <c r="E6532" s="5">
        <v>-28929</v>
      </c>
      <c r="F6532" s="3" t="s">
        <v>728</v>
      </c>
      <c r="G6532" s="3" t="s">
        <v>62</v>
      </c>
      <c r="H6532" s="2" t="s">
        <v>30</v>
      </c>
      <c r="I6532" s="2" t="s">
        <v>12929</v>
      </c>
      <c r="J6532" s="3" t="str">
        <f>HYPERLINK("https://www.boe.es/gazeta/dias/1820/10/16/pdfs/GGB-1820-110.pdf#page=3","Abrir facsímil")</f>
        <v>Abrir facsímil</v>
      </c>
      <c r="K6532" s="3" t="s">
        <v>32</v>
      </c>
    </row>
    <row r="6533" spans="1:11" ht="42" customHeight="1">
      <c r="A6533" s="2" t="s">
        <v>12930</v>
      </c>
      <c r="B6533" s="2" t="s">
        <v>12931</v>
      </c>
      <c r="C6533" s="2" t="s">
        <v>26</v>
      </c>
      <c r="D6533" s="2" t="s">
        <v>27</v>
      </c>
      <c r="E6533" s="5">
        <v>-28982</v>
      </c>
      <c r="F6533" s="3" t="s">
        <v>173</v>
      </c>
      <c r="G6533" s="3" t="s">
        <v>43</v>
      </c>
      <c r="H6533" s="2" t="s">
        <v>21</v>
      </c>
      <c r="I6533" s="2" t="s">
        <v>12932</v>
      </c>
      <c r="J6533" s="3" t="str">
        <f>HYPERLINK("https://www.boe.es/gazeta/dias/1820/08/24/pdfs/GGB-1820-57.pdf#page=2","Abrir facsímil")</f>
        <v>Abrir facsímil</v>
      </c>
      <c r="K6533" s="3" t="s">
        <v>23</v>
      </c>
    </row>
    <row r="6534" spans="1:11" ht="42" customHeight="1">
      <c r="A6534" s="2" t="s">
        <v>12933</v>
      </c>
      <c r="B6534" s="2" t="s">
        <v>12933</v>
      </c>
      <c r="C6534" s="2" t="s">
        <v>74</v>
      </c>
      <c r="D6534" s="2" t="s">
        <v>18</v>
      </c>
      <c r="E6534" s="5">
        <v>-28895</v>
      </c>
      <c r="F6534" s="3" t="s">
        <v>347</v>
      </c>
      <c r="G6534" s="3" t="s">
        <v>2318</v>
      </c>
      <c r="H6534" s="2" t="s">
        <v>21</v>
      </c>
      <c r="I6534" s="2" t="s">
        <v>12934</v>
      </c>
      <c r="J6534" s="3" t="str">
        <f>HYPERLINK("https://www.boe.es/gazeta/dias/1820/11/19/pdfs/GGB-1820-146.pdf#page=2","Abrir facsímil")</f>
        <v>Abrir facsímil</v>
      </c>
      <c r="K6534" s="3" t="s">
        <v>23</v>
      </c>
    </row>
    <row r="6535" spans="1:11" ht="42" customHeight="1">
      <c r="A6535" s="2" t="s">
        <v>12935</v>
      </c>
      <c r="B6535" s="2" t="s">
        <v>12935</v>
      </c>
      <c r="C6535" s="2" t="s">
        <v>74</v>
      </c>
      <c r="D6535" s="2" t="s">
        <v>18</v>
      </c>
      <c r="E6535" s="5">
        <v>-28863</v>
      </c>
      <c r="F6535" s="3" t="s">
        <v>3630</v>
      </c>
      <c r="G6535" s="3" t="s">
        <v>128</v>
      </c>
      <c r="H6535" s="2" t="s">
        <v>21</v>
      </c>
      <c r="I6535" s="2" t="s">
        <v>12936</v>
      </c>
      <c r="J6535" s="3" t="str">
        <f>HYPERLINK("https://www.boe.es/gazeta/dias/1820/12/21/pdfs/GGB-1820-178.pdf#page=1","Abrir facsímil")</f>
        <v>Abrir facsímil</v>
      </c>
      <c r="K6535" s="3" t="s">
        <v>23</v>
      </c>
    </row>
    <row r="6536" spans="1:11" ht="42" customHeight="1">
      <c r="A6536" s="2" t="s">
        <v>12937</v>
      </c>
      <c r="B6536" s="2" t="s">
        <v>12937</v>
      </c>
      <c r="C6536" s="2" t="s">
        <v>35</v>
      </c>
      <c r="D6536" s="2" t="s">
        <v>36</v>
      </c>
      <c r="E6536" s="5">
        <v>-29019</v>
      </c>
      <c r="F6536" s="3" t="s">
        <v>655</v>
      </c>
      <c r="G6536" s="3" t="s">
        <v>945</v>
      </c>
      <c r="H6536" s="2" t="s">
        <v>21</v>
      </c>
      <c r="I6536" s="2" t="s">
        <v>12938</v>
      </c>
      <c r="J6536" s="3" t="str">
        <f>HYPERLINK("https://www.boe.es/gazeta/dias/1820/07/18/pdfs/GGB-1820-20.pdf#page=2","Abrir facsímil")</f>
        <v>Abrir facsímil</v>
      </c>
      <c r="K6536" s="3" t="s">
        <v>23</v>
      </c>
    </row>
    <row r="6537" spans="1:11" ht="42" customHeight="1">
      <c r="A6537" s="2" t="s">
        <v>12937</v>
      </c>
      <c r="B6537" s="2" t="s">
        <v>12937</v>
      </c>
      <c r="C6537" s="2" t="s">
        <v>35</v>
      </c>
      <c r="D6537" s="2" t="s">
        <v>36</v>
      </c>
      <c r="E6537" s="5">
        <v>-28967</v>
      </c>
      <c r="F6537" s="3" t="s">
        <v>238</v>
      </c>
      <c r="G6537" s="3" t="s">
        <v>128</v>
      </c>
      <c r="H6537" s="2" t="s">
        <v>21</v>
      </c>
      <c r="I6537" s="2" t="s">
        <v>12939</v>
      </c>
      <c r="J6537" s="3" t="str">
        <f>HYPERLINK("https://www.boe.es/gazeta/dias/1820/09/08/pdfs/GGB-1820-72.pdf#page=1","Abrir facsímil")</f>
        <v>Abrir facsímil</v>
      </c>
      <c r="K6537" s="3" t="s">
        <v>23</v>
      </c>
    </row>
    <row r="6538" spans="1:11" ht="42" customHeight="1">
      <c r="A6538" s="2" t="s">
        <v>12940</v>
      </c>
      <c r="B6538" s="2" t="s">
        <v>12941</v>
      </c>
      <c r="C6538" s="2" t="s">
        <v>26</v>
      </c>
      <c r="D6538" s="2" t="s">
        <v>27</v>
      </c>
      <c r="E6538" s="5">
        <v>-28910</v>
      </c>
      <c r="F6538" s="3" t="s">
        <v>746</v>
      </c>
      <c r="G6538" s="3" t="s">
        <v>20</v>
      </c>
      <c r="H6538" s="2" t="s">
        <v>21</v>
      </c>
      <c r="I6538" s="2" t="s">
        <v>12942</v>
      </c>
      <c r="J6538" s="3" t="str">
        <f>HYPERLINK("https://www.boe.es/gazeta/dias/1820/11/04/pdfs/GGB-1820-129.pdf#page=4","Abrir facsímil")</f>
        <v>Abrir facsímil</v>
      </c>
      <c r="K6538" s="3" t="s">
        <v>23</v>
      </c>
    </row>
    <row r="6539" spans="1:11" ht="42" customHeight="1">
      <c r="A6539" s="2" t="s">
        <v>12943</v>
      </c>
      <c r="B6539" s="2" t="s">
        <v>12944</v>
      </c>
      <c r="C6539" s="2" t="s">
        <v>47</v>
      </c>
      <c r="D6539" s="2" t="s">
        <v>18</v>
      </c>
      <c r="E6539" s="5">
        <v>-28895</v>
      </c>
      <c r="F6539" s="3" t="s">
        <v>347</v>
      </c>
      <c r="G6539" s="3" t="s">
        <v>20</v>
      </c>
      <c r="H6539" s="2" t="s">
        <v>21</v>
      </c>
      <c r="I6539" s="2" t="s">
        <v>12945</v>
      </c>
      <c r="J6539" s="3" t="str">
        <f>HYPERLINK("https://www.boe.es/gazeta/dias/1820/11/19/pdfs/GGB-1820-146.pdf#page=4","Abrir facsímil")</f>
        <v>Abrir facsímil</v>
      </c>
      <c r="K6539" s="3" t="s">
        <v>23</v>
      </c>
    </row>
    <row r="6540" spans="1:11" ht="42" customHeight="1">
      <c r="A6540" s="2" t="s">
        <v>12946</v>
      </c>
      <c r="B6540" s="2" t="s">
        <v>12947</v>
      </c>
      <c r="C6540" s="2" t="s">
        <v>26</v>
      </c>
      <c r="D6540" s="2" t="s">
        <v>27</v>
      </c>
      <c r="E6540" s="5">
        <v>-28858</v>
      </c>
      <c r="F6540" s="3" t="s">
        <v>117</v>
      </c>
      <c r="G6540" s="3" t="s">
        <v>20</v>
      </c>
      <c r="H6540" s="2" t="s">
        <v>21</v>
      </c>
      <c r="I6540" s="2" t="s">
        <v>12948</v>
      </c>
      <c r="J6540" s="3" t="str">
        <f>HYPERLINK("https://www.boe.es/gazeta/dias/1820/12/26/pdfs/GGB-1820-183.pdf#page=4","Abrir facsímil")</f>
        <v>Abrir facsímil</v>
      </c>
      <c r="K6540" s="3" t="s">
        <v>23</v>
      </c>
    </row>
    <row r="6541" spans="1:11" ht="42" customHeight="1">
      <c r="A6541" s="2" t="s">
        <v>12949</v>
      </c>
      <c r="B6541" s="2" t="s">
        <v>12949</v>
      </c>
      <c r="C6541" s="2" t="s">
        <v>17</v>
      </c>
      <c r="D6541" s="2" t="s">
        <v>18</v>
      </c>
      <c r="E6541" s="5">
        <v>-29059</v>
      </c>
      <c r="F6541" s="3" t="s">
        <v>1898</v>
      </c>
      <c r="G6541" s="3" t="s">
        <v>62</v>
      </c>
      <c r="H6541" s="2" t="s">
        <v>21</v>
      </c>
      <c r="I6541" s="2" t="s">
        <v>12950</v>
      </c>
      <c r="J6541" s="3" t="str">
        <f>HYPERLINK("https://www.boe.es/gazeta/dias/1820/06/08/pdfs/GMD-1820-91.pdf#page=3","Abrir facsímil")</f>
        <v>Abrir facsímil</v>
      </c>
      <c r="K6541" s="3" t="s">
        <v>23</v>
      </c>
    </row>
    <row r="6542" spans="1:11" ht="42" customHeight="1">
      <c r="A6542" s="2" t="s">
        <v>12949</v>
      </c>
      <c r="B6542" s="2" t="s">
        <v>12949</v>
      </c>
      <c r="C6542" s="2" t="s">
        <v>26</v>
      </c>
      <c r="D6542" s="2" t="s">
        <v>27</v>
      </c>
      <c r="E6542" s="5">
        <v>-29050</v>
      </c>
      <c r="F6542" s="3" t="s">
        <v>423</v>
      </c>
      <c r="G6542" s="3" t="s">
        <v>62</v>
      </c>
      <c r="H6542" s="2" t="s">
        <v>21</v>
      </c>
      <c r="I6542" s="2" t="s">
        <v>12951</v>
      </c>
      <c r="J6542" s="3" t="str">
        <f>HYPERLINK("https://www.boe.es/gazeta/dias/1820/06/17/pdfs/GMD-1820-95.pdf#page=3","Abrir facsímil")</f>
        <v>Abrir facsímil</v>
      </c>
      <c r="K6542" s="3" t="s">
        <v>23</v>
      </c>
    </row>
    <row r="6543" spans="1:11" ht="42" customHeight="1">
      <c r="A6543" s="2" t="s">
        <v>12952</v>
      </c>
      <c r="B6543" s="2" t="s">
        <v>12952</v>
      </c>
      <c r="C6543" s="2" t="s">
        <v>74</v>
      </c>
      <c r="D6543" s="2" t="s">
        <v>18</v>
      </c>
      <c r="E6543" s="5">
        <v>-28882</v>
      </c>
      <c r="F6543" s="3" t="s">
        <v>1245</v>
      </c>
      <c r="G6543" s="3" t="s">
        <v>128</v>
      </c>
      <c r="H6543" s="2" t="s">
        <v>21</v>
      </c>
      <c r="I6543" s="2" t="s">
        <v>12953</v>
      </c>
      <c r="J6543" s="3" t="str">
        <f>HYPERLINK("https://www.boe.es/gazeta/dias/1820/12/02/pdfs/GGB-1820-159.pdf#page=1","Abrir facsímil")</f>
        <v>Abrir facsímil</v>
      </c>
      <c r="K6543" s="3" t="s">
        <v>23</v>
      </c>
    </row>
    <row r="6544" spans="1:11" ht="42" customHeight="1">
      <c r="A6544" s="2" t="s">
        <v>12954</v>
      </c>
      <c r="B6544" s="2" t="s">
        <v>12954</v>
      </c>
      <c r="C6544" s="2" t="s">
        <v>26</v>
      </c>
      <c r="D6544" s="2" t="s">
        <v>27</v>
      </c>
      <c r="E6544" s="5">
        <v>-29043</v>
      </c>
      <c r="F6544" s="3" t="s">
        <v>5696</v>
      </c>
      <c r="G6544" s="3" t="s">
        <v>62</v>
      </c>
      <c r="H6544" s="2" t="s">
        <v>21</v>
      </c>
      <c r="I6544" s="2" t="s">
        <v>12955</v>
      </c>
      <c r="J6544" s="3" t="str">
        <f>HYPERLINK("https://www.boe.es/gazeta/dias/1820/06/24/pdfs/GMD-1820-98.pdf#page=3","Abrir facsímil")</f>
        <v>Abrir facsímil</v>
      </c>
      <c r="K6544" s="3" t="s">
        <v>23</v>
      </c>
    </row>
    <row r="6545" spans="1:11" ht="42" customHeight="1">
      <c r="A6545" s="2" t="s">
        <v>12956</v>
      </c>
      <c r="B6545" s="2" t="s">
        <v>12956</v>
      </c>
      <c r="C6545" s="2" t="s">
        <v>35</v>
      </c>
      <c r="D6545" s="2" t="s">
        <v>36</v>
      </c>
      <c r="E6545" s="5">
        <v>-29211</v>
      </c>
      <c r="F6545" s="3" t="s">
        <v>578</v>
      </c>
      <c r="G6545" s="3" t="s">
        <v>20</v>
      </c>
      <c r="H6545" s="2" t="s">
        <v>21</v>
      </c>
      <c r="I6545" s="2" t="s">
        <v>12957</v>
      </c>
      <c r="J6545" s="3" t="str">
        <f>HYPERLINK("https://www.boe.es/gazeta/dias/1820/01/08/pdfs/GMD-1820-4.pdf#page=4","Abrir facsímil")</f>
        <v>Abrir facsímil</v>
      </c>
      <c r="K6545" s="3" t="s">
        <v>23</v>
      </c>
    </row>
    <row r="6546" spans="1:11" ht="42" customHeight="1">
      <c r="A6546" s="2" t="s">
        <v>12958</v>
      </c>
      <c r="B6546" s="2" t="s">
        <v>12959</v>
      </c>
      <c r="C6546" s="2" t="s">
        <v>26</v>
      </c>
      <c r="D6546" s="2" t="s">
        <v>27</v>
      </c>
      <c r="E6546" s="5">
        <v>-29185</v>
      </c>
      <c r="F6546" s="3" t="s">
        <v>772</v>
      </c>
      <c r="G6546" s="3" t="s">
        <v>201</v>
      </c>
      <c r="H6546" s="2" t="s">
        <v>21</v>
      </c>
      <c r="I6546" s="2" t="s">
        <v>12960</v>
      </c>
      <c r="J6546" s="3" t="str">
        <f>HYPERLINK("https://www.boe.es/gazeta/dias/1820/02/03/pdfs/GMD-1820-15.pdf#page=7","Abrir facsímil")</f>
        <v>Abrir facsímil</v>
      </c>
      <c r="K6546" s="3" t="s">
        <v>23</v>
      </c>
    </row>
    <row r="6547" spans="1:11" ht="42" customHeight="1">
      <c r="A6547" s="2" t="s">
        <v>12961</v>
      </c>
      <c r="B6547" s="2" t="s">
        <v>12961</v>
      </c>
      <c r="C6547" s="2" t="s">
        <v>26</v>
      </c>
      <c r="D6547" s="2" t="s">
        <v>27</v>
      </c>
      <c r="E6547" s="5">
        <v>-28870</v>
      </c>
      <c r="F6547" s="3" t="s">
        <v>1014</v>
      </c>
      <c r="G6547" s="3" t="s">
        <v>128</v>
      </c>
      <c r="H6547" s="2" t="s">
        <v>21</v>
      </c>
      <c r="I6547" s="2" t="s">
        <v>12962</v>
      </c>
      <c r="J6547" s="3" t="str">
        <f>HYPERLINK("https://www.boe.es/gazeta/dias/1820/12/14/pdfs/GGB-1820-171.pdf#page=1","Abrir facsímil")</f>
        <v>Abrir facsímil</v>
      </c>
      <c r="K6547" s="3" t="s">
        <v>23</v>
      </c>
    </row>
    <row r="6548" spans="1:11" ht="42" customHeight="1">
      <c r="A6548" s="2" t="s">
        <v>12963</v>
      </c>
      <c r="B6548" s="2" t="s">
        <v>12963</v>
      </c>
      <c r="C6548" s="2" t="s">
        <v>111</v>
      </c>
      <c r="D6548" s="2" t="s">
        <v>18</v>
      </c>
      <c r="E6548" s="5">
        <v>-29183</v>
      </c>
      <c r="F6548" s="3" t="s">
        <v>476</v>
      </c>
      <c r="G6548" s="3" t="s">
        <v>128</v>
      </c>
      <c r="H6548" s="2" t="s">
        <v>21</v>
      </c>
      <c r="I6548" s="2" t="s">
        <v>12964</v>
      </c>
      <c r="J6548" s="3" t="str">
        <f>HYPERLINK("https://www.boe.es/gazeta/dias/1820/02/05/pdfs/GMD-1820-16.pdf#page=1","Abrir facsímil")</f>
        <v>Abrir facsímil</v>
      </c>
      <c r="K6548" s="3" t="s">
        <v>23</v>
      </c>
    </row>
    <row r="6549" spans="1:11" ht="42" customHeight="1">
      <c r="A6549" s="2" t="s">
        <v>12963</v>
      </c>
      <c r="B6549" s="2" t="s">
        <v>12963</v>
      </c>
      <c r="C6549" s="2" t="s">
        <v>26</v>
      </c>
      <c r="D6549" s="2" t="s">
        <v>27</v>
      </c>
      <c r="E6549" s="5">
        <v>-29120</v>
      </c>
      <c r="F6549" s="3" t="s">
        <v>852</v>
      </c>
      <c r="G6549" s="3" t="s">
        <v>1080</v>
      </c>
      <c r="H6549" s="2" t="s">
        <v>21</v>
      </c>
      <c r="I6549" s="2" t="s">
        <v>12965</v>
      </c>
      <c r="J6549" s="3" t="str">
        <f>HYPERLINK("https://www.boe.es/gazeta/dias/1820/04/08/pdfs/GMD-1820-63.pdf#page=1","Abrir facsímil")</f>
        <v>Abrir facsímil</v>
      </c>
      <c r="K6549" s="3" t="s">
        <v>23</v>
      </c>
    </row>
    <row r="6550" spans="1:11" ht="42" customHeight="1">
      <c r="A6550" s="2" t="s">
        <v>12963</v>
      </c>
      <c r="B6550" s="2" t="s">
        <v>12963</v>
      </c>
      <c r="C6550" s="2" t="s">
        <v>74</v>
      </c>
      <c r="D6550" s="2" t="s">
        <v>18</v>
      </c>
      <c r="E6550" s="5">
        <v>-28956</v>
      </c>
      <c r="F6550" s="3" t="s">
        <v>190</v>
      </c>
      <c r="G6550" s="3" t="s">
        <v>128</v>
      </c>
      <c r="H6550" s="2" t="s">
        <v>21</v>
      </c>
      <c r="I6550" s="2" t="s">
        <v>12966</v>
      </c>
      <c r="J6550" s="3" t="str">
        <f>HYPERLINK("https://www.boe.es/gazeta/dias/1820/09/19/pdfs/GGB-1820-83.pdf#page=1","Abrir facsímil")</f>
        <v>Abrir facsímil</v>
      </c>
      <c r="K6550" s="3" t="s">
        <v>23</v>
      </c>
    </row>
    <row r="6551" spans="1:11" ht="42" customHeight="1">
      <c r="A6551" s="2" t="s">
        <v>12963</v>
      </c>
      <c r="B6551" s="2" t="s">
        <v>12963</v>
      </c>
      <c r="C6551" s="2" t="s">
        <v>17</v>
      </c>
      <c r="D6551" s="2" t="s">
        <v>18</v>
      </c>
      <c r="E6551" s="5">
        <v>-28953</v>
      </c>
      <c r="F6551" s="3" t="s">
        <v>367</v>
      </c>
      <c r="G6551" s="3" t="s">
        <v>128</v>
      </c>
      <c r="H6551" s="2" t="s">
        <v>21</v>
      </c>
      <c r="I6551" s="2" t="s">
        <v>12967</v>
      </c>
      <c r="J6551" s="3" t="str">
        <f>HYPERLINK("https://www.boe.es/gazeta/dias/1820/09/22/pdfs/GGB-1820-86.pdf#page=1","Abrir facsímil")</f>
        <v>Abrir facsímil</v>
      </c>
      <c r="K6551" s="3" t="s">
        <v>23</v>
      </c>
    </row>
    <row r="6552" spans="1:11" ht="42" customHeight="1">
      <c r="A6552" s="2" t="s">
        <v>12963</v>
      </c>
      <c r="B6552" s="2" t="s">
        <v>12963</v>
      </c>
      <c r="C6552" s="2" t="s">
        <v>26</v>
      </c>
      <c r="D6552" s="2" t="s">
        <v>27</v>
      </c>
      <c r="E6552" s="5">
        <v>-28910</v>
      </c>
      <c r="F6552" s="3" t="s">
        <v>746</v>
      </c>
      <c r="G6552" s="3" t="s">
        <v>128</v>
      </c>
      <c r="H6552" s="2" t="s">
        <v>21</v>
      </c>
      <c r="I6552" s="2" t="s">
        <v>12968</v>
      </c>
      <c r="J6552" s="3" t="str">
        <f>HYPERLINK("https://www.boe.es/gazeta/dias/1820/11/04/pdfs/GGB-1820-129.pdf#page=1","Abrir facsímil")</f>
        <v>Abrir facsímil</v>
      </c>
      <c r="K6552" s="3" t="s">
        <v>23</v>
      </c>
    </row>
    <row r="6553" spans="1:11" ht="42" customHeight="1">
      <c r="A6553" s="2" t="s">
        <v>12963</v>
      </c>
      <c r="B6553" s="2" t="s">
        <v>12963</v>
      </c>
      <c r="C6553" s="2" t="s">
        <v>35</v>
      </c>
      <c r="D6553" s="2" t="s">
        <v>36</v>
      </c>
      <c r="E6553" s="5">
        <v>-28895</v>
      </c>
      <c r="F6553" s="3" t="s">
        <v>347</v>
      </c>
      <c r="G6553" s="3" t="s">
        <v>128</v>
      </c>
      <c r="H6553" s="2" t="s">
        <v>21</v>
      </c>
      <c r="I6553" s="2" t="s">
        <v>12969</v>
      </c>
      <c r="J6553" s="3" t="str">
        <f>HYPERLINK("https://www.boe.es/gazeta/dias/1820/11/19/pdfs/GGB-1820-146.pdf#page=1","Abrir facsímil")</f>
        <v>Abrir facsímil</v>
      </c>
      <c r="K6553" s="3" t="s">
        <v>23</v>
      </c>
    </row>
    <row r="6554" spans="1:11" ht="42" customHeight="1">
      <c r="A6554" s="2" t="s">
        <v>12963</v>
      </c>
      <c r="B6554" s="2" t="s">
        <v>12963</v>
      </c>
      <c r="C6554" s="2" t="s">
        <v>26</v>
      </c>
      <c r="D6554" s="2" t="s">
        <v>27</v>
      </c>
      <c r="E6554" s="5">
        <v>-28890</v>
      </c>
      <c r="F6554" s="3" t="s">
        <v>248</v>
      </c>
      <c r="G6554" s="3" t="s">
        <v>128</v>
      </c>
      <c r="H6554" s="2" t="s">
        <v>21</v>
      </c>
      <c r="I6554" s="2" t="s">
        <v>12970</v>
      </c>
      <c r="J6554" s="3" t="str">
        <f>HYPERLINK("https://www.boe.es/gazeta/dias/1820/11/24/pdfs/GGB-1820-151.pdf#page=1","Abrir facsímil")</f>
        <v>Abrir facsímil</v>
      </c>
      <c r="K6554" s="3" t="s">
        <v>23</v>
      </c>
    </row>
    <row r="6555" spans="1:11" ht="42" customHeight="1">
      <c r="A6555" s="2" t="s">
        <v>12963</v>
      </c>
      <c r="B6555" s="2" t="s">
        <v>12963</v>
      </c>
      <c r="C6555" s="2" t="s">
        <v>26</v>
      </c>
      <c r="D6555" s="2" t="s">
        <v>27</v>
      </c>
      <c r="E6555" s="5">
        <v>-28877</v>
      </c>
      <c r="F6555" s="3" t="s">
        <v>5611</v>
      </c>
      <c r="G6555" s="3" t="s">
        <v>128</v>
      </c>
      <c r="H6555" s="2" t="s">
        <v>21</v>
      </c>
      <c r="I6555" s="2" t="s">
        <v>12971</v>
      </c>
      <c r="J6555" s="3" t="str">
        <f>HYPERLINK("https://www.boe.es/gazeta/dias/1820/12/07/pdfs/GGB-1820-164.pdf#page=1","Abrir facsímil")</f>
        <v>Abrir facsímil</v>
      </c>
      <c r="K6555" s="3" t="s">
        <v>23</v>
      </c>
    </row>
    <row r="6556" spans="1:11" ht="42" customHeight="1">
      <c r="A6556" s="2" t="s">
        <v>12963</v>
      </c>
      <c r="B6556" s="2" t="s">
        <v>12963</v>
      </c>
      <c r="C6556" s="2" t="s">
        <v>26</v>
      </c>
      <c r="D6556" s="2" t="s">
        <v>27</v>
      </c>
      <c r="E6556" s="5">
        <v>-28874</v>
      </c>
      <c r="F6556" s="3" t="s">
        <v>103</v>
      </c>
      <c r="G6556" s="3" t="s">
        <v>1822</v>
      </c>
      <c r="H6556" s="2" t="s">
        <v>21</v>
      </c>
      <c r="I6556" s="2" t="s">
        <v>12972</v>
      </c>
      <c r="J6556" s="3" t="str">
        <f>HYPERLINK("https://www.boe.es/gazeta/dias/1820/12/10/pdfs/GGB-1820-167.pdf#page=1","Abrir facsímil")</f>
        <v>Abrir facsímil</v>
      </c>
      <c r="K6556" s="3" t="s">
        <v>23</v>
      </c>
    </row>
    <row r="6557" spans="1:11" ht="42" customHeight="1">
      <c r="A6557" s="2" t="s">
        <v>12963</v>
      </c>
      <c r="B6557" s="2" t="s">
        <v>12963</v>
      </c>
      <c r="C6557" s="2" t="s">
        <v>35</v>
      </c>
      <c r="D6557" s="2" t="s">
        <v>36</v>
      </c>
      <c r="E6557" s="5">
        <v>-28873</v>
      </c>
      <c r="F6557" s="3" t="s">
        <v>4997</v>
      </c>
      <c r="G6557" s="3" t="s">
        <v>128</v>
      </c>
      <c r="H6557" s="2" t="s">
        <v>21</v>
      </c>
      <c r="I6557" s="2" t="s">
        <v>12973</v>
      </c>
      <c r="J6557" s="3" t="str">
        <f>HYPERLINK("https://www.boe.es/gazeta/dias/1820/12/11/pdfs/GGB-1820-168.pdf#page=1","Abrir facsímil")</f>
        <v>Abrir facsímil</v>
      </c>
      <c r="K6557" s="3" t="s">
        <v>23</v>
      </c>
    </row>
    <row r="6558" spans="1:11" ht="42" customHeight="1">
      <c r="A6558" s="2" t="s">
        <v>12963</v>
      </c>
      <c r="B6558" s="2" t="s">
        <v>12963</v>
      </c>
      <c r="C6558" s="2" t="s">
        <v>74</v>
      </c>
      <c r="D6558" s="2" t="s">
        <v>18</v>
      </c>
      <c r="E6558" s="5">
        <v>-28868</v>
      </c>
      <c r="F6558" s="3" t="s">
        <v>4191</v>
      </c>
      <c r="G6558" s="3" t="s">
        <v>20</v>
      </c>
      <c r="H6558" s="2" t="s">
        <v>21</v>
      </c>
      <c r="I6558" s="2" t="s">
        <v>12974</v>
      </c>
      <c r="J6558" s="3" t="str">
        <f>HYPERLINK("https://www.boe.es/gazeta/dias/1820/12/16/pdfs/GGB-1820-173.pdf#page=4","Abrir facsímil")</f>
        <v>Abrir facsímil</v>
      </c>
      <c r="K6558" s="3" t="s">
        <v>23</v>
      </c>
    </row>
    <row r="6559" spans="1:11" ht="42" customHeight="1">
      <c r="A6559" s="2" t="s">
        <v>12963</v>
      </c>
      <c r="B6559" s="2" t="s">
        <v>12963</v>
      </c>
      <c r="C6559" s="2" t="s">
        <v>74</v>
      </c>
      <c r="D6559" s="2" t="s">
        <v>18</v>
      </c>
      <c r="E6559" s="5">
        <v>-28862</v>
      </c>
      <c r="F6559" s="3" t="s">
        <v>1905</v>
      </c>
      <c r="G6559" s="3" t="s">
        <v>62</v>
      </c>
      <c r="H6559" s="2" t="s">
        <v>21</v>
      </c>
      <c r="I6559" s="2" t="s">
        <v>12975</v>
      </c>
      <c r="J6559" s="3" t="str">
        <f>HYPERLINK("https://www.boe.es/gazeta/dias/1820/12/22/pdfs/GGB-1820-179.pdf#page=3","Abrir facsímil")</f>
        <v>Abrir facsímil</v>
      </c>
      <c r="K6559" s="3" t="s">
        <v>23</v>
      </c>
    </row>
    <row r="6560" spans="1:11" ht="42" customHeight="1">
      <c r="A6560" s="2" t="s">
        <v>12963</v>
      </c>
      <c r="B6560" s="2" t="s">
        <v>12963</v>
      </c>
      <c r="C6560" s="2" t="s">
        <v>17</v>
      </c>
      <c r="D6560" s="2" t="s">
        <v>18</v>
      </c>
      <c r="E6560" s="5">
        <v>-28860</v>
      </c>
      <c r="F6560" s="3" t="s">
        <v>4487</v>
      </c>
      <c r="G6560" s="3" t="s">
        <v>128</v>
      </c>
      <c r="H6560" s="2" t="s">
        <v>21</v>
      </c>
      <c r="I6560" s="2" t="s">
        <v>12976</v>
      </c>
      <c r="J6560" s="3" t="str">
        <f>HYPERLINK("https://www.boe.es/gazeta/dias/1820/12/24/pdfs/GGB-1820-181.pdf#page=1","Abrir facsímil")</f>
        <v>Abrir facsímil</v>
      </c>
      <c r="K6560" s="3" t="s">
        <v>23</v>
      </c>
    </row>
    <row r="6561" spans="1:11" ht="42" customHeight="1">
      <c r="A6561" s="2" t="s">
        <v>12963</v>
      </c>
      <c r="B6561" s="2" t="s">
        <v>12963</v>
      </c>
      <c r="C6561" s="2" t="s">
        <v>74</v>
      </c>
      <c r="D6561" s="2" t="s">
        <v>18</v>
      </c>
      <c r="E6561" s="5">
        <v>-28859</v>
      </c>
      <c r="F6561" s="3" t="s">
        <v>265</v>
      </c>
      <c r="G6561" s="3" t="s">
        <v>43</v>
      </c>
      <c r="H6561" s="2" t="s">
        <v>21</v>
      </c>
      <c r="I6561" s="2" t="s">
        <v>12977</v>
      </c>
      <c r="J6561" s="3" t="str">
        <f>HYPERLINK("https://www.boe.es/gazeta/dias/1820/12/25/pdfs/GGB-1820-182.pdf#page=2","Abrir facsímil")</f>
        <v>Abrir facsímil</v>
      </c>
      <c r="K6561" s="3" t="s">
        <v>23</v>
      </c>
    </row>
    <row r="6562" spans="1:11" ht="42" customHeight="1">
      <c r="A6562" s="2" t="s">
        <v>12963</v>
      </c>
      <c r="B6562" s="2" t="s">
        <v>12963</v>
      </c>
      <c r="C6562" s="2" t="s">
        <v>17</v>
      </c>
      <c r="D6562" s="2" t="s">
        <v>18</v>
      </c>
      <c r="E6562" s="5">
        <v>-28857</v>
      </c>
      <c r="F6562" s="3" t="s">
        <v>889</v>
      </c>
      <c r="G6562" s="3" t="s">
        <v>62</v>
      </c>
      <c r="H6562" s="2" t="s">
        <v>21</v>
      </c>
      <c r="I6562" s="2" t="s">
        <v>12978</v>
      </c>
      <c r="J6562" s="3" t="str">
        <f>HYPERLINK("https://www.boe.es/gazeta/dias/1820/12/27/pdfs/GGB-1820-184.pdf#page=3","Abrir facsímil")</f>
        <v>Abrir facsímil</v>
      </c>
      <c r="K6562" s="3" t="s">
        <v>23</v>
      </c>
    </row>
    <row r="6563" spans="1:11" ht="42" customHeight="1">
      <c r="A6563" s="2" t="s">
        <v>12979</v>
      </c>
      <c r="B6563" s="2" t="s">
        <v>12979</v>
      </c>
      <c r="C6563" s="2" t="s">
        <v>35</v>
      </c>
      <c r="D6563" s="2" t="s">
        <v>36</v>
      </c>
      <c r="E6563" s="5">
        <v>-28872</v>
      </c>
      <c r="F6563" s="3" t="s">
        <v>1939</v>
      </c>
      <c r="G6563" s="3" t="s">
        <v>20</v>
      </c>
      <c r="H6563" s="2" t="s">
        <v>21</v>
      </c>
      <c r="I6563" s="2" t="s">
        <v>12980</v>
      </c>
      <c r="J6563" s="3" t="str">
        <f>HYPERLINK("https://www.boe.es/gazeta/dias/1820/12/12/pdfs/GGB-1820-169.pdf#page=4","Abrir facsímil")</f>
        <v>Abrir facsímil</v>
      </c>
      <c r="K6563" s="3" t="s">
        <v>23</v>
      </c>
    </row>
    <row r="6564" spans="1:11" ht="42" customHeight="1">
      <c r="A6564" s="2" t="s">
        <v>12981</v>
      </c>
      <c r="B6564" s="2" t="s">
        <v>12982</v>
      </c>
      <c r="C6564" s="2" t="s">
        <v>35</v>
      </c>
      <c r="D6564" s="2" t="s">
        <v>36</v>
      </c>
      <c r="E6564" s="5">
        <v>-29152</v>
      </c>
      <c r="F6564" s="3" t="s">
        <v>1293</v>
      </c>
      <c r="G6564" s="3" t="s">
        <v>128</v>
      </c>
      <c r="H6564" s="2" t="s">
        <v>21</v>
      </c>
      <c r="I6564" s="2" t="s">
        <v>12983</v>
      </c>
      <c r="J6564" s="3" t="str">
        <f>HYPERLINK("https://www.boe.es/gazeta/dias/1820/03/07/pdfs/GMD-1820-29.pdf#page=1","Abrir facsímil")</f>
        <v>Abrir facsímil</v>
      </c>
      <c r="K6564" s="3" t="s">
        <v>23</v>
      </c>
    </row>
    <row r="6565" spans="1:11" ht="42" customHeight="1">
      <c r="A6565" s="2" t="s">
        <v>12984</v>
      </c>
      <c r="B6565" s="2" t="s">
        <v>12984</v>
      </c>
      <c r="C6565" s="2" t="s">
        <v>17</v>
      </c>
      <c r="D6565" s="2" t="s">
        <v>18</v>
      </c>
      <c r="E6565" s="5">
        <v>-29218</v>
      </c>
      <c r="F6565" s="3" t="s">
        <v>834</v>
      </c>
      <c r="G6565" s="3" t="s">
        <v>62</v>
      </c>
      <c r="H6565" s="2" t="s">
        <v>21</v>
      </c>
      <c r="I6565" s="2" t="s">
        <v>12985</v>
      </c>
      <c r="J6565" s="3" t="str">
        <f>HYPERLINK("https://www.boe.es/gazeta/dias/1820/01/01/pdfs/GMD-1820-1.pdf#page=3","Abrir facsímil")</f>
        <v>Abrir facsímil</v>
      </c>
      <c r="K6565" s="3" t="s">
        <v>23</v>
      </c>
    </row>
    <row r="6566" spans="1:11" ht="42" customHeight="1">
      <c r="A6566" s="2" t="s">
        <v>12986</v>
      </c>
      <c r="B6566" s="2" t="s">
        <v>12986</v>
      </c>
      <c r="C6566" s="2" t="s">
        <v>35</v>
      </c>
      <c r="D6566" s="2" t="s">
        <v>36</v>
      </c>
      <c r="E6566" s="5">
        <v>-29108</v>
      </c>
      <c r="F6566" s="3" t="s">
        <v>304</v>
      </c>
      <c r="G6566" s="3" t="s">
        <v>62</v>
      </c>
      <c r="H6566" s="2" t="s">
        <v>21</v>
      </c>
      <c r="I6566" s="2" t="s">
        <v>12987</v>
      </c>
      <c r="J6566" s="3" t="str">
        <f>HYPERLINK("https://www.boe.es/gazeta/dias/1820/04/20/pdfs/GMD-1820-68.pdf#page=3","Abrir facsímil")</f>
        <v>Abrir facsímil</v>
      </c>
      <c r="K6566" s="3" t="s">
        <v>23</v>
      </c>
    </row>
    <row r="6567" spans="1:11" ht="42" customHeight="1">
      <c r="A6567" s="2" t="s">
        <v>12988</v>
      </c>
      <c r="B6567" s="2" t="s">
        <v>12988</v>
      </c>
      <c r="C6567" s="2" t="s">
        <v>26</v>
      </c>
      <c r="D6567" s="2" t="s">
        <v>27</v>
      </c>
      <c r="E6567" s="5">
        <v>-29120</v>
      </c>
      <c r="F6567" s="3" t="s">
        <v>852</v>
      </c>
      <c r="G6567" s="3" t="s">
        <v>62</v>
      </c>
      <c r="H6567" s="2" t="s">
        <v>21</v>
      </c>
      <c r="I6567" s="2" t="s">
        <v>12989</v>
      </c>
      <c r="J6567" s="3" t="str">
        <f>HYPERLINK("https://www.boe.es/gazeta/dias/1820/04/08/pdfs/GMD-1820-63.pdf#page=3","Abrir facsímil")</f>
        <v>Abrir facsímil</v>
      </c>
      <c r="K6567" s="3" t="s">
        <v>23</v>
      </c>
    </row>
    <row r="6568" spans="1:11" ht="42" customHeight="1">
      <c r="A6568" s="2" t="s">
        <v>12990</v>
      </c>
      <c r="B6568" s="2" t="s">
        <v>12990</v>
      </c>
      <c r="C6568" s="2" t="s">
        <v>26</v>
      </c>
      <c r="D6568" s="2" t="s">
        <v>27</v>
      </c>
      <c r="E6568" s="5">
        <v>-29022</v>
      </c>
      <c r="F6568" s="3" t="s">
        <v>1310</v>
      </c>
      <c r="G6568" s="3" t="s">
        <v>62</v>
      </c>
      <c r="H6568" s="2" t="s">
        <v>21</v>
      </c>
      <c r="I6568" s="2" t="s">
        <v>12991</v>
      </c>
      <c r="J6568" s="3" t="str">
        <f>HYPERLINK("https://www.boe.es/gazeta/dias/1820/07/15/pdfs/GGB-1820-17.pdf#page=3","Abrir facsímil")</f>
        <v>Abrir facsímil</v>
      </c>
      <c r="K6568" s="3" t="s">
        <v>23</v>
      </c>
    </row>
    <row r="6569" spans="1:11" ht="42" customHeight="1">
      <c r="A6569" s="2" t="s">
        <v>12992</v>
      </c>
      <c r="B6569" s="2" t="s">
        <v>12993</v>
      </c>
      <c r="C6569" s="2" t="s">
        <v>111</v>
      </c>
      <c r="D6569" s="2" t="s">
        <v>18</v>
      </c>
      <c r="E6569" s="5">
        <v>-28856</v>
      </c>
      <c r="F6569" s="3" t="s">
        <v>1217</v>
      </c>
      <c r="G6569" s="3" t="s">
        <v>20</v>
      </c>
      <c r="H6569" s="2" t="s">
        <v>21</v>
      </c>
      <c r="I6569" s="2" t="s">
        <v>12994</v>
      </c>
      <c r="J6569" s="3" t="str">
        <f>HYPERLINK("https://www.boe.es/gazeta/dias/1820/12/28/pdfs/GGB-1820-185.pdf#page=4","Abrir facsímil")</f>
        <v>Abrir facsímil</v>
      </c>
      <c r="K6569" s="3" t="s">
        <v>23</v>
      </c>
    </row>
    <row r="6570" spans="1:11" ht="42" customHeight="1">
      <c r="A6570" s="2" t="s">
        <v>12995</v>
      </c>
      <c r="B6570" s="2" t="s">
        <v>12996</v>
      </c>
      <c r="C6570" s="2" t="s">
        <v>26</v>
      </c>
      <c r="D6570" s="2" t="s">
        <v>27</v>
      </c>
      <c r="E6570" s="5">
        <v>-28865</v>
      </c>
      <c r="F6570" s="3" t="s">
        <v>136</v>
      </c>
      <c r="G6570" s="3" t="s">
        <v>137</v>
      </c>
      <c r="H6570" s="2" t="s">
        <v>21</v>
      </c>
      <c r="I6570" s="2" t="s">
        <v>12997</v>
      </c>
      <c r="J6570" s="3" t="str">
        <f>HYPERLINK("https://www.boe.es/gazeta/dias/1820/12/19/pdfs/GGB-1820-176.pdf#page=3","Abrir facsímil")</f>
        <v>Abrir facsímil</v>
      </c>
      <c r="K6570" s="3" t="s">
        <v>23</v>
      </c>
    </row>
    <row r="6571" spans="1:11" ht="42" customHeight="1">
      <c r="A6571" s="2" t="s">
        <v>12998</v>
      </c>
      <c r="B6571" s="2" t="s">
        <v>12998</v>
      </c>
      <c r="C6571" s="2" t="s">
        <v>35</v>
      </c>
      <c r="D6571" s="2" t="s">
        <v>36</v>
      </c>
      <c r="E6571" s="5">
        <v>-29011</v>
      </c>
      <c r="F6571" s="3" t="s">
        <v>338</v>
      </c>
      <c r="G6571" s="3" t="s">
        <v>62</v>
      </c>
      <c r="H6571" s="2" t="s">
        <v>21</v>
      </c>
      <c r="I6571" s="2" t="s">
        <v>12999</v>
      </c>
      <c r="J6571" s="3" t="str">
        <f>HYPERLINK("https://www.boe.es/gazeta/dias/1820/07/26/pdfs/GGB-1820-28.pdf#page=3","Abrir facsímil")</f>
        <v>Abrir facsímil</v>
      </c>
      <c r="K6571" s="3" t="s">
        <v>23</v>
      </c>
    </row>
    <row r="6572" spans="1:11" ht="42" customHeight="1">
      <c r="A6572" s="2" t="s">
        <v>13000</v>
      </c>
      <c r="B6572" s="2" t="s">
        <v>13000</v>
      </c>
      <c r="C6572" s="2" t="s">
        <v>35</v>
      </c>
      <c r="D6572" s="2" t="s">
        <v>36</v>
      </c>
      <c r="E6572" s="5">
        <v>-29026</v>
      </c>
      <c r="F6572" s="3" t="s">
        <v>1197</v>
      </c>
      <c r="G6572" s="3" t="s">
        <v>43</v>
      </c>
      <c r="H6572" s="2" t="s">
        <v>21</v>
      </c>
      <c r="I6572" s="2" t="s">
        <v>13001</v>
      </c>
      <c r="J6572" s="3" t="str">
        <f>HYPERLINK("https://www.boe.es/gazeta/dias/1820/07/11/pdfs/GGB-1820-13.pdf#page=2","Abrir facsímil")</f>
        <v>Abrir facsímil</v>
      </c>
      <c r="K6572" s="3" t="s">
        <v>23</v>
      </c>
    </row>
    <row r="6573" spans="1:11" ht="42" customHeight="1">
      <c r="A6573" s="2" t="s">
        <v>13000</v>
      </c>
      <c r="B6573" s="2" t="s">
        <v>13000</v>
      </c>
      <c r="C6573" s="2" t="s">
        <v>26</v>
      </c>
      <c r="D6573" s="2" t="s">
        <v>27</v>
      </c>
      <c r="E6573" s="5">
        <v>-29011</v>
      </c>
      <c r="F6573" s="3" t="s">
        <v>338</v>
      </c>
      <c r="G6573" s="3" t="s">
        <v>62</v>
      </c>
      <c r="H6573" s="2" t="s">
        <v>21</v>
      </c>
      <c r="I6573" s="2" t="s">
        <v>13002</v>
      </c>
      <c r="J6573" s="3" t="str">
        <f>HYPERLINK("https://www.boe.es/gazeta/dias/1820/07/26/pdfs/GGB-1820-28.pdf#page=3","Abrir facsímil")</f>
        <v>Abrir facsímil</v>
      </c>
      <c r="K6573" s="3" t="s">
        <v>23</v>
      </c>
    </row>
    <row r="6574" spans="1:11" ht="42" customHeight="1">
      <c r="A6574" s="2" t="s">
        <v>13000</v>
      </c>
      <c r="B6574" s="2" t="s">
        <v>13000</v>
      </c>
      <c r="C6574" s="2" t="s">
        <v>74</v>
      </c>
      <c r="D6574" s="2" t="s">
        <v>18</v>
      </c>
      <c r="E6574" s="5">
        <v>-29003</v>
      </c>
      <c r="F6574" s="3" t="s">
        <v>340</v>
      </c>
      <c r="G6574" s="3" t="s">
        <v>62</v>
      </c>
      <c r="H6574" s="2" t="s">
        <v>21</v>
      </c>
      <c r="I6574" s="2" t="s">
        <v>13003</v>
      </c>
      <c r="J6574" s="3" t="str">
        <f>HYPERLINK("https://www.boe.es/gazeta/dias/1820/08/03/pdfs/GGB-1820-36.pdf#page=3","Abrir facsímil")</f>
        <v>Abrir facsímil</v>
      </c>
      <c r="K6574" s="3" t="s">
        <v>23</v>
      </c>
    </row>
    <row r="6575" spans="1:11" ht="42" customHeight="1">
      <c r="A6575" s="2" t="s">
        <v>13000</v>
      </c>
      <c r="B6575" s="2" t="s">
        <v>13000</v>
      </c>
      <c r="C6575" s="2" t="s">
        <v>74</v>
      </c>
      <c r="D6575" s="2" t="s">
        <v>18</v>
      </c>
      <c r="E6575" s="5">
        <v>-29002</v>
      </c>
      <c r="F6575" s="3" t="s">
        <v>124</v>
      </c>
      <c r="G6575" s="3" t="s">
        <v>62</v>
      </c>
      <c r="H6575" s="2" t="s">
        <v>21</v>
      </c>
      <c r="I6575" s="2" t="s">
        <v>13004</v>
      </c>
      <c r="J6575" s="3" t="str">
        <f>HYPERLINK("https://www.boe.es/gazeta/dias/1820/08/04/pdfs/GGB-1820-37.pdf#page=3","Abrir facsímil")</f>
        <v>Abrir facsímil</v>
      </c>
      <c r="K6575" s="3" t="s">
        <v>23</v>
      </c>
    </row>
    <row r="6576" spans="1:11" ht="42" customHeight="1">
      <c r="A6576" s="2" t="s">
        <v>13000</v>
      </c>
      <c r="B6576" s="2" t="s">
        <v>13000</v>
      </c>
      <c r="C6576" s="2" t="s">
        <v>293</v>
      </c>
      <c r="D6576" s="2" t="s">
        <v>18</v>
      </c>
      <c r="E6576" s="5">
        <v>-29002</v>
      </c>
      <c r="F6576" s="3" t="s">
        <v>124</v>
      </c>
      <c r="G6576" s="3" t="s">
        <v>20</v>
      </c>
      <c r="H6576" s="2" t="s">
        <v>21</v>
      </c>
      <c r="I6576" s="2" t="s">
        <v>13005</v>
      </c>
      <c r="J6576" s="3" t="str">
        <f>HYPERLINK("https://www.boe.es/gazeta/dias/1820/08/04/pdfs/GGB-1820-37.pdf#page=4","Abrir facsímil")</f>
        <v>Abrir facsímil</v>
      </c>
      <c r="K6576" s="3" t="s">
        <v>23</v>
      </c>
    </row>
    <row r="6577" spans="1:11" ht="42" customHeight="1">
      <c r="A6577" s="2" t="s">
        <v>13000</v>
      </c>
      <c r="B6577" s="2" t="s">
        <v>13000</v>
      </c>
      <c r="C6577" s="2" t="s">
        <v>26</v>
      </c>
      <c r="D6577" s="2" t="s">
        <v>27</v>
      </c>
      <c r="E6577" s="5">
        <v>-28997</v>
      </c>
      <c r="F6577" s="3" t="s">
        <v>1471</v>
      </c>
      <c r="G6577" s="3" t="s">
        <v>43</v>
      </c>
      <c r="H6577" s="2" t="s">
        <v>21</v>
      </c>
      <c r="I6577" s="2" t="s">
        <v>13006</v>
      </c>
      <c r="J6577" s="3" t="str">
        <f>HYPERLINK("https://www.boe.es/gazeta/dias/1820/08/09/pdfs/GGB-1820-42.pdf#page=2","Abrir facsímil")</f>
        <v>Abrir facsímil</v>
      </c>
      <c r="K6577" s="3" t="s">
        <v>23</v>
      </c>
    </row>
    <row r="6578" spans="1:11" ht="42" customHeight="1">
      <c r="A6578" s="2" t="s">
        <v>13000</v>
      </c>
      <c r="B6578" s="2" t="s">
        <v>13000</v>
      </c>
      <c r="C6578" s="2" t="s">
        <v>293</v>
      </c>
      <c r="D6578" s="2" t="s">
        <v>18</v>
      </c>
      <c r="E6578" s="5">
        <v>-28994</v>
      </c>
      <c r="F6578" s="3" t="s">
        <v>1612</v>
      </c>
      <c r="G6578" s="3" t="s">
        <v>43</v>
      </c>
      <c r="H6578" s="2" t="s">
        <v>21</v>
      </c>
      <c r="I6578" s="2" t="s">
        <v>13007</v>
      </c>
      <c r="J6578" s="3" t="str">
        <f>HYPERLINK("https://www.boe.es/gazeta/dias/1820/08/12/pdfs/GGB-1820-45.pdf#page=2","Abrir facsímil")</f>
        <v>Abrir facsímil</v>
      </c>
      <c r="K6578" s="3" t="s">
        <v>23</v>
      </c>
    </row>
    <row r="6579" spans="1:11" ht="42" customHeight="1">
      <c r="A6579" s="2" t="s">
        <v>13008</v>
      </c>
      <c r="B6579" s="2" t="s">
        <v>13008</v>
      </c>
      <c r="C6579" s="2" t="s">
        <v>17</v>
      </c>
      <c r="D6579" s="2" t="s">
        <v>18</v>
      </c>
      <c r="E6579" s="5">
        <v>-28925</v>
      </c>
      <c r="F6579" s="3" t="s">
        <v>228</v>
      </c>
      <c r="G6579" s="3" t="s">
        <v>43</v>
      </c>
      <c r="H6579" s="2" t="s">
        <v>21</v>
      </c>
      <c r="I6579" s="2" t="s">
        <v>13009</v>
      </c>
      <c r="J6579" s="3" t="str">
        <f>HYPERLINK("https://www.boe.es/gazeta/dias/1820/10/20/pdfs/GGB-1820-114.pdf#page=2","Abrir facsímil")</f>
        <v>Abrir facsímil</v>
      </c>
      <c r="K6579" s="3" t="s">
        <v>23</v>
      </c>
    </row>
    <row r="6580" spans="1:11" ht="42" customHeight="1">
      <c r="A6580" s="2" t="s">
        <v>13010</v>
      </c>
      <c r="B6580" s="2" t="s">
        <v>13011</v>
      </c>
      <c r="C6580" s="2" t="s">
        <v>35</v>
      </c>
      <c r="D6580" s="2" t="s">
        <v>36</v>
      </c>
      <c r="E6580" s="5">
        <v>-28934</v>
      </c>
      <c r="F6580" s="3" t="s">
        <v>163</v>
      </c>
      <c r="G6580" s="3" t="s">
        <v>20</v>
      </c>
      <c r="H6580" s="2" t="s">
        <v>21</v>
      </c>
      <c r="I6580" s="2" t="s">
        <v>13012</v>
      </c>
      <c r="J6580" s="3" t="str">
        <f>HYPERLINK("https://www.boe.es/gazeta/dias/1820/10/11/pdfs/GGB-1820-105.pdf#page=4","Abrir facsímil")</f>
        <v>Abrir facsímil</v>
      </c>
      <c r="K6580" s="3" t="s">
        <v>23</v>
      </c>
    </row>
    <row r="6581" spans="1:11" ht="42" customHeight="1">
      <c r="A6581" s="2" t="s">
        <v>13013</v>
      </c>
      <c r="B6581" s="2" t="s">
        <v>13013</v>
      </c>
      <c r="C6581" s="2" t="s">
        <v>17</v>
      </c>
      <c r="D6581" s="2" t="s">
        <v>18</v>
      </c>
      <c r="E6581" s="5">
        <v>-29016</v>
      </c>
      <c r="F6581" s="3" t="s">
        <v>657</v>
      </c>
      <c r="G6581" s="3" t="s">
        <v>62</v>
      </c>
      <c r="H6581" s="2" t="s">
        <v>21</v>
      </c>
      <c r="I6581" s="2" t="s">
        <v>13014</v>
      </c>
      <c r="J6581" s="3" t="str">
        <f>HYPERLINK("https://www.boe.es/gazeta/dias/1820/07/21/pdfs/GGB-1820-23.pdf#page=3","Abrir facsímil")</f>
        <v>Abrir facsímil</v>
      </c>
      <c r="K6581" s="3" t="s">
        <v>23</v>
      </c>
    </row>
    <row r="6582" spans="1:11" ht="42" customHeight="1">
      <c r="A6582" s="2" t="s">
        <v>13015</v>
      </c>
      <c r="B6582" s="2" t="s">
        <v>13015</v>
      </c>
      <c r="C6582" s="2" t="s">
        <v>26</v>
      </c>
      <c r="D6582" s="2" t="s">
        <v>27</v>
      </c>
      <c r="E6582" s="5">
        <v>-28934</v>
      </c>
      <c r="F6582" s="3" t="s">
        <v>163</v>
      </c>
      <c r="G6582" s="3" t="s">
        <v>128</v>
      </c>
      <c r="H6582" s="2" t="s">
        <v>21</v>
      </c>
      <c r="I6582" s="2" t="s">
        <v>13016</v>
      </c>
      <c r="J6582" s="3" t="str">
        <f>HYPERLINK("https://www.boe.es/gazeta/dias/1820/10/11/pdfs/GGB-1820-105.pdf#page=1","Abrir facsímil")</f>
        <v>Abrir facsímil</v>
      </c>
      <c r="K6582" s="3" t="s">
        <v>23</v>
      </c>
    </row>
    <row r="6583" spans="1:11" ht="42" customHeight="1">
      <c r="A6583" s="2" t="s">
        <v>13017</v>
      </c>
      <c r="B6583" s="2" t="s">
        <v>13018</v>
      </c>
      <c r="C6583" s="2" t="s">
        <v>26</v>
      </c>
      <c r="D6583" s="2" t="s">
        <v>27</v>
      </c>
      <c r="E6583" s="5">
        <v>-29022</v>
      </c>
      <c r="F6583" s="3" t="s">
        <v>1310</v>
      </c>
      <c r="G6583" s="3" t="s">
        <v>43</v>
      </c>
      <c r="H6583" s="2" t="s">
        <v>21</v>
      </c>
      <c r="I6583" s="2" t="s">
        <v>13019</v>
      </c>
      <c r="J6583" s="3" t="str">
        <f>HYPERLINK("https://www.boe.es/gazeta/dias/1820/07/15/pdfs/GGB-1820-17.pdf#page=2","Abrir facsímil")</f>
        <v>Abrir facsímil</v>
      </c>
      <c r="K6583" s="3" t="s">
        <v>23</v>
      </c>
    </row>
    <row r="6584" spans="1:11" ht="42" customHeight="1">
      <c r="A6584" s="2" t="s">
        <v>13020</v>
      </c>
      <c r="B6584" s="2" t="s">
        <v>13021</v>
      </c>
      <c r="C6584" s="2" t="s">
        <v>111</v>
      </c>
      <c r="D6584" s="2" t="s">
        <v>18</v>
      </c>
      <c r="E6584" s="5">
        <v>-29180</v>
      </c>
      <c r="F6584" s="3" t="s">
        <v>294</v>
      </c>
      <c r="G6584" s="3" t="s">
        <v>295</v>
      </c>
      <c r="H6584" s="2" t="s">
        <v>21</v>
      </c>
      <c r="I6584" s="2" t="s">
        <v>13022</v>
      </c>
      <c r="J6584" s="3" t="str">
        <f>HYPERLINK("https://www.boe.es/gazeta/dias/1820/02/08/pdfs/GMD-1820-17.pdf#page=8","Abrir facsímil")</f>
        <v>Abrir facsímil</v>
      </c>
      <c r="K6584" s="3" t="s">
        <v>23</v>
      </c>
    </row>
    <row r="6585" spans="1:11" ht="42" customHeight="1">
      <c r="A6585" s="2" t="s">
        <v>13023</v>
      </c>
      <c r="B6585" s="2" t="s">
        <v>13023</v>
      </c>
      <c r="C6585" s="2" t="s">
        <v>74</v>
      </c>
      <c r="D6585" s="2" t="s">
        <v>18</v>
      </c>
      <c r="E6585" s="5">
        <v>-29211</v>
      </c>
      <c r="F6585" s="3" t="s">
        <v>578</v>
      </c>
      <c r="G6585" s="3" t="s">
        <v>128</v>
      </c>
      <c r="H6585" s="2" t="s">
        <v>21</v>
      </c>
      <c r="I6585" s="2" t="s">
        <v>13024</v>
      </c>
      <c r="J6585" s="3" t="str">
        <f>HYPERLINK("https://www.boe.es/gazeta/dias/1820/01/08/pdfs/GMD-1820-4.pdf#page=1","Abrir facsímil")</f>
        <v>Abrir facsímil</v>
      </c>
      <c r="K6585" s="3" t="s">
        <v>23</v>
      </c>
    </row>
    <row r="6586" spans="1:11" ht="42" customHeight="1">
      <c r="A6586" s="2" t="s">
        <v>13025</v>
      </c>
      <c r="B6586" s="2" t="s">
        <v>13026</v>
      </c>
      <c r="C6586" s="2" t="s">
        <v>26</v>
      </c>
      <c r="D6586" s="2" t="s">
        <v>27</v>
      </c>
      <c r="E6586" s="5">
        <v>-28931</v>
      </c>
      <c r="F6586" s="3" t="s">
        <v>724</v>
      </c>
      <c r="G6586" s="3" t="s">
        <v>20</v>
      </c>
      <c r="H6586" s="2" t="s">
        <v>21</v>
      </c>
      <c r="I6586" s="2" t="s">
        <v>13027</v>
      </c>
      <c r="J6586" s="3" t="str">
        <f>HYPERLINK("https://www.boe.es/gazeta/dias/1820/10/14/pdfs/GGB-1820-108.pdf#page=4","Abrir facsímil")</f>
        <v>Abrir facsímil</v>
      </c>
      <c r="K6586" s="3" t="s">
        <v>23</v>
      </c>
    </row>
    <row r="6587" spans="1:11" ht="42" customHeight="1">
      <c r="A6587" s="2" t="s">
        <v>13028</v>
      </c>
      <c r="B6587" s="2" t="s">
        <v>13029</v>
      </c>
      <c r="C6587" s="2" t="s">
        <v>35</v>
      </c>
      <c r="D6587" s="2" t="s">
        <v>36</v>
      </c>
      <c r="E6587" s="5">
        <v>-29045</v>
      </c>
      <c r="F6587" s="3" t="s">
        <v>155</v>
      </c>
      <c r="G6587" s="3" t="s">
        <v>295</v>
      </c>
      <c r="H6587" s="2" t="s">
        <v>30</v>
      </c>
      <c r="I6587" s="2" t="s">
        <v>13030</v>
      </c>
      <c r="J6587" s="3" t="str">
        <f>HYPERLINK("https://www.boe.es/gazeta/dias/1820/06/22/pdfs/GMD-1820-97.pdf#page=8","Abrir facsímil")</f>
        <v>Abrir facsímil</v>
      </c>
      <c r="K6587" s="3" t="s">
        <v>32</v>
      </c>
    </row>
    <row r="6588" spans="1:11" ht="42" customHeight="1">
      <c r="A6588" s="2" t="s">
        <v>13031</v>
      </c>
      <c r="B6588" s="2" t="s">
        <v>13032</v>
      </c>
      <c r="C6588" s="2" t="s">
        <v>293</v>
      </c>
      <c r="D6588" s="2" t="s">
        <v>18</v>
      </c>
      <c r="E6588" s="5">
        <v>-28929</v>
      </c>
      <c r="F6588" s="3" t="s">
        <v>728</v>
      </c>
      <c r="G6588" s="3" t="s">
        <v>62</v>
      </c>
      <c r="H6588" s="2" t="s">
        <v>30</v>
      </c>
      <c r="I6588" s="2" t="s">
        <v>13033</v>
      </c>
      <c r="J6588" s="3" t="str">
        <f>HYPERLINK("https://www.boe.es/gazeta/dias/1820/10/16/pdfs/GGB-1820-110.pdf#page=3","Abrir facsímil")</f>
        <v>Abrir facsímil</v>
      </c>
      <c r="K6588" s="3" t="s">
        <v>32</v>
      </c>
    </row>
    <row r="6589" spans="1:11" ht="42" customHeight="1">
      <c r="A6589" s="2" t="s">
        <v>13034</v>
      </c>
      <c r="B6589" s="2" t="s">
        <v>13035</v>
      </c>
      <c r="C6589" s="2" t="s">
        <v>17</v>
      </c>
      <c r="D6589" s="2" t="s">
        <v>18</v>
      </c>
      <c r="E6589" s="5">
        <v>-29027</v>
      </c>
      <c r="F6589" s="3" t="s">
        <v>937</v>
      </c>
      <c r="G6589" s="3" t="s">
        <v>43</v>
      </c>
      <c r="H6589" s="2" t="s">
        <v>21</v>
      </c>
      <c r="I6589" s="2" t="s">
        <v>13036</v>
      </c>
      <c r="J6589" s="3" t="str">
        <f>HYPERLINK("https://www.boe.es/gazeta/dias/1820/07/10/pdfs/GGB-1820-11.pdf#page=2","Abrir facsímil")</f>
        <v>Abrir facsímil</v>
      </c>
      <c r="K6589" s="3" t="s">
        <v>23</v>
      </c>
    </row>
    <row r="6590" spans="1:11" ht="42" customHeight="1">
      <c r="A6590" s="2" t="s">
        <v>13037</v>
      </c>
      <c r="B6590" s="2" t="s">
        <v>13037</v>
      </c>
      <c r="C6590" s="2" t="s">
        <v>17</v>
      </c>
      <c r="D6590" s="2" t="s">
        <v>18</v>
      </c>
      <c r="E6590" s="5">
        <v>-28887</v>
      </c>
      <c r="F6590" s="3" t="s">
        <v>2098</v>
      </c>
      <c r="G6590" s="3" t="s">
        <v>6604</v>
      </c>
      <c r="H6590" s="2" t="s">
        <v>21</v>
      </c>
      <c r="I6590" s="2" t="s">
        <v>13038</v>
      </c>
      <c r="J6590" s="3" t="str">
        <f>HYPERLINK("https://www.boe.es/gazeta/dias/1820/11/27/pdfs/GGB-1820-154.pdf#page=2","Abrir facsímil")</f>
        <v>Abrir facsímil</v>
      </c>
      <c r="K6590" s="3" t="s">
        <v>23</v>
      </c>
    </row>
    <row r="6591" spans="1:11" ht="42" customHeight="1">
      <c r="A6591" s="2" t="s">
        <v>13039</v>
      </c>
      <c r="B6591" s="2" t="s">
        <v>13040</v>
      </c>
      <c r="C6591" s="2" t="s">
        <v>35</v>
      </c>
      <c r="D6591" s="2" t="s">
        <v>36</v>
      </c>
      <c r="E6591" s="5">
        <v>-28862</v>
      </c>
      <c r="F6591" s="3" t="s">
        <v>1905</v>
      </c>
      <c r="G6591" s="3" t="s">
        <v>20</v>
      </c>
      <c r="H6591" s="2" t="s">
        <v>21</v>
      </c>
      <c r="I6591" s="2" t="s">
        <v>13041</v>
      </c>
      <c r="J6591" s="3" t="str">
        <f>HYPERLINK("https://www.boe.es/gazeta/dias/1820/12/22/pdfs/GGB-1820-179.pdf#page=4","Abrir facsímil")</f>
        <v>Abrir facsímil</v>
      </c>
      <c r="K6591" s="3" t="s">
        <v>23</v>
      </c>
    </row>
    <row r="6592" spans="1:11" ht="42" customHeight="1">
      <c r="A6592" s="2" t="s">
        <v>13042</v>
      </c>
      <c r="B6592" s="2" t="s">
        <v>13042</v>
      </c>
      <c r="C6592" s="2" t="s">
        <v>26</v>
      </c>
      <c r="D6592" s="2" t="s">
        <v>27</v>
      </c>
      <c r="E6592" s="5">
        <v>-29066</v>
      </c>
      <c r="F6592" s="3" t="s">
        <v>1966</v>
      </c>
      <c r="G6592" s="3" t="s">
        <v>43</v>
      </c>
      <c r="H6592" s="2" t="s">
        <v>21</v>
      </c>
      <c r="I6592" s="2" t="s">
        <v>13043</v>
      </c>
      <c r="J6592" s="3" t="str">
        <f>HYPERLINK("https://www.boe.es/gazeta/dias/1820/06/01/pdfs/GMD-1820-88.pdf#page=2","Abrir facsímil")</f>
        <v>Abrir facsímil</v>
      </c>
      <c r="K6592" s="3" t="s">
        <v>23</v>
      </c>
    </row>
    <row r="6593" spans="1:11" ht="42" customHeight="1">
      <c r="A6593" s="2" t="s">
        <v>13044</v>
      </c>
      <c r="B6593" s="2" t="s">
        <v>13044</v>
      </c>
      <c r="C6593" s="2" t="s">
        <v>26</v>
      </c>
      <c r="D6593" s="2" t="s">
        <v>27</v>
      </c>
      <c r="E6593" s="5">
        <v>-28963</v>
      </c>
      <c r="F6593" s="3" t="s">
        <v>94</v>
      </c>
      <c r="G6593" s="3" t="s">
        <v>62</v>
      </c>
      <c r="H6593" s="2" t="s">
        <v>21</v>
      </c>
      <c r="I6593" s="2" t="s">
        <v>13045</v>
      </c>
      <c r="J6593" s="3" t="str">
        <f>HYPERLINK("https://www.boe.es/gazeta/dias/1820/09/12/pdfs/GGB-1820-76.pdf#page=3","Abrir facsímil")</f>
        <v>Abrir facsímil</v>
      </c>
      <c r="K6593" s="3" t="s">
        <v>23</v>
      </c>
    </row>
    <row r="6594" spans="1:11" ht="42" customHeight="1">
      <c r="A6594" s="2" t="s">
        <v>13046</v>
      </c>
      <c r="B6594" s="2" t="s">
        <v>13046</v>
      </c>
      <c r="C6594" s="2" t="s">
        <v>26</v>
      </c>
      <c r="D6594" s="2" t="s">
        <v>27</v>
      </c>
      <c r="E6594" s="5">
        <v>-29071</v>
      </c>
      <c r="F6594" s="3" t="s">
        <v>329</v>
      </c>
      <c r="G6594" s="3" t="s">
        <v>13047</v>
      </c>
      <c r="H6594" s="2" t="s">
        <v>21</v>
      </c>
      <c r="I6594" s="2" t="s">
        <v>13048</v>
      </c>
      <c r="J6594" s="3" t="str">
        <f>HYPERLINK("https://www.boe.es/gazeta/dias/1820/05/27/pdfs/GMD-1820-86.pdf#page=2","Abrir facsímil")</f>
        <v>Abrir facsímil</v>
      </c>
      <c r="K6594" s="3" t="s">
        <v>23</v>
      </c>
    </row>
    <row r="6595" spans="1:11" ht="42" customHeight="1">
      <c r="A6595" s="2" t="s">
        <v>13049</v>
      </c>
      <c r="B6595" s="2" t="s">
        <v>13050</v>
      </c>
      <c r="C6595" s="2" t="s">
        <v>26</v>
      </c>
      <c r="D6595" s="2" t="s">
        <v>27</v>
      </c>
      <c r="E6595" s="5">
        <v>-28976</v>
      </c>
      <c r="F6595" s="3" t="s">
        <v>689</v>
      </c>
      <c r="G6595" s="3" t="s">
        <v>20</v>
      </c>
      <c r="H6595" s="2" t="s">
        <v>21</v>
      </c>
      <c r="I6595" s="2" t="s">
        <v>13051</v>
      </c>
      <c r="J6595" s="3" t="str">
        <f>HYPERLINK("https://www.boe.es/gazeta/dias/1820/08/30/pdfs/GGB-1820-63.pdf#page=4","Abrir facsímil")</f>
        <v>Abrir facsímil</v>
      </c>
      <c r="K6595" s="3" t="s">
        <v>23</v>
      </c>
    </row>
    <row r="6596" spans="1:11" ht="42" customHeight="1">
      <c r="A6596" s="2" t="s">
        <v>13052</v>
      </c>
      <c r="B6596" s="2" t="s">
        <v>13053</v>
      </c>
      <c r="C6596" s="2" t="s">
        <v>35</v>
      </c>
      <c r="D6596" s="2" t="s">
        <v>36</v>
      </c>
      <c r="E6596" s="5">
        <v>-29138</v>
      </c>
      <c r="F6596" s="3" t="s">
        <v>200</v>
      </c>
      <c r="G6596" s="3" t="s">
        <v>62</v>
      </c>
      <c r="H6596" s="2" t="s">
        <v>21</v>
      </c>
      <c r="I6596" s="2" t="s">
        <v>13054</v>
      </c>
      <c r="J6596" s="3" t="str">
        <f>HYPERLINK("https://www.boe.es/gazeta/dias/1820/03/21/pdfs/GMD-1820-46.pdf#page=3","Abrir facsímil")</f>
        <v>Abrir facsímil</v>
      </c>
      <c r="K6596" s="3" t="s">
        <v>23</v>
      </c>
    </row>
    <row r="6597" spans="1:11" ht="42" customHeight="1">
      <c r="A6597" s="2" t="s">
        <v>13055</v>
      </c>
      <c r="B6597" s="2" t="s">
        <v>13056</v>
      </c>
      <c r="C6597" s="2" t="s">
        <v>26</v>
      </c>
      <c r="D6597" s="2" t="s">
        <v>27</v>
      </c>
      <c r="E6597" s="5">
        <v>-29122</v>
      </c>
      <c r="F6597" s="3" t="s">
        <v>844</v>
      </c>
      <c r="G6597" s="3" t="s">
        <v>256</v>
      </c>
      <c r="H6597" s="2" t="s">
        <v>21</v>
      </c>
      <c r="I6597" s="2" t="s">
        <v>13057</v>
      </c>
      <c r="J6597" s="3" t="str">
        <f>HYPERLINK("https://www.boe.es/gazeta/dias/1820/04/06/pdfs/GMD-1820-62.pdf#page=5","Abrir facsímil")</f>
        <v>Abrir facsímil</v>
      </c>
      <c r="K6597" s="3" t="s">
        <v>23</v>
      </c>
    </row>
    <row r="6598" spans="1:11" ht="42" customHeight="1">
      <c r="A6598" s="2" t="s">
        <v>13058</v>
      </c>
      <c r="B6598" s="2" t="s">
        <v>13059</v>
      </c>
      <c r="C6598" s="2" t="s">
        <v>47</v>
      </c>
      <c r="D6598" s="2" t="s">
        <v>18</v>
      </c>
      <c r="E6598" s="5">
        <v>-28864</v>
      </c>
      <c r="F6598" s="3" t="s">
        <v>1275</v>
      </c>
      <c r="G6598" s="3" t="s">
        <v>38</v>
      </c>
      <c r="H6598" s="2" t="s">
        <v>21</v>
      </c>
      <c r="I6598" s="2" t="s">
        <v>13060</v>
      </c>
      <c r="J6598" s="3" t="str">
        <f>HYPERLINK("https://www.boe.es/gazeta/dias/1820/12/20/pdfs/GGB-1820-177.pdf#page=6","Abrir facsímil")</f>
        <v>Abrir facsímil</v>
      </c>
      <c r="K6598" s="3" t="s">
        <v>23</v>
      </c>
    </row>
    <row r="6599" spans="1:11" ht="42" customHeight="1">
      <c r="A6599" s="2" t="s">
        <v>13061</v>
      </c>
      <c r="B6599" s="2" t="s">
        <v>13061</v>
      </c>
      <c r="C6599" s="2" t="s">
        <v>35</v>
      </c>
      <c r="D6599" s="2" t="s">
        <v>36</v>
      </c>
      <c r="E6599" s="5">
        <v>-29025</v>
      </c>
      <c r="F6599" s="3" t="s">
        <v>902</v>
      </c>
      <c r="G6599" s="3" t="s">
        <v>62</v>
      </c>
      <c r="H6599" s="2" t="s">
        <v>21</v>
      </c>
      <c r="I6599" s="2" t="s">
        <v>13062</v>
      </c>
      <c r="J6599" s="3" t="str">
        <f>HYPERLINK("https://www.boe.es/gazeta/dias/1820/07/12/pdfs/GGB-1820-14.pdf#page=3","Abrir facsímil")</f>
        <v>Abrir facsímil</v>
      </c>
      <c r="K6599" s="3" t="s">
        <v>23</v>
      </c>
    </row>
    <row r="6600" spans="1:11" ht="42" customHeight="1">
      <c r="A6600" s="2" t="s">
        <v>13061</v>
      </c>
      <c r="B6600" s="2" t="s">
        <v>13061</v>
      </c>
      <c r="C6600" s="2" t="s">
        <v>35</v>
      </c>
      <c r="D6600" s="2" t="s">
        <v>36</v>
      </c>
      <c r="E6600" s="5">
        <v>-29025</v>
      </c>
      <c r="F6600" s="3" t="s">
        <v>902</v>
      </c>
      <c r="G6600" s="3" t="s">
        <v>20</v>
      </c>
      <c r="H6600" s="2" t="s">
        <v>21</v>
      </c>
      <c r="I6600" s="2" t="s">
        <v>13063</v>
      </c>
      <c r="J6600" s="3" t="str">
        <f>HYPERLINK("https://www.boe.es/gazeta/dias/1820/07/12/pdfs/GGB-1820-14.pdf#page=4","Abrir facsímil")</f>
        <v>Abrir facsímil</v>
      </c>
      <c r="K6600" s="3" t="s">
        <v>23</v>
      </c>
    </row>
    <row r="6601" spans="1:11" ht="42" customHeight="1">
      <c r="A6601" s="2" t="s">
        <v>13061</v>
      </c>
      <c r="B6601" s="2" t="s">
        <v>13061</v>
      </c>
      <c r="C6601" s="2" t="s">
        <v>1808</v>
      </c>
      <c r="D6601" s="2" t="s">
        <v>36</v>
      </c>
      <c r="E6601" s="5">
        <v>-29024</v>
      </c>
      <c r="F6601" s="3" t="s">
        <v>1916</v>
      </c>
      <c r="G6601" s="3" t="s">
        <v>62</v>
      </c>
      <c r="H6601" s="2" t="s">
        <v>21</v>
      </c>
      <c r="I6601" s="2" t="s">
        <v>13064</v>
      </c>
      <c r="J6601" s="3" t="str">
        <f>HYPERLINK("https://www.boe.es/gazeta/dias/1820/07/13/pdfs/GGB-1820-15.pdf#page=3","Abrir facsímil")</f>
        <v>Abrir facsímil</v>
      </c>
      <c r="K6601" s="3" t="s">
        <v>23</v>
      </c>
    </row>
    <row r="6602" spans="1:11" ht="42" customHeight="1">
      <c r="A6602" s="2" t="s">
        <v>13061</v>
      </c>
      <c r="B6602" s="2" t="s">
        <v>13061</v>
      </c>
      <c r="C6602" s="2" t="s">
        <v>26</v>
      </c>
      <c r="D6602" s="2" t="s">
        <v>27</v>
      </c>
      <c r="E6602" s="5">
        <v>-29021</v>
      </c>
      <c r="F6602" s="3" t="s">
        <v>377</v>
      </c>
      <c r="G6602" s="3" t="s">
        <v>43</v>
      </c>
      <c r="H6602" s="2" t="s">
        <v>21</v>
      </c>
      <c r="I6602" s="2" t="s">
        <v>13065</v>
      </c>
      <c r="J6602" s="3" t="str">
        <f>HYPERLINK("https://www.boe.es/gazeta/dias/1820/07/16/pdfs/GGB-1820-18.pdf#page=2","Abrir facsímil")</f>
        <v>Abrir facsímil</v>
      </c>
      <c r="K6602" s="3" t="s">
        <v>23</v>
      </c>
    </row>
    <row r="6603" spans="1:11" ht="42" customHeight="1">
      <c r="A6603" s="2" t="s">
        <v>13061</v>
      </c>
      <c r="B6603" s="2" t="s">
        <v>13061</v>
      </c>
      <c r="C6603" s="2" t="s">
        <v>17</v>
      </c>
      <c r="D6603" s="2" t="s">
        <v>18</v>
      </c>
      <c r="E6603" s="5">
        <v>-29016</v>
      </c>
      <c r="F6603" s="3" t="s">
        <v>657</v>
      </c>
      <c r="G6603" s="3" t="s">
        <v>20</v>
      </c>
      <c r="H6603" s="2" t="s">
        <v>21</v>
      </c>
      <c r="I6603" s="2" t="s">
        <v>13066</v>
      </c>
      <c r="J6603" s="3" t="str">
        <f>HYPERLINK("https://www.boe.es/gazeta/dias/1820/07/21/pdfs/GGB-1820-23.pdf#page=4","Abrir facsímil")</f>
        <v>Abrir facsímil</v>
      </c>
      <c r="K6603" s="3" t="s">
        <v>23</v>
      </c>
    </row>
    <row r="6604" spans="1:11" ht="42" customHeight="1">
      <c r="A6604" s="2" t="s">
        <v>13061</v>
      </c>
      <c r="B6604" s="2" t="s">
        <v>13061</v>
      </c>
      <c r="C6604" s="2" t="s">
        <v>74</v>
      </c>
      <c r="D6604" s="2" t="s">
        <v>18</v>
      </c>
      <c r="E6604" s="5">
        <v>-29015</v>
      </c>
      <c r="F6604" s="3" t="s">
        <v>359</v>
      </c>
      <c r="G6604" s="3" t="s">
        <v>62</v>
      </c>
      <c r="H6604" s="2" t="s">
        <v>21</v>
      </c>
      <c r="I6604" s="2" t="s">
        <v>13067</v>
      </c>
      <c r="J6604" s="3" t="str">
        <f>HYPERLINK("https://www.boe.es/gazeta/dias/1820/07/22/pdfs/GGB-1820-24.pdf#page=3","Abrir facsímil")</f>
        <v>Abrir facsímil</v>
      </c>
      <c r="K6604" s="3" t="s">
        <v>23</v>
      </c>
    </row>
    <row r="6605" spans="1:11" ht="42" customHeight="1">
      <c r="A6605" s="2" t="s">
        <v>13061</v>
      </c>
      <c r="B6605" s="2" t="s">
        <v>13061</v>
      </c>
      <c r="C6605" s="2" t="s">
        <v>35</v>
      </c>
      <c r="D6605" s="2" t="s">
        <v>36</v>
      </c>
      <c r="E6605" s="5">
        <v>-29013</v>
      </c>
      <c r="F6605" s="3" t="s">
        <v>52</v>
      </c>
      <c r="G6605" s="3" t="s">
        <v>53</v>
      </c>
      <c r="H6605" s="2" t="s">
        <v>21</v>
      </c>
      <c r="I6605" s="2" t="s">
        <v>13068</v>
      </c>
      <c r="J6605" s="3" t="str">
        <f>HYPERLINK("https://www.boe.es/gazeta/dias/1820/07/24/pdfs/GGB-1820-26.pdf#page=3","Abrir facsímil")</f>
        <v>Abrir facsímil</v>
      </c>
      <c r="K6605" s="3" t="s">
        <v>23</v>
      </c>
    </row>
    <row r="6606" spans="1:11" ht="42" customHeight="1">
      <c r="A6606" s="2" t="s">
        <v>13061</v>
      </c>
      <c r="B6606" s="2" t="s">
        <v>13061</v>
      </c>
      <c r="C6606" s="2" t="s">
        <v>26</v>
      </c>
      <c r="D6606" s="2" t="s">
        <v>27</v>
      </c>
      <c r="E6606" s="5">
        <v>-29013</v>
      </c>
      <c r="F6606" s="3" t="s">
        <v>52</v>
      </c>
      <c r="G6606" s="3" t="s">
        <v>20</v>
      </c>
      <c r="H6606" s="2" t="s">
        <v>21</v>
      </c>
      <c r="I6606" s="2" t="s">
        <v>13069</v>
      </c>
      <c r="J6606" s="3" t="str">
        <f>HYPERLINK("https://www.boe.es/gazeta/dias/1820/07/24/pdfs/GGB-1820-26.pdf#page=4","Abrir facsímil")</f>
        <v>Abrir facsímil</v>
      </c>
      <c r="K6606" s="3" t="s">
        <v>23</v>
      </c>
    </row>
    <row r="6607" spans="1:11" ht="42" customHeight="1">
      <c r="A6607" s="2" t="s">
        <v>13061</v>
      </c>
      <c r="B6607" s="2" t="s">
        <v>13061</v>
      </c>
      <c r="C6607" s="2" t="s">
        <v>293</v>
      </c>
      <c r="D6607" s="2" t="s">
        <v>18</v>
      </c>
      <c r="E6607" s="5">
        <v>-29008</v>
      </c>
      <c r="F6607" s="3" t="s">
        <v>2250</v>
      </c>
      <c r="G6607" s="3" t="s">
        <v>20</v>
      </c>
      <c r="H6607" s="2" t="s">
        <v>21</v>
      </c>
      <c r="I6607" s="2" t="s">
        <v>13070</v>
      </c>
      <c r="J6607" s="3" t="str">
        <f>HYPERLINK("https://www.boe.es/gazeta/dias/1820/07/29/pdfs/GGB-1820-31.pdf#page=4","Abrir facsímil")</f>
        <v>Abrir facsímil</v>
      </c>
      <c r="K6607" s="3" t="s">
        <v>23</v>
      </c>
    </row>
    <row r="6608" spans="1:11" ht="42" customHeight="1">
      <c r="A6608" s="2" t="s">
        <v>13061</v>
      </c>
      <c r="B6608" s="2" t="s">
        <v>13061</v>
      </c>
      <c r="C6608" s="2" t="s">
        <v>17</v>
      </c>
      <c r="D6608" s="2" t="s">
        <v>18</v>
      </c>
      <c r="E6608" s="5">
        <v>-29007</v>
      </c>
      <c r="F6608" s="3" t="s">
        <v>251</v>
      </c>
      <c r="G6608" s="3" t="s">
        <v>20</v>
      </c>
      <c r="H6608" s="2" t="s">
        <v>21</v>
      </c>
      <c r="I6608" s="2" t="s">
        <v>13071</v>
      </c>
      <c r="J6608" s="3" t="str">
        <f>HYPERLINK("https://www.boe.es/gazeta/dias/1820/07/30/pdfs/GGB-1820-32.pdf#page=4","Abrir facsímil")</f>
        <v>Abrir facsímil</v>
      </c>
      <c r="K6608" s="3" t="s">
        <v>23</v>
      </c>
    </row>
    <row r="6609" spans="1:11" ht="42" customHeight="1">
      <c r="A6609" s="2" t="s">
        <v>13061</v>
      </c>
      <c r="B6609" s="2" t="s">
        <v>13061</v>
      </c>
      <c r="C6609" s="2" t="s">
        <v>111</v>
      </c>
      <c r="D6609" s="2" t="s">
        <v>18</v>
      </c>
      <c r="E6609" s="5">
        <v>-29006</v>
      </c>
      <c r="F6609" s="3" t="s">
        <v>609</v>
      </c>
      <c r="G6609" s="3" t="s">
        <v>43</v>
      </c>
      <c r="H6609" s="2" t="s">
        <v>21</v>
      </c>
      <c r="I6609" s="2" t="s">
        <v>13072</v>
      </c>
      <c r="J6609" s="3" t="str">
        <f>HYPERLINK("https://www.boe.es/gazeta/dias/1820/07/31/pdfs/GGB-1820-33.pdf#page=2","Abrir facsímil")</f>
        <v>Abrir facsímil</v>
      </c>
      <c r="K6609" s="3" t="s">
        <v>23</v>
      </c>
    </row>
    <row r="6610" spans="1:11" ht="42" customHeight="1">
      <c r="A6610" s="2" t="s">
        <v>13061</v>
      </c>
      <c r="B6610" s="2" t="s">
        <v>13061</v>
      </c>
      <c r="C6610" s="2" t="s">
        <v>35</v>
      </c>
      <c r="D6610" s="2" t="s">
        <v>36</v>
      </c>
      <c r="E6610" s="5">
        <v>-29005</v>
      </c>
      <c r="F6610" s="3" t="s">
        <v>1656</v>
      </c>
      <c r="G6610" s="3" t="s">
        <v>43</v>
      </c>
      <c r="H6610" s="2" t="s">
        <v>21</v>
      </c>
      <c r="I6610" s="2" t="s">
        <v>13073</v>
      </c>
      <c r="J6610" s="3" t="str">
        <f>HYPERLINK("https://www.boe.es/gazeta/dias/1820/08/01/pdfs/GGB-1820-34.pdf#page=2","Abrir facsímil")</f>
        <v>Abrir facsímil</v>
      </c>
      <c r="K6610" s="3" t="s">
        <v>23</v>
      </c>
    </row>
    <row r="6611" spans="1:11" ht="42" customHeight="1">
      <c r="A6611" s="2" t="s">
        <v>13061</v>
      </c>
      <c r="B6611" s="2" t="s">
        <v>13061</v>
      </c>
      <c r="C6611" s="2" t="s">
        <v>26</v>
      </c>
      <c r="D6611" s="2" t="s">
        <v>27</v>
      </c>
      <c r="E6611" s="5">
        <v>-29002</v>
      </c>
      <c r="F6611" s="3" t="s">
        <v>124</v>
      </c>
      <c r="G6611" s="3" t="s">
        <v>62</v>
      </c>
      <c r="H6611" s="2" t="s">
        <v>21</v>
      </c>
      <c r="I6611" s="2" t="s">
        <v>13074</v>
      </c>
      <c r="J6611" s="3" t="str">
        <f>HYPERLINK("https://www.boe.es/gazeta/dias/1820/08/04/pdfs/GGB-1820-37.pdf#page=3","Abrir facsímil")</f>
        <v>Abrir facsímil</v>
      </c>
      <c r="K6611" s="3" t="s">
        <v>23</v>
      </c>
    </row>
    <row r="6612" spans="1:11" ht="42" customHeight="1">
      <c r="A6612" s="2" t="s">
        <v>13061</v>
      </c>
      <c r="B6612" s="2" t="s">
        <v>13061</v>
      </c>
      <c r="C6612" s="2" t="s">
        <v>74</v>
      </c>
      <c r="D6612" s="2" t="s">
        <v>18</v>
      </c>
      <c r="E6612" s="5">
        <v>-28957</v>
      </c>
      <c r="F6612" s="3" t="s">
        <v>361</v>
      </c>
      <c r="G6612" s="3" t="s">
        <v>43</v>
      </c>
      <c r="H6612" s="2" t="s">
        <v>21</v>
      </c>
      <c r="I6612" s="2" t="s">
        <v>13075</v>
      </c>
      <c r="J6612" s="3" t="str">
        <f>HYPERLINK("https://www.boe.es/gazeta/dias/1820/09/18/pdfs/GGB-1820-82.pdf#page=2","Abrir facsímil")</f>
        <v>Abrir facsímil</v>
      </c>
      <c r="K6612" s="3" t="s">
        <v>23</v>
      </c>
    </row>
    <row r="6613" spans="1:11" ht="42" customHeight="1">
      <c r="A6613" s="2" t="s">
        <v>13061</v>
      </c>
      <c r="B6613" s="2" t="s">
        <v>13061</v>
      </c>
      <c r="C6613" s="2" t="s">
        <v>26</v>
      </c>
      <c r="D6613" s="2" t="s">
        <v>27</v>
      </c>
      <c r="E6613" s="5">
        <v>-28950</v>
      </c>
      <c r="F6613" s="3" t="s">
        <v>1052</v>
      </c>
      <c r="G6613" s="3" t="s">
        <v>128</v>
      </c>
      <c r="H6613" s="2" t="s">
        <v>21</v>
      </c>
      <c r="I6613" s="2" t="s">
        <v>13076</v>
      </c>
      <c r="J6613" s="3" t="str">
        <f>HYPERLINK("https://www.boe.es/gazeta/dias/1820/09/25/pdfs/GGB-1820-89.pdf#page=1","Abrir facsímil")</f>
        <v>Abrir facsímil</v>
      </c>
      <c r="K6613" s="3" t="s">
        <v>23</v>
      </c>
    </row>
    <row r="6614" spans="1:11" ht="42" customHeight="1">
      <c r="A6614" s="2" t="s">
        <v>13061</v>
      </c>
      <c r="B6614" s="2" t="s">
        <v>13061</v>
      </c>
      <c r="C6614" s="2" t="s">
        <v>74</v>
      </c>
      <c r="D6614" s="2" t="s">
        <v>18</v>
      </c>
      <c r="E6614" s="5">
        <v>-28947</v>
      </c>
      <c r="F6614" s="3" t="s">
        <v>127</v>
      </c>
      <c r="G6614" s="3" t="s">
        <v>43</v>
      </c>
      <c r="H6614" s="2" t="s">
        <v>21</v>
      </c>
      <c r="I6614" s="2" t="s">
        <v>13077</v>
      </c>
      <c r="J6614" s="3" t="str">
        <f>HYPERLINK("https://www.boe.es/gazeta/dias/1820/09/28/pdfs/GGB-1820-92.pdf#page=2","Abrir facsímil")</f>
        <v>Abrir facsímil</v>
      </c>
      <c r="K6614" s="3" t="s">
        <v>23</v>
      </c>
    </row>
    <row r="6615" spans="1:11" ht="42" customHeight="1">
      <c r="A6615" s="2" t="s">
        <v>13061</v>
      </c>
      <c r="B6615" s="2" t="s">
        <v>13061</v>
      </c>
      <c r="C6615" s="2" t="s">
        <v>35</v>
      </c>
      <c r="D6615" s="2" t="s">
        <v>36</v>
      </c>
      <c r="E6615" s="5">
        <v>-28945</v>
      </c>
      <c r="F6615" s="3" t="s">
        <v>99</v>
      </c>
      <c r="G6615" s="3" t="s">
        <v>62</v>
      </c>
      <c r="H6615" s="2" t="s">
        <v>21</v>
      </c>
      <c r="I6615" s="2" t="s">
        <v>13078</v>
      </c>
      <c r="J6615" s="3" t="str">
        <f>HYPERLINK("https://www.boe.es/gazeta/dias/1820/09/30/pdfs/GGB-1820-94.pdf#page=3","Abrir facsímil")</f>
        <v>Abrir facsímil</v>
      </c>
      <c r="K6615" s="3" t="s">
        <v>23</v>
      </c>
    </row>
    <row r="6616" spans="1:11" ht="42" customHeight="1">
      <c r="A6616" s="2" t="s">
        <v>13061</v>
      </c>
      <c r="B6616" s="2" t="s">
        <v>13061</v>
      </c>
      <c r="C6616" s="2" t="s">
        <v>35</v>
      </c>
      <c r="D6616" s="2" t="s">
        <v>36</v>
      </c>
      <c r="E6616" s="5">
        <v>-28944</v>
      </c>
      <c r="F6616" s="3" t="s">
        <v>990</v>
      </c>
      <c r="G6616" s="3" t="s">
        <v>1174</v>
      </c>
      <c r="H6616" s="2" t="s">
        <v>21</v>
      </c>
      <c r="I6616" s="2" t="s">
        <v>13079</v>
      </c>
      <c r="J6616" s="3" t="str">
        <f>HYPERLINK("https://www.boe.es/gazeta/dias/1820/10/01/pdfs/GGB-1820-95.pdf#page=4","Abrir facsímil")</f>
        <v>Abrir facsímil</v>
      </c>
      <c r="K6616" s="3" t="s">
        <v>23</v>
      </c>
    </row>
    <row r="6617" spans="1:11" ht="42" customHeight="1">
      <c r="A6617" s="2" t="s">
        <v>13061</v>
      </c>
      <c r="B6617" s="2" t="s">
        <v>13061</v>
      </c>
      <c r="C6617" s="2" t="s">
        <v>17</v>
      </c>
      <c r="D6617" s="2" t="s">
        <v>18</v>
      </c>
      <c r="E6617" s="5">
        <v>-28943</v>
      </c>
      <c r="F6617" s="3" t="s">
        <v>1403</v>
      </c>
      <c r="G6617" s="3" t="s">
        <v>43</v>
      </c>
      <c r="H6617" s="2" t="s">
        <v>21</v>
      </c>
      <c r="I6617" s="2" t="s">
        <v>13080</v>
      </c>
      <c r="J6617" s="3" t="str">
        <f>HYPERLINK("https://www.boe.es/gazeta/dias/1820/10/02/pdfs/GGB-1820-96.pdf#page=2","Abrir facsímil")</f>
        <v>Abrir facsímil</v>
      </c>
      <c r="K6617" s="3" t="s">
        <v>23</v>
      </c>
    </row>
    <row r="6618" spans="1:11" ht="42" customHeight="1">
      <c r="A6618" s="2" t="s">
        <v>13061</v>
      </c>
      <c r="B6618" s="2" t="s">
        <v>13061</v>
      </c>
      <c r="C6618" s="2" t="s">
        <v>74</v>
      </c>
      <c r="D6618" s="2" t="s">
        <v>18</v>
      </c>
      <c r="E6618" s="5">
        <v>-28940</v>
      </c>
      <c r="F6618" s="3" t="s">
        <v>141</v>
      </c>
      <c r="G6618" s="3" t="s">
        <v>43</v>
      </c>
      <c r="H6618" s="2" t="s">
        <v>21</v>
      </c>
      <c r="I6618" s="2" t="s">
        <v>13081</v>
      </c>
      <c r="J6618" s="3" t="str">
        <f>HYPERLINK("https://www.boe.es/gazeta/dias/1820/10/05/pdfs/GGB-1820-99.pdf#page=2","Abrir facsímil")</f>
        <v>Abrir facsímil</v>
      </c>
      <c r="K6618" s="3" t="s">
        <v>23</v>
      </c>
    </row>
    <row r="6619" spans="1:11" ht="42" customHeight="1">
      <c r="A6619" s="2" t="s">
        <v>13061</v>
      </c>
      <c r="B6619" s="2" t="s">
        <v>13061</v>
      </c>
      <c r="C6619" s="2" t="s">
        <v>17</v>
      </c>
      <c r="D6619" s="2" t="s">
        <v>18</v>
      </c>
      <c r="E6619" s="5">
        <v>-28923</v>
      </c>
      <c r="F6619" s="3" t="s">
        <v>648</v>
      </c>
      <c r="G6619" s="3" t="s">
        <v>43</v>
      </c>
      <c r="H6619" s="2" t="s">
        <v>21</v>
      </c>
      <c r="I6619" s="2" t="s">
        <v>13082</v>
      </c>
      <c r="J6619" s="3" t="str">
        <f>HYPERLINK("https://www.boe.es/gazeta/dias/1820/10/22/pdfs/GGB-1820-116.pdf#page=2","Abrir facsímil")</f>
        <v>Abrir facsímil</v>
      </c>
      <c r="K6619" s="3" t="s">
        <v>23</v>
      </c>
    </row>
    <row r="6620" spans="1:11" ht="42" customHeight="1">
      <c r="A6620" s="2" t="s">
        <v>13061</v>
      </c>
      <c r="B6620" s="2" t="s">
        <v>13061</v>
      </c>
      <c r="C6620" s="2" t="s">
        <v>74</v>
      </c>
      <c r="D6620" s="2" t="s">
        <v>18</v>
      </c>
      <c r="E6620" s="5">
        <v>-28922</v>
      </c>
      <c r="F6620" s="3" t="s">
        <v>735</v>
      </c>
      <c r="G6620" s="3" t="s">
        <v>128</v>
      </c>
      <c r="H6620" s="2" t="s">
        <v>21</v>
      </c>
      <c r="I6620" s="2" t="s">
        <v>13083</v>
      </c>
      <c r="J6620" s="3" t="str">
        <f>HYPERLINK("https://www.boe.es/gazeta/dias/1820/10/23/pdfs/GGB-1820-117.pdf#page=1","Abrir facsímil")</f>
        <v>Abrir facsímil</v>
      </c>
      <c r="K6620" s="3" t="s">
        <v>23</v>
      </c>
    </row>
    <row r="6621" spans="1:11" ht="42" customHeight="1">
      <c r="A6621" s="2" t="s">
        <v>13061</v>
      </c>
      <c r="B6621" s="2" t="s">
        <v>13061</v>
      </c>
      <c r="C6621" s="2" t="s">
        <v>17</v>
      </c>
      <c r="D6621" s="2" t="s">
        <v>18</v>
      </c>
      <c r="E6621" s="5">
        <v>-28922</v>
      </c>
      <c r="F6621" s="3" t="s">
        <v>735</v>
      </c>
      <c r="G6621" s="3" t="s">
        <v>43</v>
      </c>
      <c r="H6621" s="2" t="s">
        <v>21</v>
      </c>
      <c r="I6621" s="2" t="s">
        <v>13084</v>
      </c>
      <c r="J6621" s="3" t="str">
        <f>HYPERLINK("https://www.boe.es/gazeta/dias/1820/10/23/pdfs/GGB-1820-117.pdf#page=2","Abrir facsímil")</f>
        <v>Abrir facsímil</v>
      </c>
      <c r="K6621" s="3" t="s">
        <v>23</v>
      </c>
    </row>
    <row r="6622" spans="1:11" ht="42" customHeight="1">
      <c r="A6622" s="2" t="s">
        <v>13061</v>
      </c>
      <c r="B6622" s="2" t="s">
        <v>13061</v>
      </c>
      <c r="C6622" s="2" t="s">
        <v>74</v>
      </c>
      <c r="D6622" s="2" t="s">
        <v>18</v>
      </c>
      <c r="E6622" s="5">
        <v>-28922</v>
      </c>
      <c r="F6622" s="3" t="s">
        <v>735</v>
      </c>
      <c r="G6622" s="3" t="s">
        <v>62</v>
      </c>
      <c r="H6622" s="2" t="s">
        <v>21</v>
      </c>
      <c r="I6622" s="2" t="s">
        <v>13085</v>
      </c>
      <c r="J6622" s="3" t="str">
        <f>HYPERLINK("https://www.boe.es/gazeta/dias/1820/10/23/pdfs/GGB-1820-117.pdf#page=3","Abrir facsímil")</f>
        <v>Abrir facsímil</v>
      </c>
      <c r="K6622" s="3" t="s">
        <v>23</v>
      </c>
    </row>
    <row r="6623" spans="1:11" ht="42" customHeight="1">
      <c r="A6623" s="2" t="s">
        <v>13061</v>
      </c>
      <c r="B6623" s="2" t="s">
        <v>13061</v>
      </c>
      <c r="C6623" s="2" t="s">
        <v>26</v>
      </c>
      <c r="D6623" s="2" t="s">
        <v>27</v>
      </c>
      <c r="E6623" s="5">
        <v>-28907</v>
      </c>
      <c r="F6623" s="3" t="s">
        <v>374</v>
      </c>
      <c r="G6623" s="3" t="s">
        <v>62</v>
      </c>
      <c r="H6623" s="2" t="s">
        <v>21</v>
      </c>
      <c r="I6623" s="2" t="s">
        <v>13086</v>
      </c>
      <c r="J6623" s="3" t="str">
        <f>HYPERLINK("https://www.boe.es/gazeta/dias/1820/11/07/pdfs/GGB-1820-132.pdf#page=3","Abrir facsímil")</f>
        <v>Abrir facsímil</v>
      </c>
      <c r="K6623" s="3" t="s">
        <v>23</v>
      </c>
    </row>
    <row r="6624" spans="1:11" ht="42" customHeight="1">
      <c r="A6624" s="2" t="s">
        <v>13087</v>
      </c>
      <c r="B6624" s="2" t="s">
        <v>13088</v>
      </c>
      <c r="C6624" s="2" t="s">
        <v>17</v>
      </c>
      <c r="D6624" s="2" t="s">
        <v>18</v>
      </c>
      <c r="E6624" s="5">
        <v>-29078</v>
      </c>
      <c r="F6624" s="3" t="s">
        <v>260</v>
      </c>
      <c r="G6624" s="3" t="s">
        <v>261</v>
      </c>
      <c r="H6624" s="2" t="s">
        <v>21</v>
      </c>
      <c r="I6624" s="2" t="s">
        <v>13089</v>
      </c>
      <c r="J6624" s="3" t="str">
        <f>HYPERLINK("https://www.boe.es/gazeta/dias/1820/05/20/pdfs/GMD-1820-83.pdf#page=9","Abrir facsímil")</f>
        <v>Abrir facsímil</v>
      </c>
      <c r="K6624" s="3" t="s">
        <v>23</v>
      </c>
    </row>
    <row r="6625" spans="1:11" ht="42" customHeight="1">
      <c r="A6625" s="2" t="s">
        <v>13090</v>
      </c>
      <c r="B6625" s="2" t="s">
        <v>13091</v>
      </c>
      <c r="C6625" s="2" t="s">
        <v>35</v>
      </c>
      <c r="D6625" s="2" t="s">
        <v>36</v>
      </c>
      <c r="E6625" s="5">
        <v>-28891</v>
      </c>
      <c r="F6625" s="3" t="s">
        <v>965</v>
      </c>
      <c r="G6625" s="3" t="s">
        <v>62</v>
      </c>
      <c r="H6625" s="2" t="s">
        <v>21</v>
      </c>
      <c r="I6625" s="2" t="s">
        <v>13092</v>
      </c>
      <c r="J6625" s="3" t="str">
        <f>HYPERLINK("https://www.boe.es/gazeta/dias/1820/11/23/pdfs/GGB-1820-150.pdf#page=3","Abrir facsímil")</f>
        <v>Abrir facsímil</v>
      </c>
      <c r="K6625" s="3" t="s">
        <v>23</v>
      </c>
    </row>
    <row r="6626" spans="1:11" ht="42" customHeight="1">
      <c r="A6626" s="2" t="s">
        <v>13093</v>
      </c>
      <c r="B6626" s="2" t="s">
        <v>13094</v>
      </c>
      <c r="C6626" s="2" t="s">
        <v>35</v>
      </c>
      <c r="D6626" s="2" t="s">
        <v>36</v>
      </c>
      <c r="E6626" s="5">
        <v>-28943</v>
      </c>
      <c r="F6626" s="3" t="s">
        <v>1403</v>
      </c>
      <c r="G6626" s="3" t="s">
        <v>128</v>
      </c>
      <c r="H6626" s="2" t="s">
        <v>21</v>
      </c>
      <c r="I6626" s="2" t="s">
        <v>13095</v>
      </c>
      <c r="J6626" s="3" t="str">
        <f>HYPERLINK("https://www.boe.es/gazeta/dias/1820/10/02/pdfs/GGB-1820-96.pdf#page=1","Abrir facsímil")</f>
        <v>Abrir facsímil</v>
      </c>
      <c r="K6626" s="3" t="s">
        <v>23</v>
      </c>
    </row>
    <row r="6627" spans="1:11" ht="42" customHeight="1">
      <c r="A6627" s="2" t="s">
        <v>13093</v>
      </c>
      <c r="B6627" s="2" t="s">
        <v>13094</v>
      </c>
      <c r="C6627" s="2" t="s">
        <v>35</v>
      </c>
      <c r="D6627" s="2" t="s">
        <v>36</v>
      </c>
      <c r="E6627" s="5">
        <v>-28874</v>
      </c>
      <c r="F6627" s="3" t="s">
        <v>103</v>
      </c>
      <c r="G6627" s="3" t="s">
        <v>62</v>
      </c>
      <c r="H6627" s="2" t="s">
        <v>21</v>
      </c>
      <c r="I6627" s="2" t="s">
        <v>13096</v>
      </c>
      <c r="J6627" s="3" t="str">
        <f>HYPERLINK("https://www.boe.es/gazeta/dias/1820/12/10/pdfs/GGB-1820-167.pdf#page=3","Abrir facsímil")</f>
        <v>Abrir facsímil</v>
      </c>
      <c r="K6627" s="3" t="s">
        <v>23</v>
      </c>
    </row>
    <row r="6628" spans="1:11" ht="42" customHeight="1">
      <c r="A6628" s="2" t="s">
        <v>13097</v>
      </c>
      <c r="B6628" s="2" t="s">
        <v>13098</v>
      </c>
      <c r="C6628" s="2" t="s">
        <v>35</v>
      </c>
      <c r="D6628" s="2" t="s">
        <v>36</v>
      </c>
      <c r="E6628" s="5">
        <v>-29134</v>
      </c>
      <c r="F6628" s="3" t="s">
        <v>255</v>
      </c>
      <c r="G6628" s="3" t="s">
        <v>256</v>
      </c>
      <c r="H6628" s="2" t="s">
        <v>21</v>
      </c>
      <c r="I6628" s="2" t="s">
        <v>13099</v>
      </c>
      <c r="J6628" s="3" t="str">
        <f>HYPERLINK("https://www.boe.es/gazeta/dias/1820/03/25/pdfs/GMD-1820-53.pdf#page=5","Abrir facsímil")</f>
        <v>Abrir facsímil</v>
      </c>
      <c r="K6628" s="3" t="s">
        <v>23</v>
      </c>
    </row>
    <row r="6629" spans="1:11" ht="42" customHeight="1">
      <c r="A6629" s="2" t="s">
        <v>13100</v>
      </c>
      <c r="B6629" s="2" t="s">
        <v>13101</v>
      </c>
      <c r="C6629" s="2" t="s">
        <v>26</v>
      </c>
      <c r="D6629" s="2" t="s">
        <v>310</v>
      </c>
      <c r="E6629" s="5">
        <v>-29150</v>
      </c>
      <c r="F6629" s="3" t="s">
        <v>4978</v>
      </c>
      <c r="G6629" s="3" t="s">
        <v>128</v>
      </c>
      <c r="H6629" s="2" t="s">
        <v>21</v>
      </c>
      <c r="I6629" s="2" t="s">
        <v>13102</v>
      </c>
      <c r="J6629" s="3" t="str">
        <f>HYPERLINK("https://www.boe.es/gazeta/dias/1820/03/09/pdfs/GMD-1820-34E.pdf#page=1","Abrir facsímil")</f>
        <v>Abrir facsímil</v>
      </c>
      <c r="K6629" s="3" t="s">
        <v>23</v>
      </c>
    </row>
    <row r="6630" spans="1:11" ht="42" customHeight="1">
      <c r="A6630" s="2" t="s">
        <v>13103</v>
      </c>
      <c r="B6630" s="2" t="s">
        <v>13104</v>
      </c>
      <c r="C6630" s="2" t="s">
        <v>35</v>
      </c>
      <c r="D6630" s="2" t="s">
        <v>36</v>
      </c>
      <c r="E6630" s="5">
        <v>-29078</v>
      </c>
      <c r="F6630" s="3" t="s">
        <v>260</v>
      </c>
      <c r="G6630" s="3" t="s">
        <v>261</v>
      </c>
      <c r="H6630" s="2" t="s">
        <v>30</v>
      </c>
      <c r="I6630" s="2" t="s">
        <v>13105</v>
      </c>
      <c r="J6630" s="3" t="str">
        <f>HYPERLINK("https://www.boe.es/gazeta/dias/1820/05/20/pdfs/GMD-1820-83.pdf#page=9","Abrir facsímil")</f>
        <v>Abrir facsímil</v>
      </c>
      <c r="K6630" s="3" t="s">
        <v>32</v>
      </c>
    </row>
    <row r="6631" spans="1:11" ht="42" customHeight="1">
      <c r="A6631" s="2" t="s">
        <v>13103</v>
      </c>
      <c r="B6631" s="2" t="s">
        <v>13104</v>
      </c>
      <c r="C6631" s="2" t="s">
        <v>17</v>
      </c>
      <c r="D6631" s="2" t="s">
        <v>18</v>
      </c>
      <c r="E6631" s="5">
        <v>-28950</v>
      </c>
      <c r="F6631" s="3" t="s">
        <v>1052</v>
      </c>
      <c r="G6631" s="3" t="s">
        <v>1372</v>
      </c>
      <c r="H6631" s="2" t="s">
        <v>30</v>
      </c>
      <c r="I6631" s="2" t="s">
        <v>13106</v>
      </c>
      <c r="J6631" s="3" t="str">
        <f>HYPERLINK("https://www.boe.es/gazeta/dias/1820/09/25/pdfs/GGB-1820-89.pdf#page=2","Abrir facsímil")</f>
        <v>Abrir facsímil</v>
      </c>
      <c r="K6631" s="3" t="s">
        <v>32</v>
      </c>
    </row>
    <row r="6632" spans="1:11" ht="42" customHeight="1">
      <c r="A6632" s="2" t="s">
        <v>13103</v>
      </c>
      <c r="B6632" s="2" t="s">
        <v>13104</v>
      </c>
      <c r="C6632" s="2" t="s">
        <v>17</v>
      </c>
      <c r="D6632" s="2" t="s">
        <v>18</v>
      </c>
      <c r="E6632" s="5">
        <v>-28932</v>
      </c>
      <c r="F6632" s="3" t="s">
        <v>407</v>
      </c>
      <c r="G6632" s="3" t="s">
        <v>62</v>
      </c>
      <c r="H6632" s="2" t="s">
        <v>30</v>
      </c>
      <c r="I6632" s="2" t="s">
        <v>13107</v>
      </c>
      <c r="J6632" s="3" t="str">
        <f>HYPERLINK("https://www.boe.es/gazeta/dias/1820/10/13/pdfs/GGB-1820-107.pdf#page=3","Abrir facsímil")</f>
        <v>Abrir facsímil</v>
      </c>
      <c r="K6632" s="3" t="s">
        <v>32</v>
      </c>
    </row>
    <row r="6633" spans="1:11" ht="42" customHeight="1">
      <c r="A6633" s="2" t="s">
        <v>13103</v>
      </c>
      <c r="B6633" s="2" t="s">
        <v>13104</v>
      </c>
      <c r="C6633" s="2" t="s">
        <v>111</v>
      </c>
      <c r="D6633" s="2" t="s">
        <v>18</v>
      </c>
      <c r="E6633" s="5">
        <v>-28918</v>
      </c>
      <c r="F6633" s="3" t="s">
        <v>160</v>
      </c>
      <c r="G6633" s="3" t="s">
        <v>20</v>
      </c>
      <c r="H6633" s="2" t="s">
        <v>30</v>
      </c>
      <c r="I6633" s="2" t="s">
        <v>13108</v>
      </c>
      <c r="J6633" s="3" t="str">
        <f>HYPERLINK("https://www.boe.es/gazeta/dias/1820/10/27/pdfs/GGB-1820-121.pdf#page=4","Abrir facsímil")</f>
        <v>Abrir facsímil</v>
      </c>
      <c r="K6633" s="3" t="s">
        <v>32</v>
      </c>
    </row>
    <row r="6634" spans="1:11" ht="42" customHeight="1">
      <c r="A6634" s="2" t="s">
        <v>13109</v>
      </c>
      <c r="B6634" s="2" t="s">
        <v>13110</v>
      </c>
      <c r="C6634" s="2" t="s">
        <v>293</v>
      </c>
      <c r="D6634" s="2" t="s">
        <v>18</v>
      </c>
      <c r="E6634" s="5">
        <v>-28943</v>
      </c>
      <c r="F6634" s="3" t="s">
        <v>1403</v>
      </c>
      <c r="G6634" s="3" t="s">
        <v>1710</v>
      </c>
      <c r="H6634" s="2" t="s">
        <v>21</v>
      </c>
      <c r="I6634" s="2" t="s">
        <v>13111</v>
      </c>
      <c r="J6634" s="3" t="str">
        <f>HYPERLINK("https://www.boe.es/gazeta/dias/1820/10/02/pdfs/GGB-1820-96.pdf#page=4","Abrir facsímil")</f>
        <v>Abrir facsímil</v>
      </c>
      <c r="K6634" s="3" t="s">
        <v>23</v>
      </c>
    </row>
    <row r="6635" spans="1:11" ht="42" customHeight="1">
      <c r="A6635" s="2" t="s">
        <v>13109</v>
      </c>
      <c r="B6635" s="2" t="s">
        <v>13110</v>
      </c>
      <c r="C6635" s="2" t="s">
        <v>35</v>
      </c>
      <c r="D6635" s="2" t="s">
        <v>36</v>
      </c>
      <c r="E6635" s="5">
        <v>-28937</v>
      </c>
      <c r="F6635" s="3" t="s">
        <v>4254</v>
      </c>
      <c r="G6635" s="3" t="s">
        <v>62</v>
      </c>
      <c r="H6635" s="2" t="s">
        <v>21</v>
      </c>
      <c r="I6635" s="2" t="s">
        <v>13112</v>
      </c>
      <c r="J6635" s="3" t="str">
        <f>HYPERLINK("https://www.boe.es/gazeta/dias/1820/10/08/pdfs/GGB-1820-102.pdf#page=3","Abrir facsímil")</f>
        <v>Abrir facsímil</v>
      </c>
      <c r="K6635" s="3" t="s">
        <v>23</v>
      </c>
    </row>
    <row r="6636" spans="1:11" ht="42" customHeight="1">
      <c r="A6636" s="2" t="s">
        <v>13109</v>
      </c>
      <c r="B6636" s="2" t="s">
        <v>13110</v>
      </c>
      <c r="C6636" s="2" t="s">
        <v>35</v>
      </c>
      <c r="D6636" s="2" t="s">
        <v>36</v>
      </c>
      <c r="E6636" s="5">
        <v>-28935</v>
      </c>
      <c r="F6636" s="3" t="s">
        <v>2464</v>
      </c>
      <c r="G6636" s="3" t="s">
        <v>43</v>
      </c>
      <c r="H6636" s="2" t="s">
        <v>21</v>
      </c>
      <c r="I6636" s="2" t="s">
        <v>13113</v>
      </c>
      <c r="J6636" s="3" t="str">
        <f>HYPERLINK("https://www.boe.es/gazeta/dias/1820/10/10/pdfs/GGB-1820-104.pdf#page=2","Abrir facsímil")</f>
        <v>Abrir facsímil</v>
      </c>
      <c r="K6636" s="3" t="s">
        <v>23</v>
      </c>
    </row>
    <row r="6637" spans="1:11" ht="42" customHeight="1">
      <c r="A6637" s="2" t="s">
        <v>13109</v>
      </c>
      <c r="B6637" s="2" t="s">
        <v>13110</v>
      </c>
      <c r="C6637" s="2" t="s">
        <v>47</v>
      </c>
      <c r="D6637" s="2" t="s">
        <v>18</v>
      </c>
      <c r="E6637" s="5">
        <v>-28931</v>
      </c>
      <c r="F6637" s="3" t="s">
        <v>724</v>
      </c>
      <c r="G6637" s="3" t="s">
        <v>43</v>
      </c>
      <c r="H6637" s="2" t="s">
        <v>21</v>
      </c>
      <c r="I6637" s="2" t="s">
        <v>13114</v>
      </c>
      <c r="J6637" s="3" t="str">
        <f>HYPERLINK("https://www.boe.es/gazeta/dias/1820/10/14/pdfs/GGB-1820-108.pdf#page=2","Abrir facsímil")</f>
        <v>Abrir facsímil</v>
      </c>
      <c r="K6637" s="3" t="s">
        <v>23</v>
      </c>
    </row>
    <row r="6638" spans="1:11" ht="42" customHeight="1">
      <c r="A6638" s="2" t="s">
        <v>13109</v>
      </c>
      <c r="B6638" s="2" t="s">
        <v>13110</v>
      </c>
      <c r="C6638" s="2" t="s">
        <v>74</v>
      </c>
      <c r="D6638" s="2" t="s">
        <v>18</v>
      </c>
      <c r="E6638" s="5">
        <v>-28927</v>
      </c>
      <c r="F6638" s="3" t="s">
        <v>345</v>
      </c>
      <c r="G6638" s="3" t="s">
        <v>43</v>
      </c>
      <c r="H6638" s="2" t="s">
        <v>21</v>
      </c>
      <c r="I6638" s="2" t="s">
        <v>13115</v>
      </c>
      <c r="J6638" s="3" t="str">
        <f>HYPERLINK("https://www.boe.es/gazeta/dias/1820/10/18/pdfs/GGB-1820-112.pdf#page=2","Abrir facsímil")</f>
        <v>Abrir facsímil</v>
      </c>
      <c r="K6638" s="3" t="s">
        <v>23</v>
      </c>
    </row>
    <row r="6639" spans="1:11" ht="42" customHeight="1">
      <c r="A6639" s="2" t="s">
        <v>13116</v>
      </c>
      <c r="B6639" s="2" t="s">
        <v>13117</v>
      </c>
      <c r="C6639" s="2" t="s">
        <v>47</v>
      </c>
      <c r="D6639" s="2" t="s">
        <v>18</v>
      </c>
      <c r="E6639" s="5">
        <v>-28923</v>
      </c>
      <c r="F6639" s="3" t="s">
        <v>648</v>
      </c>
      <c r="G6639" s="3" t="s">
        <v>62</v>
      </c>
      <c r="H6639" s="2" t="s">
        <v>21</v>
      </c>
      <c r="I6639" s="2" t="s">
        <v>13118</v>
      </c>
      <c r="J6639" s="3" t="str">
        <f>HYPERLINK("https://www.boe.es/gazeta/dias/1820/10/22/pdfs/GGB-1820-116.pdf#page=3","Abrir facsímil")</f>
        <v>Abrir facsímil</v>
      </c>
      <c r="K6639" s="3" t="s">
        <v>23</v>
      </c>
    </row>
    <row r="6640" spans="1:11" ht="42" customHeight="1">
      <c r="A6640" s="2" t="s">
        <v>13109</v>
      </c>
      <c r="B6640" s="2" t="s">
        <v>13110</v>
      </c>
      <c r="C6640" s="2" t="s">
        <v>17</v>
      </c>
      <c r="D6640" s="2" t="s">
        <v>18</v>
      </c>
      <c r="E6640" s="5">
        <v>-28922</v>
      </c>
      <c r="F6640" s="3" t="s">
        <v>735</v>
      </c>
      <c r="G6640" s="3" t="s">
        <v>43</v>
      </c>
      <c r="H6640" s="2" t="s">
        <v>21</v>
      </c>
      <c r="I6640" s="2" t="s">
        <v>13119</v>
      </c>
      <c r="J6640" s="3" t="str">
        <f>HYPERLINK("https://www.boe.es/gazeta/dias/1820/10/23/pdfs/GGB-1820-117.pdf#page=2","Abrir facsímil")</f>
        <v>Abrir facsímil</v>
      </c>
      <c r="K6640" s="3" t="s">
        <v>23</v>
      </c>
    </row>
    <row r="6641" spans="1:11" ht="42" customHeight="1">
      <c r="A6641" s="2" t="s">
        <v>13109</v>
      </c>
      <c r="B6641" s="2" t="s">
        <v>13110</v>
      </c>
      <c r="C6641" s="2" t="s">
        <v>74</v>
      </c>
      <c r="D6641" s="2" t="s">
        <v>18</v>
      </c>
      <c r="E6641" s="5">
        <v>-28914</v>
      </c>
      <c r="F6641" s="3" t="s">
        <v>434</v>
      </c>
      <c r="G6641" s="3" t="s">
        <v>62</v>
      </c>
      <c r="H6641" s="2" t="s">
        <v>21</v>
      </c>
      <c r="I6641" s="2" t="s">
        <v>13120</v>
      </c>
      <c r="J6641" s="3" t="str">
        <f>HYPERLINK("https://www.boe.es/gazeta/dias/1820/10/31/pdfs/GGB-1820-125.pdf#page=3","Abrir facsímil")</f>
        <v>Abrir facsímil</v>
      </c>
      <c r="K6641" s="3" t="s">
        <v>23</v>
      </c>
    </row>
    <row r="6642" spans="1:11" ht="42" customHeight="1">
      <c r="A6642" s="2" t="s">
        <v>13121</v>
      </c>
      <c r="B6642" s="2" t="s">
        <v>13122</v>
      </c>
      <c r="C6642" s="2" t="s">
        <v>26</v>
      </c>
      <c r="D6642" s="2" t="s">
        <v>27</v>
      </c>
      <c r="E6642" s="5">
        <v>-28943</v>
      </c>
      <c r="F6642" s="3" t="s">
        <v>1403</v>
      </c>
      <c r="G6642" s="3" t="s">
        <v>1710</v>
      </c>
      <c r="H6642" s="2" t="s">
        <v>21</v>
      </c>
      <c r="I6642" s="2" t="s">
        <v>13123</v>
      </c>
      <c r="J6642" s="3" t="str">
        <f>HYPERLINK("https://www.boe.es/gazeta/dias/1820/10/02/pdfs/GGB-1820-96.pdf#page=4","Abrir facsímil")</f>
        <v>Abrir facsímil</v>
      </c>
      <c r="K6642" s="3" t="s">
        <v>23</v>
      </c>
    </row>
    <row r="6643" spans="1:11" ht="42" customHeight="1">
      <c r="A6643" s="2" t="s">
        <v>13124</v>
      </c>
      <c r="B6643" s="2" t="s">
        <v>13125</v>
      </c>
      <c r="C6643" s="2" t="s">
        <v>17</v>
      </c>
      <c r="D6643" s="2" t="s">
        <v>18</v>
      </c>
      <c r="E6643" s="5">
        <v>-28939</v>
      </c>
      <c r="F6643" s="3" t="s">
        <v>992</v>
      </c>
      <c r="G6643" s="3" t="s">
        <v>62</v>
      </c>
      <c r="H6643" s="2" t="s">
        <v>21</v>
      </c>
      <c r="I6643" s="2" t="s">
        <v>13126</v>
      </c>
      <c r="J6643" s="3" t="str">
        <f>HYPERLINK("https://www.boe.es/gazeta/dias/1820/10/06/pdfs/GGB-1820-100.pdf#page=3","Abrir facsímil")</f>
        <v>Abrir facsímil</v>
      </c>
      <c r="K6643" s="3" t="s">
        <v>23</v>
      </c>
    </row>
    <row r="6644" spans="1:11" ht="42" customHeight="1">
      <c r="A6644" s="2" t="s">
        <v>13127</v>
      </c>
      <c r="B6644" s="2" t="s">
        <v>13128</v>
      </c>
      <c r="C6644" s="2" t="s">
        <v>26</v>
      </c>
      <c r="D6644" s="2" t="s">
        <v>27</v>
      </c>
      <c r="E6644" s="5">
        <v>-28888</v>
      </c>
      <c r="F6644" s="3" t="s">
        <v>112</v>
      </c>
      <c r="G6644" s="3" t="s">
        <v>113</v>
      </c>
      <c r="H6644" s="2" t="s">
        <v>21</v>
      </c>
      <c r="I6644" s="2" t="s">
        <v>13129</v>
      </c>
      <c r="J6644" s="3" t="str">
        <f>HYPERLINK("https://www.boe.es/gazeta/dias/1820/11/26/pdfs/GGB-1820-153.pdf#page=3","Abrir facsímil")</f>
        <v>Abrir facsímil</v>
      </c>
      <c r="K6644" s="3" t="s">
        <v>23</v>
      </c>
    </row>
    <row r="6645" spans="1:11" ht="42" customHeight="1">
      <c r="A6645" s="2" t="s">
        <v>13130</v>
      </c>
      <c r="B6645" s="2" t="s">
        <v>13131</v>
      </c>
      <c r="C6645" s="2" t="s">
        <v>35</v>
      </c>
      <c r="D6645" s="2" t="s">
        <v>36</v>
      </c>
      <c r="E6645" s="5">
        <v>-29143</v>
      </c>
      <c r="F6645" s="3" t="s">
        <v>334</v>
      </c>
      <c r="G6645" s="3" t="s">
        <v>38</v>
      </c>
      <c r="H6645" s="2" t="s">
        <v>21</v>
      </c>
      <c r="I6645" s="2" t="s">
        <v>13132</v>
      </c>
      <c r="J6645" s="3" t="str">
        <f>HYPERLINK("https://www.boe.es/gazeta/dias/1820/03/16/pdfs/GMD-1820-42.pdf#page=6","Abrir facsímil")</f>
        <v>Abrir facsímil</v>
      </c>
      <c r="K6645" s="3" t="s">
        <v>23</v>
      </c>
    </row>
    <row r="6646" spans="1:11" ht="42" customHeight="1">
      <c r="A6646" s="2" t="s">
        <v>13130</v>
      </c>
      <c r="B6646" s="2" t="s">
        <v>13131</v>
      </c>
      <c r="C6646" s="2" t="s">
        <v>35</v>
      </c>
      <c r="D6646" s="2" t="s">
        <v>36</v>
      </c>
      <c r="E6646" s="5">
        <v>-29094</v>
      </c>
      <c r="F6646" s="3" t="s">
        <v>560</v>
      </c>
      <c r="G6646" s="3" t="s">
        <v>295</v>
      </c>
      <c r="H6646" s="2" t="s">
        <v>21</v>
      </c>
      <c r="I6646" s="2" t="s">
        <v>13133</v>
      </c>
      <c r="J6646" s="3" t="str">
        <f>HYPERLINK("https://www.boe.es/gazeta/dias/1820/05/04/pdfs/GMD-1820-75.pdf#page=8","Abrir facsímil")</f>
        <v>Abrir facsímil</v>
      </c>
      <c r="K6646" s="3" t="s">
        <v>23</v>
      </c>
    </row>
    <row r="6647" spans="1:11" ht="42" customHeight="1">
      <c r="A6647" s="2" t="s">
        <v>13134</v>
      </c>
      <c r="B6647" s="2" t="s">
        <v>13135</v>
      </c>
      <c r="C6647" s="2" t="s">
        <v>17</v>
      </c>
      <c r="D6647" s="2" t="s">
        <v>18</v>
      </c>
      <c r="E6647" s="5">
        <v>-28900</v>
      </c>
      <c r="F6647" s="3" t="s">
        <v>878</v>
      </c>
      <c r="G6647" s="3" t="s">
        <v>20</v>
      </c>
      <c r="H6647" s="2" t="s">
        <v>21</v>
      </c>
      <c r="I6647" s="2" t="s">
        <v>13136</v>
      </c>
      <c r="J6647" s="3" t="str">
        <f>HYPERLINK("https://www.boe.es/gazeta/dias/1820/11/14/pdfs/GGB-1820-140.pdf#page=4","Abrir facsímil")</f>
        <v>Abrir facsímil</v>
      </c>
      <c r="K6647" s="3" t="s">
        <v>23</v>
      </c>
    </row>
    <row r="6648" spans="1:11" ht="42" customHeight="1">
      <c r="A6648" s="2" t="s">
        <v>13137</v>
      </c>
      <c r="B6648" s="2" t="s">
        <v>13138</v>
      </c>
      <c r="C6648" s="2" t="s">
        <v>26</v>
      </c>
      <c r="D6648" s="2" t="s">
        <v>27</v>
      </c>
      <c r="E6648" s="5">
        <v>-28907</v>
      </c>
      <c r="F6648" s="3" t="s">
        <v>374</v>
      </c>
      <c r="G6648" s="3" t="s">
        <v>62</v>
      </c>
      <c r="H6648" s="2" t="s">
        <v>21</v>
      </c>
      <c r="I6648" s="2" t="s">
        <v>13139</v>
      </c>
      <c r="J6648" s="3" t="str">
        <f>HYPERLINK("https://www.boe.es/gazeta/dias/1820/11/07/pdfs/GGB-1820-132.pdf#page=3","Abrir facsímil")</f>
        <v>Abrir facsímil</v>
      </c>
      <c r="K6648" s="3" t="s">
        <v>23</v>
      </c>
    </row>
    <row r="6649" spans="1:11" ht="42" customHeight="1">
      <c r="A6649" s="2" t="s">
        <v>13140</v>
      </c>
      <c r="B6649" s="2" t="s">
        <v>13141</v>
      </c>
      <c r="C6649" s="2" t="s">
        <v>17</v>
      </c>
      <c r="D6649" s="2" t="s">
        <v>18</v>
      </c>
      <c r="E6649" s="5">
        <v>-28909</v>
      </c>
      <c r="F6649" s="3" t="s">
        <v>278</v>
      </c>
      <c r="G6649" s="3" t="s">
        <v>43</v>
      </c>
      <c r="H6649" s="2" t="s">
        <v>21</v>
      </c>
      <c r="I6649" s="2" t="s">
        <v>13142</v>
      </c>
      <c r="J6649" s="3" t="str">
        <f>HYPERLINK("https://www.boe.es/gazeta/dias/1820/11/05/pdfs/GGB-1820-130.pdf#page=2","Abrir facsímil")</f>
        <v>Abrir facsímil</v>
      </c>
      <c r="K6649" s="3" t="s">
        <v>23</v>
      </c>
    </row>
    <row r="6650" spans="1:11" ht="42" customHeight="1">
      <c r="A6650" s="2" t="s">
        <v>13143</v>
      </c>
      <c r="B6650" s="2" t="s">
        <v>13144</v>
      </c>
      <c r="C6650" s="2" t="s">
        <v>111</v>
      </c>
      <c r="D6650" s="2" t="s">
        <v>18</v>
      </c>
      <c r="E6650" s="5">
        <v>-28863</v>
      </c>
      <c r="F6650" s="3" t="s">
        <v>3630</v>
      </c>
      <c r="G6650" s="3" t="s">
        <v>20</v>
      </c>
      <c r="H6650" s="2" t="s">
        <v>21</v>
      </c>
      <c r="I6650" s="2" t="s">
        <v>13145</v>
      </c>
      <c r="J6650" s="3" t="str">
        <f>HYPERLINK("https://www.boe.es/gazeta/dias/1820/12/21/pdfs/GGB-1820-178.pdf#page=4","Abrir facsímil")</f>
        <v>Abrir facsímil</v>
      </c>
      <c r="K6650" s="3" t="s">
        <v>23</v>
      </c>
    </row>
    <row r="6651" spans="1:11" ht="42" customHeight="1">
      <c r="A6651" s="2" t="s">
        <v>13146</v>
      </c>
      <c r="B6651" s="2" t="s">
        <v>13147</v>
      </c>
      <c r="C6651" s="2" t="s">
        <v>35</v>
      </c>
      <c r="D6651" s="2" t="s">
        <v>36</v>
      </c>
      <c r="E6651" s="5">
        <v>-28892</v>
      </c>
      <c r="F6651" s="3" t="s">
        <v>3036</v>
      </c>
      <c r="G6651" s="3" t="s">
        <v>20</v>
      </c>
      <c r="H6651" s="2" t="s">
        <v>21</v>
      </c>
      <c r="I6651" s="2" t="s">
        <v>13148</v>
      </c>
      <c r="J6651" s="3" t="str">
        <f>HYPERLINK("https://www.boe.es/gazeta/dias/1820/11/22/pdfs/GGB-1820-149.pdf#page=4","Abrir facsímil")</f>
        <v>Abrir facsímil</v>
      </c>
      <c r="K6651" s="3" t="s">
        <v>23</v>
      </c>
    </row>
    <row r="6652" spans="1:11" ht="42" customHeight="1">
      <c r="A6652" s="2" t="s">
        <v>13149</v>
      </c>
      <c r="B6652" s="2" t="s">
        <v>13150</v>
      </c>
      <c r="C6652" s="2" t="s">
        <v>26</v>
      </c>
      <c r="D6652" s="2" t="s">
        <v>27</v>
      </c>
      <c r="E6652" s="5">
        <v>-28879</v>
      </c>
      <c r="F6652" s="3" t="s">
        <v>953</v>
      </c>
      <c r="G6652" s="3" t="s">
        <v>62</v>
      </c>
      <c r="H6652" s="2" t="s">
        <v>21</v>
      </c>
      <c r="I6652" s="2" t="s">
        <v>13151</v>
      </c>
      <c r="J6652" s="3" t="str">
        <f>HYPERLINK("https://www.boe.es/gazeta/dias/1820/12/05/pdfs/GGB-1820-162.pdf#page=3","Abrir facsímil")</f>
        <v>Abrir facsímil</v>
      </c>
      <c r="K6652" s="3" t="s">
        <v>23</v>
      </c>
    </row>
    <row r="6653" spans="1:11" ht="42" customHeight="1">
      <c r="A6653" s="2" t="s">
        <v>13152</v>
      </c>
      <c r="B6653" s="2" t="s">
        <v>13152</v>
      </c>
      <c r="C6653" s="2" t="s">
        <v>74</v>
      </c>
      <c r="D6653" s="2" t="s">
        <v>18</v>
      </c>
      <c r="E6653" s="5">
        <v>-28995</v>
      </c>
      <c r="F6653" s="3" t="s">
        <v>672</v>
      </c>
      <c r="G6653" s="3" t="s">
        <v>1557</v>
      </c>
      <c r="H6653" s="2" t="s">
        <v>21</v>
      </c>
      <c r="I6653" s="2" t="s">
        <v>13153</v>
      </c>
      <c r="J6653" s="3" t="str">
        <f>HYPERLINK("https://www.boe.es/gazeta/dias/1820/08/11/pdfs/GGB-1820-44.pdf#page=2","Abrir facsímil")</f>
        <v>Abrir facsímil</v>
      </c>
      <c r="K6653" s="3" t="s">
        <v>23</v>
      </c>
    </row>
    <row r="6654" spans="1:11" ht="42" customHeight="1">
      <c r="A6654" s="2" t="s">
        <v>13154</v>
      </c>
      <c r="B6654" s="2" t="s">
        <v>13155</v>
      </c>
      <c r="C6654" s="2" t="s">
        <v>17</v>
      </c>
      <c r="D6654" s="2" t="s">
        <v>18</v>
      </c>
      <c r="E6654" s="5">
        <v>-29078</v>
      </c>
      <c r="F6654" s="3" t="s">
        <v>260</v>
      </c>
      <c r="G6654" s="3" t="s">
        <v>201</v>
      </c>
      <c r="H6654" s="2" t="s">
        <v>21</v>
      </c>
      <c r="I6654" s="2" t="s">
        <v>13156</v>
      </c>
      <c r="J6654" s="3" t="str">
        <f>HYPERLINK("https://www.boe.es/gazeta/dias/1820/05/20/pdfs/GMD-1820-83.pdf#page=7","Abrir facsímil")</f>
        <v>Abrir facsímil</v>
      </c>
      <c r="K6654" s="3" t="s">
        <v>23</v>
      </c>
    </row>
    <row r="6655" spans="1:11" ht="42" customHeight="1">
      <c r="A6655" s="2" t="s">
        <v>13157</v>
      </c>
      <c r="B6655" s="2" t="s">
        <v>13158</v>
      </c>
      <c r="C6655" s="2" t="s">
        <v>111</v>
      </c>
      <c r="D6655" s="2" t="s">
        <v>18</v>
      </c>
      <c r="E6655" s="5">
        <v>-28947</v>
      </c>
      <c r="F6655" s="3" t="s">
        <v>127</v>
      </c>
      <c r="G6655" s="3" t="s">
        <v>62</v>
      </c>
      <c r="H6655" s="2" t="s">
        <v>30</v>
      </c>
      <c r="I6655" s="2" t="s">
        <v>13159</v>
      </c>
      <c r="J6655" s="3" t="str">
        <f>HYPERLINK("https://www.boe.es/gazeta/dias/1820/09/28/pdfs/GGB-1820-92.pdf#page=3","Abrir facsímil")</f>
        <v>Abrir facsímil</v>
      </c>
      <c r="K6655" s="3" t="s">
        <v>32</v>
      </c>
    </row>
    <row r="6656" spans="1:11" ht="42" customHeight="1">
      <c r="A6656" s="2" t="s">
        <v>13160</v>
      </c>
      <c r="B6656" s="2" t="s">
        <v>13160</v>
      </c>
      <c r="C6656" s="2" t="s">
        <v>35</v>
      </c>
      <c r="D6656" s="2" t="s">
        <v>36</v>
      </c>
      <c r="E6656" s="5">
        <v>-29092</v>
      </c>
      <c r="F6656" s="3" t="s">
        <v>1261</v>
      </c>
      <c r="G6656" s="3" t="s">
        <v>295</v>
      </c>
      <c r="H6656" s="2" t="s">
        <v>21</v>
      </c>
      <c r="I6656" s="2" t="s">
        <v>13161</v>
      </c>
      <c r="J6656" s="3" t="str">
        <f>HYPERLINK("https://www.boe.es/gazeta/dias/1820/05/06/pdfs/GMD-1820-76.pdf#page=8","Abrir facsímil")</f>
        <v>Abrir facsímil</v>
      </c>
      <c r="K6656" s="3" t="s">
        <v>23</v>
      </c>
    </row>
    <row r="6657" spans="1:11" ht="42" customHeight="1">
      <c r="A6657" s="2" t="s">
        <v>13162</v>
      </c>
      <c r="B6657" s="2" t="s">
        <v>13163</v>
      </c>
      <c r="C6657" s="2" t="s">
        <v>35</v>
      </c>
      <c r="D6657" s="2" t="s">
        <v>36</v>
      </c>
      <c r="E6657" s="5">
        <v>-29008</v>
      </c>
      <c r="F6657" s="3" t="s">
        <v>2250</v>
      </c>
      <c r="G6657" s="3" t="s">
        <v>43</v>
      </c>
      <c r="H6657" s="2" t="s">
        <v>21</v>
      </c>
      <c r="I6657" s="2" t="s">
        <v>13164</v>
      </c>
      <c r="J6657" s="3" t="str">
        <f>HYPERLINK("https://www.boe.es/gazeta/dias/1820/07/29/pdfs/GGB-1820-31.pdf#page=2","Abrir facsímil")</f>
        <v>Abrir facsímil</v>
      </c>
      <c r="K6657" s="3" t="s">
        <v>23</v>
      </c>
    </row>
    <row r="6658" spans="1:11" ht="42" customHeight="1">
      <c r="A6658" s="2" t="s">
        <v>13165</v>
      </c>
      <c r="B6658" s="2" t="s">
        <v>13165</v>
      </c>
      <c r="C6658" s="2" t="s">
        <v>35</v>
      </c>
      <c r="D6658" s="2" t="s">
        <v>36</v>
      </c>
      <c r="E6658" s="5">
        <v>-29066</v>
      </c>
      <c r="F6658" s="3" t="s">
        <v>1966</v>
      </c>
      <c r="G6658" s="3" t="s">
        <v>201</v>
      </c>
      <c r="H6658" s="2" t="s">
        <v>21</v>
      </c>
      <c r="I6658" s="2" t="s">
        <v>13166</v>
      </c>
      <c r="J6658" s="3" t="str">
        <f>HYPERLINK("https://www.boe.es/gazeta/dias/1820/06/01/pdfs/GMD-1820-88.pdf#page=7","Abrir facsímil")</f>
        <v>Abrir facsímil</v>
      </c>
      <c r="K6658" s="3" t="s">
        <v>23</v>
      </c>
    </row>
    <row r="6659" spans="1:11" ht="42" customHeight="1">
      <c r="A6659" s="2" t="s">
        <v>13167</v>
      </c>
      <c r="B6659" s="2" t="s">
        <v>13168</v>
      </c>
      <c r="C6659" s="2" t="s">
        <v>35</v>
      </c>
      <c r="D6659" s="2" t="s">
        <v>36</v>
      </c>
      <c r="E6659" s="5">
        <v>-29208</v>
      </c>
      <c r="F6659" s="3" t="s">
        <v>770</v>
      </c>
      <c r="G6659" s="3" t="s">
        <v>295</v>
      </c>
      <c r="H6659" s="2" t="s">
        <v>21</v>
      </c>
      <c r="I6659" s="2" t="s">
        <v>13169</v>
      </c>
      <c r="J6659" s="3" t="str">
        <f>HYPERLINK("https://www.boe.es/gazeta/dias/1820/01/11/pdfs/GMD-1820-5.pdf#page=8","Abrir facsímil")</f>
        <v>Abrir facsímil</v>
      </c>
      <c r="K6659" s="3" t="s">
        <v>23</v>
      </c>
    </row>
    <row r="6660" spans="1:11" ht="42" customHeight="1">
      <c r="A6660" s="2" t="s">
        <v>13170</v>
      </c>
      <c r="B6660" s="2" t="s">
        <v>13171</v>
      </c>
      <c r="C6660" s="2" t="s">
        <v>17</v>
      </c>
      <c r="D6660" s="2" t="s">
        <v>18</v>
      </c>
      <c r="E6660" s="5">
        <v>-28931</v>
      </c>
      <c r="F6660" s="3" t="s">
        <v>724</v>
      </c>
      <c r="G6660" s="3" t="s">
        <v>20</v>
      </c>
      <c r="H6660" s="2" t="s">
        <v>21</v>
      </c>
      <c r="I6660" s="2" t="s">
        <v>13172</v>
      </c>
      <c r="J6660" s="3" t="str">
        <f>HYPERLINK("https://www.boe.es/gazeta/dias/1820/10/14/pdfs/GGB-1820-108.pdf#page=4","Abrir facsímil")</f>
        <v>Abrir facsímil</v>
      </c>
      <c r="K6660" s="3" t="s">
        <v>23</v>
      </c>
    </row>
    <row r="6661" spans="1:11" ht="42" customHeight="1">
      <c r="A6661" s="2" t="s">
        <v>13173</v>
      </c>
      <c r="B6661" s="2" t="s">
        <v>13174</v>
      </c>
      <c r="C6661" s="2" t="s">
        <v>26</v>
      </c>
      <c r="D6661" s="2" t="s">
        <v>27</v>
      </c>
      <c r="E6661" s="5">
        <v>-28987</v>
      </c>
      <c r="F6661" s="3" t="s">
        <v>680</v>
      </c>
      <c r="G6661" s="3" t="s">
        <v>62</v>
      </c>
      <c r="H6661" s="2" t="s">
        <v>21</v>
      </c>
      <c r="I6661" s="2" t="s">
        <v>13175</v>
      </c>
      <c r="J6661" s="3" t="str">
        <f>HYPERLINK("https://www.boe.es/gazeta/dias/1820/08/19/pdfs/GGB-1820-52.pdf#page=3","Abrir facsímil")</f>
        <v>Abrir facsímil</v>
      </c>
      <c r="K6661" s="3" t="s">
        <v>23</v>
      </c>
    </row>
    <row r="6662" spans="1:11" ht="42" customHeight="1">
      <c r="A6662" s="2" t="s">
        <v>13176</v>
      </c>
      <c r="B6662" s="2" t="s">
        <v>13176</v>
      </c>
      <c r="C6662" s="2" t="s">
        <v>26</v>
      </c>
      <c r="D6662" s="2" t="s">
        <v>27</v>
      </c>
      <c r="E6662" s="5">
        <v>-28938</v>
      </c>
      <c r="F6662" s="3" t="s">
        <v>716</v>
      </c>
      <c r="G6662" s="3" t="s">
        <v>1452</v>
      </c>
      <c r="H6662" s="2" t="s">
        <v>21</v>
      </c>
      <c r="I6662" s="2" t="s">
        <v>13177</v>
      </c>
      <c r="J6662" s="3" t="str">
        <f>HYPERLINK("https://www.boe.es/gazeta/dias/1820/10/07/pdfs/GGB-1820-101.pdf#page=4","Abrir facsímil")</f>
        <v>Abrir facsímil</v>
      </c>
      <c r="K6662" s="3" t="s">
        <v>23</v>
      </c>
    </row>
    <row r="6663" spans="1:11" ht="42" customHeight="1">
      <c r="A6663" s="2" t="s">
        <v>13178</v>
      </c>
      <c r="B6663" s="2" t="s">
        <v>13178</v>
      </c>
      <c r="C6663" s="2" t="s">
        <v>26</v>
      </c>
      <c r="D6663" s="2" t="s">
        <v>27</v>
      </c>
      <c r="E6663" s="5">
        <v>-29194</v>
      </c>
      <c r="F6663" s="3" t="s">
        <v>416</v>
      </c>
      <c r="G6663" s="3" t="s">
        <v>62</v>
      </c>
      <c r="H6663" s="2" t="s">
        <v>21</v>
      </c>
      <c r="I6663" s="2" t="s">
        <v>13179</v>
      </c>
      <c r="J6663" s="3" t="str">
        <f>HYPERLINK("https://www.boe.es/gazeta/dias/1820/01/25/pdfs/GMD-1820-11.pdf#page=3","Abrir facsímil")</f>
        <v>Abrir facsímil</v>
      </c>
      <c r="K6663" s="3" t="s">
        <v>23</v>
      </c>
    </row>
    <row r="6664" spans="1:11" ht="42" customHeight="1">
      <c r="A6664" s="2" t="s">
        <v>13180</v>
      </c>
      <c r="B6664" s="2" t="s">
        <v>13180</v>
      </c>
      <c r="C6664" s="2" t="s">
        <v>26</v>
      </c>
      <c r="D6664" s="2" t="s">
        <v>27</v>
      </c>
      <c r="E6664" s="5">
        <v>-29029</v>
      </c>
      <c r="F6664" s="3" t="s">
        <v>282</v>
      </c>
      <c r="G6664" s="3" t="s">
        <v>62</v>
      </c>
      <c r="H6664" s="2" t="s">
        <v>21</v>
      </c>
      <c r="I6664" s="2" t="s">
        <v>13181</v>
      </c>
      <c r="J6664" s="3" t="str">
        <f>HYPERLINK("https://www.boe.es/gazeta/dias/1820/07/08/pdfs/GGB-1820-9.pdf#page=3","Abrir facsímil")</f>
        <v>Abrir facsímil</v>
      </c>
      <c r="K6664" s="3" t="s">
        <v>23</v>
      </c>
    </row>
    <row r="6665" spans="1:11" ht="42" customHeight="1">
      <c r="A6665" s="2" t="s">
        <v>13182</v>
      </c>
      <c r="B6665" s="2" t="s">
        <v>13183</v>
      </c>
      <c r="C6665" s="2" t="s">
        <v>26</v>
      </c>
      <c r="D6665" s="2" t="s">
        <v>27</v>
      </c>
      <c r="E6665" s="5">
        <v>-28964</v>
      </c>
      <c r="F6665" s="3" t="s">
        <v>240</v>
      </c>
      <c r="G6665" s="3" t="s">
        <v>62</v>
      </c>
      <c r="H6665" s="2" t="s">
        <v>21</v>
      </c>
      <c r="I6665" s="2" t="s">
        <v>13184</v>
      </c>
      <c r="J6665" s="3" t="str">
        <f>HYPERLINK("https://www.boe.es/gazeta/dias/1820/09/11/pdfs/GGB-1820-75.pdf#page=3","Abrir facsímil")</f>
        <v>Abrir facsímil</v>
      </c>
      <c r="K6665" s="3" t="s">
        <v>23</v>
      </c>
    </row>
    <row r="6666" spans="1:11" ht="42" customHeight="1">
      <c r="A6666" s="2" t="s">
        <v>13185</v>
      </c>
      <c r="B6666" s="2" t="s">
        <v>13185</v>
      </c>
      <c r="C6666" s="2" t="s">
        <v>35</v>
      </c>
      <c r="D6666" s="2" t="s">
        <v>36</v>
      </c>
      <c r="E6666" s="5">
        <v>-29009</v>
      </c>
      <c r="F6666" s="3" t="s">
        <v>605</v>
      </c>
      <c r="G6666" s="3" t="s">
        <v>20</v>
      </c>
      <c r="H6666" s="2" t="s">
        <v>21</v>
      </c>
      <c r="I6666" s="2" t="s">
        <v>13186</v>
      </c>
      <c r="J6666" s="3" t="str">
        <f>HYPERLINK("https://www.boe.es/gazeta/dias/1820/07/28/pdfs/GGB-1820-30.pdf#page=4","Abrir facsímil")</f>
        <v>Abrir facsímil</v>
      </c>
      <c r="K6666" s="3" t="s">
        <v>23</v>
      </c>
    </row>
    <row r="6667" spans="1:11" ht="42" customHeight="1">
      <c r="A6667" s="2" t="s">
        <v>13185</v>
      </c>
      <c r="B6667" s="2" t="s">
        <v>13185</v>
      </c>
      <c r="C6667" s="2" t="s">
        <v>74</v>
      </c>
      <c r="D6667" s="2" t="s">
        <v>18</v>
      </c>
      <c r="E6667" s="5">
        <v>-28969</v>
      </c>
      <c r="F6667" s="3" t="s">
        <v>225</v>
      </c>
      <c r="G6667" s="3" t="s">
        <v>20</v>
      </c>
      <c r="H6667" s="2" t="s">
        <v>21</v>
      </c>
      <c r="I6667" s="2" t="s">
        <v>13187</v>
      </c>
      <c r="J6667" s="3" t="str">
        <f>HYPERLINK("https://www.boe.es/gazeta/dias/1820/09/06/pdfs/GGB-1820-70.pdf#page=4","Abrir facsímil")</f>
        <v>Abrir facsímil</v>
      </c>
      <c r="K6667" s="3" t="s">
        <v>23</v>
      </c>
    </row>
    <row r="6668" spans="1:11" ht="42" customHeight="1">
      <c r="A6668" s="2" t="s">
        <v>13185</v>
      </c>
      <c r="B6668" s="2" t="s">
        <v>13185</v>
      </c>
      <c r="C6668" s="2" t="s">
        <v>26</v>
      </c>
      <c r="D6668" s="2" t="s">
        <v>27</v>
      </c>
      <c r="E6668" s="5">
        <v>-28931</v>
      </c>
      <c r="F6668" s="3" t="s">
        <v>724</v>
      </c>
      <c r="G6668" s="3" t="s">
        <v>20</v>
      </c>
      <c r="H6668" s="2" t="s">
        <v>21</v>
      </c>
      <c r="I6668" s="2" t="s">
        <v>13188</v>
      </c>
      <c r="J6668" s="3" t="str">
        <f>HYPERLINK("https://www.boe.es/gazeta/dias/1820/10/14/pdfs/GGB-1820-108.pdf#page=4","Abrir facsímil")</f>
        <v>Abrir facsímil</v>
      </c>
      <c r="K6668" s="3" t="s">
        <v>23</v>
      </c>
    </row>
    <row r="6669" spans="1:11" ht="42" customHeight="1">
      <c r="A6669" s="2" t="s">
        <v>13189</v>
      </c>
      <c r="B6669" s="2" t="s">
        <v>13190</v>
      </c>
      <c r="C6669" s="2" t="s">
        <v>26</v>
      </c>
      <c r="D6669" s="2" t="s">
        <v>27</v>
      </c>
      <c r="E6669" s="5">
        <v>-28965</v>
      </c>
      <c r="F6669" s="3" t="s">
        <v>1520</v>
      </c>
      <c r="G6669" s="3" t="s">
        <v>43</v>
      </c>
      <c r="H6669" s="2" t="s">
        <v>21</v>
      </c>
      <c r="I6669" s="2" t="s">
        <v>13191</v>
      </c>
      <c r="J6669" s="3" t="str">
        <f>HYPERLINK("https://www.boe.es/gazeta/dias/1820/09/10/pdfs/GGB-1820-74.pdf#page=2","Abrir facsímil")</f>
        <v>Abrir facsímil</v>
      </c>
      <c r="K6669" s="3" t="s">
        <v>23</v>
      </c>
    </row>
    <row r="6670" spans="1:11" ht="42" customHeight="1">
      <c r="A6670" s="2" t="s">
        <v>13192</v>
      </c>
      <c r="B6670" s="2" t="s">
        <v>13192</v>
      </c>
      <c r="C6670" s="2" t="s">
        <v>26</v>
      </c>
      <c r="D6670" s="2" t="s">
        <v>27</v>
      </c>
      <c r="E6670" s="5">
        <v>-29208</v>
      </c>
      <c r="F6670" s="3" t="s">
        <v>770</v>
      </c>
      <c r="G6670" s="3" t="s">
        <v>256</v>
      </c>
      <c r="H6670" s="2" t="s">
        <v>21</v>
      </c>
      <c r="I6670" s="2" t="s">
        <v>13193</v>
      </c>
      <c r="J6670" s="3" t="str">
        <f>HYPERLINK("https://www.boe.es/gazeta/dias/1820/01/11/pdfs/GMD-1820-5.pdf#page=5","Abrir facsímil")</f>
        <v>Abrir facsímil</v>
      </c>
      <c r="K6670" s="3" t="s">
        <v>23</v>
      </c>
    </row>
    <row r="6671" spans="1:11" ht="42" customHeight="1">
      <c r="A6671" s="2" t="s">
        <v>13192</v>
      </c>
      <c r="B6671" s="2" t="s">
        <v>13192</v>
      </c>
      <c r="C6671" s="2" t="s">
        <v>26</v>
      </c>
      <c r="D6671" s="2" t="s">
        <v>310</v>
      </c>
      <c r="E6671" s="5">
        <v>-29138</v>
      </c>
      <c r="F6671" s="3" t="s">
        <v>2523</v>
      </c>
      <c r="G6671" s="3" t="s">
        <v>2551</v>
      </c>
      <c r="H6671" s="2" t="s">
        <v>21</v>
      </c>
      <c r="I6671" s="2" t="s">
        <v>13194</v>
      </c>
      <c r="J6671" s="3" t="str">
        <f>HYPERLINK("https://www.boe.es/gazeta/dias/1820/03/21/pdfs/GMD-1820-48E.pdf#page=13","Abrir facsímil")</f>
        <v>Abrir facsímil</v>
      </c>
      <c r="K6671" s="3" t="s">
        <v>23</v>
      </c>
    </row>
    <row r="6672" spans="1:11" ht="42" customHeight="1">
      <c r="A6672" s="2" t="s">
        <v>13192</v>
      </c>
      <c r="B6672" s="2" t="s">
        <v>13192</v>
      </c>
      <c r="C6672" s="2" t="s">
        <v>26</v>
      </c>
      <c r="D6672" s="2" t="s">
        <v>27</v>
      </c>
      <c r="E6672" s="5">
        <v>-29030</v>
      </c>
      <c r="F6672" s="3" t="s">
        <v>789</v>
      </c>
      <c r="G6672" s="3" t="s">
        <v>62</v>
      </c>
      <c r="H6672" s="2" t="s">
        <v>21</v>
      </c>
      <c r="I6672" s="2" t="s">
        <v>13195</v>
      </c>
      <c r="J6672" s="3" t="str">
        <f>HYPERLINK("https://www.boe.es/gazeta/dias/1820/07/07/pdfs/GGB-1820-8.pdf#page=3","Abrir facsímil")</f>
        <v>Abrir facsímil</v>
      </c>
      <c r="K6672" s="3" t="s">
        <v>23</v>
      </c>
    </row>
    <row r="6673" spans="1:11" ht="42" customHeight="1">
      <c r="A6673" s="2" t="s">
        <v>13192</v>
      </c>
      <c r="B6673" s="2" t="s">
        <v>13192</v>
      </c>
      <c r="C6673" s="2" t="s">
        <v>293</v>
      </c>
      <c r="D6673" s="2" t="s">
        <v>18</v>
      </c>
      <c r="E6673" s="5">
        <v>-28971</v>
      </c>
      <c r="F6673" s="3" t="s">
        <v>691</v>
      </c>
      <c r="G6673" s="3" t="s">
        <v>43</v>
      </c>
      <c r="H6673" s="2" t="s">
        <v>21</v>
      </c>
      <c r="I6673" s="2" t="s">
        <v>13196</v>
      </c>
      <c r="J6673" s="3" t="str">
        <f>HYPERLINK("https://www.boe.es/gazeta/dias/1820/09/04/pdfs/GGB-1820-68.pdf#page=2","Abrir facsímil")</f>
        <v>Abrir facsímil</v>
      </c>
      <c r="K6673" s="3" t="s">
        <v>23</v>
      </c>
    </row>
    <row r="6674" spans="1:11" ht="42" customHeight="1">
      <c r="A6674" s="2" t="s">
        <v>13197</v>
      </c>
      <c r="B6674" s="2" t="s">
        <v>13197</v>
      </c>
      <c r="C6674" s="2" t="s">
        <v>35</v>
      </c>
      <c r="D6674" s="2" t="s">
        <v>36</v>
      </c>
      <c r="E6674" s="5">
        <v>-28960</v>
      </c>
      <c r="F6674" s="3" t="s">
        <v>704</v>
      </c>
      <c r="G6674" s="3" t="s">
        <v>20</v>
      </c>
      <c r="H6674" s="2" t="s">
        <v>21</v>
      </c>
      <c r="I6674" s="2" t="s">
        <v>13198</v>
      </c>
      <c r="J6674" s="3" t="str">
        <f>HYPERLINK("https://www.boe.es/gazeta/dias/1820/09/15/pdfs/GGB-1820-79.pdf#page=4","Abrir facsímil")</f>
        <v>Abrir facsímil</v>
      </c>
      <c r="K6674" s="3" t="s">
        <v>23</v>
      </c>
    </row>
    <row r="6675" spans="1:11" ht="42" customHeight="1">
      <c r="A6675" s="2" t="s">
        <v>13192</v>
      </c>
      <c r="B6675" s="2" t="s">
        <v>13192</v>
      </c>
      <c r="C6675" s="2" t="s">
        <v>26</v>
      </c>
      <c r="D6675" s="2" t="s">
        <v>27</v>
      </c>
      <c r="E6675" s="5">
        <v>-28957</v>
      </c>
      <c r="F6675" s="3" t="s">
        <v>361</v>
      </c>
      <c r="G6675" s="3" t="s">
        <v>62</v>
      </c>
      <c r="H6675" s="2" t="s">
        <v>21</v>
      </c>
      <c r="I6675" s="2" t="s">
        <v>13199</v>
      </c>
      <c r="J6675" s="3" t="str">
        <f>HYPERLINK("https://www.boe.es/gazeta/dias/1820/09/18/pdfs/GGB-1820-82.pdf#page=3","Abrir facsímil")</f>
        <v>Abrir facsímil</v>
      </c>
      <c r="K6675" s="3" t="s">
        <v>23</v>
      </c>
    </row>
    <row r="6676" spans="1:11" ht="42" customHeight="1">
      <c r="A6676" s="2" t="s">
        <v>13192</v>
      </c>
      <c r="B6676" s="2" t="s">
        <v>13192</v>
      </c>
      <c r="C6676" s="2" t="s">
        <v>26</v>
      </c>
      <c r="D6676" s="2" t="s">
        <v>27</v>
      </c>
      <c r="E6676" s="5">
        <v>-28883</v>
      </c>
      <c r="F6676" s="3" t="s">
        <v>306</v>
      </c>
      <c r="G6676" s="3" t="s">
        <v>20</v>
      </c>
      <c r="H6676" s="2" t="s">
        <v>21</v>
      </c>
      <c r="I6676" s="2" t="s">
        <v>13200</v>
      </c>
      <c r="J6676" s="3" t="str">
        <f>HYPERLINK("https://www.boe.es/gazeta/dias/1820/12/01/pdfs/GGB-1820-158.pdf#page=4","Abrir facsímil")</f>
        <v>Abrir facsímil</v>
      </c>
      <c r="K6676" s="3" t="s">
        <v>23</v>
      </c>
    </row>
    <row r="6677" spans="1:11" ht="42" customHeight="1">
      <c r="A6677" s="2" t="s">
        <v>13201</v>
      </c>
      <c r="B6677" s="2" t="s">
        <v>13202</v>
      </c>
      <c r="C6677" s="2" t="s">
        <v>26</v>
      </c>
      <c r="D6677" s="2" t="s">
        <v>27</v>
      </c>
      <c r="E6677" s="5">
        <v>-28951</v>
      </c>
      <c r="F6677" s="3" t="s">
        <v>622</v>
      </c>
      <c r="G6677" s="3" t="s">
        <v>1370</v>
      </c>
      <c r="H6677" s="2" t="s">
        <v>21</v>
      </c>
      <c r="I6677" s="2" t="s">
        <v>13203</v>
      </c>
      <c r="J6677" s="3" t="str">
        <f>HYPERLINK("https://www.boe.es/gazeta/dias/1820/09/24/pdfs/GGB-1820-88.pdf#page=2","Abrir facsímil")</f>
        <v>Abrir facsímil</v>
      </c>
      <c r="K6677" s="3" t="s">
        <v>23</v>
      </c>
    </row>
    <row r="6678" spans="1:11" ht="42" customHeight="1">
      <c r="A6678" s="2" t="s">
        <v>13204</v>
      </c>
      <c r="B6678" s="2" t="s">
        <v>13205</v>
      </c>
      <c r="C6678" s="2" t="s">
        <v>26</v>
      </c>
      <c r="D6678" s="2" t="s">
        <v>27</v>
      </c>
      <c r="E6678" s="5">
        <v>-28928</v>
      </c>
      <c r="F6678" s="3" t="s">
        <v>86</v>
      </c>
      <c r="G6678" s="3" t="s">
        <v>128</v>
      </c>
      <c r="H6678" s="2" t="s">
        <v>21</v>
      </c>
      <c r="I6678" s="2" t="s">
        <v>13206</v>
      </c>
      <c r="J6678" s="3" t="str">
        <f>HYPERLINK("https://www.boe.es/gazeta/dias/1820/10/17/pdfs/GGB-1820-111.pdf#page=1","Abrir facsímil")</f>
        <v>Abrir facsímil</v>
      </c>
      <c r="K6678" s="3" t="s">
        <v>23</v>
      </c>
    </row>
    <row r="6679" spans="1:11" ht="42" customHeight="1">
      <c r="A6679" s="2" t="s">
        <v>13207</v>
      </c>
      <c r="B6679" s="2" t="s">
        <v>13208</v>
      </c>
      <c r="C6679" s="2" t="s">
        <v>26</v>
      </c>
      <c r="D6679" s="2" t="s">
        <v>27</v>
      </c>
      <c r="E6679" s="5">
        <v>-28966</v>
      </c>
      <c r="F6679" s="3" t="s">
        <v>701</v>
      </c>
      <c r="G6679" s="3" t="s">
        <v>128</v>
      </c>
      <c r="H6679" s="2" t="s">
        <v>21</v>
      </c>
      <c r="I6679" s="2" t="s">
        <v>13209</v>
      </c>
      <c r="J6679" s="3" t="str">
        <f>HYPERLINK("https://www.boe.es/gazeta/dias/1820/09/09/pdfs/GGB-1820-73.pdf#page=1","Abrir facsímil")</f>
        <v>Abrir facsímil</v>
      </c>
      <c r="K6679" s="3" t="s">
        <v>23</v>
      </c>
    </row>
    <row r="6680" spans="1:11" ht="42" customHeight="1">
      <c r="A6680" s="2" t="s">
        <v>13210</v>
      </c>
      <c r="B6680" s="2" t="s">
        <v>13210</v>
      </c>
      <c r="C6680" s="2" t="s">
        <v>35</v>
      </c>
      <c r="D6680" s="2" t="s">
        <v>36</v>
      </c>
      <c r="E6680" s="5">
        <v>-28912</v>
      </c>
      <c r="F6680" s="3" t="s">
        <v>1329</v>
      </c>
      <c r="G6680" s="3" t="s">
        <v>20</v>
      </c>
      <c r="H6680" s="2" t="s">
        <v>21</v>
      </c>
      <c r="I6680" s="2" t="s">
        <v>13211</v>
      </c>
      <c r="J6680" s="3" t="str">
        <f>HYPERLINK("https://www.boe.es/gazeta/dias/1820/11/02/pdfs/GGB-1820-127.pdf#page=4","Abrir facsímil")</f>
        <v>Abrir facsímil</v>
      </c>
      <c r="K6680" s="3" t="s">
        <v>23</v>
      </c>
    </row>
    <row r="6681" spans="1:11" ht="42" customHeight="1">
      <c r="A6681" s="2" t="s">
        <v>13212</v>
      </c>
      <c r="B6681" s="2" t="s">
        <v>13213</v>
      </c>
      <c r="C6681" s="2" t="s">
        <v>26</v>
      </c>
      <c r="D6681" s="2" t="s">
        <v>310</v>
      </c>
      <c r="E6681" s="5">
        <v>-29142</v>
      </c>
      <c r="F6681" s="3" t="s">
        <v>2712</v>
      </c>
      <c r="G6681" s="3" t="s">
        <v>43</v>
      </c>
      <c r="H6681" s="2" t="s">
        <v>21</v>
      </c>
      <c r="I6681" s="2" t="s">
        <v>13214</v>
      </c>
      <c r="J6681" s="3" t="str">
        <f>HYPERLINK("https://www.boe.es/gazeta/dias/1820/03/17/pdfs/GMD-1820-43E.pdf#page=2","Abrir facsímil")</f>
        <v>Abrir facsímil</v>
      </c>
      <c r="K6681" s="3" t="s">
        <v>23</v>
      </c>
    </row>
    <row r="6682" spans="1:11" ht="42" customHeight="1">
      <c r="A6682" s="2" t="s">
        <v>13215</v>
      </c>
      <c r="B6682" s="2" t="s">
        <v>13216</v>
      </c>
      <c r="C6682" s="2" t="s">
        <v>35</v>
      </c>
      <c r="D6682" s="2" t="s">
        <v>36</v>
      </c>
      <c r="E6682" s="5">
        <v>-28991</v>
      </c>
      <c r="F6682" s="3" t="s">
        <v>213</v>
      </c>
      <c r="G6682" s="3" t="s">
        <v>214</v>
      </c>
      <c r="H6682" s="2" t="s">
        <v>21</v>
      </c>
      <c r="I6682" s="2" t="s">
        <v>13217</v>
      </c>
      <c r="J6682" s="3" t="str">
        <f>HYPERLINK("https://www.boe.es/gazeta/dias/1820/08/15/pdfs/GGB-1820-48.pdf#page=2","Abrir facsímil")</f>
        <v>Abrir facsímil</v>
      </c>
      <c r="K6682" s="3" t="s">
        <v>23</v>
      </c>
    </row>
    <row r="6683" spans="1:11" ht="42" customHeight="1">
      <c r="A6683" s="2" t="s">
        <v>13218</v>
      </c>
      <c r="B6683" s="2" t="s">
        <v>13218</v>
      </c>
      <c r="C6683" s="2" t="s">
        <v>26</v>
      </c>
      <c r="D6683" s="2" t="s">
        <v>27</v>
      </c>
      <c r="E6683" s="5">
        <v>-28982</v>
      </c>
      <c r="F6683" s="3" t="s">
        <v>173</v>
      </c>
      <c r="G6683" s="3" t="s">
        <v>529</v>
      </c>
      <c r="H6683" s="2" t="s">
        <v>21</v>
      </c>
      <c r="I6683" s="2" t="s">
        <v>13219</v>
      </c>
      <c r="J6683" s="3" t="str">
        <f>HYPERLINK("https://www.boe.es/gazeta/dias/1820/08/24/pdfs/GGB-1820-57.pdf#page=4","Abrir facsímil")</f>
        <v>Abrir facsímil</v>
      </c>
      <c r="K6683" s="3" t="s">
        <v>23</v>
      </c>
    </row>
    <row r="6684" spans="1:11" ht="42" customHeight="1">
      <c r="A6684" s="2" t="s">
        <v>13220</v>
      </c>
      <c r="B6684" s="2" t="s">
        <v>13220</v>
      </c>
      <c r="C6684" s="2" t="s">
        <v>35</v>
      </c>
      <c r="D6684" s="2" t="s">
        <v>36</v>
      </c>
      <c r="E6684" s="5">
        <v>-29026</v>
      </c>
      <c r="F6684" s="3" t="s">
        <v>1197</v>
      </c>
      <c r="G6684" s="3" t="s">
        <v>43</v>
      </c>
      <c r="H6684" s="2" t="s">
        <v>21</v>
      </c>
      <c r="I6684" s="2" t="s">
        <v>13221</v>
      </c>
      <c r="J6684" s="3" t="str">
        <f>HYPERLINK("https://www.boe.es/gazeta/dias/1820/07/11/pdfs/GGB-1820-13.pdf#page=2","Abrir facsímil")</f>
        <v>Abrir facsímil</v>
      </c>
      <c r="K6684" s="3" t="s">
        <v>23</v>
      </c>
    </row>
    <row r="6685" spans="1:11" ht="42" customHeight="1">
      <c r="A6685" s="2" t="s">
        <v>13220</v>
      </c>
      <c r="B6685" s="2" t="s">
        <v>13220</v>
      </c>
      <c r="C6685" s="2" t="s">
        <v>35</v>
      </c>
      <c r="D6685" s="2" t="s">
        <v>36</v>
      </c>
      <c r="E6685" s="5">
        <v>-29025</v>
      </c>
      <c r="F6685" s="3" t="s">
        <v>902</v>
      </c>
      <c r="G6685" s="3" t="s">
        <v>20</v>
      </c>
      <c r="H6685" s="2" t="s">
        <v>21</v>
      </c>
      <c r="I6685" s="2" t="s">
        <v>13222</v>
      </c>
      <c r="J6685" s="3" t="str">
        <f>HYPERLINK("https://www.boe.es/gazeta/dias/1820/07/12/pdfs/GGB-1820-14.pdf#page=4","Abrir facsímil")</f>
        <v>Abrir facsímil</v>
      </c>
      <c r="K6685" s="3" t="s">
        <v>23</v>
      </c>
    </row>
    <row r="6686" spans="1:11" ht="42" customHeight="1">
      <c r="A6686" s="2" t="s">
        <v>13220</v>
      </c>
      <c r="B6686" s="2" t="s">
        <v>13220</v>
      </c>
      <c r="C6686" s="2" t="s">
        <v>74</v>
      </c>
      <c r="D6686" s="2" t="s">
        <v>18</v>
      </c>
      <c r="E6686" s="5">
        <v>-29022</v>
      </c>
      <c r="F6686" s="3" t="s">
        <v>1310</v>
      </c>
      <c r="G6686" s="3" t="s">
        <v>62</v>
      </c>
      <c r="H6686" s="2" t="s">
        <v>21</v>
      </c>
      <c r="I6686" s="2" t="s">
        <v>13223</v>
      </c>
      <c r="J6686" s="3" t="str">
        <f>HYPERLINK("https://www.boe.es/gazeta/dias/1820/07/15/pdfs/GGB-1820-17.pdf#page=3","Abrir facsímil")</f>
        <v>Abrir facsímil</v>
      </c>
      <c r="K6686" s="3" t="s">
        <v>23</v>
      </c>
    </row>
    <row r="6687" spans="1:11" ht="42" customHeight="1">
      <c r="A6687" s="2" t="s">
        <v>13220</v>
      </c>
      <c r="B6687" s="2" t="s">
        <v>13220</v>
      </c>
      <c r="C6687" s="2" t="s">
        <v>26</v>
      </c>
      <c r="D6687" s="2" t="s">
        <v>27</v>
      </c>
      <c r="E6687" s="5">
        <v>-29021</v>
      </c>
      <c r="F6687" s="3" t="s">
        <v>377</v>
      </c>
      <c r="G6687" s="3" t="s">
        <v>43</v>
      </c>
      <c r="H6687" s="2" t="s">
        <v>21</v>
      </c>
      <c r="I6687" s="2" t="s">
        <v>13224</v>
      </c>
      <c r="J6687" s="3" t="str">
        <f>HYPERLINK("https://www.boe.es/gazeta/dias/1820/07/16/pdfs/GGB-1820-18.pdf#page=2","Abrir facsímil")</f>
        <v>Abrir facsímil</v>
      </c>
      <c r="K6687" s="3" t="s">
        <v>23</v>
      </c>
    </row>
    <row r="6688" spans="1:11" ht="42" customHeight="1">
      <c r="A6688" s="2" t="s">
        <v>13220</v>
      </c>
      <c r="B6688" s="2" t="s">
        <v>13220</v>
      </c>
      <c r="C6688" s="2" t="s">
        <v>17</v>
      </c>
      <c r="D6688" s="2" t="s">
        <v>18</v>
      </c>
      <c r="E6688" s="5">
        <v>-29021</v>
      </c>
      <c r="F6688" s="3" t="s">
        <v>377</v>
      </c>
      <c r="G6688" s="3" t="s">
        <v>62</v>
      </c>
      <c r="H6688" s="2" t="s">
        <v>21</v>
      </c>
      <c r="I6688" s="2" t="s">
        <v>13225</v>
      </c>
      <c r="J6688" s="3" t="str">
        <f>HYPERLINK("https://www.boe.es/gazeta/dias/1820/07/16/pdfs/GGB-1820-18.pdf#page=3","Abrir facsímil")</f>
        <v>Abrir facsímil</v>
      </c>
      <c r="K6688" s="3" t="s">
        <v>23</v>
      </c>
    </row>
    <row r="6689" spans="1:11" ht="42" customHeight="1">
      <c r="A6689" s="2" t="s">
        <v>13220</v>
      </c>
      <c r="B6689" s="2" t="s">
        <v>13220</v>
      </c>
      <c r="C6689" s="2" t="s">
        <v>35</v>
      </c>
      <c r="D6689" s="2" t="s">
        <v>36</v>
      </c>
      <c r="E6689" s="5">
        <v>-29017</v>
      </c>
      <c r="F6689" s="3" t="s">
        <v>274</v>
      </c>
      <c r="G6689" s="3" t="s">
        <v>62</v>
      </c>
      <c r="H6689" s="2" t="s">
        <v>21</v>
      </c>
      <c r="I6689" s="2" t="s">
        <v>13226</v>
      </c>
      <c r="J6689" s="3" t="str">
        <f>HYPERLINK("https://www.boe.es/gazeta/dias/1820/07/20/pdfs/GGB-1820-22.pdf#page=3","Abrir facsímil")</f>
        <v>Abrir facsímil</v>
      </c>
      <c r="K6689" s="3" t="s">
        <v>23</v>
      </c>
    </row>
    <row r="6690" spans="1:11" ht="42" customHeight="1">
      <c r="A6690" s="2" t="s">
        <v>13220</v>
      </c>
      <c r="B6690" s="2" t="s">
        <v>13220</v>
      </c>
      <c r="C6690" s="2" t="s">
        <v>35</v>
      </c>
      <c r="D6690" s="2" t="s">
        <v>36</v>
      </c>
      <c r="E6690" s="5">
        <v>-29016</v>
      </c>
      <c r="F6690" s="3" t="s">
        <v>657</v>
      </c>
      <c r="G6690" s="3" t="s">
        <v>62</v>
      </c>
      <c r="H6690" s="2" t="s">
        <v>21</v>
      </c>
      <c r="I6690" s="2" t="s">
        <v>13227</v>
      </c>
      <c r="J6690" s="3" t="str">
        <f>HYPERLINK("https://www.boe.es/gazeta/dias/1820/07/21/pdfs/GGB-1820-23.pdf#page=3","Abrir facsímil")</f>
        <v>Abrir facsímil</v>
      </c>
      <c r="K6690" s="3" t="s">
        <v>23</v>
      </c>
    </row>
    <row r="6691" spans="1:11" ht="42" customHeight="1">
      <c r="A6691" s="2" t="s">
        <v>13220</v>
      </c>
      <c r="B6691" s="2" t="s">
        <v>13220</v>
      </c>
      <c r="C6691" s="2" t="s">
        <v>26</v>
      </c>
      <c r="D6691" s="2" t="s">
        <v>27</v>
      </c>
      <c r="E6691" s="5">
        <v>-29012</v>
      </c>
      <c r="F6691" s="3" t="s">
        <v>72</v>
      </c>
      <c r="G6691" s="3" t="s">
        <v>661</v>
      </c>
      <c r="H6691" s="2" t="s">
        <v>21</v>
      </c>
      <c r="I6691" s="2" t="s">
        <v>13228</v>
      </c>
      <c r="J6691" s="3" t="str">
        <f>HYPERLINK("https://www.boe.es/gazeta/dias/1820/07/25/pdfs/GGB-1820-27.pdf#page=2","Abrir facsímil")</f>
        <v>Abrir facsímil</v>
      </c>
      <c r="K6691" s="3" t="s">
        <v>23</v>
      </c>
    </row>
    <row r="6692" spans="1:11" ht="42" customHeight="1">
      <c r="A6692" s="2" t="s">
        <v>13220</v>
      </c>
      <c r="B6692" s="2" t="s">
        <v>13220</v>
      </c>
      <c r="C6692" s="2" t="s">
        <v>47</v>
      </c>
      <c r="D6692" s="2" t="s">
        <v>18</v>
      </c>
      <c r="E6692" s="5">
        <v>-29012</v>
      </c>
      <c r="F6692" s="3" t="s">
        <v>72</v>
      </c>
      <c r="G6692" s="3" t="s">
        <v>20</v>
      </c>
      <c r="H6692" s="2" t="s">
        <v>21</v>
      </c>
      <c r="I6692" s="2" t="s">
        <v>13229</v>
      </c>
      <c r="J6692" s="3" t="str">
        <f>HYPERLINK("https://www.boe.es/gazeta/dias/1820/07/25/pdfs/GGB-1820-27.pdf#page=4","Abrir facsímil")</f>
        <v>Abrir facsímil</v>
      </c>
      <c r="K6692" s="3" t="s">
        <v>23</v>
      </c>
    </row>
    <row r="6693" spans="1:11" ht="42" customHeight="1">
      <c r="A6693" s="2" t="s">
        <v>13220</v>
      </c>
      <c r="B6693" s="2" t="s">
        <v>13220</v>
      </c>
      <c r="C6693" s="2" t="s">
        <v>26</v>
      </c>
      <c r="D6693" s="2" t="s">
        <v>27</v>
      </c>
      <c r="E6693" s="5">
        <v>-29010</v>
      </c>
      <c r="F6693" s="3" t="s">
        <v>664</v>
      </c>
      <c r="G6693" s="3" t="s">
        <v>62</v>
      </c>
      <c r="H6693" s="2" t="s">
        <v>21</v>
      </c>
      <c r="I6693" s="2" t="s">
        <v>13230</v>
      </c>
      <c r="J6693" s="3" t="str">
        <f>HYPERLINK("https://www.boe.es/gazeta/dias/1820/07/27/pdfs/GGB-1820-29.pdf#page=3","Abrir facsímil")</f>
        <v>Abrir facsímil</v>
      </c>
      <c r="K6693" s="3" t="s">
        <v>23</v>
      </c>
    </row>
    <row r="6694" spans="1:11" ht="42" customHeight="1">
      <c r="A6694" s="2" t="s">
        <v>13220</v>
      </c>
      <c r="B6694" s="2" t="s">
        <v>13220</v>
      </c>
      <c r="C6694" s="2" t="s">
        <v>17</v>
      </c>
      <c r="D6694" s="2" t="s">
        <v>18</v>
      </c>
      <c r="E6694" s="5">
        <v>-29008</v>
      </c>
      <c r="F6694" s="3" t="s">
        <v>2250</v>
      </c>
      <c r="G6694" s="3" t="s">
        <v>20</v>
      </c>
      <c r="H6694" s="2" t="s">
        <v>21</v>
      </c>
      <c r="I6694" s="2" t="s">
        <v>13231</v>
      </c>
      <c r="J6694" s="3" t="str">
        <f>HYPERLINK("https://www.boe.es/gazeta/dias/1820/07/29/pdfs/GGB-1820-31.pdf#page=4","Abrir facsímil")</f>
        <v>Abrir facsímil</v>
      </c>
      <c r="K6694" s="3" t="s">
        <v>23</v>
      </c>
    </row>
    <row r="6695" spans="1:11" ht="42" customHeight="1">
      <c r="A6695" s="2" t="s">
        <v>13220</v>
      </c>
      <c r="B6695" s="2" t="s">
        <v>13220</v>
      </c>
      <c r="C6695" s="2" t="s">
        <v>17</v>
      </c>
      <c r="D6695" s="2" t="s">
        <v>18</v>
      </c>
      <c r="E6695" s="5">
        <v>-29002</v>
      </c>
      <c r="F6695" s="3" t="s">
        <v>124</v>
      </c>
      <c r="G6695" s="3" t="s">
        <v>62</v>
      </c>
      <c r="H6695" s="2" t="s">
        <v>21</v>
      </c>
      <c r="I6695" s="2" t="s">
        <v>13232</v>
      </c>
      <c r="J6695" s="3" t="str">
        <f>HYPERLINK("https://www.boe.es/gazeta/dias/1820/08/04/pdfs/GGB-1820-37.pdf#page=3","Abrir facsímil")</f>
        <v>Abrir facsímil</v>
      </c>
      <c r="K6695" s="3" t="s">
        <v>23</v>
      </c>
    </row>
    <row r="6696" spans="1:11" ht="42" customHeight="1">
      <c r="A6696" s="2" t="s">
        <v>13220</v>
      </c>
      <c r="B6696" s="2" t="s">
        <v>13220</v>
      </c>
      <c r="C6696" s="2" t="s">
        <v>35</v>
      </c>
      <c r="D6696" s="2" t="s">
        <v>36</v>
      </c>
      <c r="E6696" s="5">
        <v>-29000</v>
      </c>
      <c r="F6696" s="3" t="s">
        <v>670</v>
      </c>
      <c r="G6696" s="3" t="s">
        <v>20</v>
      </c>
      <c r="H6696" s="2" t="s">
        <v>21</v>
      </c>
      <c r="I6696" s="2" t="s">
        <v>13233</v>
      </c>
      <c r="J6696" s="3" t="str">
        <f>HYPERLINK("https://www.boe.es/gazeta/dias/1820/08/06/pdfs/GGB-1820-39.pdf#page=4","Abrir facsímil")</f>
        <v>Abrir facsímil</v>
      </c>
      <c r="K6696" s="3" t="s">
        <v>23</v>
      </c>
    </row>
    <row r="6697" spans="1:11" ht="42" customHeight="1">
      <c r="A6697" s="2" t="s">
        <v>13220</v>
      </c>
      <c r="B6697" s="2" t="s">
        <v>13220</v>
      </c>
      <c r="C6697" s="2" t="s">
        <v>26</v>
      </c>
      <c r="D6697" s="2" t="s">
        <v>27</v>
      </c>
      <c r="E6697" s="5">
        <v>-28998</v>
      </c>
      <c r="F6697" s="3" t="s">
        <v>629</v>
      </c>
      <c r="G6697" s="3" t="s">
        <v>62</v>
      </c>
      <c r="H6697" s="2" t="s">
        <v>21</v>
      </c>
      <c r="I6697" s="2" t="s">
        <v>13234</v>
      </c>
      <c r="J6697" s="3" t="str">
        <f>HYPERLINK("https://www.boe.es/gazeta/dias/1820/08/08/pdfs/GGB-1820-41.pdf#page=3","Abrir facsímil")</f>
        <v>Abrir facsímil</v>
      </c>
      <c r="K6697" s="3" t="s">
        <v>23</v>
      </c>
    </row>
    <row r="6698" spans="1:11" ht="42" customHeight="1">
      <c r="A6698" s="2" t="s">
        <v>13220</v>
      </c>
      <c r="B6698" s="2" t="s">
        <v>13220</v>
      </c>
      <c r="C6698" s="2" t="s">
        <v>26</v>
      </c>
      <c r="D6698" s="2" t="s">
        <v>27</v>
      </c>
      <c r="E6698" s="5">
        <v>-28995</v>
      </c>
      <c r="F6698" s="3" t="s">
        <v>672</v>
      </c>
      <c r="G6698" s="3" t="s">
        <v>1557</v>
      </c>
      <c r="H6698" s="2" t="s">
        <v>21</v>
      </c>
      <c r="I6698" s="2" t="s">
        <v>13235</v>
      </c>
      <c r="J6698" s="3" t="str">
        <f>HYPERLINK("https://www.boe.es/gazeta/dias/1820/08/11/pdfs/GGB-1820-44.pdf#page=2","Abrir facsímil")</f>
        <v>Abrir facsímil</v>
      </c>
      <c r="K6698" s="3" t="s">
        <v>23</v>
      </c>
    </row>
    <row r="6699" spans="1:11" ht="42" customHeight="1">
      <c r="A6699" s="2" t="s">
        <v>13220</v>
      </c>
      <c r="B6699" s="2" t="s">
        <v>13220</v>
      </c>
      <c r="C6699" s="2" t="s">
        <v>47</v>
      </c>
      <c r="D6699" s="2" t="s">
        <v>18</v>
      </c>
      <c r="E6699" s="5">
        <v>-28992</v>
      </c>
      <c r="F6699" s="3" t="s">
        <v>587</v>
      </c>
      <c r="G6699" s="3" t="s">
        <v>43</v>
      </c>
      <c r="H6699" s="2" t="s">
        <v>21</v>
      </c>
      <c r="I6699" s="2" t="s">
        <v>13236</v>
      </c>
      <c r="J6699" s="3" t="str">
        <f>HYPERLINK("https://www.boe.es/gazeta/dias/1820/08/14/pdfs/GGB-1820-47.pdf#page=2","Abrir facsímil")</f>
        <v>Abrir facsímil</v>
      </c>
      <c r="K6699" s="3" t="s">
        <v>23</v>
      </c>
    </row>
    <row r="6700" spans="1:11" ht="42" customHeight="1">
      <c r="A6700" s="2" t="s">
        <v>13220</v>
      </c>
      <c r="B6700" s="2" t="s">
        <v>13220</v>
      </c>
      <c r="C6700" s="2" t="s">
        <v>26</v>
      </c>
      <c r="D6700" s="2" t="s">
        <v>27</v>
      </c>
      <c r="E6700" s="5">
        <v>-28988</v>
      </c>
      <c r="F6700" s="3" t="s">
        <v>618</v>
      </c>
      <c r="G6700" s="3" t="s">
        <v>62</v>
      </c>
      <c r="H6700" s="2" t="s">
        <v>21</v>
      </c>
      <c r="I6700" s="2" t="s">
        <v>13237</v>
      </c>
      <c r="J6700" s="3" t="str">
        <f>HYPERLINK("https://www.boe.es/gazeta/dias/1820/08/18/pdfs/GGB-1820-51.pdf#page=3","Abrir facsímil")</f>
        <v>Abrir facsímil</v>
      </c>
      <c r="K6700" s="3" t="s">
        <v>23</v>
      </c>
    </row>
    <row r="6701" spans="1:11" ht="42" customHeight="1">
      <c r="A6701" s="2" t="s">
        <v>13220</v>
      </c>
      <c r="B6701" s="2" t="s">
        <v>13220</v>
      </c>
      <c r="C6701" s="2" t="s">
        <v>35</v>
      </c>
      <c r="D6701" s="2" t="s">
        <v>36</v>
      </c>
      <c r="E6701" s="5">
        <v>-28987</v>
      </c>
      <c r="F6701" s="3" t="s">
        <v>680</v>
      </c>
      <c r="G6701" s="3" t="s">
        <v>62</v>
      </c>
      <c r="H6701" s="2" t="s">
        <v>21</v>
      </c>
      <c r="I6701" s="2" t="s">
        <v>13238</v>
      </c>
      <c r="J6701" s="3" t="str">
        <f>HYPERLINK("https://www.boe.es/gazeta/dias/1820/08/19/pdfs/GGB-1820-52.pdf#page=3","Abrir facsímil")</f>
        <v>Abrir facsímil</v>
      </c>
      <c r="K6701" s="3" t="s">
        <v>23</v>
      </c>
    </row>
    <row r="6702" spans="1:11" ht="42" customHeight="1">
      <c r="A6702" s="2" t="s">
        <v>13220</v>
      </c>
      <c r="B6702" s="2" t="s">
        <v>13220</v>
      </c>
      <c r="C6702" s="2" t="s">
        <v>26</v>
      </c>
      <c r="D6702" s="2" t="s">
        <v>27</v>
      </c>
      <c r="E6702" s="5">
        <v>-28969</v>
      </c>
      <c r="F6702" s="3" t="s">
        <v>225</v>
      </c>
      <c r="G6702" s="3" t="s">
        <v>20</v>
      </c>
      <c r="H6702" s="2" t="s">
        <v>21</v>
      </c>
      <c r="I6702" s="2" t="s">
        <v>13239</v>
      </c>
      <c r="J6702" s="3" t="str">
        <f>HYPERLINK("https://www.boe.es/gazeta/dias/1820/09/06/pdfs/GGB-1820-70.pdf#page=4","Abrir facsímil")</f>
        <v>Abrir facsímil</v>
      </c>
      <c r="K6702" s="3" t="s">
        <v>23</v>
      </c>
    </row>
    <row r="6703" spans="1:11" ht="42" customHeight="1">
      <c r="A6703" s="2" t="s">
        <v>13220</v>
      </c>
      <c r="B6703" s="2" t="s">
        <v>13220</v>
      </c>
      <c r="C6703" s="2" t="s">
        <v>74</v>
      </c>
      <c r="D6703" s="2" t="s">
        <v>18</v>
      </c>
      <c r="E6703" s="5">
        <v>-28967</v>
      </c>
      <c r="F6703" s="3" t="s">
        <v>238</v>
      </c>
      <c r="G6703" s="3" t="s">
        <v>256</v>
      </c>
      <c r="H6703" s="2" t="s">
        <v>21</v>
      </c>
      <c r="I6703" s="2" t="s">
        <v>13240</v>
      </c>
      <c r="J6703" s="3" t="str">
        <f>HYPERLINK("https://www.boe.es/gazeta/dias/1820/09/08/pdfs/GGB-1820-72.pdf#page=5","Abrir facsímil")</f>
        <v>Abrir facsímil</v>
      </c>
      <c r="K6703" s="3" t="s">
        <v>23</v>
      </c>
    </row>
    <row r="6704" spans="1:11" ht="42" customHeight="1">
      <c r="A6704" s="2" t="s">
        <v>13220</v>
      </c>
      <c r="B6704" s="2" t="s">
        <v>13220</v>
      </c>
      <c r="C6704" s="2" t="s">
        <v>35</v>
      </c>
      <c r="D6704" s="2" t="s">
        <v>36</v>
      </c>
      <c r="E6704" s="5">
        <v>-28961</v>
      </c>
      <c r="F6704" s="3" t="s">
        <v>242</v>
      </c>
      <c r="G6704" s="3" t="s">
        <v>2442</v>
      </c>
      <c r="H6704" s="2" t="s">
        <v>21</v>
      </c>
      <c r="I6704" s="2" t="s">
        <v>13241</v>
      </c>
      <c r="J6704" s="3" t="str">
        <f>HYPERLINK("https://www.boe.es/gazeta/dias/1820/09/14/pdfs/GGB-1820-78.pdf#page=4","Abrir facsímil")</f>
        <v>Abrir facsímil</v>
      </c>
      <c r="K6704" s="3" t="s">
        <v>23</v>
      </c>
    </row>
    <row r="6705" spans="1:11" ht="42" customHeight="1">
      <c r="A6705" s="2" t="s">
        <v>13220</v>
      </c>
      <c r="B6705" s="2" t="s">
        <v>13220</v>
      </c>
      <c r="C6705" s="2" t="s">
        <v>17</v>
      </c>
      <c r="D6705" s="2" t="s">
        <v>18</v>
      </c>
      <c r="E6705" s="5">
        <v>-28952</v>
      </c>
      <c r="F6705" s="3" t="s">
        <v>370</v>
      </c>
      <c r="G6705" s="3" t="s">
        <v>20</v>
      </c>
      <c r="H6705" s="2" t="s">
        <v>21</v>
      </c>
      <c r="I6705" s="2" t="s">
        <v>13242</v>
      </c>
      <c r="J6705" s="3" t="str">
        <f>HYPERLINK("https://www.boe.es/gazeta/dias/1820/09/23/pdfs/GGB-1820-87.pdf#page=4","Abrir facsímil")</f>
        <v>Abrir facsímil</v>
      </c>
      <c r="K6705" s="3" t="s">
        <v>23</v>
      </c>
    </row>
    <row r="6706" spans="1:11" ht="42" customHeight="1">
      <c r="A6706" s="2" t="s">
        <v>13220</v>
      </c>
      <c r="B6706" s="2" t="s">
        <v>13220</v>
      </c>
      <c r="C6706" s="2" t="s">
        <v>17</v>
      </c>
      <c r="D6706" s="2" t="s">
        <v>18</v>
      </c>
      <c r="E6706" s="5">
        <v>-28933</v>
      </c>
      <c r="F6706" s="3" t="s">
        <v>720</v>
      </c>
      <c r="G6706" s="3" t="s">
        <v>43</v>
      </c>
      <c r="H6706" s="2" t="s">
        <v>21</v>
      </c>
      <c r="I6706" s="2" t="s">
        <v>13243</v>
      </c>
      <c r="J6706" s="3" t="str">
        <f>HYPERLINK("https://www.boe.es/gazeta/dias/1820/10/12/pdfs/GGB-1820-106.pdf#page=2","Abrir facsímil")</f>
        <v>Abrir facsímil</v>
      </c>
      <c r="K6706" s="3" t="s">
        <v>23</v>
      </c>
    </row>
    <row r="6707" spans="1:11" ht="42" customHeight="1">
      <c r="A6707" s="2" t="s">
        <v>13220</v>
      </c>
      <c r="B6707" s="2" t="s">
        <v>13220</v>
      </c>
      <c r="C6707" s="2" t="s">
        <v>74</v>
      </c>
      <c r="D6707" s="2" t="s">
        <v>18</v>
      </c>
      <c r="E6707" s="5">
        <v>-28931</v>
      </c>
      <c r="F6707" s="3" t="s">
        <v>724</v>
      </c>
      <c r="G6707" s="3" t="s">
        <v>725</v>
      </c>
      <c r="H6707" s="2" t="s">
        <v>21</v>
      </c>
      <c r="I6707" s="2" t="s">
        <v>13244</v>
      </c>
      <c r="J6707" s="3" t="str">
        <f>HYPERLINK("https://www.boe.es/gazeta/dias/1820/10/14/pdfs/GGB-1820-108.pdf#page=3","Abrir facsímil")</f>
        <v>Abrir facsímil</v>
      </c>
      <c r="K6707" s="3" t="s">
        <v>23</v>
      </c>
    </row>
    <row r="6708" spans="1:11" ht="42" customHeight="1">
      <c r="A6708" s="2" t="s">
        <v>13220</v>
      </c>
      <c r="B6708" s="2" t="s">
        <v>13220</v>
      </c>
      <c r="C6708" s="2" t="s">
        <v>17</v>
      </c>
      <c r="D6708" s="2" t="s">
        <v>18</v>
      </c>
      <c r="E6708" s="5">
        <v>-28927</v>
      </c>
      <c r="F6708" s="3" t="s">
        <v>345</v>
      </c>
      <c r="G6708" s="3" t="s">
        <v>43</v>
      </c>
      <c r="H6708" s="2" t="s">
        <v>21</v>
      </c>
      <c r="I6708" s="2" t="s">
        <v>13245</v>
      </c>
      <c r="J6708" s="3" t="str">
        <f>HYPERLINK("https://www.boe.es/gazeta/dias/1820/10/18/pdfs/GGB-1820-112.pdf#page=2","Abrir facsímil")</f>
        <v>Abrir facsímil</v>
      </c>
      <c r="K6708" s="3" t="s">
        <v>23</v>
      </c>
    </row>
    <row r="6709" spans="1:11" ht="42" customHeight="1">
      <c r="A6709" s="2" t="s">
        <v>13220</v>
      </c>
      <c r="B6709" s="2" t="s">
        <v>13220</v>
      </c>
      <c r="C6709" s="2" t="s">
        <v>35</v>
      </c>
      <c r="D6709" s="2" t="s">
        <v>36</v>
      </c>
      <c r="E6709" s="5">
        <v>-28926</v>
      </c>
      <c r="F6709" s="3" t="s">
        <v>597</v>
      </c>
      <c r="G6709" s="3" t="s">
        <v>43</v>
      </c>
      <c r="H6709" s="2" t="s">
        <v>21</v>
      </c>
      <c r="I6709" s="2" t="s">
        <v>13246</v>
      </c>
      <c r="J6709" s="3" t="str">
        <f>HYPERLINK("https://www.boe.es/gazeta/dias/1820/10/19/pdfs/GGB-1820-113.pdf#page=2","Abrir facsímil")</f>
        <v>Abrir facsímil</v>
      </c>
      <c r="K6709" s="3" t="s">
        <v>23</v>
      </c>
    </row>
    <row r="6710" spans="1:11" ht="42" customHeight="1">
      <c r="A6710" s="2" t="s">
        <v>13220</v>
      </c>
      <c r="B6710" s="2" t="s">
        <v>13220</v>
      </c>
      <c r="C6710" s="2" t="s">
        <v>35</v>
      </c>
      <c r="D6710" s="2" t="s">
        <v>36</v>
      </c>
      <c r="E6710" s="5">
        <v>-28915</v>
      </c>
      <c r="F6710" s="3" t="s">
        <v>525</v>
      </c>
      <c r="G6710" s="3" t="s">
        <v>62</v>
      </c>
      <c r="H6710" s="2" t="s">
        <v>21</v>
      </c>
      <c r="I6710" s="2" t="s">
        <v>13247</v>
      </c>
      <c r="J6710" s="3" t="str">
        <f>HYPERLINK("https://www.boe.es/gazeta/dias/1820/10/30/pdfs/GGB-1820-124.pdf#page=3","Abrir facsímil")</f>
        <v>Abrir facsímil</v>
      </c>
      <c r="K6710" s="3" t="s">
        <v>23</v>
      </c>
    </row>
    <row r="6711" spans="1:11" ht="42" customHeight="1">
      <c r="A6711" s="2" t="s">
        <v>13220</v>
      </c>
      <c r="B6711" s="2" t="s">
        <v>13220</v>
      </c>
      <c r="C6711" s="2" t="s">
        <v>47</v>
      </c>
      <c r="D6711" s="2" t="s">
        <v>18</v>
      </c>
      <c r="E6711" s="5">
        <v>-28914</v>
      </c>
      <c r="F6711" s="3" t="s">
        <v>434</v>
      </c>
      <c r="G6711" s="3" t="s">
        <v>62</v>
      </c>
      <c r="H6711" s="2" t="s">
        <v>21</v>
      </c>
      <c r="I6711" s="2" t="s">
        <v>13248</v>
      </c>
      <c r="J6711" s="3" t="str">
        <f>HYPERLINK("https://www.boe.es/gazeta/dias/1820/10/31/pdfs/GGB-1820-125.pdf#page=3","Abrir facsímil")</f>
        <v>Abrir facsímil</v>
      </c>
      <c r="K6711" s="3" t="s">
        <v>23</v>
      </c>
    </row>
    <row r="6712" spans="1:11" ht="42" customHeight="1">
      <c r="A6712" s="2" t="s">
        <v>13249</v>
      </c>
      <c r="B6712" s="2" t="s">
        <v>13250</v>
      </c>
      <c r="C6712" s="2" t="s">
        <v>35</v>
      </c>
      <c r="D6712" s="2" t="s">
        <v>36</v>
      </c>
      <c r="E6712" s="5">
        <v>-28965</v>
      </c>
      <c r="F6712" s="3" t="s">
        <v>1520</v>
      </c>
      <c r="G6712" s="3" t="s">
        <v>62</v>
      </c>
      <c r="H6712" s="2" t="s">
        <v>21</v>
      </c>
      <c r="I6712" s="2" t="s">
        <v>13251</v>
      </c>
      <c r="J6712" s="3" t="str">
        <f>HYPERLINK("https://www.boe.es/gazeta/dias/1820/09/10/pdfs/GGB-1820-74.pdf#page=3","Abrir facsímil")</f>
        <v>Abrir facsímil</v>
      </c>
      <c r="K6712" s="3" t="s">
        <v>23</v>
      </c>
    </row>
    <row r="6713" spans="1:11" ht="42" customHeight="1">
      <c r="A6713" s="2" t="s">
        <v>13252</v>
      </c>
      <c r="B6713" s="2" t="s">
        <v>13253</v>
      </c>
      <c r="C6713" s="2" t="s">
        <v>17</v>
      </c>
      <c r="D6713" s="2" t="s">
        <v>18</v>
      </c>
      <c r="E6713" s="5">
        <v>-28952</v>
      </c>
      <c r="F6713" s="3" t="s">
        <v>370</v>
      </c>
      <c r="G6713" s="3" t="s">
        <v>20</v>
      </c>
      <c r="H6713" s="2" t="s">
        <v>21</v>
      </c>
      <c r="I6713" s="2" t="s">
        <v>13254</v>
      </c>
      <c r="J6713" s="3" t="str">
        <f>HYPERLINK("https://www.boe.es/gazeta/dias/1820/09/23/pdfs/GGB-1820-87.pdf#page=4","Abrir facsímil")</f>
        <v>Abrir facsímil</v>
      </c>
      <c r="K6713" s="3" t="s">
        <v>23</v>
      </c>
    </row>
    <row r="6714" spans="1:11" ht="42" customHeight="1">
      <c r="A6714" s="2" t="s">
        <v>13255</v>
      </c>
      <c r="B6714" s="2" t="s">
        <v>13255</v>
      </c>
      <c r="C6714" s="2" t="s">
        <v>74</v>
      </c>
      <c r="D6714" s="2" t="s">
        <v>18</v>
      </c>
      <c r="E6714" s="5">
        <v>-28925</v>
      </c>
      <c r="F6714" s="3" t="s">
        <v>228</v>
      </c>
      <c r="G6714" s="3" t="s">
        <v>20</v>
      </c>
      <c r="H6714" s="2" t="s">
        <v>21</v>
      </c>
      <c r="I6714" s="2" t="s">
        <v>13256</v>
      </c>
      <c r="J6714" s="3" t="str">
        <f>HYPERLINK("https://www.boe.es/gazeta/dias/1820/10/20/pdfs/GGB-1820-114.pdf#page=4","Abrir facsímil")</f>
        <v>Abrir facsímil</v>
      </c>
      <c r="K6714" s="3" t="s">
        <v>23</v>
      </c>
    </row>
    <row r="6715" spans="1:11" ht="42" customHeight="1">
      <c r="A6715" s="2" t="s">
        <v>13257</v>
      </c>
      <c r="B6715" s="2" t="s">
        <v>13257</v>
      </c>
      <c r="C6715" s="2" t="s">
        <v>35</v>
      </c>
      <c r="D6715" s="2" t="s">
        <v>36</v>
      </c>
      <c r="E6715" s="5">
        <v>-29025</v>
      </c>
      <c r="F6715" s="3" t="s">
        <v>902</v>
      </c>
      <c r="G6715" s="3" t="s">
        <v>7279</v>
      </c>
      <c r="H6715" s="2" t="s">
        <v>21</v>
      </c>
      <c r="I6715" s="2" t="s">
        <v>13258</v>
      </c>
      <c r="J6715" s="3" t="str">
        <f>HYPERLINK("https://www.boe.es/gazeta/dias/1820/07/12/pdfs/GGB-1820-14.pdf#page=2","Abrir facsímil")</f>
        <v>Abrir facsímil</v>
      </c>
      <c r="K6715" s="3" t="s">
        <v>23</v>
      </c>
    </row>
    <row r="6716" spans="1:11" ht="42" customHeight="1">
      <c r="A6716" s="2" t="s">
        <v>13259</v>
      </c>
      <c r="B6716" s="2" t="s">
        <v>13260</v>
      </c>
      <c r="C6716" s="2" t="s">
        <v>293</v>
      </c>
      <c r="D6716" s="2" t="s">
        <v>18</v>
      </c>
      <c r="E6716" s="5">
        <v>-28966</v>
      </c>
      <c r="F6716" s="3" t="s">
        <v>701</v>
      </c>
      <c r="G6716" s="3" t="s">
        <v>20</v>
      </c>
      <c r="H6716" s="2" t="s">
        <v>21</v>
      </c>
      <c r="I6716" s="2" t="s">
        <v>13261</v>
      </c>
      <c r="J6716" s="3" t="str">
        <f>HYPERLINK("https://www.boe.es/gazeta/dias/1820/09/09/pdfs/GGB-1820-73.pdf#page=4","Abrir facsímil")</f>
        <v>Abrir facsímil</v>
      </c>
      <c r="K6716" s="3" t="s">
        <v>23</v>
      </c>
    </row>
    <row r="6717" spans="1:11" ht="42" customHeight="1">
      <c r="A6717" s="2" t="s">
        <v>13262</v>
      </c>
      <c r="B6717" s="2" t="s">
        <v>13263</v>
      </c>
      <c r="C6717" s="2" t="s">
        <v>35</v>
      </c>
      <c r="D6717" s="2" t="s">
        <v>36</v>
      </c>
      <c r="E6717" s="5">
        <v>-29026</v>
      </c>
      <c r="F6717" s="3" t="s">
        <v>1197</v>
      </c>
      <c r="G6717" s="3" t="s">
        <v>62</v>
      </c>
      <c r="H6717" s="2" t="s">
        <v>21</v>
      </c>
      <c r="I6717" s="2" t="s">
        <v>13264</v>
      </c>
      <c r="J6717" s="3" t="str">
        <f>HYPERLINK("https://www.boe.es/gazeta/dias/1820/07/11/pdfs/GGB-1820-13.pdf#page=3","Abrir facsímil")</f>
        <v>Abrir facsímil</v>
      </c>
      <c r="K6717" s="3" t="s">
        <v>23</v>
      </c>
    </row>
    <row r="6718" spans="1:11" ht="42" customHeight="1">
      <c r="A6718" s="2" t="s">
        <v>13262</v>
      </c>
      <c r="B6718" s="2" t="s">
        <v>13263</v>
      </c>
      <c r="C6718" s="2" t="s">
        <v>35</v>
      </c>
      <c r="D6718" s="2" t="s">
        <v>36</v>
      </c>
      <c r="E6718" s="5">
        <v>-29023</v>
      </c>
      <c r="F6718" s="3" t="s">
        <v>1662</v>
      </c>
      <c r="G6718" s="3" t="s">
        <v>3662</v>
      </c>
      <c r="H6718" s="2" t="s">
        <v>21</v>
      </c>
      <c r="I6718" s="2" t="s">
        <v>13265</v>
      </c>
      <c r="J6718" s="3" t="str">
        <f>HYPERLINK("https://www.boe.es/gazeta/dias/1820/07/14/pdfs/GGB-1820-16.pdf#page=2","Abrir facsímil")</f>
        <v>Abrir facsímil</v>
      </c>
      <c r="K6718" s="3" t="s">
        <v>23</v>
      </c>
    </row>
    <row r="6719" spans="1:11" ht="42" customHeight="1">
      <c r="A6719" s="2" t="s">
        <v>13262</v>
      </c>
      <c r="B6719" s="2" t="s">
        <v>13263</v>
      </c>
      <c r="C6719" s="2" t="s">
        <v>74</v>
      </c>
      <c r="D6719" s="2" t="s">
        <v>18</v>
      </c>
      <c r="E6719" s="5">
        <v>-29019</v>
      </c>
      <c r="F6719" s="3" t="s">
        <v>655</v>
      </c>
      <c r="G6719" s="3" t="s">
        <v>945</v>
      </c>
      <c r="H6719" s="2" t="s">
        <v>21</v>
      </c>
      <c r="I6719" s="2" t="s">
        <v>13266</v>
      </c>
      <c r="J6719" s="3" t="str">
        <f>HYPERLINK("https://www.boe.es/gazeta/dias/1820/07/18/pdfs/GGB-1820-20.pdf#page=2","Abrir facsímil")</f>
        <v>Abrir facsímil</v>
      </c>
      <c r="K6719" s="3" t="s">
        <v>23</v>
      </c>
    </row>
    <row r="6720" spans="1:11" ht="42" customHeight="1">
      <c r="A6720" s="2" t="s">
        <v>13262</v>
      </c>
      <c r="B6720" s="2" t="s">
        <v>13263</v>
      </c>
      <c r="C6720" s="2" t="s">
        <v>107</v>
      </c>
      <c r="D6720" s="2" t="s">
        <v>18</v>
      </c>
      <c r="E6720" s="5">
        <v>-29013</v>
      </c>
      <c r="F6720" s="3" t="s">
        <v>52</v>
      </c>
      <c r="G6720" s="3" t="s">
        <v>53</v>
      </c>
      <c r="H6720" s="2" t="s">
        <v>21</v>
      </c>
      <c r="I6720" s="2" t="s">
        <v>13267</v>
      </c>
      <c r="J6720" s="3" t="str">
        <f>HYPERLINK("https://www.boe.es/gazeta/dias/1820/07/24/pdfs/GGB-1820-26.pdf#page=3","Abrir facsímil")</f>
        <v>Abrir facsímil</v>
      </c>
      <c r="K6720" s="3" t="s">
        <v>23</v>
      </c>
    </row>
    <row r="6721" spans="1:11" ht="42" customHeight="1">
      <c r="A6721" s="2" t="s">
        <v>13262</v>
      </c>
      <c r="B6721" s="2" t="s">
        <v>13263</v>
      </c>
      <c r="C6721" s="2" t="s">
        <v>35</v>
      </c>
      <c r="D6721" s="2" t="s">
        <v>36</v>
      </c>
      <c r="E6721" s="5">
        <v>-29011</v>
      </c>
      <c r="F6721" s="3" t="s">
        <v>338</v>
      </c>
      <c r="G6721" s="3" t="s">
        <v>43</v>
      </c>
      <c r="H6721" s="2" t="s">
        <v>21</v>
      </c>
      <c r="I6721" s="2" t="s">
        <v>13268</v>
      </c>
      <c r="J6721" s="3" t="str">
        <f>HYPERLINK("https://www.boe.es/gazeta/dias/1820/07/26/pdfs/GGB-1820-28.pdf#page=2","Abrir facsímil")</f>
        <v>Abrir facsímil</v>
      </c>
      <c r="K6721" s="3" t="s">
        <v>23</v>
      </c>
    </row>
    <row r="6722" spans="1:11" ht="42" customHeight="1">
      <c r="A6722" s="2" t="s">
        <v>13262</v>
      </c>
      <c r="B6722" s="2" t="s">
        <v>13263</v>
      </c>
      <c r="C6722" s="2" t="s">
        <v>74</v>
      </c>
      <c r="D6722" s="2" t="s">
        <v>18</v>
      </c>
      <c r="E6722" s="5">
        <v>-29010</v>
      </c>
      <c r="F6722" s="3" t="s">
        <v>664</v>
      </c>
      <c r="G6722" s="3" t="s">
        <v>62</v>
      </c>
      <c r="H6722" s="2" t="s">
        <v>21</v>
      </c>
      <c r="I6722" s="2" t="s">
        <v>13269</v>
      </c>
      <c r="J6722" s="3" t="str">
        <f>HYPERLINK("https://www.boe.es/gazeta/dias/1820/07/27/pdfs/GGB-1820-29.pdf#page=3","Abrir facsímil")</f>
        <v>Abrir facsímil</v>
      </c>
      <c r="K6722" s="3" t="s">
        <v>23</v>
      </c>
    </row>
    <row r="6723" spans="1:11" ht="42" customHeight="1">
      <c r="A6723" s="2" t="s">
        <v>13262</v>
      </c>
      <c r="B6723" s="2" t="s">
        <v>13263</v>
      </c>
      <c r="C6723" s="2" t="s">
        <v>111</v>
      </c>
      <c r="D6723" s="2" t="s">
        <v>18</v>
      </c>
      <c r="E6723" s="5">
        <v>-29008</v>
      </c>
      <c r="F6723" s="3" t="s">
        <v>2250</v>
      </c>
      <c r="G6723" s="3" t="s">
        <v>20</v>
      </c>
      <c r="H6723" s="2" t="s">
        <v>21</v>
      </c>
      <c r="I6723" s="2" t="s">
        <v>13270</v>
      </c>
      <c r="J6723" s="3" t="str">
        <f>HYPERLINK("https://www.boe.es/gazeta/dias/1820/07/29/pdfs/GGB-1820-31.pdf#page=4","Abrir facsímil")</f>
        <v>Abrir facsímil</v>
      </c>
      <c r="K6723" s="3" t="s">
        <v>23</v>
      </c>
    </row>
    <row r="6724" spans="1:11" ht="42" customHeight="1">
      <c r="A6724" s="2" t="s">
        <v>13262</v>
      </c>
      <c r="B6724" s="2" t="s">
        <v>13263</v>
      </c>
      <c r="C6724" s="2" t="s">
        <v>107</v>
      </c>
      <c r="D6724" s="2" t="s">
        <v>18</v>
      </c>
      <c r="E6724" s="5">
        <v>-28990</v>
      </c>
      <c r="F6724" s="3" t="s">
        <v>61</v>
      </c>
      <c r="G6724" s="3" t="s">
        <v>1438</v>
      </c>
      <c r="H6724" s="2" t="s">
        <v>21</v>
      </c>
      <c r="I6724" s="2" t="s">
        <v>13271</v>
      </c>
      <c r="J6724" s="3" t="str">
        <f>HYPERLINK("https://www.boe.es/gazeta/dias/1820/08/16/pdfs/GGB-1820-49.pdf#page=4","Abrir facsímil")</f>
        <v>Abrir facsímil</v>
      </c>
      <c r="K6724" s="3" t="s">
        <v>23</v>
      </c>
    </row>
    <row r="6725" spans="1:11" ht="42" customHeight="1">
      <c r="A6725" s="2" t="s">
        <v>13262</v>
      </c>
      <c r="B6725" s="2" t="s">
        <v>13263</v>
      </c>
      <c r="C6725" s="2" t="s">
        <v>35</v>
      </c>
      <c r="D6725" s="2" t="s">
        <v>36</v>
      </c>
      <c r="E6725" s="5">
        <v>-28948</v>
      </c>
      <c r="F6725" s="3" t="s">
        <v>1069</v>
      </c>
      <c r="G6725" s="3" t="s">
        <v>62</v>
      </c>
      <c r="H6725" s="2" t="s">
        <v>21</v>
      </c>
      <c r="I6725" s="2" t="s">
        <v>13272</v>
      </c>
      <c r="J6725" s="3" t="str">
        <f>HYPERLINK("https://www.boe.es/gazeta/dias/1820/09/27/pdfs/GGB-1820-91.pdf#page=3","Abrir facsímil")</f>
        <v>Abrir facsímil</v>
      </c>
      <c r="K6725" s="3" t="s">
        <v>23</v>
      </c>
    </row>
    <row r="6726" spans="1:11" ht="42" customHeight="1">
      <c r="A6726" s="2" t="s">
        <v>13262</v>
      </c>
      <c r="B6726" s="2" t="s">
        <v>13263</v>
      </c>
      <c r="C6726" s="2" t="s">
        <v>35</v>
      </c>
      <c r="D6726" s="2" t="s">
        <v>36</v>
      </c>
      <c r="E6726" s="5">
        <v>-28947</v>
      </c>
      <c r="F6726" s="3" t="s">
        <v>127</v>
      </c>
      <c r="G6726" s="3" t="s">
        <v>43</v>
      </c>
      <c r="H6726" s="2" t="s">
        <v>21</v>
      </c>
      <c r="I6726" s="2" t="s">
        <v>13273</v>
      </c>
      <c r="J6726" s="3" t="str">
        <f>HYPERLINK("https://www.boe.es/gazeta/dias/1820/09/28/pdfs/GGB-1820-92.pdf#page=2","Abrir facsímil")</f>
        <v>Abrir facsímil</v>
      </c>
      <c r="K6726" s="3" t="s">
        <v>23</v>
      </c>
    </row>
    <row r="6727" spans="1:11" ht="42" customHeight="1">
      <c r="A6727" s="2" t="s">
        <v>13262</v>
      </c>
      <c r="B6727" s="2" t="s">
        <v>13263</v>
      </c>
      <c r="C6727" s="2" t="s">
        <v>111</v>
      </c>
      <c r="D6727" s="2" t="s">
        <v>18</v>
      </c>
      <c r="E6727" s="5">
        <v>-28945</v>
      </c>
      <c r="F6727" s="3" t="s">
        <v>99</v>
      </c>
      <c r="G6727" s="3" t="s">
        <v>62</v>
      </c>
      <c r="H6727" s="2" t="s">
        <v>21</v>
      </c>
      <c r="I6727" s="2" t="s">
        <v>13274</v>
      </c>
      <c r="J6727" s="3" t="str">
        <f>HYPERLINK("https://www.boe.es/gazeta/dias/1820/09/30/pdfs/GGB-1820-94.pdf#page=3","Abrir facsímil")</f>
        <v>Abrir facsímil</v>
      </c>
      <c r="K6727" s="3" t="s">
        <v>23</v>
      </c>
    </row>
    <row r="6728" spans="1:11" ht="42" customHeight="1">
      <c r="A6728" s="2" t="s">
        <v>13262</v>
      </c>
      <c r="B6728" s="2" t="s">
        <v>13263</v>
      </c>
      <c r="C6728" s="2" t="s">
        <v>35</v>
      </c>
      <c r="D6728" s="2" t="s">
        <v>36</v>
      </c>
      <c r="E6728" s="5">
        <v>-28911</v>
      </c>
      <c r="F6728" s="3" t="s">
        <v>82</v>
      </c>
      <c r="G6728" s="3" t="s">
        <v>43</v>
      </c>
      <c r="H6728" s="2" t="s">
        <v>21</v>
      </c>
      <c r="I6728" s="2" t="s">
        <v>13275</v>
      </c>
      <c r="J6728" s="3" t="str">
        <f>HYPERLINK("https://www.boe.es/gazeta/dias/1820/11/03/pdfs/GGB-1820-128.pdf#page=2","Abrir facsímil")</f>
        <v>Abrir facsímil</v>
      </c>
      <c r="K6728" s="3" t="s">
        <v>23</v>
      </c>
    </row>
    <row r="6729" spans="1:11" ht="42" customHeight="1">
      <c r="A6729" s="2" t="s">
        <v>13276</v>
      </c>
      <c r="B6729" s="2" t="s">
        <v>13277</v>
      </c>
      <c r="C6729" s="2" t="s">
        <v>74</v>
      </c>
      <c r="D6729" s="2" t="s">
        <v>18</v>
      </c>
      <c r="E6729" s="5">
        <v>-28904</v>
      </c>
      <c r="F6729" s="3" t="s">
        <v>541</v>
      </c>
      <c r="G6729" s="3" t="s">
        <v>20</v>
      </c>
      <c r="H6729" s="2" t="s">
        <v>21</v>
      </c>
      <c r="I6729" s="2" t="s">
        <v>13278</v>
      </c>
      <c r="J6729" s="3" t="str">
        <f>HYPERLINK("https://www.boe.es/gazeta/dias/1820/11/10/pdfs/GGB-1820-136.pdf#page=4","Abrir facsímil")</f>
        <v>Abrir facsímil</v>
      </c>
      <c r="K6729" s="3" t="s">
        <v>23</v>
      </c>
    </row>
    <row r="6730" spans="1:11" ht="42" customHeight="1">
      <c r="A6730" s="2" t="s">
        <v>13279</v>
      </c>
      <c r="B6730" s="2" t="s">
        <v>13280</v>
      </c>
      <c r="C6730" s="2" t="s">
        <v>26</v>
      </c>
      <c r="D6730" s="2" t="s">
        <v>27</v>
      </c>
      <c r="E6730" s="5">
        <v>-29028</v>
      </c>
      <c r="F6730" s="3" t="s">
        <v>132</v>
      </c>
      <c r="G6730" s="3" t="s">
        <v>20</v>
      </c>
      <c r="H6730" s="2" t="s">
        <v>21</v>
      </c>
      <c r="I6730" s="2" t="s">
        <v>13281</v>
      </c>
      <c r="J6730" s="3" t="str">
        <f>HYPERLINK("https://www.boe.es/gazeta/dias/1820/07/09/pdfs/GGB-1820-10.pdf#page=4","Abrir facsímil")</f>
        <v>Abrir facsímil</v>
      </c>
      <c r="K6730" s="3" t="s">
        <v>23</v>
      </c>
    </row>
    <row r="6731" spans="1:11" ht="42" customHeight="1">
      <c r="A6731" s="2" t="s">
        <v>13282</v>
      </c>
      <c r="B6731" s="2" t="s">
        <v>13283</v>
      </c>
      <c r="C6731" s="2" t="s">
        <v>35</v>
      </c>
      <c r="D6731" s="2" t="s">
        <v>36</v>
      </c>
      <c r="E6731" s="5">
        <v>-29030</v>
      </c>
      <c r="F6731" s="3" t="s">
        <v>789</v>
      </c>
      <c r="G6731" s="3" t="s">
        <v>1987</v>
      </c>
      <c r="H6731" s="2" t="s">
        <v>21</v>
      </c>
      <c r="I6731" s="2" t="s">
        <v>13284</v>
      </c>
      <c r="J6731" s="3" t="str">
        <f>HYPERLINK("https://www.boe.es/gazeta/dias/1820/07/07/pdfs/GGB-1820-8.pdf#page=4","Abrir facsímil")</f>
        <v>Abrir facsímil</v>
      </c>
      <c r="K6731" s="3" t="s">
        <v>23</v>
      </c>
    </row>
    <row r="6732" spans="1:11" ht="42" customHeight="1">
      <c r="A6732" s="2" t="s">
        <v>13282</v>
      </c>
      <c r="B6732" s="2" t="s">
        <v>13283</v>
      </c>
      <c r="C6732" s="2" t="s">
        <v>26</v>
      </c>
      <c r="D6732" s="2" t="s">
        <v>27</v>
      </c>
      <c r="E6732" s="5">
        <v>-29027</v>
      </c>
      <c r="F6732" s="3" t="s">
        <v>937</v>
      </c>
      <c r="G6732" s="3" t="s">
        <v>43</v>
      </c>
      <c r="H6732" s="2" t="s">
        <v>21</v>
      </c>
      <c r="I6732" s="2" t="s">
        <v>13285</v>
      </c>
      <c r="J6732" s="3" t="str">
        <f>HYPERLINK("https://www.boe.es/gazeta/dias/1820/07/10/pdfs/GGB-1820-11.pdf#page=2","Abrir facsímil")</f>
        <v>Abrir facsímil</v>
      </c>
      <c r="K6732" s="3" t="s">
        <v>23</v>
      </c>
    </row>
    <row r="6733" spans="1:11" ht="42" customHeight="1">
      <c r="A6733" s="2" t="s">
        <v>13286</v>
      </c>
      <c r="B6733" s="2" t="s">
        <v>13287</v>
      </c>
      <c r="C6733" s="2" t="s">
        <v>111</v>
      </c>
      <c r="D6733" s="2" t="s">
        <v>18</v>
      </c>
      <c r="E6733" s="5">
        <v>-29143</v>
      </c>
      <c r="F6733" s="3" t="s">
        <v>334</v>
      </c>
      <c r="G6733" s="3" t="s">
        <v>295</v>
      </c>
      <c r="H6733" s="2" t="s">
        <v>21</v>
      </c>
      <c r="I6733" s="2" t="s">
        <v>13288</v>
      </c>
      <c r="J6733" s="3" t="str">
        <f>HYPERLINK("https://www.boe.es/gazeta/dias/1820/03/16/pdfs/GMD-1820-42.pdf#page=8","Abrir facsímil")</f>
        <v>Abrir facsímil</v>
      </c>
      <c r="K6733" s="3" t="s">
        <v>23</v>
      </c>
    </row>
    <row r="6734" spans="1:11" ht="42" customHeight="1">
      <c r="A6734" s="2" t="s">
        <v>13286</v>
      </c>
      <c r="B6734" s="2" t="s">
        <v>13287</v>
      </c>
      <c r="C6734" s="2" t="s">
        <v>47</v>
      </c>
      <c r="D6734" s="2" t="s">
        <v>18</v>
      </c>
      <c r="E6734" s="5">
        <v>-29071</v>
      </c>
      <c r="F6734" s="3" t="s">
        <v>329</v>
      </c>
      <c r="G6734" s="3" t="s">
        <v>330</v>
      </c>
      <c r="H6734" s="2" t="s">
        <v>21</v>
      </c>
      <c r="I6734" s="2" t="s">
        <v>13289</v>
      </c>
      <c r="J6734" s="3" t="str">
        <f>HYPERLINK("https://www.boe.es/gazeta/dias/1820/05/27/pdfs/GMD-1820-86.pdf#page=8","Abrir facsímil")</f>
        <v>Abrir facsímil</v>
      </c>
      <c r="K6734" s="3" t="s">
        <v>23</v>
      </c>
    </row>
    <row r="6735" spans="1:11" ht="42" customHeight="1">
      <c r="A6735" s="2" t="s">
        <v>13290</v>
      </c>
      <c r="B6735" s="2" t="s">
        <v>13291</v>
      </c>
      <c r="C6735" s="2" t="s">
        <v>17</v>
      </c>
      <c r="D6735" s="2" t="s">
        <v>18</v>
      </c>
      <c r="E6735" s="5">
        <v>-28858</v>
      </c>
      <c r="F6735" s="3" t="s">
        <v>117</v>
      </c>
      <c r="G6735" s="3" t="s">
        <v>62</v>
      </c>
      <c r="H6735" s="2" t="s">
        <v>21</v>
      </c>
      <c r="I6735" s="2" t="s">
        <v>13292</v>
      </c>
      <c r="J6735" s="3" t="str">
        <f>HYPERLINK("https://www.boe.es/gazeta/dias/1820/12/26/pdfs/GGB-1820-183.pdf#page=3","Abrir facsímil")</f>
        <v>Abrir facsímil</v>
      </c>
      <c r="K6735" s="3" t="s">
        <v>23</v>
      </c>
    </row>
    <row r="6736" spans="1:11" ht="42" customHeight="1">
      <c r="A6736" s="2" t="s">
        <v>13293</v>
      </c>
      <c r="B6736" s="2" t="s">
        <v>13294</v>
      </c>
      <c r="C6736" s="2" t="s">
        <v>111</v>
      </c>
      <c r="D6736" s="2" t="s">
        <v>18</v>
      </c>
      <c r="E6736" s="5">
        <v>-28931</v>
      </c>
      <c r="F6736" s="3" t="s">
        <v>724</v>
      </c>
      <c r="G6736" s="3" t="s">
        <v>20</v>
      </c>
      <c r="H6736" s="2" t="s">
        <v>21</v>
      </c>
      <c r="I6736" s="2" t="s">
        <v>13295</v>
      </c>
      <c r="J6736" s="3" t="str">
        <f>HYPERLINK("https://www.boe.es/gazeta/dias/1820/10/14/pdfs/GGB-1820-108.pdf#page=4","Abrir facsímil")</f>
        <v>Abrir facsímil</v>
      </c>
      <c r="K6736" s="3" t="s">
        <v>23</v>
      </c>
    </row>
    <row r="6737" spans="1:11" ht="42" customHeight="1">
      <c r="A6737" s="2" t="s">
        <v>13296</v>
      </c>
      <c r="B6737" s="2" t="s">
        <v>13297</v>
      </c>
      <c r="C6737" s="2" t="s">
        <v>26</v>
      </c>
      <c r="D6737" s="2" t="s">
        <v>27</v>
      </c>
      <c r="E6737" s="5">
        <v>-28964</v>
      </c>
      <c r="F6737" s="3" t="s">
        <v>240</v>
      </c>
      <c r="G6737" s="3" t="s">
        <v>20</v>
      </c>
      <c r="H6737" s="2" t="s">
        <v>21</v>
      </c>
      <c r="I6737" s="2" t="s">
        <v>13298</v>
      </c>
      <c r="J6737" s="3" t="str">
        <f>HYPERLINK("https://www.boe.es/gazeta/dias/1820/09/11/pdfs/GGB-1820-75.pdf#page=4","Abrir facsímil")</f>
        <v>Abrir facsímil</v>
      </c>
      <c r="K6737" s="3" t="s">
        <v>23</v>
      </c>
    </row>
    <row r="6738" spans="1:11" ht="42" customHeight="1">
      <c r="A6738" s="2" t="s">
        <v>13299</v>
      </c>
      <c r="B6738" s="2" t="s">
        <v>13300</v>
      </c>
      <c r="C6738" s="2" t="s">
        <v>26</v>
      </c>
      <c r="D6738" s="2" t="s">
        <v>27</v>
      </c>
      <c r="E6738" s="5">
        <v>-28990</v>
      </c>
      <c r="F6738" s="3" t="s">
        <v>61</v>
      </c>
      <c r="G6738" s="3" t="s">
        <v>128</v>
      </c>
      <c r="H6738" s="2" t="s">
        <v>21</v>
      </c>
      <c r="I6738" s="2" t="s">
        <v>13301</v>
      </c>
      <c r="J6738" s="3" t="str">
        <f>HYPERLINK("https://www.boe.es/gazeta/dias/1820/08/16/pdfs/GGB-1820-49.pdf#page=1","Abrir facsímil")</f>
        <v>Abrir facsímil</v>
      </c>
      <c r="K6738" s="3" t="s">
        <v>23</v>
      </c>
    </row>
    <row r="6739" spans="1:11" ht="42" customHeight="1">
      <c r="A6739" s="2" t="s">
        <v>13302</v>
      </c>
      <c r="B6739" s="2" t="s">
        <v>13303</v>
      </c>
      <c r="C6739" s="2" t="s">
        <v>26</v>
      </c>
      <c r="D6739" s="2" t="s">
        <v>27</v>
      </c>
      <c r="E6739" s="5">
        <v>-29199</v>
      </c>
      <c r="F6739" s="3" t="s">
        <v>1178</v>
      </c>
      <c r="G6739" s="3" t="s">
        <v>201</v>
      </c>
      <c r="H6739" s="2" t="s">
        <v>21</v>
      </c>
      <c r="I6739" s="2" t="s">
        <v>13304</v>
      </c>
      <c r="J6739" s="3" t="str">
        <f>HYPERLINK("https://www.boe.es/gazeta/dias/1820/01/20/pdfs/GMD-1820-9.pdf#page=7","Abrir facsímil")</f>
        <v>Abrir facsímil</v>
      </c>
      <c r="K6739" s="3" t="s">
        <v>23</v>
      </c>
    </row>
    <row r="6740" spans="1:11" ht="42" customHeight="1">
      <c r="A6740" s="2" t="s">
        <v>13305</v>
      </c>
      <c r="B6740" s="2" t="s">
        <v>13305</v>
      </c>
      <c r="C6740" s="2" t="s">
        <v>35</v>
      </c>
      <c r="D6740" s="2" t="s">
        <v>36</v>
      </c>
      <c r="E6740" s="5">
        <v>-29020</v>
      </c>
      <c r="F6740" s="3" t="s">
        <v>756</v>
      </c>
      <c r="G6740" s="3" t="s">
        <v>62</v>
      </c>
      <c r="H6740" s="2" t="s">
        <v>21</v>
      </c>
      <c r="I6740" s="2" t="s">
        <v>13306</v>
      </c>
      <c r="J6740" s="3" t="str">
        <f>HYPERLINK("https://www.boe.es/gazeta/dias/1820/07/17/pdfs/GGB-1820-19.pdf#page=3","Abrir facsímil")</f>
        <v>Abrir facsímil</v>
      </c>
      <c r="K6740" s="3" t="s">
        <v>23</v>
      </c>
    </row>
    <row r="6741" spans="1:11" ht="42" customHeight="1">
      <c r="A6741" s="2" t="s">
        <v>13307</v>
      </c>
      <c r="B6741" s="2" t="s">
        <v>13307</v>
      </c>
      <c r="C6741" s="2" t="s">
        <v>26</v>
      </c>
      <c r="D6741" s="2" t="s">
        <v>27</v>
      </c>
      <c r="E6741" s="5">
        <v>-28993</v>
      </c>
      <c r="F6741" s="3" t="s">
        <v>465</v>
      </c>
      <c r="G6741" s="3" t="s">
        <v>43</v>
      </c>
      <c r="H6741" s="2" t="s">
        <v>21</v>
      </c>
      <c r="I6741" s="2" t="s">
        <v>13308</v>
      </c>
      <c r="J6741" s="3" t="str">
        <f>HYPERLINK("https://www.boe.es/gazeta/dias/1820/08/13/pdfs/GGB-1820-46.pdf#page=2","Abrir facsímil")</f>
        <v>Abrir facsímil</v>
      </c>
      <c r="K6741" s="3" t="s">
        <v>23</v>
      </c>
    </row>
    <row r="6742" spans="1:11" ht="42" customHeight="1">
      <c r="A6742" s="2" t="s">
        <v>13309</v>
      </c>
      <c r="B6742" s="2" t="s">
        <v>13309</v>
      </c>
      <c r="C6742" s="2" t="s">
        <v>26</v>
      </c>
      <c r="D6742" s="2" t="s">
        <v>27</v>
      </c>
      <c r="E6742" s="5">
        <v>-29007</v>
      </c>
      <c r="F6742" s="3" t="s">
        <v>251</v>
      </c>
      <c r="G6742" s="3" t="s">
        <v>128</v>
      </c>
      <c r="H6742" s="2" t="s">
        <v>21</v>
      </c>
      <c r="I6742" s="2" t="s">
        <v>13310</v>
      </c>
      <c r="J6742" s="3" t="str">
        <f>HYPERLINK("https://www.boe.es/gazeta/dias/1820/07/30/pdfs/GGB-1820-32.pdf#page=1","Abrir facsímil")</f>
        <v>Abrir facsímil</v>
      </c>
      <c r="K6742" s="3" t="s">
        <v>23</v>
      </c>
    </row>
    <row r="6743" spans="1:11" ht="42" customHeight="1">
      <c r="A6743" s="2" t="s">
        <v>13311</v>
      </c>
      <c r="B6743" s="2" t="s">
        <v>13312</v>
      </c>
      <c r="C6743" s="2" t="s">
        <v>35</v>
      </c>
      <c r="D6743" s="2" t="s">
        <v>36</v>
      </c>
      <c r="E6743" s="5">
        <v>-29085</v>
      </c>
      <c r="F6743" s="3" t="s">
        <v>1502</v>
      </c>
      <c r="G6743" s="3" t="s">
        <v>295</v>
      </c>
      <c r="H6743" s="2" t="s">
        <v>21</v>
      </c>
      <c r="I6743" s="2" t="s">
        <v>13313</v>
      </c>
      <c r="J6743" s="3" t="str">
        <f>HYPERLINK("https://www.boe.es/gazeta/dias/1820/05/13/pdfs/GMD-1820-79.pdf#page=8","Abrir facsímil")</f>
        <v>Abrir facsímil</v>
      </c>
      <c r="K6743" s="3" t="s">
        <v>23</v>
      </c>
    </row>
    <row r="6744" spans="1:11" ht="42" customHeight="1">
      <c r="A6744" s="2" t="s">
        <v>13311</v>
      </c>
      <c r="B6744" s="2" t="s">
        <v>13312</v>
      </c>
      <c r="C6744" s="2" t="s">
        <v>26</v>
      </c>
      <c r="D6744" s="2" t="s">
        <v>27</v>
      </c>
      <c r="E6744" s="5">
        <v>-29047</v>
      </c>
      <c r="F6744" s="3" t="s">
        <v>1033</v>
      </c>
      <c r="G6744" s="3" t="s">
        <v>295</v>
      </c>
      <c r="H6744" s="2" t="s">
        <v>21</v>
      </c>
      <c r="I6744" s="2" t="s">
        <v>13314</v>
      </c>
      <c r="J6744" s="3" t="str">
        <f>HYPERLINK("https://www.boe.es/gazeta/dias/1820/06/20/pdfs/GMD-1820-96.pdf#page=8","Abrir facsímil")</f>
        <v>Abrir facsímil</v>
      </c>
      <c r="K6744" s="3" t="s">
        <v>23</v>
      </c>
    </row>
    <row r="6745" spans="1:11" ht="42" customHeight="1">
      <c r="A6745" s="2" t="s">
        <v>13315</v>
      </c>
      <c r="B6745" s="2" t="s">
        <v>13315</v>
      </c>
      <c r="C6745" s="2" t="s">
        <v>35</v>
      </c>
      <c r="D6745" s="2" t="s">
        <v>36</v>
      </c>
      <c r="E6745" s="5">
        <v>-29015</v>
      </c>
      <c r="F6745" s="3" t="s">
        <v>359</v>
      </c>
      <c r="G6745" s="3" t="s">
        <v>43</v>
      </c>
      <c r="H6745" s="2" t="s">
        <v>21</v>
      </c>
      <c r="I6745" s="2" t="s">
        <v>13316</v>
      </c>
      <c r="J6745" s="3" t="str">
        <f>HYPERLINK("https://www.boe.es/gazeta/dias/1820/07/22/pdfs/GGB-1820-24.pdf#page=2","Abrir facsímil")</f>
        <v>Abrir facsímil</v>
      </c>
      <c r="K6745" s="3" t="s">
        <v>23</v>
      </c>
    </row>
    <row r="6746" spans="1:11" ht="42" customHeight="1">
      <c r="A6746" s="2" t="s">
        <v>13315</v>
      </c>
      <c r="B6746" s="2" t="s">
        <v>13315</v>
      </c>
      <c r="C6746" s="2" t="s">
        <v>74</v>
      </c>
      <c r="D6746" s="2" t="s">
        <v>18</v>
      </c>
      <c r="E6746" s="5">
        <v>-29012</v>
      </c>
      <c r="F6746" s="3" t="s">
        <v>72</v>
      </c>
      <c r="G6746" s="3" t="s">
        <v>661</v>
      </c>
      <c r="H6746" s="2" t="s">
        <v>21</v>
      </c>
      <c r="I6746" s="2" t="s">
        <v>13317</v>
      </c>
      <c r="J6746" s="3" t="str">
        <f>HYPERLINK("https://www.boe.es/gazeta/dias/1820/07/25/pdfs/GGB-1820-27.pdf#page=2","Abrir facsímil")</f>
        <v>Abrir facsímil</v>
      </c>
      <c r="K6746" s="3" t="s">
        <v>23</v>
      </c>
    </row>
    <row r="6747" spans="1:11" ht="42" customHeight="1">
      <c r="A6747" s="2" t="s">
        <v>13315</v>
      </c>
      <c r="B6747" s="2" t="s">
        <v>13315</v>
      </c>
      <c r="C6747" s="2" t="s">
        <v>74</v>
      </c>
      <c r="D6747" s="2" t="s">
        <v>18</v>
      </c>
      <c r="E6747" s="5">
        <v>-28970</v>
      </c>
      <c r="F6747" s="3" t="s">
        <v>693</v>
      </c>
      <c r="G6747" s="3" t="s">
        <v>43</v>
      </c>
      <c r="H6747" s="2" t="s">
        <v>21</v>
      </c>
      <c r="I6747" s="2" t="s">
        <v>13318</v>
      </c>
      <c r="J6747" s="3" t="str">
        <f>HYPERLINK("https://www.boe.es/gazeta/dias/1820/09/05/pdfs/GGB-1820-69.pdf#page=2","Abrir facsímil")</f>
        <v>Abrir facsímil</v>
      </c>
      <c r="K6747" s="3" t="s">
        <v>23</v>
      </c>
    </row>
    <row r="6748" spans="1:11" ht="42" customHeight="1">
      <c r="A6748" s="2" t="s">
        <v>13315</v>
      </c>
      <c r="B6748" s="2" t="s">
        <v>13315</v>
      </c>
      <c r="C6748" s="2" t="s">
        <v>47</v>
      </c>
      <c r="D6748" s="2" t="s">
        <v>18</v>
      </c>
      <c r="E6748" s="5">
        <v>-28958</v>
      </c>
      <c r="F6748" s="3" t="s">
        <v>706</v>
      </c>
      <c r="G6748" s="3" t="s">
        <v>20</v>
      </c>
      <c r="H6748" s="2" t="s">
        <v>21</v>
      </c>
      <c r="I6748" s="2" t="s">
        <v>13319</v>
      </c>
      <c r="J6748" s="3" t="str">
        <f>HYPERLINK("https://www.boe.es/gazeta/dias/1820/09/17/pdfs/GGB-1820-81.pdf#page=4","Abrir facsímil")</f>
        <v>Abrir facsímil</v>
      </c>
      <c r="K6748" s="3" t="s">
        <v>23</v>
      </c>
    </row>
    <row r="6749" spans="1:11" ht="42" customHeight="1">
      <c r="A6749" s="2" t="s">
        <v>13315</v>
      </c>
      <c r="B6749" s="2" t="s">
        <v>13315</v>
      </c>
      <c r="C6749" s="2" t="s">
        <v>47</v>
      </c>
      <c r="D6749" s="2" t="s">
        <v>18</v>
      </c>
      <c r="E6749" s="5">
        <v>-28947</v>
      </c>
      <c r="F6749" s="3" t="s">
        <v>127</v>
      </c>
      <c r="G6749" s="3" t="s">
        <v>20</v>
      </c>
      <c r="H6749" s="2" t="s">
        <v>21</v>
      </c>
      <c r="I6749" s="2" t="s">
        <v>13320</v>
      </c>
      <c r="J6749" s="3" t="str">
        <f>HYPERLINK("https://www.boe.es/gazeta/dias/1820/09/28/pdfs/GGB-1820-92.pdf#page=4","Abrir facsímil")</f>
        <v>Abrir facsímil</v>
      </c>
      <c r="K6749" s="3" t="s">
        <v>23</v>
      </c>
    </row>
    <row r="6750" spans="1:11" ht="42" customHeight="1">
      <c r="A6750" s="2" t="s">
        <v>13315</v>
      </c>
      <c r="B6750" s="2" t="s">
        <v>13315</v>
      </c>
      <c r="C6750" s="2" t="s">
        <v>26</v>
      </c>
      <c r="D6750" s="2" t="s">
        <v>27</v>
      </c>
      <c r="E6750" s="5">
        <v>-28936</v>
      </c>
      <c r="F6750" s="3" t="s">
        <v>167</v>
      </c>
      <c r="G6750" s="3" t="s">
        <v>20</v>
      </c>
      <c r="H6750" s="2" t="s">
        <v>21</v>
      </c>
      <c r="I6750" s="2" t="s">
        <v>13321</v>
      </c>
      <c r="J6750" s="3" t="str">
        <f>HYPERLINK("https://www.boe.es/gazeta/dias/1820/10/09/pdfs/GGB-1820-103.pdf#page=4","Abrir facsímil")</f>
        <v>Abrir facsímil</v>
      </c>
      <c r="K6750" s="3" t="s">
        <v>23</v>
      </c>
    </row>
    <row r="6751" spans="1:11" ht="42" customHeight="1">
      <c r="A6751" s="2" t="s">
        <v>13315</v>
      </c>
      <c r="B6751" s="2" t="s">
        <v>13315</v>
      </c>
      <c r="C6751" s="2" t="s">
        <v>35</v>
      </c>
      <c r="D6751" s="2" t="s">
        <v>36</v>
      </c>
      <c r="E6751" s="5">
        <v>-28932</v>
      </c>
      <c r="F6751" s="3" t="s">
        <v>407</v>
      </c>
      <c r="G6751" s="3" t="s">
        <v>20</v>
      </c>
      <c r="H6751" s="2" t="s">
        <v>21</v>
      </c>
      <c r="I6751" s="2" t="s">
        <v>13322</v>
      </c>
      <c r="J6751" s="3" t="str">
        <f>HYPERLINK("https://www.boe.es/gazeta/dias/1820/10/13/pdfs/GGB-1820-107.pdf#page=4","Abrir facsímil")</f>
        <v>Abrir facsímil</v>
      </c>
      <c r="K6751" s="3" t="s">
        <v>23</v>
      </c>
    </row>
    <row r="6752" spans="1:11" ht="42" customHeight="1">
      <c r="A6752" s="2" t="s">
        <v>13315</v>
      </c>
      <c r="B6752" s="2" t="s">
        <v>13315</v>
      </c>
      <c r="C6752" s="2" t="s">
        <v>35</v>
      </c>
      <c r="D6752" s="2" t="s">
        <v>36</v>
      </c>
      <c r="E6752" s="5">
        <v>-28905</v>
      </c>
      <c r="F6752" s="3" t="s">
        <v>749</v>
      </c>
      <c r="G6752" s="3" t="s">
        <v>62</v>
      </c>
      <c r="H6752" s="2" t="s">
        <v>21</v>
      </c>
      <c r="I6752" s="2" t="s">
        <v>13323</v>
      </c>
      <c r="J6752" s="3" t="str">
        <f>HYPERLINK("https://www.boe.es/gazeta/dias/1820/11/09/pdfs/GGB-1820-134.pdf#page=3","Abrir facsímil")</f>
        <v>Abrir facsímil</v>
      </c>
      <c r="K6752" s="3" t="s">
        <v>23</v>
      </c>
    </row>
    <row r="6753" spans="1:11" ht="42" customHeight="1">
      <c r="A6753" s="2" t="s">
        <v>13324</v>
      </c>
      <c r="B6753" s="2" t="s">
        <v>13324</v>
      </c>
      <c r="C6753" s="2" t="s">
        <v>35</v>
      </c>
      <c r="D6753" s="2" t="s">
        <v>36</v>
      </c>
      <c r="E6753" s="5">
        <v>-29038</v>
      </c>
      <c r="F6753" s="3" t="s">
        <v>957</v>
      </c>
      <c r="G6753" s="3" t="s">
        <v>256</v>
      </c>
      <c r="H6753" s="2" t="s">
        <v>21</v>
      </c>
      <c r="I6753" s="2" t="s">
        <v>13325</v>
      </c>
      <c r="J6753" s="3" t="str">
        <f>HYPERLINK("https://www.boe.es/gazeta/dias/1820/06/29/pdfs/GMD-1820-100.pdf#page=5","Abrir facsímil")</f>
        <v>Abrir facsímil</v>
      </c>
      <c r="K6753" s="3" t="s">
        <v>23</v>
      </c>
    </row>
    <row r="6754" spans="1:11" ht="42" customHeight="1">
      <c r="A6754" s="2" t="s">
        <v>13326</v>
      </c>
      <c r="B6754" s="2" t="s">
        <v>13327</v>
      </c>
      <c r="C6754" s="2" t="s">
        <v>293</v>
      </c>
      <c r="D6754" s="2" t="s">
        <v>18</v>
      </c>
      <c r="E6754" s="5">
        <v>-29164</v>
      </c>
      <c r="F6754" s="3" t="s">
        <v>2516</v>
      </c>
      <c r="G6754" s="3" t="s">
        <v>295</v>
      </c>
      <c r="H6754" s="2" t="s">
        <v>21</v>
      </c>
      <c r="I6754" s="2" t="s">
        <v>13328</v>
      </c>
      <c r="J6754" s="3" t="str">
        <f>HYPERLINK("https://www.boe.es/gazeta/dias/1820/02/24/pdfs/GMD-1820-24.pdf#page=8","Abrir facsímil")</f>
        <v>Abrir facsímil</v>
      </c>
      <c r="K6754" s="3" t="s">
        <v>23</v>
      </c>
    </row>
    <row r="6755" spans="1:11" ht="42" customHeight="1">
      <c r="A6755" s="2" t="s">
        <v>13329</v>
      </c>
      <c r="B6755" s="2" t="s">
        <v>13329</v>
      </c>
      <c r="C6755" s="2" t="s">
        <v>293</v>
      </c>
      <c r="D6755" s="2" t="s">
        <v>18</v>
      </c>
      <c r="E6755" s="5">
        <v>-28932</v>
      </c>
      <c r="F6755" s="3" t="s">
        <v>407</v>
      </c>
      <c r="G6755" s="3" t="s">
        <v>20</v>
      </c>
      <c r="H6755" s="2" t="s">
        <v>21</v>
      </c>
      <c r="I6755" s="2" t="s">
        <v>13330</v>
      </c>
      <c r="J6755" s="3" t="str">
        <f>HYPERLINK("https://www.boe.es/gazeta/dias/1820/10/13/pdfs/GGB-1820-107.pdf#page=4","Abrir facsímil")</f>
        <v>Abrir facsímil</v>
      </c>
      <c r="K6755" s="3" t="s">
        <v>23</v>
      </c>
    </row>
    <row r="6756" spans="1:11" ht="42" customHeight="1">
      <c r="A6756" s="2" t="s">
        <v>13331</v>
      </c>
      <c r="B6756" s="2" t="s">
        <v>13332</v>
      </c>
      <c r="C6756" s="2" t="s">
        <v>26</v>
      </c>
      <c r="D6756" s="2" t="s">
        <v>27</v>
      </c>
      <c r="E6756" s="5">
        <v>-29002</v>
      </c>
      <c r="F6756" s="3" t="s">
        <v>124</v>
      </c>
      <c r="G6756" s="3" t="s">
        <v>43</v>
      </c>
      <c r="H6756" s="2" t="s">
        <v>21</v>
      </c>
      <c r="I6756" s="2" t="s">
        <v>13333</v>
      </c>
      <c r="J6756" s="3" t="str">
        <f>HYPERLINK("https://www.boe.es/gazeta/dias/1820/08/04/pdfs/GGB-1820-37.pdf#page=2","Abrir facsímil")</f>
        <v>Abrir facsímil</v>
      </c>
      <c r="K6756" s="3" t="s">
        <v>23</v>
      </c>
    </row>
    <row r="6757" spans="1:11" ht="42" customHeight="1">
      <c r="A6757" s="2" t="s">
        <v>13331</v>
      </c>
      <c r="B6757" s="2" t="s">
        <v>13332</v>
      </c>
      <c r="C6757" s="2" t="s">
        <v>26</v>
      </c>
      <c r="D6757" s="2" t="s">
        <v>27</v>
      </c>
      <c r="E6757" s="5">
        <v>-28854</v>
      </c>
      <c r="F6757" s="3" t="s">
        <v>147</v>
      </c>
      <c r="G6757" s="3" t="s">
        <v>20</v>
      </c>
      <c r="H6757" s="2" t="s">
        <v>21</v>
      </c>
      <c r="I6757" s="2" t="s">
        <v>13334</v>
      </c>
      <c r="J6757" s="3" t="str">
        <f>HYPERLINK("https://www.boe.es/gazeta/dias/1820/12/30/pdfs/GGB-1820-187.pdf#page=4","Abrir facsímil")</f>
        <v>Abrir facsímil</v>
      </c>
      <c r="K6757" s="3" t="s">
        <v>23</v>
      </c>
    </row>
    <row r="6758" spans="1:11" ht="42" customHeight="1">
      <c r="A6758" s="2" t="s">
        <v>13335</v>
      </c>
      <c r="B6758" s="2" t="s">
        <v>13336</v>
      </c>
      <c r="C6758" s="2" t="s">
        <v>17</v>
      </c>
      <c r="D6758" s="2" t="s">
        <v>18</v>
      </c>
      <c r="E6758" s="5">
        <v>-28931</v>
      </c>
      <c r="F6758" s="3" t="s">
        <v>724</v>
      </c>
      <c r="G6758" s="3" t="s">
        <v>20</v>
      </c>
      <c r="H6758" s="2" t="s">
        <v>21</v>
      </c>
      <c r="I6758" s="2" t="s">
        <v>13337</v>
      </c>
      <c r="J6758" s="3" t="str">
        <f>HYPERLINK("https://www.boe.es/gazeta/dias/1820/10/14/pdfs/GGB-1820-108.pdf#page=4","Abrir facsímil")</f>
        <v>Abrir facsímil</v>
      </c>
      <c r="K6758" s="3" t="s">
        <v>23</v>
      </c>
    </row>
    <row r="6759" spans="1:11" ht="42" customHeight="1">
      <c r="A6759" s="2" t="s">
        <v>13338</v>
      </c>
      <c r="B6759" s="2" t="s">
        <v>13339</v>
      </c>
      <c r="C6759" s="2" t="s">
        <v>17</v>
      </c>
      <c r="D6759" s="2" t="s">
        <v>18</v>
      </c>
      <c r="E6759" s="5">
        <v>-29078</v>
      </c>
      <c r="F6759" s="3" t="s">
        <v>260</v>
      </c>
      <c r="G6759" s="3" t="s">
        <v>261</v>
      </c>
      <c r="H6759" s="2" t="s">
        <v>21</v>
      </c>
      <c r="I6759" s="2" t="s">
        <v>13340</v>
      </c>
      <c r="J6759" s="3" t="str">
        <f>HYPERLINK("https://www.boe.es/gazeta/dias/1820/05/20/pdfs/GMD-1820-83.pdf#page=9","Abrir facsímil")</f>
        <v>Abrir facsímil</v>
      </c>
      <c r="K6759" s="3" t="s">
        <v>23</v>
      </c>
    </row>
    <row r="6760" spans="1:11" ht="42" customHeight="1">
      <c r="A6760" s="2" t="s">
        <v>13338</v>
      </c>
      <c r="B6760" s="2" t="s">
        <v>13339</v>
      </c>
      <c r="C6760" s="2" t="s">
        <v>107</v>
      </c>
      <c r="D6760" s="2" t="s">
        <v>18</v>
      </c>
      <c r="E6760" s="5">
        <v>-29028</v>
      </c>
      <c r="F6760" s="3" t="s">
        <v>132</v>
      </c>
      <c r="G6760" s="3" t="s">
        <v>20</v>
      </c>
      <c r="H6760" s="2" t="s">
        <v>21</v>
      </c>
      <c r="I6760" s="2" t="s">
        <v>13341</v>
      </c>
      <c r="J6760" s="3" t="str">
        <f>HYPERLINK("https://www.boe.es/gazeta/dias/1820/07/09/pdfs/GGB-1820-10.pdf#page=4","Abrir facsímil")</f>
        <v>Abrir facsímil</v>
      </c>
      <c r="K6760" s="3" t="s">
        <v>23</v>
      </c>
    </row>
    <row r="6761" spans="1:11" ht="42" customHeight="1">
      <c r="A6761" s="2" t="s">
        <v>13342</v>
      </c>
      <c r="B6761" s="2" t="s">
        <v>13342</v>
      </c>
      <c r="C6761" s="2" t="s">
        <v>26</v>
      </c>
      <c r="D6761" s="2" t="s">
        <v>27</v>
      </c>
      <c r="E6761" s="5">
        <v>-28930</v>
      </c>
      <c r="F6761" s="3" t="s">
        <v>372</v>
      </c>
      <c r="G6761" s="3" t="s">
        <v>128</v>
      </c>
      <c r="H6761" s="2" t="s">
        <v>21</v>
      </c>
      <c r="I6761" s="2" t="s">
        <v>13343</v>
      </c>
      <c r="J6761" s="3" t="str">
        <f>HYPERLINK("https://www.boe.es/gazeta/dias/1820/10/15/pdfs/GGB-1820-109.pdf#page=1","Abrir facsímil")</f>
        <v>Abrir facsímil</v>
      </c>
      <c r="K6761" s="3" t="s">
        <v>23</v>
      </c>
    </row>
    <row r="6762" spans="1:11" ht="42" customHeight="1">
      <c r="A6762" s="2" t="s">
        <v>13344</v>
      </c>
      <c r="B6762" s="2" t="s">
        <v>13345</v>
      </c>
      <c r="C6762" s="2" t="s">
        <v>35</v>
      </c>
      <c r="D6762" s="2" t="s">
        <v>36</v>
      </c>
      <c r="E6762" s="5">
        <v>-29045</v>
      </c>
      <c r="F6762" s="3" t="s">
        <v>155</v>
      </c>
      <c r="G6762" s="3" t="s">
        <v>38</v>
      </c>
      <c r="H6762" s="2" t="s">
        <v>21</v>
      </c>
      <c r="I6762" s="2" t="s">
        <v>13346</v>
      </c>
      <c r="J6762" s="3" t="str">
        <f>HYPERLINK("https://www.boe.es/gazeta/dias/1820/06/22/pdfs/GMD-1820-97.pdf#page=6","Abrir facsímil")</f>
        <v>Abrir facsímil</v>
      </c>
      <c r="K6762" s="3" t="s">
        <v>23</v>
      </c>
    </row>
    <row r="6763" spans="1:11" ht="42" customHeight="1">
      <c r="A6763" s="2" t="s">
        <v>13347</v>
      </c>
      <c r="B6763" s="2" t="s">
        <v>13348</v>
      </c>
      <c r="C6763" s="2" t="s">
        <v>26</v>
      </c>
      <c r="D6763" s="2" t="s">
        <v>27</v>
      </c>
      <c r="E6763" s="5">
        <v>-29040</v>
      </c>
      <c r="F6763" s="3" t="s">
        <v>1125</v>
      </c>
      <c r="G6763" s="3" t="s">
        <v>38</v>
      </c>
      <c r="H6763" s="2" t="s">
        <v>21</v>
      </c>
      <c r="I6763" s="2" t="s">
        <v>13349</v>
      </c>
      <c r="J6763" s="3" t="str">
        <f>HYPERLINK("https://www.boe.es/gazeta/dias/1820/06/27/pdfs/GMD-1820-99.pdf#page=6","Abrir facsímil")</f>
        <v>Abrir facsímil</v>
      </c>
      <c r="K6763" s="3" t="s">
        <v>23</v>
      </c>
    </row>
    <row r="6764" spans="1:11" ht="42" customHeight="1">
      <c r="A6764" s="2" t="s">
        <v>13350</v>
      </c>
      <c r="B6764" s="2" t="s">
        <v>13350</v>
      </c>
      <c r="C6764" s="2" t="s">
        <v>26</v>
      </c>
      <c r="D6764" s="2" t="s">
        <v>27</v>
      </c>
      <c r="E6764" s="5">
        <v>-28989</v>
      </c>
      <c r="F6764" s="3" t="s">
        <v>809</v>
      </c>
      <c r="G6764" s="3" t="s">
        <v>128</v>
      </c>
      <c r="H6764" s="2" t="s">
        <v>21</v>
      </c>
      <c r="I6764" s="2" t="s">
        <v>13351</v>
      </c>
      <c r="J6764" s="3" t="str">
        <f>HYPERLINK("https://www.boe.es/gazeta/dias/1820/08/17/pdfs/GGB-1820-50.pdf#page=1","Abrir facsímil")</f>
        <v>Abrir facsímil</v>
      </c>
      <c r="K6764" s="3" t="s">
        <v>23</v>
      </c>
    </row>
    <row r="6765" spans="1:11" ht="42" customHeight="1">
      <c r="A6765" s="2" t="s">
        <v>13352</v>
      </c>
      <c r="B6765" s="2" t="s">
        <v>13352</v>
      </c>
      <c r="C6765" s="2" t="s">
        <v>26</v>
      </c>
      <c r="D6765" s="2" t="s">
        <v>27</v>
      </c>
      <c r="E6765" s="5">
        <v>-29185</v>
      </c>
      <c r="F6765" s="3" t="s">
        <v>772</v>
      </c>
      <c r="G6765" s="3" t="s">
        <v>62</v>
      </c>
      <c r="H6765" s="2" t="s">
        <v>21</v>
      </c>
      <c r="I6765" s="2" t="s">
        <v>13353</v>
      </c>
      <c r="J6765" s="3" t="str">
        <f>HYPERLINK("https://www.boe.es/gazeta/dias/1820/02/03/pdfs/GMD-1820-15.pdf#page=3","Abrir facsímil")</f>
        <v>Abrir facsímil</v>
      </c>
      <c r="K6765" s="3" t="s">
        <v>23</v>
      </c>
    </row>
    <row r="6766" spans="1:11" ht="42" customHeight="1">
      <c r="A6766" s="2" t="s">
        <v>13354</v>
      </c>
      <c r="B6766" s="2" t="s">
        <v>13355</v>
      </c>
      <c r="C6766" s="2" t="s">
        <v>107</v>
      </c>
      <c r="D6766" s="2" t="s">
        <v>18</v>
      </c>
      <c r="E6766" s="5">
        <v>-29190</v>
      </c>
      <c r="F6766" s="3" t="s">
        <v>537</v>
      </c>
      <c r="G6766" s="3" t="s">
        <v>201</v>
      </c>
      <c r="H6766" s="2" t="s">
        <v>21</v>
      </c>
      <c r="I6766" s="2" t="s">
        <v>13356</v>
      </c>
      <c r="J6766" s="3" t="str">
        <f>HYPERLINK("https://www.boe.es/gazeta/dias/1820/01/29/pdfs/GMD-1820-13.pdf#page=7","Abrir facsímil")</f>
        <v>Abrir facsímil</v>
      </c>
      <c r="K6766" s="3" t="s">
        <v>23</v>
      </c>
    </row>
    <row r="6767" spans="1:11" ht="42" customHeight="1">
      <c r="A6767" s="2" t="s">
        <v>13357</v>
      </c>
      <c r="B6767" s="2" t="s">
        <v>13357</v>
      </c>
      <c r="C6767" s="2" t="s">
        <v>26</v>
      </c>
      <c r="D6767" s="2" t="s">
        <v>27</v>
      </c>
      <c r="E6767" s="5">
        <v>-29001</v>
      </c>
      <c r="F6767" s="3" t="s">
        <v>633</v>
      </c>
      <c r="G6767" s="3" t="s">
        <v>62</v>
      </c>
      <c r="H6767" s="2" t="s">
        <v>21</v>
      </c>
      <c r="I6767" s="2" t="s">
        <v>13358</v>
      </c>
      <c r="J6767" s="3" t="str">
        <f>HYPERLINK("https://www.boe.es/gazeta/dias/1820/08/05/pdfs/GGB-1820-38.pdf#page=3","Abrir facsímil")</f>
        <v>Abrir facsímil</v>
      </c>
      <c r="K6767" s="3" t="s">
        <v>23</v>
      </c>
    </row>
    <row r="6768" spans="1:11" ht="42" customHeight="1">
      <c r="A6768" s="2" t="s">
        <v>13357</v>
      </c>
      <c r="B6768" s="2" t="s">
        <v>13357</v>
      </c>
      <c r="C6768" s="2" t="s">
        <v>293</v>
      </c>
      <c r="D6768" s="2" t="s">
        <v>18</v>
      </c>
      <c r="E6768" s="5">
        <v>-28990</v>
      </c>
      <c r="F6768" s="3" t="s">
        <v>61</v>
      </c>
      <c r="G6768" s="3" t="s">
        <v>62</v>
      </c>
      <c r="H6768" s="2" t="s">
        <v>21</v>
      </c>
      <c r="I6768" s="2" t="s">
        <v>13359</v>
      </c>
      <c r="J6768" s="3" t="str">
        <f>HYPERLINK("https://www.boe.es/gazeta/dias/1820/08/16/pdfs/GGB-1820-49.pdf#page=3","Abrir facsímil")</f>
        <v>Abrir facsímil</v>
      </c>
      <c r="K6768" s="3" t="s">
        <v>23</v>
      </c>
    </row>
    <row r="6769" spans="1:11" ht="42" customHeight="1">
      <c r="A6769" s="2" t="s">
        <v>13357</v>
      </c>
      <c r="B6769" s="2" t="s">
        <v>13357</v>
      </c>
      <c r="C6769" s="2" t="s">
        <v>17</v>
      </c>
      <c r="D6769" s="2" t="s">
        <v>18</v>
      </c>
      <c r="E6769" s="5">
        <v>-28978</v>
      </c>
      <c r="F6769" s="3" t="s">
        <v>203</v>
      </c>
      <c r="G6769" s="3" t="s">
        <v>43</v>
      </c>
      <c r="H6769" s="2" t="s">
        <v>21</v>
      </c>
      <c r="I6769" s="2" t="s">
        <v>13360</v>
      </c>
      <c r="J6769" s="3" t="str">
        <f>HYPERLINK("https://www.boe.es/gazeta/dias/1820/08/28/pdfs/GGB-1820-61.pdf#page=2","Abrir facsímil")</f>
        <v>Abrir facsímil</v>
      </c>
      <c r="K6769" s="3" t="s">
        <v>23</v>
      </c>
    </row>
    <row r="6770" spans="1:11" ht="42" customHeight="1">
      <c r="A6770" s="2" t="s">
        <v>13357</v>
      </c>
      <c r="B6770" s="2" t="s">
        <v>13357</v>
      </c>
      <c r="C6770" s="2" t="s">
        <v>17</v>
      </c>
      <c r="D6770" s="2" t="s">
        <v>18</v>
      </c>
      <c r="E6770" s="5">
        <v>-28953</v>
      </c>
      <c r="F6770" s="3" t="s">
        <v>367</v>
      </c>
      <c r="G6770" s="3" t="s">
        <v>62</v>
      </c>
      <c r="H6770" s="2" t="s">
        <v>21</v>
      </c>
      <c r="I6770" s="2" t="s">
        <v>13361</v>
      </c>
      <c r="J6770" s="3" t="str">
        <f>HYPERLINK("https://www.boe.es/gazeta/dias/1820/09/22/pdfs/GGB-1820-86.pdf#page=3","Abrir facsímil")</f>
        <v>Abrir facsímil</v>
      </c>
      <c r="K6770" s="3" t="s">
        <v>23</v>
      </c>
    </row>
    <row r="6771" spans="1:11" ht="42" customHeight="1">
      <c r="A6771" s="2" t="s">
        <v>13362</v>
      </c>
      <c r="B6771" s="2" t="s">
        <v>13363</v>
      </c>
      <c r="C6771" s="2" t="s">
        <v>111</v>
      </c>
      <c r="D6771" s="2" t="s">
        <v>18</v>
      </c>
      <c r="E6771" s="5">
        <v>-29122</v>
      </c>
      <c r="F6771" s="3" t="s">
        <v>844</v>
      </c>
      <c r="G6771" s="3" t="s">
        <v>845</v>
      </c>
      <c r="H6771" s="2" t="s">
        <v>21</v>
      </c>
      <c r="I6771" s="2" t="s">
        <v>13364</v>
      </c>
      <c r="J6771" s="3" t="str">
        <f>HYPERLINK("https://www.boe.es/gazeta/dias/1820/04/06/pdfs/GMD-1820-62.pdf#page=8","Abrir facsímil")</f>
        <v>Abrir facsímil</v>
      </c>
      <c r="K6771" s="3" t="s">
        <v>23</v>
      </c>
    </row>
    <row r="6772" spans="1:11" ht="42" customHeight="1">
      <c r="A6772" s="2" t="s">
        <v>13365</v>
      </c>
      <c r="B6772" s="2" t="s">
        <v>13366</v>
      </c>
      <c r="C6772" s="2" t="s">
        <v>35</v>
      </c>
      <c r="D6772" s="2" t="s">
        <v>36</v>
      </c>
      <c r="E6772" s="5">
        <v>-29064</v>
      </c>
      <c r="F6772" s="3" t="s">
        <v>1264</v>
      </c>
      <c r="G6772" s="3" t="s">
        <v>2318</v>
      </c>
      <c r="H6772" s="2" t="s">
        <v>21</v>
      </c>
      <c r="I6772" s="2" t="s">
        <v>13367</v>
      </c>
      <c r="J6772" s="3" t="str">
        <f>HYPERLINK("https://www.boe.es/gazeta/dias/1820/06/03/pdfs/GMD-1820-89.pdf#page=8","Abrir facsímil")</f>
        <v>Abrir facsímil</v>
      </c>
      <c r="K6772" s="3" t="s">
        <v>23</v>
      </c>
    </row>
    <row r="6773" spans="1:11" ht="42" customHeight="1">
      <c r="A6773" s="2" t="s">
        <v>13368</v>
      </c>
      <c r="B6773" s="2" t="s">
        <v>13369</v>
      </c>
      <c r="C6773" s="2" t="s">
        <v>26</v>
      </c>
      <c r="D6773" s="2" t="s">
        <v>27</v>
      </c>
      <c r="E6773" s="5">
        <v>-28928</v>
      </c>
      <c r="F6773" s="3" t="s">
        <v>86</v>
      </c>
      <c r="G6773" s="3" t="s">
        <v>20</v>
      </c>
      <c r="H6773" s="2" t="s">
        <v>21</v>
      </c>
      <c r="I6773" s="2" t="s">
        <v>13370</v>
      </c>
      <c r="J6773" s="3" t="str">
        <f>HYPERLINK("https://www.boe.es/gazeta/dias/1820/10/17/pdfs/GGB-1820-111.pdf#page=4","Abrir facsímil")</f>
        <v>Abrir facsímil</v>
      </c>
      <c r="K6773" s="3" t="s">
        <v>23</v>
      </c>
    </row>
    <row r="6774" spans="1:11" ht="42" customHeight="1">
      <c r="A6774" s="2" t="s">
        <v>13371</v>
      </c>
      <c r="B6774" s="2" t="s">
        <v>13371</v>
      </c>
      <c r="C6774" s="2" t="s">
        <v>35</v>
      </c>
      <c r="D6774" s="2" t="s">
        <v>36</v>
      </c>
      <c r="E6774" s="5">
        <v>-29150</v>
      </c>
      <c r="F6774" s="3" t="s">
        <v>299</v>
      </c>
      <c r="G6774" s="3" t="s">
        <v>300</v>
      </c>
      <c r="H6774" s="2" t="s">
        <v>21</v>
      </c>
      <c r="I6774" s="2" t="s">
        <v>13372</v>
      </c>
      <c r="J6774" s="3" t="str">
        <f>HYPERLINK("https://www.boe.es/gazeta/dias/1820/03/09/pdfs/GMD-1820-32.pdf#page=8","Abrir facsímil")</f>
        <v>Abrir facsímil</v>
      </c>
      <c r="K6774" s="3" t="s">
        <v>23</v>
      </c>
    </row>
    <row r="6775" spans="1:11" ht="42" customHeight="1">
      <c r="A6775" s="2" t="s">
        <v>13373</v>
      </c>
      <c r="B6775" s="2" t="s">
        <v>13374</v>
      </c>
      <c r="C6775" s="2" t="s">
        <v>35</v>
      </c>
      <c r="D6775" s="2" t="s">
        <v>36</v>
      </c>
      <c r="E6775" s="5">
        <v>-29011</v>
      </c>
      <c r="F6775" s="3" t="s">
        <v>338</v>
      </c>
      <c r="G6775" s="3" t="s">
        <v>62</v>
      </c>
      <c r="H6775" s="2" t="s">
        <v>21</v>
      </c>
      <c r="I6775" s="2" t="s">
        <v>13375</v>
      </c>
      <c r="J6775" s="3" t="str">
        <f>HYPERLINK("https://www.boe.es/gazeta/dias/1820/07/26/pdfs/GGB-1820-28.pdf#page=3","Abrir facsímil")</f>
        <v>Abrir facsímil</v>
      </c>
      <c r="K6775" s="3" t="s">
        <v>23</v>
      </c>
    </row>
    <row r="6776" spans="1:11" ht="42" customHeight="1">
      <c r="A6776" s="2" t="s">
        <v>13373</v>
      </c>
      <c r="B6776" s="2" t="s">
        <v>13374</v>
      </c>
      <c r="C6776" s="2" t="s">
        <v>26</v>
      </c>
      <c r="D6776" s="2" t="s">
        <v>27</v>
      </c>
      <c r="E6776" s="5">
        <v>-29000</v>
      </c>
      <c r="F6776" s="3" t="s">
        <v>670</v>
      </c>
      <c r="G6776" s="3" t="s">
        <v>62</v>
      </c>
      <c r="H6776" s="2" t="s">
        <v>21</v>
      </c>
      <c r="I6776" s="2" t="s">
        <v>13376</v>
      </c>
      <c r="J6776" s="3" t="str">
        <f>HYPERLINK("https://www.boe.es/gazeta/dias/1820/08/06/pdfs/GGB-1820-39.pdf#page=3","Abrir facsímil")</f>
        <v>Abrir facsímil</v>
      </c>
      <c r="K6776" s="3" t="s">
        <v>23</v>
      </c>
    </row>
    <row r="6777" spans="1:11" ht="42" customHeight="1">
      <c r="A6777" s="2" t="s">
        <v>13377</v>
      </c>
      <c r="B6777" s="2" t="s">
        <v>13378</v>
      </c>
      <c r="C6777" s="2" t="s">
        <v>26</v>
      </c>
      <c r="D6777" s="2" t="s">
        <v>27</v>
      </c>
      <c r="E6777" s="5">
        <v>-29028</v>
      </c>
      <c r="F6777" s="3" t="s">
        <v>132</v>
      </c>
      <c r="G6777" s="3" t="s">
        <v>20</v>
      </c>
      <c r="H6777" s="2" t="s">
        <v>21</v>
      </c>
      <c r="I6777" s="2" t="s">
        <v>13379</v>
      </c>
      <c r="J6777" s="3" t="str">
        <f>HYPERLINK("https://www.boe.es/gazeta/dias/1820/07/09/pdfs/GGB-1820-10.pdf#page=4","Abrir facsímil")</f>
        <v>Abrir facsímil</v>
      </c>
      <c r="K6777" s="3" t="s">
        <v>23</v>
      </c>
    </row>
    <row r="6778" spans="1:11" ht="42" customHeight="1">
      <c r="A6778" s="2" t="s">
        <v>13380</v>
      </c>
      <c r="B6778" s="2" t="s">
        <v>13381</v>
      </c>
      <c r="C6778" s="2" t="s">
        <v>17</v>
      </c>
      <c r="D6778" s="2" t="s">
        <v>18</v>
      </c>
      <c r="E6778" s="5">
        <v>-28931</v>
      </c>
      <c r="F6778" s="3" t="s">
        <v>724</v>
      </c>
      <c r="G6778" s="3" t="s">
        <v>20</v>
      </c>
      <c r="H6778" s="2" t="s">
        <v>21</v>
      </c>
      <c r="I6778" s="2" t="s">
        <v>13382</v>
      </c>
      <c r="J6778" s="3" t="str">
        <f>HYPERLINK("https://www.boe.es/gazeta/dias/1820/10/14/pdfs/GGB-1820-108.pdf#page=4","Abrir facsímil")</f>
        <v>Abrir facsímil</v>
      </c>
      <c r="K6778" s="3" t="s">
        <v>23</v>
      </c>
    </row>
    <row r="6779" spans="1:11" ht="42" customHeight="1">
      <c r="A6779" s="2" t="s">
        <v>13383</v>
      </c>
      <c r="B6779" s="2" t="s">
        <v>13384</v>
      </c>
      <c r="C6779" s="2" t="s">
        <v>26</v>
      </c>
      <c r="D6779" s="2" t="s">
        <v>27</v>
      </c>
      <c r="E6779" s="5">
        <v>-28865</v>
      </c>
      <c r="F6779" s="3" t="s">
        <v>136</v>
      </c>
      <c r="G6779" s="3" t="s">
        <v>137</v>
      </c>
      <c r="H6779" s="2" t="s">
        <v>21</v>
      </c>
      <c r="I6779" s="2" t="s">
        <v>13385</v>
      </c>
      <c r="J6779" s="3" t="str">
        <f>HYPERLINK("https://www.boe.es/gazeta/dias/1820/12/19/pdfs/GGB-1820-176.pdf#page=3","Abrir facsímil")</f>
        <v>Abrir facsímil</v>
      </c>
      <c r="K6779" s="3" t="s">
        <v>23</v>
      </c>
    </row>
    <row r="6780" spans="1:11" ht="42" customHeight="1">
      <c r="A6780" s="2" t="s">
        <v>13386</v>
      </c>
      <c r="B6780" s="2" t="s">
        <v>13387</v>
      </c>
      <c r="C6780" s="2" t="s">
        <v>74</v>
      </c>
      <c r="D6780" s="2" t="s">
        <v>18</v>
      </c>
      <c r="E6780" s="5">
        <v>-28965</v>
      </c>
      <c r="F6780" s="3" t="s">
        <v>1520</v>
      </c>
      <c r="G6780" s="3" t="s">
        <v>20</v>
      </c>
      <c r="H6780" s="2" t="s">
        <v>21</v>
      </c>
      <c r="I6780" s="2" t="s">
        <v>13388</v>
      </c>
      <c r="J6780" s="3" t="str">
        <f>HYPERLINK("https://www.boe.es/gazeta/dias/1820/09/10/pdfs/GGB-1820-74.pdf#page=4","Abrir facsímil")</f>
        <v>Abrir facsímil</v>
      </c>
      <c r="K6780" s="3" t="s">
        <v>23</v>
      </c>
    </row>
    <row r="6781" spans="1:11" ht="42" customHeight="1">
      <c r="A6781" s="2" t="s">
        <v>13389</v>
      </c>
      <c r="B6781" s="2" t="s">
        <v>13390</v>
      </c>
      <c r="C6781" s="2" t="s">
        <v>26</v>
      </c>
      <c r="D6781" s="2" t="s">
        <v>27</v>
      </c>
      <c r="E6781" s="5">
        <v>-28865</v>
      </c>
      <c r="F6781" s="3" t="s">
        <v>136</v>
      </c>
      <c r="G6781" s="3" t="s">
        <v>137</v>
      </c>
      <c r="H6781" s="2" t="s">
        <v>21</v>
      </c>
      <c r="I6781" s="2" t="s">
        <v>13391</v>
      </c>
      <c r="J6781" s="3" t="str">
        <f>HYPERLINK("https://www.boe.es/gazeta/dias/1820/12/19/pdfs/GGB-1820-176.pdf#page=3","Abrir facsímil")</f>
        <v>Abrir facsímil</v>
      </c>
      <c r="K6781" s="3" t="s">
        <v>23</v>
      </c>
    </row>
    <row r="6782" spans="1:11" ht="42" customHeight="1">
      <c r="A6782" s="2" t="s">
        <v>13392</v>
      </c>
      <c r="B6782" s="2" t="s">
        <v>13393</v>
      </c>
      <c r="C6782" s="2" t="s">
        <v>17</v>
      </c>
      <c r="D6782" s="2" t="s">
        <v>18</v>
      </c>
      <c r="E6782" s="5">
        <v>-28895</v>
      </c>
      <c r="F6782" s="3" t="s">
        <v>347</v>
      </c>
      <c r="G6782" s="3" t="s">
        <v>20</v>
      </c>
      <c r="H6782" s="2" t="s">
        <v>21</v>
      </c>
      <c r="I6782" s="2" t="s">
        <v>13394</v>
      </c>
      <c r="J6782" s="3" t="str">
        <f>HYPERLINK("https://www.boe.es/gazeta/dias/1820/11/19/pdfs/GGB-1820-146.pdf#page=4","Abrir facsímil")</f>
        <v>Abrir facsímil</v>
      </c>
      <c r="K6782" s="3" t="s">
        <v>23</v>
      </c>
    </row>
    <row r="6783" spans="1:11" ht="42" customHeight="1">
      <c r="A6783" s="2" t="s">
        <v>13395</v>
      </c>
      <c r="B6783" s="2" t="s">
        <v>13396</v>
      </c>
      <c r="C6783" s="2" t="s">
        <v>26</v>
      </c>
      <c r="D6783" s="2" t="s">
        <v>27</v>
      </c>
      <c r="E6783" s="5">
        <v>-28885</v>
      </c>
      <c r="F6783" s="3" t="s">
        <v>2588</v>
      </c>
      <c r="G6783" s="3" t="s">
        <v>20</v>
      </c>
      <c r="H6783" s="2" t="s">
        <v>21</v>
      </c>
      <c r="I6783" s="2" t="s">
        <v>13397</v>
      </c>
      <c r="J6783" s="3" t="str">
        <f>HYPERLINK("https://www.boe.es/gazeta/dias/1820/11/29/pdfs/GGB-1820-156.pdf#page=4","Abrir facsímil")</f>
        <v>Abrir facsímil</v>
      </c>
      <c r="K6783" s="3" t="s">
        <v>23</v>
      </c>
    </row>
    <row r="6784" spans="1:11" ht="42" customHeight="1">
      <c r="A6784" s="2" t="s">
        <v>13398</v>
      </c>
      <c r="B6784" s="2" t="s">
        <v>13399</v>
      </c>
      <c r="C6784" s="2" t="s">
        <v>74</v>
      </c>
      <c r="D6784" s="2" t="s">
        <v>18</v>
      </c>
      <c r="E6784" s="5">
        <v>-28993</v>
      </c>
      <c r="F6784" s="3" t="s">
        <v>465</v>
      </c>
      <c r="G6784" s="3" t="s">
        <v>43</v>
      </c>
      <c r="H6784" s="2" t="s">
        <v>21</v>
      </c>
      <c r="I6784" s="2" t="s">
        <v>13400</v>
      </c>
      <c r="J6784" s="3" t="str">
        <f>HYPERLINK("https://www.boe.es/gazeta/dias/1820/08/13/pdfs/GGB-1820-46.pdf#page=2","Abrir facsímil")</f>
        <v>Abrir facsímil</v>
      </c>
      <c r="K6784" s="3" t="s">
        <v>23</v>
      </c>
    </row>
    <row r="6785" spans="1:11" ht="42" customHeight="1">
      <c r="A6785" s="2" t="s">
        <v>13401</v>
      </c>
      <c r="B6785" s="2" t="s">
        <v>13402</v>
      </c>
      <c r="C6785" s="2" t="s">
        <v>17</v>
      </c>
      <c r="D6785" s="2" t="s">
        <v>18</v>
      </c>
      <c r="E6785" s="5">
        <v>-28974</v>
      </c>
      <c r="F6785" s="3" t="s">
        <v>1144</v>
      </c>
      <c r="G6785" s="3" t="s">
        <v>1145</v>
      </c>
      <c r="H6785" s="2" t="s">
        <v>21</v>
      </c>
      <c r="I6785" s="2" t="s">
        <v>13403</v>
      </c>
      <c r="J6785" s="3" t="str">
        <f>HYPERLINK("https://www.boe.es/gazeta/dias/1820/09/01/pdfs/GGB-1820-65.pdf#page=4","Abrir facsímil")</f>
        <v>Abrir facsímil</v>
      </c>
      <c r="K6785" s="3" t="s">
        <v>23</v>
      </c>
    </row>
    <row r="6786" spans="1:11" ht="42" customHeight="1">
      <c r="A6786" s="2" t="s">
        <v>13404</v>
      </c>
      <c r="B6786" s="2" t="s">
        <v>13405</v>
      </c>
      <c r="C6786" s="2" t="s">
        <v>26</v>
      </c>
      <c r="D6786" s="2" t="s">
        <v>27</v>
      </c>
      <c r="E6786" s="5">
        <v>-29120</v>
      </c>
      <c r="F6786" s="3" t="s">
        <v>852</v>
      </c>
      <c r="G6786" s="3" t="s">
        <v>295</v>
      </c>
      <c r="H6786" s="2" t="s">
        <v>21</v>
      </c>
      <c r="I6786" s="2" t="s">
        <v>13406</v>
      </c>
      <c r="J6786" s="3" t="str">
        <f>HYPERLINK("https://www.boe.es/gazeta/dias/1820/04/08/pdfs/GMD-1820-63.pdf#page=8","Abrir facsímil")</f>
        <v>Abrir facsímil</v>
      </c>
      <c r="K6786" s="3" t="s">
        <v>23</v>
      </c>
    </row>
    <row r="6787" spans="1:11" ht="42" customHeight="1">
      <c r="A6787" s="2" t="s">
        <v>13407</v>
      </c>
      <c r="B6787" s="2" t="s">
        <v>13408</v>
      </c>
      <c r="C6787" s="2" t="s">
        <v>35</v>
      </c>
      <c r="D6787" s="2" t="s">
        <v>36</v>
      </c>
      <c r="E6787" s="5">
        <v>-29213</v>
      </c>
      <c r="F6787" s="3" t="s">
        <v>195</v>
      </c>
      <c r="G6787" s="3" t="s">
        <v>4787</v>
      </c>
      <c r="H6787" s="2" t="s">
        <v>21</v>
      </c>
      <c r="I6787" s="2" t="s">
        <v>13409</v>
      </c>
      <c r="J6787" s="3" t="str">
        <f>HYPERLINK("https://www.boe.es/gazeta/dias/1820/01/06/pdfs/GMD-1820-3.pdf#page=12","Abrir facsímil")</f>
        <v>Abrir facsímil</v>
      </c>
      <c r="K6787" s="3" t="s">
        <v>23</v>
      </c>
    </row>
    <row r="6788" spans="1:11" ht="42" customHeight="1">
      <c r="A6788" s="2" t="s">
        <v>13407</v>
      </c>
      <c r="B6788" s="2" t="s">
        <v>13408</v>
      </c>
      <c r="C6788" s="2" t="s">
        <v>35</v>
      </c>
      <c r="D6788" s="2" t="s">
        <v>36</v>
      </c>
      <c r="E6788" s="5">
        <v>-29099</v>
      </c>
      <c r="F6788" s="3" t="s">
        <v>871</v>
      </c>
      <c r="G6788" s="3" t="s">
        <v>295</v>
      </c>
      <c r="H6788" s="2" t="s">
        <v>21</v>
      </c>
      <c r="I6788" s="2" t="s">
        <v>13410</v>
      </c>
      <c r="J6788" s="3" t="str">
        <f>HYPERLINK("https://www.boe.es/gazeta/dias/1820/04/29/pdfs/GMD-1820-73.pdf#page=8","Abrir facsímil")</f>
        <v>Abrir facsímil</v>
      </c>
      <c r="K6788" s="3" t="s">
        <v>23</v>
      </c>
    </row>
    <row r="6789" spans="1:11" ht="42" customHeight="1">
      <c r="A6789" s="2" t="s">
        <v>13411</v>
      </c>
      <c r="B6789" s="2" t="s">
        <v>13412</v>
      </c>
      <c r="C6789" s="2" t="s">
        <v>111</v>
      </c>
      <c r="D6789" s="2" t="s">
        <v>310</v>
      </c>
      <c r="E6789" s="5">
        <v>-29134</v>
      </c>
      <c r="F6789" s="3" t="s">
        <v>2560</v>
      </c>
      <c r="G6789" s="3" t="s">
        <v>128</v>
      </c>
      <c r="H6789" s="2" t="s">
        <v>30</v>
      </c>
      <c r="I6789" s="2" t="s">
        <v>13413</v>
      </c>
      <c r="J6789" s="3" t="str">
        <f>HYPERLINK("https://www.boe.es/gazeta/dias/1820/03/25/pdfs/GMD-1820-54E.pdf#page=1","Abrir facsímil")</f>
        <v>Abrir facsímil</v>
      </c>
      <c r="K6789" s="3" t="s">
        <v>32</v>
      </c>
    </row>
    <row r="6790" spans="1:11" ht="42" customHeight="1">
      <c r="A6790" s="2" t="s">
        <v>13414</v>
      </c>
      <c r="B6790" s="2" t="s">
        <v>13415</v>
      </c>
      <c r="C6790" s="2" t="s">
        <v>35</v>
      </c>
      <c r="D6790" s="2" t="s">
        <v>36</v>
      </c>
      <c r="E6790" s="5">
        <v>-29045</v>
      </c>
      <c r="F6790" s="3" t="s">
        <v>155</v>
      </c>
      <c r="G6790" s="3" t="s">
        <v>38</v>
      </c>
      <c r="H6790" s="2" t="s">
        <v>30</v>
      </c>
      <c r="I6790" s="2" t="s">
        <v>13416</v>
      </c>
      <c r="J6790" s="3" t="str">
        <f>HYPERLINK("https://www.boe.es/gazeta/dias/1820/06/22/pdfs/GMD-1820-97.pdf#page=6","Abrir facsímil")</f>
        <v>Abrir facsímil</v>
      </c>
      <c r="K6790" s="3" t="s">
        <v>32</v>
      </c>
    </row>
    <row r="6791" spans="1:11" ht="42" customHeight="1">
      <c r="A6791" s="2" t="s">
        <v>13417</v>
      </c>
      <c r="B6791" s="2" t="s">
        <v>13418</v>
      </c>
      <c r="C6791" s="2" t="s">
        <v>74</v>
      </c>
      <c r="D6791" s="2" t="s">
        <v>18</v>
      </c>
      <c r="E6791" s="5">
        <v>-28861</v>
      </c>
      <c r="F6791" s="3" t="s">
        <v>894</v>
      </c>
      <c r="G6791" s="3" t="s">
        <v>20</v>
      </c>
      <c r="H6791" s="2" t="s">
        <v>30</v>
      </c>
      <c r="I6791" s="2" t="s">
        <v>13419</v>
      </c>
      <c r="J6791" s="3" t="str">
        <f>HYPERLINK("https://www.boe.es/gazeta/dias/1820/12/23/pdfs/GGB-1820-180.pdf#page=4","Abrir facsímil")</f>
        <v>Abrir facsímil</v>
      </c>
      <c r="K6791" s="3" t="s">
        <v>32</v>
      </c>
    </row>
    <row r="6792" spans="1:11" ht="42" customHeight="1">
      <c r="A6792" s="2" t="s">
        <v>13420</v>
      </c>
      <c r="B6792" s="2" t="s">
        <v>13421</v>
      </c>
      <c r="C6792" s="2" t="s">
        <v>111</v>
      </c>
      <c r="D6792" s="2" t="s">
        <v>18</v>
      </c>
      <c r="E6792" s="5">
        <v>-29215</v>
      </c>
      <c r="F6792" s="3" t="s">
        <v>827</v>
      </c>
      <c r="G6792" s="3" t="s">
        <v>461</v>
      </c>
      <c r="H6792" s="2" t="s">
        <v>30</v>
      </c>
      <c r="I6792" s="2" t="s">
        <v>13422</v>
      </c>
      <c r="J6792" s="3" t="str">
        <f>HYPERLINK("https://www.boe.es/gazeta/dias/1820/01/04/pdfs/GMD-1820-2.pdf#page=6","Abrir facsímil")</f>
        <v>Abrir facsímil</v>
      </c>
      <c r="K6792" s="3" t="s">
        <v>32</v>
      </c>
    </row>
    <row r="6793" spans="1:11" ht="42" customHeight="1">
      <c r="A6793" s="2" t="s">
        <v>13423</v>
      </c>
      <c r="B6793" s="2" t="s">
        <v>13424</v>
      </c>
      <c r="C6793" s="2" t="s">
        <v>26</v>
      </c>
      <c r="D6793" s="2" t="s">
        <v>27</v>
      </c>
      <c r="E6793" s="5">
        <v>-29001</v>
      </c>
      <c r="F6793" s="3" t="s">
        <v>633</v>
      </c>
      <c r="G6793" s="3" t="s">
        <v>20</v>
      </c>
      <c r="H6793" s="2" t="s">
        <v>30</v>
      </c>
      <c r="I6793" s="2" t="s">
        <v>13425</v>
      </c>
      <c r="J6793" s="3" t="str">
        <f>HYPERLINK("https://www.boe.es/gazeta/dias/1820/08/05/pdfs/GGB-1820-38.pdf#page=4","Abrir facsímil")</f>
        <v>Abrir facsímil</v>
      </c>
      <c r="K6793" s="3" t="s">
        <v>32</v>
      </c>
    </row>
    <row r="6794" spans="1:11" ht="42" customHeight="1">
      <c r="A6794" s="2" t="s">
        <v>13426</v>
      </c>
      <c r="B6794" s="2" t="s">
        <v>13427</v>
      </c>
      <c r="C6794" s="2" t="s">
        <v>35</v>
      </c>
      <c r="D6794" s="2" t="s">
        <v>36</v>
      </c>
      <c r="E6794" s="5">
        <v>-28924</v>
      </c>
      <c r="F6794" s="3" t="s">
        <v>78</v>
      </c>
      <c r="G6794" s="3" t="s">
        <v>62</v>
      </c>
      <c r="H6794" s="2" t="s">
        <v>30</v>
      </c>
      <c r="I6794" s="2" t="s">
        <v>13428</v>
      </c>
      <c r="J6794" s="3" t="str">
        <f>HYPERLINK("https://www.boe.es/gazeta/dias/1820/10/21/pdfs/GGB-1820-115.pdf#page=3","Abrir facsímil")</f>
        <v>Abrir facsímil</v>
      </c>
      <c r="K6794" s="3" t="s">
        <v>32</v>
      </c>
    </row>
    <row r="6795" spans="1:11" ht="42" customHeight="1">
      <c r="A6795" s="2" t="s">
        <v>13429</v>
      </c>
      <c r="B6795" s="2" t="s">
        <v>13429</v>
      </c>
      <c r="C6795" s="2" t="s">
        <v>35</v>
      </c>
      <c r="D6795" s="2" t="s">
        <v>36</v>
      </c>
      <c r="E6795" s="5">
        <v>-28961</v>
      </c>
      <c r="F6795" s="3" t="s">
        <v>242</v>
      </c>
      <c r="G6795" s="3" t="s">
        <v>62</v>
      </c>
      <c r="H6795" s="2" t="s">
        <v>21</v>
      </c>
      <c r="I6795" s="2" t="s">
        <v>13430</v>
      </c>
      <c r="J6795" s="3" t="str">
        <f>HYPERLINK("https://www.boe.es/gazeta/dias/1820/09/14/pdfs/GGB-1820-78.pdf#page=3","Abrir facsímil")</f>
        <v>Abrir facsímil</v>
      </c>
      <c r="K6795" s="3" t="s">
        <v>23</v>
      </c>
    </row>
    <row r="6796" spans="1:11" ht="42" customHeight="1">
      <c r="A6796" s="2" t="s">
        <v>13431</v>
      </c>
      <c r="B6796" s="2" t="s">
        <v>13432</v>
      </c>
      <c r="C6796" s="2" t="s">
        <v>26</v>
      </c>
      <c r="D6796" s="2" t="s">
        <v>27</v>
      </c>
      <c r="E6796" s="5">
        <v>-29003</v>
      </c>
      <c r="F6796" s="3" t="s">
        <v>340</v>
      </c>
      <c r="G6796" s="3" t="s">
        <v>128</v>
      </c>
      <c r="H6796" s="2" t="s">
        <v>21</v>
      </c>
      <c r="I6796" s="2" t="s">
        <v>13433</v>
      </c>
      <c r="J6796" s="3" t="str">
        <f>HYPERLINK("https://www.boe.es/gazeta/dias/1820/08/03/pdfs/GGB-1820-36.pdf#page=1","Abrir facsímil")</f>
        <v>Abrir facsímil</v>
      </c>
      <c r="K6796" s="3" t="s">
        <v>23</v>
      </c>
    </row>
    <row r="6797" spans="1:11" ht="42" customHeight="1">
      <c r="A6797" s="2" t="s">
        <v>13434</v>
      </c>
      <c r="B6797" s="2" t="s">
        <v>13434</v>
      </c>
      <c r="C6797" s="2" t="s">
        <v>35</v>
      </c>
      <c r="D6797" s="2" t="s">
        <v>36</v>
      </c>
      <c r="E6797" s="5">
        <v>-28949</v>
      </c>
      <c r="F6797" s="3" t="s">
        <v>178</v>
      </c>
      <c r="G6797" s="3" t="s">
        <v>62</v>
      </c>
      <c r="H6797" s="2" t="s">
        <v>21</v>
      </c>
      <c r="I6797" s="2" t="s">
        <v>13435</v>
      </c>
      <c r="J6797" s="3" t="str">
        <f>HYPERLINK("https://www.boe.es/gazeta/dias/1820/09/26/pdfs/GGB-1820-90.pdf#page=3","Abrir facsímil")</f>
        <v>Abrir facsímil</v>
      </c>
      <c r="K6797" s="3" t="s">
        <v>23</v>
      </c>
    </row>
    <row r="6798" spans="1:11" ht="42" customHeight="1">
      <c r="A6798" s="2" t="s">
        <v>13436</v>
      </c>
      <c r="B6798" s="2" t="s">
        <v>13436</v>
      </c>
      <c r="C6798" s="2" t="s">
        <v>35</v>
      </c>
      <c r="D6798" s="2" t="s">
        <v>36</v>
      </c>
      <c r="E6798" s="5">
        <v>-28965</v>
      </c>
      <c r="F6798" s="3" t="s">
        <v>1520</v>
      </c>
      <c r="G6798" s="3" t="s">
        <v>62</v>
      </c>
      <c r="H6798" s="2" t="s">
        <v>21</v>
      </c>
      <c r="I6798" s="2" t="s">
        <v>13437</v>
      </c>
      <c r="J6798" s="3" t="str">
        <f>HYPERLINK("https://www.boe.es/gazeta/dias/1820/09/10/pdfs/GGB-1820-74.pdf#page=3","Abrir facsímil")</f>
        <v>Abrir facsímil</v>
      </c>
      <c r="K6798" s="3" t="s">
        <v>23</v>
      </c>
    </row>
    <row r="6799" spans="1:11" ht="42" customHeight="1">
      <c r="A6799" s="2" t="s">
        <v>13438</v>
      </c>
      <c r="B6799" s="2" t="s">
        <v>13438</v>
      </c>
      <c r="C6799" s="2" t="s">
        <v>26</v>
      </c>
      <c r="D6799" s="2" t="s">
        <v>27</v>
      </c>
      <c r="E6799" s="5">
        <v>-29012</v>
      </c>
      <c r="F6799" s="3" t="s">
        <v>72</v>
      </c>
      <c r="G6799" s="3" t="s">
        <v>661</v>
      </c>
      <c r="H6799" s="2" t="s">
        <v>21</v>
      </c>
      <c r="I6799" s="2" t="s">
        <v>13439</v>
      </c>
      <c r="J6799" s="3" t="str">
        <f>HYPERLINK("https://www.boe.es/gazeta/dias/1820/07/25/pdfs/GGB-1820-27.pdf#page=2","Abrir facsímil")</f>
        <v>Abrir facsímil</v>
      </c>
      <c r="K6799" s="3" t="s">
        <v>23</v>
      </c>
    </row>
    <row r="6800" spans="1:11" ht="42" customHeight="1">
      <c r="A6800" s="2" t="s">
        <v>13438</v>
      </c>
      <c r="B6800" s="2" t="s">
        <v>13438</v>
      </c>
      <c r="C6800" s="2" t="s">
        <v>293</v>
      </c>
      <c r="D6800" s="2" t="s">
        <v>18</v>
      </c>
      <c r="E6800" s="5">
        <v>-29012</v>
      </c>
      <c r="F6800" s="3" t="s">
        <v>72</v>
      </c>
      <c r="G6800" s="3" t="s">
        <v>62</v>
      </c>
      <c r="H6800" s="2" t="s">
        <v>21</v>
      </c>
      <c r="I6800" s="2" t="s">
        <v>13440</v>
      </c>
      <c r="J6800" s="3" t="str">
        <f>HYPERLINK("https://www.boe.es/gazeta/dias/1820/07/25/pdfs/GGB-1820-27.pdf#page=3","Abrir facsímil")</f>
        <v>Abrir facsímil</v>
      </c>
      <c r="K6800" s="3" t="s">
        <v>23</v>
      </c>
    </row>
    <row r="6801" spans="1:11" ht="42" customHeight="1">
      <c r="A6801" s="2" t="s">
        <v>13438</v>
      </c>
      <c r="B6801" s="2" t="s">
        <v>13438</v>
      </c>
      <c r="C6801" s="2" t="s">
        <v>111</v>
      </c>
      <c r="D6801" s="2" t="s">
        <v>18</v>
      </c>
      <c r="E6801" s="5">
        <v>-29007</v>
      </c>
      <c r="F6801" s="3" t="s">
        <v>251</v>
      </c>
      <c r="G6801" s="3" t="s">
        <v>20</v>
      </c>
      <c r="H6801" s="2" t="s">
        <v>21</v>
      </c>
      <c r="I6801" s="2" t="s">
        <v>13441</v>
      </c>
      <c r="J6801" s="3" t="str">
        <f>HYPERLINK("https://www.boe.es/gazeta/dias/1820/07/30/pdfs/GGB-1820-32.pdf#page=4","Abrir facsímil")</f>
        <v>Abrir facsímil</v>
      </c>
      <c r="K6801" s="3" t="s">
        <v>23</v>
      </c>
    </row>
    <row r="6802" spans="1:11" ht="42" customHeight="1">
      <c r="A6802" s="2" t="s">
        <v>13438</v>
      </c>
      <c r="B6802" s="2" t="s">
        <v>13438</v>
      </c>
      <c r="C6802" s="2" t="s">
        <v>35</v>
      </c>
      <c r="D6802" s="2" t="s">
        <v>36</v>
      </c>
      <c r="E6802" s="5">
        <v>-28996</v>
      </c>
      <c r="F6802" s="3" t="s">
        <v>636</v>
      </c>
      <c r="G6802" s="3" t="s">
        <v>1039</v>
      </c>
      <c r="H6802" s="2" t="s">
        <v>21</v>
      </c>
      <c r="I6802" s="2" t="s">
        <v>13442</v>
      </c>
      <c r="J6802" s="3" t="str">
        <f>HYPERLINK("https://www.boe.es/gazeta/dias/1820/08/10/pdfs/GGB-1820-43.pdf#page=2","Abrir facsímil")</f>
        <v>Abrir facsímil</v>
      </c>
      <c r="K6802" s="3" t="s">
        <v>23</v>
      </c>
    </row>
    <row r="6803" spans="1:11" ht="42" customHeight="1">
      <c r="A6803" s="2" t="s">
        <v>13438</v>
      </c>
      <c r="B6803" s="2" t="s">
        <v>13438</v>
      </c>
      <c r="C6803" s="2" t="s">
        <v>26</v>
      </c>
      <c r="D6803" s="2" t="s">
        <v>27</v>
      </c>
      <c r="E6803" s="5">
        <v>-28991</v>
      </c>
      <c r="F6803" s="3" t="s">
        <v>213</v>
      </c>
      <c r="G6803" s="3" t="s">
        <v>62</v>
      </c>
      <c r="H6803" s="2" t="s">
        <v>21</v>
      </c>
      <c r="I6803" s="2" t="s">
        <v>13443</v>
      </c>
      <c r="J6803" s="3" t="str">
        <f>HYPERLINK("https://www.boe.es/gazeta/dias/1820/08/15/pdfs/GGB-1820-48.pdf#page=3","Abrir facsímil")</f>
        <v>Abrir facsímil</v>
      </c>
      <c r="K6803" s="3" t="s">
        <v>23</v>
      </c>
    </row>
    <row r="6804" spans="1:11" ht="42" customHeight="1">
      <c r="A6804" s="2" t="s">
        <v>13444</v>
      </c>
      <c r="B6804" s="2" t="s">
        <v>13444</v>
      </c>
      <c r="C6804" s="2" t="s">
        <v>35</v>
      </c>
      <c r="D6804" s="2" t="s">
        <v>36</v>
      </c>
      <c r="E6804" s="5">
        <v>-28976</v>
      </c>
      <c r="F6804" s="3" t="s">
        <v>689</v>
      </c>
      <c r="G6804" s="3" t="s">
        <v>62</v>
      </c>
      <c r="H6804" s="2" t="s">
        <v>21</v>
      </c>
      <c r="I6804" s="2" t="s">
        <v>13445</v>
      </c>
      <c r="J6804" s="3" t="str">
        <f>HYPERLINK("https://www.boe.es/gazeta/dias/1820/08/30/pdfs/GGB-1820-63.pdf#page=3","Abrir facsímil")</f>
        <v>Abrir facsímil</v>
      </c>
      <c r="K6804" s="3" t="s">
        <v>23</v>
      </c>
    </row>
    <row r="6805" spans="1:11" ht="42" customHeight="1">
      <c r="A6805" s="2" t="s">
        <v>13438</v>
      </c>
      <c r="B6805" s="2" t="s">
        <v>13438</v>
      </c>
      <c r="C6805" s="2" t="s">
        <v>26</v>
      </c>
      <c r="D6805" s="2" t="s">
        <v>27</v>
      </c>
      <c r="E6805" s="5">
        <v>-28963</v>
      </c>
      <c r="F6805" s="3" t="s">
        <v>94</v>
      </c>
      <c r="G6805" s="3" t="s">
        <v>62</v>
      </c>
      <c r="H6805" s="2" t="s">
        <v>21</v>
      </c>
      <c r="I6805" s="2" t="s">
        <v>13446</v>
      </c>
      <c r="J6805" s="3" t="str">
        <f>HYPERLINK("https://www.boe.es/gazeta/dias/1820/09/12/pdfs/GGB-1820-76.pdf#page=3","Abrir facsímil")</f>
        <v>Abrir facsímil</v>
      </c>
      <c r="K6805" s="3" t="s">
        <v>23</v>
      </c>
    </row>
    <row r="6806" spans="1:11" ht="42" customHeight="1">
      <c r="A6806" s="2" t="s">
        <v>13438</v>
      </c>
      <c r="B6806" s="2" t="s">
        <v>13438</v>
      </c>
      <c r="C6806" s="2" t="s">
        <v>35</v>
      </c>
      <c r="D6806" s="2" t="s">
        <v>36</v>
      </c>
      <c r="E6806" s="5">
        <v>-28961</v>
      </c>
      <c r="F6806" s="3" t="s">
        <v>242</v>
      </c>
      <c r="G6806" s="3" t="s">
        <v>62</v>
      </c>
      <c r="H6806" s="2" t="s">
        <v>21</v>
      </c>
      <c r="I6806" s="2" t="s">
        <v>13447</v>
      </c>
      <c r="J6806" s="3" t="str">
        <f>HYPERLINK("https://www.boe.es/gazeta/dias/1820/09/14/pdfs/GGB-1820-78.pdf#page=3","Abrir facsímil")</f>
        <v>Abrir facsímil</v>
      </c>
      <c r="K6806" s="3" t="s">
        <v>23</v>
      </c>
    </row>
    <row r="6807" spans="1:11" ht="42" customHeight="1">
      <c r="A6807" s="2" t="s">
        <v>13438</v>
      </c>
      <c r="B6807" s="2" t="s">
        <v>13438</v>
      </c>
      <c r="C6807" s="2" t="s">
        <v>74</v>
      </c>
      <c r="D6807" s="2" t="s">
        <v>18</v>
      </c>
      <c r="E6807" s="5">
        <v>-28958</v>
      </c>
      <c r="F6807" s="3" t="s">
        <v>706</v>
      </c>
      <c r="G6807" s="3" t="s">
        <v>62</v>
      </c>
      <c r="H6807" s="2" t="s">
        <v>21</v>
      </c>
      <c r="I6807" s="2" t="s">
        <v>13448</v>
      </c>
      <c r="J6807" s="3" t="str">
        <f>HYPERLINK("https://www.boe.es/gazeta/dias/1820/09/17/pdfs/GGB-1820-81.pdf#page=3","Abrir facsímil")</f>
        <v>Abrir facsímil</v>
      </c>
      <c r="K6807" s="3" t="s">
        <v>23</v>
      </c>
    </row>
    <row r="6808" spans="1:11" ht="42" customHeight="1">
      <c r="A6808" s="2" t="s">
        <v>13438</v>
      </c>
      <c r="B6808" s="2" t="s">
        <v>13438</v>
      </c>
      <c r="C6808" s="2" t="s">
        <v>35</v>
      </c>
      <c r="D6808" s="2" t="s">
        <v>36</v>
      </c>
      <c r="E6808" s="5">
        <v>-28927</v>
      </c>
      <c r="F6808" s="3" t="s">
        <v>345</v>
      </c>
      <c r="G6808" s="3" t="s">
        <v>43</v>
      </c>
      <c r="H6808" s="2" t="s">
        <v>21</v>
      </c>
      <c r="I6808" s="2" t="s">
        <v>13449</v>
      </c>
      <c r="J6808" s="3" t="str">
        <f>HYPERLINK("https://www.boe.es/gazeta/dias/1820/10/18/pdfs/GGB-1820-112.pdf#page=2","Abrir facsímil")</f>
        <v>Abrir facsímil</v>
      </c>
      <c r="K6808" s="3" t="s">
        <v>23</v>
      </c>
    </row>
    <row r="6809" spans="1:11" ht="42" customHeight="1">
      <c r="A6809" s="2" t="s">
        <v>13438</v>
      </c>
      <c r="B6809" s="2" t="s">
        <v>13438</v>
      </c>
      <c r="C6809" s="2" t="s">
        <v>35</v>
      </c>
      <c r="D6809" s="2" t="s">
        <v>36</v>
      </c>
      <c r="E6809" s="5">
        <v>-28919</v>
      </c>
      <c r="F6809" s="3" t="s">
        <v>516</v>
      </c>
      <c r="G6809" s="3" t="s">
        <v>43</v>
      </c>
      <c r="H6809" s="2" t="s">
        <v>21</v>
      </c>
      <c r="I6809" s="2" t="s">
        <v>13450</v>
      </c>
      <c r="J6809" s="3" t="str">
        <f>HYPERLINK("https://www.boe.es/gazeta/dias/1820/10/26/pdfs/GGB-1820-120.pdf#page=2","Abrir facsímil")</f>
        <v>Abrir facsímil</v>
      </c>
      <c r="K6809" s="3" t="s">
        <v>23</v>
      </c>
    </row>
    <row r="6810" spans="1:11" ht="42" customHeight="1">
      <c r="A6810" s="2" t="s">
        <v>13438</v>
      </c>
      <c r="B6810" s="2" t="s">
        <v>13438</v>
      </c>
      <c r="C6810" s="2" t="s">
        <v>111</v>
      </c>
      <c r="D6810" s="2" t="s">
        <v>18</v>
      </c>
      <c r="E6810" s="5">
        <v>-28914</v>
      </c>
      <c r="F6810" s="3" t="s">
        <v>434</v>
      </c>
      <c r="G6810" s="3" t="s">
        <v>62</v>
      </c>
      <c r="H6810" s="2" t="s">
        <v>21</v>
      </c>
      <c r="I6810" s="2" t="s">
        <v>13451</v>
      </c>
      <c r="J6810" s="3" t="str">
        <f>HYPERLINK("https://www.boe.es/gazeta/dias/1820/10/31/pdfs/GGB-1820-125.pdf#page=3","Abrir facsímil")</f>
        <v>Abrir facsímil</v>
      </c>
      <c r="K6810" s="3" t="s">
        <v>23</v>
      </c>
    </row>
    <row r="6811" spans="1:11" ht="42" customHeight="1">
      <c r="A6811" s="2" t="s">
        <v>13438</v>
      </c>
      <c r="B6811" s="2" t="s">
        <v>13438</v>
      </c>
      <c r="C6811" s="2" t="s">
        <v>74</v>
      </c>
      <c r="D6811" s="2" t="s">
        <v>18</v>
      </c>
      <c r="E6811" s="5">
        <v>-28909</v>
      </c>
      <c r="F6811" s="3" t="s">
        <v>278</v>
      </c>
      <c r="G6811" s="3" t="s">
        <v>20</v>
      </c>
      <c r="H6811" s="2" t="s">
        <v>21</v>
      </c>
      <c r="I6811" s="2" t="s">
        <v>13452</v>
      </c>
      <c r="J6811" s="3" t="str">
        <f>HYPERLINK("https://www.boe.es/gazeta/dias/1820/11/05/pdfs/GGB-1820-130.pdf#page=4","Abrir facsímil")</f>
        <v>Abrir facsímil</v>
      </c>
      <c r="K6811" s="3" t="s">
        <v>23</v>
      </c>
    </row>
    <row r="6812" spans="1:11" ht="42" customHeight="1">
      <c r="A6812" s="2" t="s">
        <v>13453</v>
      </c>
      <c r="B6812" s="2" t="s">
        <v>13454</v>
      </c>
      <c r="C6812" s="2" t="s">
        <v>17</v>
      </c>
      <c r="D6812" s="2" t="s">
        <v>18</v>
      </c>
      <c r="E6812" s="5">
        <v>-29138</v>
      </c>
      <c r="F6812" s="3" t="s">
        <v>200</v>
      </c>
      <c r="G6812" s="3" t="s">
        <v>201</v>
      </c>
      <c r="H6812" s="2" t="s">
        <v>21</v>
      </c>
      <c r="I6812" s="2" t="s">
        <v>13455</v>
      </c>
      <c r="J6812" s="3" t="str">
        <f>HYPERLINK("https://www.boe.es/gazeta/dias/1820/03/21/pdfs/GMD-1820-46.pdf#page=7","Abrir facsímil")</f>
        <v>Abrir facsímil</v>
      </c>
      <c r="K6812" s="3" t="s">
        <v>23</v>
      </c>
    </row>
    <row r="6813" spans="1:11" ht="42" customHeight="1">
      <c r="A6813" s="2" t="s">
        <v>13453</v>
      </c>
      <c r="B6813" s="2" t="s">
        <v>13454</v>
      </c>
      <c r="C6813" s="2" t="s">
        <v>17</v>
      </c>
      <c r="D6813" s="2" t="s">
        <v>18</v>
      </c>
      <c r="E6813" s="5">
        <v>-29024</v>
      </c>
      <c r="F6813" s="3" t="s">
        <v>1916</v>
      </c>
      <c r="G6813" s="3" t="s">
        <v>43</v>
      </c>
      <c r="H6813" s="2" t="s">
        <v>21</v>
      </c>
      <c r="I6813" s="2" t="s">
        <v>13456</v>
      </c>
      <c r="J6813" s="3" t="str">
        <f>HYPERLINK("https://www.boe.es/gazeta/dias/1820/07/13/pdfs/GGB-1820-15.pdf#page=2","Abrir facsímil")</f>
        <v>Abrir facsímil</v>
      </c>
      <c r="K6813" s="3" t="s">
        <v>23</v>
      </c>
    </row>
    <row r="6814" spans="1:11" ht="42" customHeight="1">
      <c r="A6814" s="2" t="s">
        <v>13457</v>
      </c>
      <c r="B6814" s="2" t="s">
        <v>13457</v>
      </c>
      <c r="C6814" s="2" t="s">
        <v>35</v>
      </c>
      <c r="D6814" s="2" t="s">
        <v>36</v>
      </c>
      <c r="E6814" s="5">
        <v>-28942</v>
      </c>
      <c r="F6814" s="3" t="s">
        <v>244</v>
      </c>
      <c r="G6814" s="3" t="s">
        <v>62</v>
      </c>
      <c r="H6814" s="2" t="s">
        <v>21</v>
      </c>
      <c r="I6814" s="2" t="s">
        <v>13458</v>
      </c>
      <c r="J6814" s="3" t="str">
        <f>HYPERLINK("https://www.boe.es/gazeta/dias/1820/10/03/pdfs/GGB-1820-97.pdf#page=3","Abrir facsímil")</f>
        <v>Abrir facsímil</v>
      </c>
      <c r="K6814" s="3" t="s">
        <v>23</v>
      </c>
    </row>
    <row r="6815" spans="1:11" ht="42" customHeight="1">
      <c r="A6815" s="2" t="s">
        <v>13459</v>
      </c>
      <c r="B6815" s="2" t="s">
        <v>13460</v>
      </c>
      <c r="C6815" s="2" t="s">
        <v>17</v>
      </c>
      <c r="D6815" s="2" t="s">
        <v>18</v>
      </c>
      <c r="E6815" s="5">
        <v>-28858</v>
      </c>
      <c r="F6815" s="3" t="s">
        <v>117</v>
      </c>
      <c r="G6815" s="3" t="s">
        <v>20</v>
      </c>
      <c r="H6815" s="2" t="s">
        <v>21</v>
      </c>
      <c r="I6815" s="2" t="s">
        <v>13461</v>
      </c>
      <c r="J6815" s="3" t="str">
        <f>HYPERLINK("https://www.boe.es/gazeta/dias/1820/12/26/pdfs/GGB-1820-183.pdf#page=4","Abrir facsímil")</f>
        <v>Abrir facsímil</v>
      </c>
      <c r="K6815" s="3" t="s">
        <v>23</v>
      </c>
    </row>
    <row r="6816" spans="1:11" ht="42" customHeight="1">
      <c r="A6816" s="2" t="s">
        <v>13462</v>
      </c>
      <c r="B6816" s="2" t="s">
        <v>13463</v>
      </c>
      <c r="C6816" s="2" t="s">
        <v>35</v>
      </c>
      <c r="D6816" s="2" t="s">
        <v>36</v>
      </c>
      <c r="E6816" s="5">
        <v>-29085</v>
      </c>
      <c r="F6816" s="3" t="s">
        <v>1502</v>
      </c>
      <c r="G6816" s="3" t="s">
        <v>295</v>
      </c>
      <c r="H6816" s="2" t="s">
        <v>21</v>
      </c>
      <c r="I6816" s="2" t="s">
        <v>13464</v>
      </c>
      <c r="J6816" s="3" t="str">
        <f>HYPERLINK("https://www.boe.es/gazeta/dias/1820/05/13/pdfs/GMD-1820-79.pdf#page=8","Abrir facsímil")</f>
        <v>Abrir facsímil</v>
      </c>
      <c r="K6816" s="3" t="s">
        <v>23</v>
      </c>
    </row>
    <row r="6817" spans="1:11" ht="42" customHeight="1">
      <c r="A6817" s="2" t="s">
        <v>13465</v>
      </c>
      <c r="B6817" s="2" t="s">
        <v>13466</v>
      </c>
      <c r="C6817" s="2" t="s">
        <v>293</v>
      </c>
      <c r="D6817" s="2" t="s">
        <v>18</v>
      </c>
      <c r="E6817" s="5">
        <v>-28990</v>
      </c>
      <c r="F6817" s="3" t="s">
        <v>61</v>
      </c>
      <c r="G6817" s="3" t="s">
        <v>62</v>
      </c>
      <c r="H6817" s="2" t="s">
        <v>21</v>
      </c>
      <c r="I6817" s="2" t="s">
        <v>13467</v>
      </c>
      <c r="J6817" s="3" t="str">
        <f>HYPERLINK("https://www.boe.es/gazeta/dias/1820/08/16/pdfs/GGB-1820-49.pdf#page=3","Abrir facsímil")</f>
        <v>Abrir facsímil</v>
      </c>
      <c r="K6817" s="3" t="s">
        <v>23</v>
      </c>
    </row>
    <row r="6818" spans="1:11" ht="42" customHeight="1">
      <c r="A6818" s="2" t="s">
        <v>13468</v>
      </c>
      <c r="B6818" s="2" t="s">
        <v>13468</v>
      </c>
      <c r="C6818" s="2" t="s">
        <v>35</v>
      </c>
      <c r="D6818" s="2" t="s">
        <v>36</v>
      </c>
      <c r="E6818" s="5">
        <v>-28964</v>
      </c>
      <c r="F6818" s="3" t="s">
        <v>240</v>
      </c>
      <c r="G6818" s="3" t="s">
        <v>43</v>
      </c>
      <c r="H6818" s="2" t="s">
        <v>21</v>
      </c>
      <c r="I6818" s="2" t="s">
        <v>13469</v>
      </c>
      <c r="J6818" s="3" t="str">
        <f>HYPERLINK("https://www.boe.es/gazeta/dias/1820/09/11/pdfs/GGB-1820-75.pdf#page=2","Abrir facsímil")</f>
        <v>Abrir facsímil</v>
      </c>
      <c r="K6818" s="3" t="s">
        <v>23</v>
      </c>
    </row>
    <row r="6819" spans="1:11" ht="42" customHeight="1">
      <c r="A6819" s="2" t="s">
        <v>13470</v>
      </c>
      <c r="B6819" s="2" t="s">
        <v>13471</v>
      </c>
      <c r="C6819" s="2" t="s">
        <v>35</v>
      </c>
      <c r="D6819" s="2" t="s">
        <v>36</v>
      </c>
      <c r="E6819" s="5">
        <v>-29143</v>
      </c>
      <c r="F6819" s="3" t="s">
        <v>334</v>
      </c>
      <c r="G6819" s="3" t="s">
        <v>38</v>
      </c>
      <c r="H6819" s="2" t="s">
        <v>21</v>
      </c>
      <c r="I6819" s="2" t="s">
        <v>13472</v>
      </c>
      <c r="J6819" s="3" t="str">
        <f>HYPERLINK("https://www.boe.es/gazeta/dias/1820/03/16/pdfs/GMD-1820-42.pdf#page=6","Abrir facsímil")</f>
        <v>Abrir facsímil</v>
      </c>
      <c r="K6819" s="3" t="s">
        <v>23</v>
      </c>
    </row>
    <row r="6820" spans="1:11" ht="42" customHeight="1">
      <c r="A6820" s="2" t="s">
        <v>13473</v>
      </c>
      <c r="B6820" s="2" t="s">
        <v>13474</v>
      </c>
      <c r="C6820" s="2" t="s">
        <v>26</v>
      </c>
      <c r="D6820" s="2" t="s">
        <v>310</v>
      </c>
      <c r="E6820" s="5">
        <v>-29150</v>
      </c>
      <c r="F6820" s="3" t="s">
        <v>4978</v>
      </c>
      <c r="G6820" s="3" t="s">
        <v>128</v>
      </c>
      <c r="H6820" s="2" t="s">
        <v>21</v>
      </c>
      <c r="I6820" s="2" t="s">
        <v>13475</v>
      </c>
      <c r="J6820" s="3" t="str">
        <f>HYPERLINK("https://www.boe.es/gazeta/dias/1820/03/09/pdfs/GMD-1820-34E.pdf#page=1","Abrir facsímil")</f>
        <v>Abrir facsímil</v>
      </c>
      <c r="K6820" s="3" t="s">
        <v>23</v>
      </c>
    </row>
    <row r="6821" spans="1:11" ht="42" customHeight="1">
      <c r="A6821" s="2" t="s">
        <v>13476</v>
      </c>
      <c r="B6821" s="2" t="s">
        <v>13476</v>
      </c>
      <c r="C6821" s="2" t="s">
        <v>111</v>
      </c>
      <c r="D6821" s="2" t="s">
        <v>18</v>
      </c>
      <c r="E6821" s="5">
        <v>-29117</v>
      </c>
      <c r="F6821" s="3" t="s">
        <v>1451</v>
      </c>
      <c r="G6821" s="3" t="s">
        <v>38</v>
      </c>
      <c r="H6821" s="2" t="s">
        <v>21</v>
      </c>
      <c r="I6821" s="2" t="s">
        <v>13477</v>
      </c>
      <c r="J6821" s="3" t="str">
        <f>HYPERLINK("https://www.boe.es/gazeta/dias/1820/04/11/pdfs/GMD-1820-64.pdf#page=6","Abrir facsímil")</f>
        <v>Abrir facsímil</v>
      </c>
      <c r="K6821" s="3" t="s">
        <v>23</v>
      </c>
    </row>
    <row r="6822" spans="1:11" ht="42" customHeight="1">
      <c r="A6822" s="2" t="s">
        <v>13478</v>
      </c>
      <c r="B6822" s="2" t="s">
        <v>13479</v>
      </c>
      <c r="C6822" s="2" t="s">
        <v>17</v>
      </c>
      <c r="D6822" s="2" t="s">
        <v>18</v>
      </c>
      <c r="E6822" s="5">
        <v>-28953</v>
      </c>
      <c r="F6822" s="3" t="s">
        <v>367</v>
      </c>
      <c r="G6822" s="3" t="s">
        <v>20</v>
      </c>
      <c r="H6822" s="2" t="s">
        <v>21</v>
      </c>
      <c r="I6822" s="2" t="s">
        <v>13480</v>
      </c>
      <c r="J6822" s="3" t="str">
        <f>HYPERLINK("https://www.boe.es/gazeta/dias/1820/09/22/pdfs/GGB-1820-86.pdf#page=4","Abrir facsímil")</f>
        <v>Abrir facsímil</v>
      </c>
      <c r="K6822" s="3" t="s">
        <v>23</v>
      </c>
    </row>
    <row r="6823" spans="1:11" ht="42" customHeight="1">
      <c r="A6823" s="2" t="s">
        <v>13481</v>
      </c>
      <c r="B6823" s="2" t="s">
        <v>13482</v>
      </c>
      <c r="C6823" s="2" t="s">
        <v>26</v>
      </c>
      <c r="D6823" s="2" t="s">
        <v>310</v>
      </c>
      <c r="E6823" s="5">
        <v>-29139</v>
      </c>
      <c r="F6823" s="3" t="s">
        <v>6989</v>
      </c>
      <c r="G6823" s="3" t="s">
        <v>128</v>
      </c>
      <c r="H6823" s="2" t="s">
        <v>21</v>
      </c>
      <c r="I6823" s="2" t="s">
        <v>13483</v>
      </c>
      <c r="J6823" s="3" t="str">
        <f>HYPERLINK("https://www.boe.es/gazeta/dias/1820/03/20/pdfs/GMD-1820-47E.pdf#page=1","Abrir facsímil")</f>
        <v>Abrir facsímil</v>
      </c>
      <c r="K6823" s="3" t="s">
        <v>23</v>
      </c>
    </row>
    <row r="6824" spans="1:11" ht="42" customHeight="1">
      <c r="A6824" s="2" t="s">
        <v>13481</v>
      </c>
      <c r="B6824" s="2" t="s">
        <v>13482</v>
      </c>
      <c r="C6824" s="2" t="s">
        <v>26</v>
      </c>
      <c r="D6824" s="2" t="s">
        <v>27</v>
      </c>
      <c r="E6824" s="5">
        <v>-28950</v>
      </c>
      <c r="F6824" s="3" t="s">
        <v>1052</v>
      </c>
      <c r="G6824" s="3" t="s">
        <v>20</v>
      </c>
      <c r="H6824" s="2" t="s">
        <v>21</v>
      </c>
      <c r="I6824" s="2" t="s">
        <v>13484</v>
      </c>
      <c r="J6824" s="3" t="str">
        <f>HYPERLINK("https://www.boe.es/gazeta/dias/1820/09/25/pdfs/GGB-1820-89.pdf#page=4","Abrir facsímil")</f>
        <v>Abrir facsímil</v>
      </c>
      <c r="K6824" s="3" t="s">
        <v>23</v>
      </c>
    </row>
    <row r="6825" spans="1:11" ht="42" customHeight="1">
      <c r="A6825" s="2" t="s">
        <v>13481</v>
      </c>
      <c r="B6825" s="2" t="s">
        <v>13482</v>
      </c>
      <c r="C6825" s="2" t="s">
        <v>26</v>
      </c>
      <c r="D6825" s="2" t="s">
        <v>27</v>
      </c>
      <c r="E6825" s="5">
        <v>-28949</v>
      </c>
      <c r="F6825" s="3" t="s">
        <v>178</v>
      </c>
      <c r="G6825" s="3" t="s">
        <v>62</v>
      </c>
      <c r="H6825" s="2" t="s">
        <v>21</v>
      </c>
      <c r="I6825" s="2" t="s">
        <v>13485</v>
      </c>
      <c r="J6825" s="3" t="str">
        <f>HYPERLINK("https://www.boe.es/gazeta/dias/1820/09/26/pdfs/GGB-1820-90.pdf#page=3","Abrir facsímil")</f>
        <v>Abrir facsímil</v>
      </c>
      <c r="K6825" s="3" t="s">
        <v>23</v>
      </c>
    </row>
    <row r="6826" spans="1:11" ht="42" customHeight="1">
      <c r="A6826" s="2" t="s">
        <v>13481</v>
      </c>
      <c r="B6826" s="2" t="s">
        <v>13482</v>
      </c>
      <c r="C6826" s="2" t="s">
        <v>26</v>
      </c>
      <c r="D6826" s="2" t="s">
        <v>27</v>
      </c>
      <c r="E6826" s="5">
        <v>-28904</v>
      </c>
      <c r="F6826" s="3" t="s">
        <v>541</v>
      </c>
      <c r="G6826" s="3" t="s">
        <v>20</v>
      </c>
      <c r="H6826" s="2" t="s">
        <v>21</v>
      </c>
      <c r="I6826" s="2" t="s">
        <v>13486</v>
      </c>
      <c r="J6826" s="3" t="str">
        <f>HYPERLINK("https://www.boe.es/gazeta/dias/1820/11/10/pdfs/GGB-1820-136.pdf#page=4","Abrir facsímil")</f>
        <v>Abrir facsímil</v>
      </c>
      <c r="K6826" s="3" t="s">
        <v>23</v>
      </c>
    </row>
    <row r="6827" spans="1:11" ht="42" customHeight="1">
      <c r="A6827" s="2" t="s">
        <v>13487</v>
      </c>
      <c r="B6827" s="2" t="s">
        <v>13488</v>
      </c>
      <c r="C6827" s="2" t="s">
        <v>17</v>
      </c>
      <c r="D6827" s="2" t="s">
        <v>18</v>
      </c>
      <c r="E6827" s="5">
        <v>-28912</v>
      </c>
      <c r="F6827" s="3" t="s">
        <v>1329</v>
      </c>
      <c r="G6827" s="3" t="s">
        <v>20</v>
      </c>
      <c r="H6827" s="2" t="s">
        <v>21</v>
      </c>
      <c r="I6827" s="2" t="s">
        <v>13489</v>
      </c>
      <c r="J6827" s="3" t="str">
        <f>HYPERLINK("https://www.boe.es/gazeta/dias/1820/11/02/pdfs/GGB-1820-127.pdf#page=4","Abrir facsímil")</f>
        <v>Abrir facsímil</v>
      </c>
      <c r="K6827" s="3" t="s">
        <v>23</v>
      </c>
    </row>
    <row r="6828" spans="1:11" ht="42" customHeight="1">
      <c r="A6828" s="2" t="s">
        <v>13490</v>
      </c>
      <c r="B6828" s="2" t="s">
        <v>13491</v>
      </c>
      <c r="C6828" s="2" t="s">
        <v>35</v>
      </c>
      <c r="D6828" s="2" t="s">
        <v>36</v>
      </c>
      <c r="E6828" s="5">
        <v>-29015</v>
      </c>
      <c r="F6828" s="3" t="s">
        <v>359</v>
      </c>
      <c r="G6828" s="3" t="s">
        <v>20</v>
      </c>
      <c r="H6828" s="2" t="s">
        <v>21</v>
      </c>
      <c r="I6828" s="2" t="s">
        <v>13492</v>
      </c>
      <c r="J6828" s="3" t="str">
        <f>HYPERLINK("https://www.boe.es/gazeta/dias/1820/07/22/pdfs/GGB-1820-24.pdf#page=4","Abrir facsímil")</f>
        <v>Abrir facsímil</v>
      </c>
      <c r="K6828" s="3" t="s">
        <v>23</v>
      </c>
    </row>
    <row r="6829" spans="1:11" ht="42" customHeight="1">
      <c r="A6829" s="2" t="s">
        <v>13493</v>
      </c>
      <c r="B6829" s="2" t="s">
        <v>13494</v>
      </c>
      <c r="C6829" s="2" t="s">
        <v>74</v>
      </c>
      <c r="D6829" s="2" t="s">
        <v>18</v>
      </c>
      <c r="E6829" s="5">
        <v>-29022</v>
      </c>
      <c r="F6829" s="3" t="s">
        <v>1310</v>
      </c>
      <c r="G6829" s="3" t="s">
        <v>62</v>
      </c>
      <c r="H6829" s="2" t="s">
        <v>21</v>
      </c>
      <c r="I6829" s="2" t="s">
        <v>13495</v>
      </c>
      <c r="J6829" s="3" t="str">
        <f>HYPERLINK("https://www.boe.es/gazeta/dias/1820/07/15/pdfs/GGB-1820-17.pdf#page=3","Abrir facsímil")</f>
        <v>Abrir facsímil</v>
      </c>
      <c r="K6829" s="3" t="s">
        <v>23</v>
      </c>
    </row>
    <row r="6830" spans="1:11" ht="42" customHeight="1">
      <c r="A6830" s="2" t="s">
        <v>13496</v>
      </c>
      <c r="B6830" s="2" t="s">
        <v>13497</v>
      </c>
      <c r="C6830" s="2" t="s">
        <v>35</v>
      </c>
      <c r="D6830" s="2" t="s">
        <v>36</v>
      </c>
      <c r="E6830" s="5">
        <v>-28971</v>
      </c>
      <c r="F6830" s="3" t="s">
        <v>691</v>
      </c>
      <c r="G6830" s="3" t="s">
        <v>5078</v>
      </c>
      <c r="H6830" s="2" t="s">
        <v>21</v>
      </c>
      <c r="I6830" s="2" t="s">
        <v>13498</v>
      </c>
      <c r="J6830" s="3" t="str">
        <f>HYPERLINK("https://www.boe.es/gazeta/dias/1820/09/04/pdfs/GGB-1820-68.pdf#page=4","Abrir facsímil")</f>
        <v>Abrir facsímil</v>
      </c>
      <c r="K6830" s="3" t="s">
        <v>23</v>
      </c>
    </row>
    <row r="6831" spans="1:11" ht="42" customHeight="1">
      <c r="A6831" s="2" t="s">
        <v>13499</v>
      </c>
      <c r="B6831" s="2" t="s">
        <v>13500</v>
      </c>
      <c r="C6831" s="2" t="s">
        <v>26</v>
      </c>
      <c r="D6831" s="2" t="s">
        <v>27</v>
      </c>
      <c r="E6831" s="5">
        <v>-28880</v>
      </c>
      <c r="F6831" s="3" t="s">
        <v>1574</v>
      </c>
      <c r="G6831" s="3" t="s">
        <v>62</v>
      </c>
      <c r="H6831" s="2" t="s">
        <v>21</v>
      </c>
      <c r="I6831" s="2" t="s">
        <v>13501</v>
      </c>
      <c r="J6831" s="3" t="str">
        <f>HYPERLINK("https://www.boe.es/gazeta/dias/1820/12/04/pdfs/GGB-1820-161.pdf#page=3","Abrir facsímil")</f>
        <v>Abrir facsímil</v>
      </c>
      <c r="K6831" s="3" t="s">
        <v>23</v>
      </c>
    </row>
    <row r="6832" spans="1:11" ht="42" customHeight="1">
      <c r="A6832" s="2" t="s">
        <v>13502</v>
      </c>
      <c r="B6832" s="2" t="s">
        <v>13502</v>
      </c>
      <c r="C6832" s="2" t="s">
        <v>26</v>
      </c>
      <c r="D6832" s="2" t="s">
        <v>27</v>
      </c>
      <c r="E6832" s="5">
        <v>-29021</v>
      </c>
      <c r="F6832" s="3" t="s">
        <v>377</v>
      </c>
      <c r="G6832" s="3" t="s">
        <v>20</v>
      </c>
      <c r="H6832" s="2" t="s">
        <v>21</v>
      </c>
      <c r="I6832" s="2" t="s">
        <v>13503</v>
      </c>
      <c r="J6832" s="3" t="str">
        <f>HYPERLINK("https://www.boe.es/gazeta/dias/1820/07/16/pdfs/GGB-1820-18.pdf#page=4","Abrir facsímil")</f>
        <v>Abrir facsímil</v>
      </c>
      <c r="K6832" s="3" t="s">
        <v>23</v>
      </c>
    </row>
    <row r="6833" spans="1:11" ht="42" customHeight="1">
      <c r="A6833" s="2" t="s">
        <v>13504</v>
      </c>
      <c r="B6833" s="2" t="s">
        <v>13505</v>
      </c>
      <c r="C6833" s="2" t="s">
        <v>17</v>
      </c>
      <c r="D6833" s="2" t="s">
        <v>18</v>
      </c>
      <c r="E6833" s="5">
        <v>-28964</v>
      </c>
      <c r="F6833" s="3" t="s">
        <v>240</v>
      </c>
      <c r="G6833" s="3" t="s">
        <v>43</v>
      </c>
      <c r="H6833" s="2" t="s">
        <v>21</v>
      </c>
      <c r="I6833" s="2" t="s">
        <v>13506</v>
      </c>
      <c r="J6833" s="3" t="str">
        <f>HYPERLINK("https://www.boe.es/gazeta/dias/1820/09/11/pdfs/GGB-1820-75.pdf#page=2","Abrir facsímil")</f>
        <v>Abrir facsímil</v>
      </c>
      <c r="K6833" s="3" t="s">
        <v>23</v>
      </c>
    </row>
    <row r="6834" spans="1:11" ht="42" customHeight="1">
      <c r="A6834" s="2" t="s">
        <v>13507</v>
      </c>
      <c r="B6834" s="2" t="s">
        <v>13507</v>
      </c>
      <c r="C6834" s="2" t="s">
        <v>35</v>
      </c>
      <c r="D6834" s="2" t="s">
        <v>36</v>
      </c>
      <c r="E6834" s="5">
        <v>-28934</v>
      </c>
      <c r="F6834" s="3" t="s">
        <v>163</v>
      </c>
      <c r="G6834" s="3" t="s">
        <v>20</v>
      </c>
      <c r="H6834" s="2" t="s">
        <v>21</v>
      </c>
      <c r="I6834" s="2" t="s">
        <v>13508</v>
      </c>
      <c r="J6834" s="3" t="str">
        <f>HYPERLINK("https://www.boe.es/gazeta/dias/1820/10/11/pdfs/GGB-1820-105.pdf#page=4","Abrir facsímil")</f>
        <v>Abrir facsímil</v>
      </c>
      <c r="K6834" s="3" t="s">
        <v>23</v>
      </c>
    </row>
    <row r="6835" spans="1:11" ht="42" customHeight="1">
      <c r="A6835" s="2" t="s">
        <v>13509</v>
      </c>
      <c r="B6835" s="2" t="s">
        <v>13510</v>
      </c>
      <c r="C6835" s="2" t="s">
        <v>35</v>
      </c>
      <c r="D6835" s="2" t="s">
        <v>36</v>
      </c>
      <c r="E6835" s="5">
        <v>-28895</v>
      </c>
      <c r="F6835" s="3" t="s">
        <v>347</v>
      </c>
      <c r="G6835" s="3" t="s">
        <v>62</v>
      </c>
      <c r="H6835" s="2" t="s">
        <v>21</v>
      </c>
      <c r="I6835" s="2" t="s">
        <v>13511</v>
      </c>
      <c r="J6835" s="3" t="str">
        <f>HYPERLINK("https://www.boe.es/gazeta/dias/1820/11/19/pdfs/GGB-1820-146.pdf#page=3","Abrir facsímil")</f>
        <v>Abrir facsímil</v>
      </c>
      <c r="K6835" s="3" t="s">
        <v>23</v>
      </c>
    </row>
    <row r="6836" spans="1:11" ht="42" customHeight="1">
      <c r="A6836" s="2" t="s">
        <v>13512</v>
      </c>
      <c r="B6836" s="2" t="s">
        <v>13513</v>
      </c>
      <c r="C6836" s="2" t="s">
        <v>26</v>
      </c>
      <c r="D6836" s="2" t="s">
        <v>27</v>
      </c>
      <c r="E6836" s="5">
        <v>-28950</v>
      </c>
      <c r="F6836" s="3" t="s">
        <v>1052</v>
      </c>
      <c r="G6836" s="3" t="s">
        <v>20</v>
      </c>
      <c r="H6836" s="2" t="s">
        <v>21</v>
      </c>
      <c r="I6836" s="2" t="s">
        <v>13514</v>
      </c>
      <c r="J6836" s="3" t="str">
        <f>HYPERLINK("https://www.boe.es/gazeta/dias/1820/09/25/pdfs/GGB-1820-89.pdf#page=4","Abrir facsímil")</f>
        <v>Abrir facsímil</v>
      </c>
      <c r="K6836" s="3" t="s">
        <v>23</v>
      </c>
    </row>
    <row r="6837" spans="1:11" ht="42" customHeight="1">
      <c r="A6837" s="2" t="s">
        <v>13515</v>
      </c>
      <c r="B6837" s="2" t="s">
        <v>13516</v>
      </c>
      <c r="C6837" s="2" t="s">
        <v>26</v>
      </c>
      <c r="D6837" s="2" t="s">
        <v>27</v>
      </c>
      <c r="E6837" s="5">
        <v>-28867</v>
      </c>
      <c r="F6837" s="3" t="s">
        <v>590</v>
      </c>
      <c r="G6837" s="3" t="s">
        <v>20</v>
      </c>
      <c r="H6837" s="2" t="s">
        <v>21</v>
      </c>
      <c r="I6837" s="2" t="s">
        <v>13517</v>
      </c>
      <c r="J6837" s="3" t="str">
        <f>HYPERLINK("https://www.boe.es/gazeta/dias/1820/12/17/pdfs/GGB-1820-174.pdf#page=4","Abrir facsímil")</f>
        <v>Abrir facsímil</v>
      </c>
      <c r="K6837" s="3" t="s">
        <v>23</v>
      </c>
    </row>
    <row r="6838" spans="1:11" ht="42" customHeight="1">
      <c r="A6838" s="2" t="s">
        <v>13518</v>
      </c>
      <c r="B6838" s="2" t="s">
        <v>13519</v>
      </c>
      <c r="C6838" s="2" t="s">
        <v>17</v>
      </c>
      <c r="D6838" s="2" t="s">
        <v>18</v>
      </c>
      <c r="E6838" s="5">
        <v>-29185</v>
      </c>
      <c r="F6838" s="3" t="s">
        <v>772</v>
      </c>
      <c r="G6838" s="3" t="s">
        <v>773</v>
      </c>
      <c r="H6838" s="2" t="s">
        <v>21</v>
      </c>
      <c r="I6838" s="2" t="s">
        <v>13520</v>
      </c>
      <c r="J6838" s="3" t="str">
        <f>HYPERLINK("https://www.boe.es/gazeta/dias/1820/02/03/pdfs/GMD-1820-15.pdf#page=8","Abrir facsímil")</f>
        <v>Abrir facsímil</v>
      </c>
      <c r="K6838" s="3" t="s">
        <v>23</v>
      </c>
    </row>
    <row r="6839" spans="1:11" ht="42" customHeight="1">
      <c r="A6839" s="2" t="s">
        <v>13521</v>
      </c>
      <c r="B6839" s="2" t="s">
        <v>13521</v>
      </c>
      <c r="C6839" s="2" t="s">
        <v>35</v>
      </c>
      <c r="D6839" s="2" t="s">
        <v>36</v>
      </c>
      <c r="E6839" s="5">
        <v>-29002</v>
      </c>
      <c r="F6839" s="3" t="s">
        <v>124</v>
      </c>
      <c r="G6839" s="3" t="s">
        <v>62</v>
      </c>
      <c r="H6839" s="2" t="s">
        <v>21</v>
      </c>
      <c r="I6839" s="2" t="s">
        <v>13522</v>
      </c>
      <c r="J6839" s="3" t="str">
        <f>HYPERLINK("https://www.boe.es/gazeta/dias/1820/08/04/pdfs/GGB-1820-37.pdf#page=3","Abrir facsímil")</f>
        <v>Abrir facsímil</v>
      </c>
      <c r="K6839" s="3" t="s">
        <v>23</v>
      </c>
    </row>
    <row r="6840" spans="1:11" ht="42" customHeight="1">
      <c r="A6840" s="2" t="s">
        <v>13521</v>
      </c>
      <c r="B6840" s="2" t="s">
        <v>13521</v>
      </c>
      <c r="C6840" s="2" t="s">
        <v>17</v>
      </c>
      <c r="D6840" s="2" t="s">
        <v>18</v>
      </c>
      <c r="E6840" s="5">
        <v>-28959</v>
      </c>
      <c r="F6840" s="3" t="s">
        <v>37</v>
      </c>
      <c r="G6840" s="3" t="s">
        <v>20</v>
      </c>
      <c r="H6840" s="2" t="s">
        <v>21</v>
      </c>
      <c r="I6840" s="2" t="s">
        <v>13523</v>
      </c>
      <c r="J6840" s="3" t="str">
        <f>HYPERLINK("https://www.boe.es/gazeta/dias/1820/09/16/pdfs/GGB-1820-80.pdf#page=4","Abrir facsímil")</f>
        <v>Abrir facsímil</v>
      </c>
      <c r="K6840" s="3" t="s">
        <v>23</v>
      </c>
    </row>
    <row r="6841" spans="1:11" ht="42" customHeight="1">
      <c r="A6841" s="2" t="s">
        <v>13521</v>
      </c>
      <c r="B6841" s="2" t="s">
        <v>13521</v>
      </c>
      <c r="C6841" s="2" t="s">
        <v>35</v>
      </c>
      <c r="D6841" s="2" t="s">
        <v>36</v>
      </c>
      <c r="E6841" s="5">
        <v>-28943</v>
      </c>
      <c r="F6841" s="3" t="s">
        <v>1403</v>
      </c>
      <c r="G6841" s="3" t="s">
        <v>1710</v>
      </c>
      <c r="H6841" s="2" t="s">
        <v>21</v>
      </c>
      <c r="I6841" s="2" t="s">
        <v>13524</v>
      </c>
      <c r="J6841" s="3" t="str">
        <f>HYPERLINK("https://www.boe.es/gazeta/dias/1820/10/02/pdfs/GGB-1820-96.pdf#page=4","Abrir facsímil")</f>
        <v>Abrir facsímil</v>
      </c>
      <c r="K6841" s="3" t="s">
        <v>23</v>
      </c>
    </row>
    <row r="6842" spans="1:11" ht="42" customHeight="1">
      <c r="A6842" s="2" t="s">
        <v>13521</v>
      </c>
      <c r="B6842" s="2" t="s">
        <v>13521</v>
      </c>
      <c r="C6842" s="2" t="s">
        <v>26</v>
      </c>
      <c r="D6842" s="2" t="s">
        <v>27</v>
      </c>
      <c r="E6842" s="5">
        <v>-28942</v>
      </c>
      <c r="F6842" s="3" t="s">
        <v>244</v>
      </c>
      <c r="G6842" s="3" t="s">
        <v>20</v>
      </c>
      <c r="H6842" s="2" t="s">
        <v>21</v>
      </c>
      <c r="I6842" s="2" t="s">
        <v>13525</v>
      </c>
      <c r="J6842" s="3" t="str">
        <f>HYPERLINK("https://www.boe.es/gazeta/dias/1820/10/03/pdfs/GGB-1820-97.pdf#page=4","Abrir facsímil")</f>
        <v>Abrir facsímil</v>
      </c>
      <c r="K6842" s="3" t="s">
        <v>23</v>
      </c>
    </row>
    <row r="6843" spans="1:11" ht="42" customHeight="1">
      <c r="A6843" s="2" t="s">
        <v>13521</v>
      </c>
      <c r="B6843" s="2" t="s">
        <v>13521</v>
      </c>
      <c r="C6843" s="2" t="s">
        <v>35</v>
      </c>
      <c r="D6843" s="2" t="s">
        <v>36</v>
      </c>
      <c r="E6843" s="5">
        <v>-28926</v>
      </c>
      <c r="F6843" s="3" t="s">
        <v>597</v>
      </c>
      <c r="G6843" s="3" t="s">
        <v>20</v>
      </c>
      <c r="H6843" s="2" t="s">
        <v>21</v>
      </c>
      <c r="I6843" s="2" t="s">
        <v>13526</v>
      </c>
      <c r="J6843" s="3" t="str">
        <f>HYPERLINK("https://www.boe.es/gazeta/dias/1820/10/19/pdfs/GGB-1820-113.pdf#page=4","Abrir facsímil")</f>
        <v>Abrir facsímil</v>
      </c>
      <c r="K6843" s="3" t="s">
        <v>23</v>
      </c>
    </row>
    <row r="6844" spans="1:11" ht="42" customHeight="1">
      <c r="A6844" s="2" t="s">
        <v>13521</v>
      </c>
      <c r="B6844" s="2" t="s">
        <v>13521</v>
      </c>
      <c r="C6844" s="2" t="s">
        <v>26</v>
      </c>
      <c r="D6844" s="2" t="s">
        <v>27</v>
      </c>
      <c r="E6844" s="5">
        <v>-28925</v>
      </c>
      <c r="F6844" s="3" t="s">
        <v>228</v>
      </c>
      <c r="G6844" s="3" t="s">
        <v>128</v>
      </c>
      <c r="H6844" s="2" t="s">
        <v>21</v>
      </c>
      <c r="I6844" s="2" t="s">
        <v>13527</v>
      </c>
      <c r="J6844" s="3" t="str">
        <f>HYPERLINK("https://www.boe.es/gazeta/dias/1820/10/20/pdfs/GGB-1820-114.pdf#page=1","Abrir facsímil")</f>
        <v>Abrir facsímil</v>
      </c>
      <c r="K6844" s="3" t="s">
        <v>23</v>
      </c>
    </row>
    <row r="6845" spans="1:11" ht="42" customHeight="1">
      <c r="A6845" s="2" t="s">
        <v>13528</v>
      </c>
      <c r="B6845" s="2" t="s">
        <v>13528</v>
      </c>
      <c r="C6845" s="2" t="s">
        <v>74</v>
      </c>
      <c r="D6845" s="2" t="s">
        <v>18</v>
      </c>
      <c r="E6845" s="5">
        <v>-28925</v>
      </c>
      <c r="F6845" s="3" t="s">
        <v>228</v>
      </c>
      <c r="G6845" s="3" t="s">
        <v>20</v>
      </c>
      <c r="H6845" s="2" t="s">
        <v>21</v>
      </c>
      <c r="I6845" s="2" t="s">
        <v>13529</v>
      </c>
      <c r="J6845" s="3" t="str">
        <f>HYPERLINK("https://www.boe.es/gazeta/dias/1820/10/20/pdfs/GGB-1820-114.pdf#page=4","Abrir facsímil")</f>
        <v>Abrir facsímil</v>
      </c>
      <c r="K6845" s="3" t="s">
        <v>23</v>
      </c>
    </row>
    <row r="6846" spans="1:11" ht="42" customHeight="1">
      <c r="A6846" s="2" t="s">
        <v>13521</v>
      </c>
      <c r="B6846" s="2" t="s">
        <v>13521</v>
      </c>
      <c r="C6846" s="2" t="s">
        <v>74</v>
      </c>
      <c r="D6846" s="2" t="s">
        <v>18</v>
      </c>
      <c r="E6846" s="5">
        <v>-28912</v>
      </c>
      <c r="F6846" s="3" t="s">
        <v>1329</v>
      </c>
      <c r="G6846" s="3" t="s">
        <v>62</v>
      </c>
      <c r="H6846" s="2" t="s">
        <v>21</v>
      </c>
      <c r="I6846" s="2" t="s">
        <v>13530</v>
      </c>
      <c r="J6846" s="3" t="str">
        <f>HYPERLINK("https://www.boe.es/gazeta/dias/1820/11/02/pdfs/GGB-1820-127.pdf#page=3","Abrir facsímil")</f>
        <v>Abrir facsímil</v>
      </c>
      <c r="K6846" s="3" t="s">
        <v>23</v>
      </c>
    </row>
    <row r="6847" spans="1:11" ht="42" customHeight="1">
      <c r="A6847" s="2" t="s">
        <v>13521</v>
      </c>
      <c r="B6847" s="2" t="s">
        <v>13521</v>
      </c>
      <c r="C6847" s="2" t="s">
        <v>26</v>
      </c>
      <c r="D6847" s="2" t="s">
        <v>27</v>
      </c>
      <c r="E6847" s="5">
        <v>-28907</v>
      </c>
      <c r="F6847" s="3" t="s">
        <v>374</v>
      </c>
      <c r="G6847" s="3" t="s">
        <v>62</v>
      </c>
      <c r="H6847" s="2" t="s">
        <v>21</v>
      </c>
      <c r="I6847" s="2" t="s">
        <v>13531</v>
      </c>
      <c r="J6847" s="3" t="str">
        <f>HYPERLINK("https://www.boe.es/gazeta/dias/1820/11/07/pdfs/GGB-1820-132.pdf#page=3","Abrir facsímil")</f>
        <v>Abrir facsímil</v>
      </c>
      <c r="K6847" s="3" t="s">
        <v>23</v>
      </c>
    </row>
    <row r="6848" spans="1:11" ht="42" customHeight="1">
      <c r="A6848" s="2" t="s">
        <v>13532</v>
      </c>
      <c r="B6848" s="2" t="s">
        <v>13533</v>
      </c>
      <c r="C6848" s="2" t="s">
        <v>26</v>
      </c>
      <c r="D6848" s="2" t="s">
        <v>310</v>
      </c>
      <c r="E6848" s="5">
        <v>-29137</v>
      </c>
      <c r="F6848" s="3" t="s">
        <v>573</v>
      </c>
      <c r="G6848" s="3" t="s">
        <v>574</v>
      </c>
      <c r="H6848" s="2" t="s">
        <v>21</v>
      </c>
      <c r="I6848" s="2" t="s">
        <v>13534</v>
      </c>
      <c r="J6848" s="3" t="str">
        <f>HYPERLINK("https://www.boe.es/gazeta/dias/1820/03/22/pdfs/GMD-1820-50E.pdf#page=3","Abrir facsímil")</f>
        <v>Abrir facsímil</v>
      </c>
      <c r="K6848" s="3" t="s">
        <v>23</v>
      </c>
    </row>
    <row r="6849" spans="1:11" ht="42" customHeight="1">
      <c r="A6849" s="2" t="s">
        <v>13532</v>
      </c>
      <c r="B6849" s="2" t="s">
        <v>13533</v>
      </c>
      <c r="C6849" s="2" t="s">
        <v>26</v>
      </c>
      <c r="D6849" s="2" t="s">
        <v>27</v>
      </c>
      <c r="E6849" s="5">
        <v>-29124</v>
      </c>
      <c r="F6849" s="3" t="s">
        <v>4097</v>
      </c>
      <c r="G6849" s="3" t="s">
        <v>20</v>
      </c>
      <c r="H6849" s="2" t="s">
        <v>21</v>
      </c>
      <c r="I6849" s="2" t="s">
        <v>13535</v>
      </c>
      <c r="J6849" s="3" t="str">
        <f>HYPERLINK("https://www.boe.es/gazeta/dias/1820/04/04/pdfs/GMD-1820-60.pdf#page=4","Abrir facsímil")</f>
        <v>Abrir facsímil</v>
      </c>
      <c r="K6849" s="3" t="s">
        <v>23</v>
      </c>
    </row>
    <row r="6850" spans="1:11" ht="42" customHeight="1">
      <c r="A6850" s="2" t="s">
        <v>13532</v>
      </c>
      <c r="B6850" s="2" t="s">
        <v>13533</v>
      </c>
      <c r="C6850" s="2" t="s">
        <v>26</v>
      </c>
      <c r="D6850" s="2" t="s">
        <v>27</v>
      </c>
      <c r="E6850" s="5">
        <v>-29094</v>
      </c>
      <c r="F6850" s="3" t="s">
        <v>560</v>
      </c>
      <c r="G6850" s="3" t="s">
        <v>20</v>
      </c>
      <c r="H6850" s="2" t="s">
        <v>21</v>
      </c>
      <c r="I6850" s="2" t="s">
        <v>13536</v>
      </c>
      <c r="J6850" s="3" t="str">
        <f>HYPERLINK("https://www.boe.es/gazeta/dias/1820/05/04/pdfs/GMD-1820-75.pdf#page=4","Abrir facsímil")</f>
        <v>Abrir facsímil</v>
      </c>
      <c r="K6850" s="3" t="s">
        <v>23</v>
      </c>
    </row>
    <row r="6851" spans="1:11" ht="42" customHeight="1">
      <c r="A6851" s="2" t="s">
        <v>13532</v>
      </c>
      <c r="B6851" s="2" t="s">
        <v>13533</v>
      </c>
      <c r="C6851" s="2" t="s">
        <v>74</v>
      </c>
      <c r="D6851" s="2" t="s">
        <v>18</v>
      </c>
      <c r="E6851" s="5">
        <v>-28904</v>
      </c>
      <c r="F6851" s="3" t="s">
        <v>541</v>
      </c>
      <c r="G6851" s="3" t="s">
        <v>20</v>
      </c>
      <c r="H6851" s="2" t="s">
        <v>21</v>
      </c>
      <c r="I6851" s="2" t="s">
        <v>13537</v>
      </c>
      <c r="J6851" s="3" t="str">
        <f>HYPERLINK("https://www.boe.es/gazeta/dias/1820/11/10/pdfs/GGB-1820-136.pdf#page=4","Abrir facsímil")</f>
        <v>Abrir facsímil</v>
      </c>
      <c r="K6851" s="3" t="s">
        <v>23</v>
      </c>
    </row>
    <row r="6852" spans="1:11" ht="42" customHeight="1">
      <c r="A6852" s="2" t="s">
        <v>13538</v>
      </c>
      <c r="B6852" s="2" t="s">
        <v>13538</v>
      </c>
      <c r="C6852" s="2" t="s">
        <v>111</v>
      </c>
      <c r="D6852" s="2" t="s">
        <v>18</v>
      </c>
      <c r="E6852" s="5">
        <v>-29115</v>
      </c>
      <c r="F6852" s="3" t="s">
        <v>289</v>
      </c>
      <c r="G6852" s="3" t="s">
        <v>256</v>
      </c>
      <c r="H6852" s="2" t="s">
        <v>21</v>
      </c>
      <c r="I6852" s="2" t="s">
        <v>13539</v>
      </c>
      <c r="J6852" s="3" t="str">
        <f>HYPERLINK("https://www.boe.es/gazeta/dias/1820/04/13/pdfs/GMD-1820-65.pdf#page=5","Abrir facsímil")</f>
        <v>Abrir facsímil</v>
      </c>
      <c r="K6852" s="3" t="s">
        <v>23</v>
      </c>
    </row>
    <row r="6853" spans="1:11" ht="42" customHeight="1">
      <c r="A6853" s="2" t="s">
        <v>13538</v>
      </c>
      <c r="B6853" s="2" t="s">
        <v>13538</v>
      </c>
      <c r="C6853" s="2" t="s">
        <v>26</v>
      </c>
      <c r="D6853" s="2" t="s">
        <v>27</v>
      </c>
      <c r="E6853" s="5">
        <v>-28915</v>
      </c>
      <c r="F6853" s="3" t="s">
        <v>525</v>
      </c>
      <c r="G6853" s="3" t="s">
        <v>20</v>
      </c>
      <c r="H6853" s="2" t="s">
        <v>21</v>
      </c>
      <c r="I6853" s="2" t="s">
        <v>13540</v>
      </c>
      <c r="J6853" s="3" t="str">
        <f>HYPERLINK("https://www.boe.es/gazeta/dias/1820/10/30/pdfs/GGB-1820-124.pdf#page=4","Abrir facsímil")</f>
        <v>Abrir facsímil</v>
      </c>
      <c r="K6853" s="3" t="s">
        <v>23</v>
      </c>
    </row>
    <row r="6854" spans="1:11" ht="42" customHeight="1">
      <c r="A6854" s="2" t="s">
        <v>13541</v>
      </c>
      <c r="B6854" s="2" t="s">
        <v>13542</v>
      </c>
      <c r="C6854" s="2" t="s">
        <v>17</v>
      </c>
      <c r="D6854" s="2" t="s">
        <v>18</v>
      </c>
      <c r="E6854" s="5">
        <v>-29138</v>
      </c>
      <c r="F6854" s="3" t="s">
        <v>200</v>
      </c>
      <c r="G6854" s="3" t="s">
        <v>38</v>
      </c>
      <c r="H6854" s="2" t="s">
        <v>21</v>
      </c>
      <c r="I6854" s="2" t="s">
        <v>13543</v>
      </c>
      <c r="J6854" s="3" t="str">
        <f>HYPERLINK("https://www.boe.es/gazeta/dias/1820/03/21/pdfs/GMD-1820-46.pdf#page=6","Abrir facsímil")</f>
        <v>Abrir facsímil</v>
      </c>
      <c r="K6854" s="3" t="s">
        <v>23</v>
      </c>
    </row>
    <row r="6855" spans="1:11" ht="42" customHeight="1">
      <c r="A6855" s="2" t="s">
        <v>13544</v>
      </c>
      <c r="B6855" s="2" t="s">
        <v>13544</v>
      </c>
      <c r="C6855" s="2" t="s">
        <v>35</v>
      </c>
      <c r="D6855" s="2" t="s">
        <v>36</v>
      </c>
      <c r="E6855" s="5">
        <v>-28930</v>
      </c>
      <c r="F6855" s="3" t="s">
        <v>372</v>
      </c>
      <c r="G6855" s="3" t="s">
        <v>20</v>
      </c>
      <c r="H6855" s="2" t="s">
        <v>21</v>
      </c>
      <c r="I6855" s="2" t="s">
        <v>13545</v>
      </c>
      <c r="J6855" s="3" t="str">
        <f>HYPERLINK("https://www.boe.es/gazeta/dias/1820/10/15/pdfs/GGB-1820-109.pdf#page=4","Abrir facsímil")</f>
        <v>Abrir facsímil</v>
      </c>
      <c r="K6855" s="3" t="s">
        <v>23</v>
      </c>
    </row>
    <row r="6856" spans="1:11" ht="42" customHeight="1">
      <c r="A6856" s="2" t="s">
        <v>13546</v>
      </c>
      <c r="B6856" s="2" t="s">
        <v>13547</v>
      </c>
      <c r="C6856" s="2" t="s">
        <v>26</v>
      </c>
      <c r="D6856" s="2" t="s">
        <v>27</v>
      </c>
      <c r="E6856" s="5">
        <v>-29023</v>
      </c>
      <c r="F6856" s="3" t="s">
        <v>1662</v>
      </c>
      <c r="G6856" s="3" t="s">
        <v>1663</v>
      </c>
      <c r="H6856" s="2" t="s">
        <v>21</v>
      </c>
      <c r="I6856" s="2" t="s">
        <v>13548</v>
      </c>
      <c r="J6856" s="3" t="str">
        <f>HYPERLINK("https://www.boe.es/gazeta/dias/1820/07/14/pdfs/GGB-1820-16.pdf#page=3","Abrir facsímil")</f>
        <v>Abrir facsímil</v>
      </c>
      <c r="K6856" s="3" t="s">
        <v>23</v>
      </c>
    </row>
    <row r="6857" spans="1:11" ht="42" customHeight="1">
      <c r="A6857" s="2" t="s">
        <v>13549</v>
      </c>
      <c r="B6857" s="2" t="s">
        <v>13550</v>
      </c>
      <c r="C6857" s="2" t="s">
        <v>1808</v>
      </c>
      <c r="D6857" s="2" t="s">
        <v>36</v>
      </c>
      <c r="E6857" s="5">
        <v>-29157</v>
      </c>
      <c r="F6857" s="3" t="s">
        <v>2658</v>
      </c>
      <c r="G6857" s="3" t="s">
        <v>20</v>
      </c>
      <c r="H6857" s="2" t="s">
        <v>21</v>
      </c>
      <c r="I6857" s="2" t="s">
        <v>13551</v>
      </c>
      <c r="J6857" s="3" t="str">
        <f>HYPERLINK("https://www.boe.es/gazeta/dias/1820/03/02/pdfs/GMD-1820-27.pdf#page=4","Abrir facsímil")</f>
        <v>Abrir facsímil</v>
      </c>
      <c r="K6857" s="3" t="s">
        <v>23</v>
      </c>
    </row>
    <row r="6858" spans="1:11" ht="42" customHeight="1">
      <c r="A6858" s="2" t="s">
        <v>13552</v>
      </c>
      <c r="B6858" s="2" t="s">
        <v>13552</v>
      </c>
      <c r="C6858" s="2" t="s">
        <v>26</v>
      </c>
      <c r="D6858" s="2" t="s">
        <v>27</v>
      </c>
      <c r="E6858" s="5">
        <v>-29162</v>
      </c>
      <c r="F6858" s="3" t="s">
        <v>2134</v>
      </c>
      <c r="G6858" s="3" t="s">
        <v>128</v>
      </c>
      <c r="H6858" s="2" t="s">
        <v>21</v>
      </c>
      <c r="I6858" s="2" t="s">
        <v>13553</v>
      </c>
      <c r="J6858" s="3" t="str">
        <f>HYPERLINK("https://www.boe.es/gazeta/dias/1820/02/26/pdfs/GMD-1820-25.pdf#page=1","Abrir facsímil")</f>
        <v>Abrir facsímil</v>
      </c>
      <c r="K6858" s="3" t="s">
        <v>23</v>
      </c>
    </row>
    <row r="6859" spans="1:11" ht="42" customHeight="1">
      <c r="A6859" s="2" t="s">
        <v>13554</v>
      </c>
      <c r="B6859" s="2" t="s">
        <v>13555</v>
      </c>
      <c r="C6859" s="2" t="s">
        <v>26</v>
      </c>
      <c r="D6859" s="2" t="s">
        <v>27</v>
      </c>
      <c r="E6859" s="5">
        <v>-29047</v>
      </c>
      <c r="F6859" s="3" t="s">
        <v>1033</v>
      </c>
      <c r="G6859" s="3" t="s">
        <v>295</v>
      </c>
      <c r="H6859" s="2" t="s">
        <v>21</v>
      </c>
      <c r="I6859" s="2" t="s">
        <v>13556</v>
      </c>
      <c r="J6859" s="3" t="str">
        <f>HYPERLINK("https://www.boe.es/gazeta/dias/1820/06/20/pdfs/GMD-1820-96.pdf#page=8","Abrir facsímil")</f>
        <v>Abrir facsímil</v>
      </c>
      <c r="K6859" s="3" t="s">
        <v>23</v>
      </c>
    </row>
    <row r="6860" spans="1:11" ht="42" customHeight="1">
      <c r="A6860" s="2" t="s">
        <v>13557</v>
      </c>
      <c r="B6860" s="2" t="s">
        <v>13557</v>
      </c>
      <c r="C6860" s="2" t="s">
        <v>35</v>
      </c>
      <c r="D6860" s="2" t="s">
        <v>36</v>
      </c>
      <c r="E6860" s="5">
        <v>-29007</v>
      </c>
      <c r="F6860" s="3" t="s">
        <v>251</v>
      </c>
      <c r="G6860" s="3" t="s">
        <v>43</v>
      </c>
      <c r="H6860" s="2" t="s">
        <v>21</v>
      </c>
      <c r="I6860" s="2" t="s">
        <v>13558</v>
      </c>
      <c r="J6860" s="3" t="str">
        <f>HYPERLINK("https://www.boe.es/gazeta/dias/1820/07/30/pdfs/GGB-1820-32.pdf#page=2","Abrir facsímil")</f>
        <v>Abrir facsímil</v>
      </c>
      <c r="K6860" s="3" t="s">
        <v>23</v>
      </c>
    </row>
    <row r="6861" spans="1:11" ht="42" customHeight="1">
      <c r="A6861" s="2" t="s">
        <v>13557</v>
      </c>
      <c r="B6861" s="2" t="s">
        <v>13557</v>
      </c>
      <c r="C6861" s="2" t="s">
        <v>35</v>
      </c>
      <c r="D6861" s="2" t="s">
        <v>36</v>
      </c>
      <c r="E6861" s="5">
        <v>-29001</v>
      </c>
      <c r="F6861" s="3" t="s">
        <v>633</v>
      </c>
      <c r="G6861" s="3" t="s">
        <v>43</v>
      </c>
      <c r="H6861" s="2" t="s">
        <v>21</v>
      </c>
      <c r="I6861" s="2" t="s">
        <v>13559</v>
      </c>
      <c r="J6861" s="3" t="str">
        <f>HYPERLINK("https://www.boe.es/gazeta/dias/1820/08/05/pdfs/GGB-1820-38.pdf#page=2","Abrir facsímil")</f>
        <v>Abrir facsímil</v>
      </c>
      <c r="K6861" s="3" t="s">
        <v>23</v>
      </c>
    </row>
    <row r="6862" spans="1:11" ht="42" customHeight="1">
      <c r="A6862" s="2" t="s">
        <v>13557</v>
      </c>
      <c r="B6862" s="2" t="s">
        <v>13557</v>
      </c>
      <c r="C6862" s="2" t="s">
        <v>26</v>
      </c>
      <c r="D6862" s="2" t="s">
        <v>27</v>
      </c>
      <c r="E6862" s="5">
        <v>-28954</v>
      </c>
      <c r="F6862" s="3" t="s">
        <v>28</v>
      </c>
      <c r="G6862" s="3" t="s">
        <v>62</v>
      </c>
      <c r="H6862" s="2" t="s">
        <v>21</v>
      </c>
      <c r="I6862" s="2" t="s">
        <v>13560</v>
      </c>
      <c r="J6862" s="3" t="str">
        <f>HYPERLINK("https://www.boe.es/gazeta/dias/1820/09/21/pdfs/GGB-1820-85.pdf#page=3","Abrir facsímil")</f>
        <v>Abrir facsímil</v>
      </c>
      <c r="K6862" s="3" t="s">
        <v>23</v>
      </c>
    </row>
    <row r="6863" spans="1:11" ht="42" customHeight="1">
      <c r="A6863" s="2" t="s">
        <v>13561</v>
      </c>
      <c r="B6863" s="2" t="s">
        <v>13562</v>
      </c>
      <c r="C6863" s="2" t="s">
        <v>107</v>
      </c>
      <c r="D6863" s="2" t="s">
        <v>18</v>
      </c>
      <c r="E6863" s="5">
        <v>-29185</v>
      </c>
      <c r="F6863" s="3" t="s">
        <v>772</v>
      </c>
      <c r="G6863" s="3" t="s">
        <v>773</v>
      </c>
      <c r="H6863" s="2" t="s">
        <v>21</v>
      </c>
      <c r="I6863" s="2" t="s">
        <v>13563</v>
      </c>
      <c r="J6863" s="3" t="str">
        <f>HYPERLINK("https://www.boe.es/gazeta/dias/1820/02/03/pdfs/GMD-1820-15.pdf#page=8","Abrir facsímil")</f>
        <v>Abrir facsímil</v>
      </c>
      <c r="K6863" s="3" t="s">
        <v>23</v>
      </c>
    </row>
    <row r="6864" spans="1:11" ht="42" customHeight="1">
      <c r="A6864" s="2" t="s">
        <v>13564</v>
      </c>
      <c r="B6864" s="2" t="s">
        <v>13565</v>
      </c>
      <c r="C6864" s="2" t="s">
        <v>111</v>
      </c>
      <c r="D6864" s="2" t="s">
        <v>18</v>
      </c>
      <c r="E6864" s="5">
        <v>-29040</v>
      </c>
      <c r="F6864" s="3" t="s">
        <v>1125</v>
      </c>
      <c r="G6864" s="3" t="s">
        <v>2789</v>
      </c>
      <c r="H6864" s="2" t="s">
        <v>21</v>
      </c>
      <c r="I6864" s="2" t="s">
        <v>13566</v>
      </c>
      <c r="J6864" s="3" t="str">
        <f>HYPERLINK("https://www.boe.es/gazeta/dias/1820/06/27/pdfs/GMD-1820-99.pdf#page=12","Abrir facsímil")</f>
        <v>Abrir facsímil</v>
      </c>
      <c r="K6864" s="3" t="s">
        <v>23</v>
      </c>
    </row>
    <row r="6865" spans="1:11" ht="42" customHeight="1">
      <c r="A6865" s="2" t="s">
        <v>13567</v>
      </c>
      <c r="B6865" s="2" t="s">
        <v>13568</v>
      </c>
      <c r="C6865" s="2" t="s">
        <v>26</v>
      </c>
      <c r="D6865" s="2" t="s">
        <v>27</v>
      </c>
      <c r="E6865" s="5">
        <v>-28939</v>
      </c>
      <c r="F6865" s="3" t="s">
        <v>992</v>
      </c>
      <c r="G6865" s="3" t="s">
        <v>20</v>
      </c>
      <c r="H6865" s="2" t="s">
        <v>21</v>
      </c>
      <c r="I6865" s="2" t="s">
        <v>13569</v>
      </c>
      <c r="J6865" s="3" t="str">
        <f>HYPERLINK("https://www.boe.es/gazeta/dias/1820/10/06/pdfs/GGB-1820-100.pdf#page=4","Abrir facsímil")</f>
        <v>Abrir facsímil</v>
      </c>
      <c r="K6865" s="3" t="s">
        <v>23</v>
      </c>
    </row>
    <row r="6866" spans="1:11" ht="42" customHeight="1">
      <c r="A6866" s="2" t="s">
        <v>13570</v>
      </c>
      <c r="B6866" s="2" t="s">
        <v>13571</v>
      </c>
      <c r="C6866" s="2" t="s">
        <v>35</v>
      </c>
      <c r="D6866" s="2" t="s">
        <v>310</v>
      </c>
      <c r="E6866" s="5">
        <v>-29140</v>
      </c>
      <c r="F6866" s="3" t="s">
        <v>533</v>
      </c>
      <c r="G6866" s="3" t="s">
        <v>128</v>
      </c>
      <c r="H6866" s="2" t="s">
        <v>21</v>
      </c>
      <c r="I6866" s="2" t="s">
        <v>13572</v>
      </c>
      <c r="J6866" s="3" t="str">
        <f>HYPERLINK("https://www.boe.es/gazeta/dias/1820/03/19/pdfs/GMD-1820-45E.pdf#page=1","Abrir facsímil")</f>
        <v>Abrir facsímil</v>
      </c>
      <c r="K6866" s="3" t="s">
        <v>23</v>
      </c>
    </row>
    <row r="6867" spans="1:11" ht="42" customHeight="1">
      <c r="A6867" s="2" t="s">
        <v>13573</v>
      </c>
      <c r="B6867" s="2" t="s">
        <v>13573</v>
      </c>
      <c r="C6867" s="2" t="s">
        <v>107</v>
      </c>
      <c r="D6867" s="2" t="s">
        <v>18</v>
      </c>
      <c r="E6867" s="5">
        <v>-28959</v>
      </c>
      <c r="F6867" s="3" t="s">
        <v>37</v>
      </c>
      <c r="G6867" s="3" t="s">
        <v>256</v>
      </c>
      <c r="H6867" s="2" t="s">
        <v>21</v>
      </c>
      <c r="I6867" s="2" t="s">
        <v>13574</v>
      </c>
      <c r="J6867" s="3" t="str">
        <f>HYPERLINK("https://www.boe.es/gazeta/dias/1820/09/16/pdfs/GGB-1820-80.pdf#page=5","Abrir facsímil")</f>
        <v>Abrir facsímil</v>
      </c>
      <c r="K6867" s="3" t="s">
        <v>23</v>
      </c>
    </row>
    <row r="6868" spans="1:11" ht="42" customHeight="1">
      <c r="A6868" s="2" t="s">
        <v>13575</v>
      </c>
      <c r="B6868" s="2" t="s">
        <v>13576</v>
      </c>
      <c r="C6868" s="2" t="s">
        <v>26</v>
      </c>
      <c r="D6868" s="2" t="s">
        <v>27</v>
      </c>
      <c r="E6868" s="5">
        <v>-28998</v>
      </c>
      <c r="F6868" s="3" t="s">
        <v>629</v>
      </c>
      <c r="G6868" s="3" t="s">
        <v>20</v>
      </c>
      <c r="H6868" s="2" t="s">
        <v>21</v>
      </c>
      <c r="I6868" s="2" t="s">
        <v>13577</v>
      </c>
      <c r="J6868" s="3" t="str">
        <f>HYPERLINK("https://www.boe.es/gazeta/dias/1820/08/08/pdfs/GGB-1820-41.pdf#page=4","Abrir facsímil")</f>
        <v>Abrir facsímil</v>
      </c>
      <c r="K6868" s="3" t="s">
        <v>23</v>
      </c>
    </row>
    <row r="6869" spans="1:11" ht="42" customHeight="1">
      <c r="A6869" s="2" t="s">
        <v>13578</v>
      </c>
      <c r="B6869" s="2" t="s">
        <v>13579</v>
      </c>
      <c r="C6869" s="2" t="s">
        <v>26</v>
      </c>
      <c r="D6869" s="2" t="s">
        <v>27</v>
      </c>
      <c r="E6869" s="5">
        <v>-28994</v>
      </c>
      <c r="F6869" s="3" t="s">
        <v>1612</v>
      </c>
      <c r="G6869" s="3" t="s">
        <v>43</v>
      </c>
      <c r="H6869" s="2" t="s">
        <v>21</v>
      </c>
      <c r="I6869" s="2" t="s">
        <v>13580</v>
      </c>
      <c r="J6869" s="3" t="str">
        <f>HYPERLINK("https://www.boe.es/gazeta/dias/1820/08/12/pdfs/GGB-1820-45.pdf#page=2","Abrir facsímil")</f>
        <v>Abrir facsímil</v>
      </c>
      <c r="K6869" s="3" t="s">
        <v>23</v>
      </c>
    </row>
    <row r="6870" spans="1:11" ht="42" customHeight="1">
      <c r="A6870" s="2" t="s">
        <v>13581</v>
      </c>
      <c r="B6870" s="2" t="s">
        <v>13582</v>
      </c>
      <c r="C6870" s="2" t="s">
        <v>26</v>
      </c>
      <c r="D6870" s="2" t="s">
        <v>27</v>
      </c>
      <c r="E6870" s="5">
        <v>-28905</v>
      </c>
      <c r="F6870" s="3" t="s">
        <v>749</v>
      </c>
      <c r="G6870" s="3" t="s">
        <v>62</v>
      </c>
      <c r="H6870" s="2" t="s">
        <v>21</v>
      </c>
      <c r="I6870" s="2" t="s">
        <v>13583</v>
      </c>
      <c r="J6870" s="3" t="str">
        <f>HYPERLINK("https://www.boe.es/gazeta/dias/1820/11/09/pdfs/GGB-1820-134.pdf#page=3","Abrir facsímil")</f>
        <v>Abrir facsímil</v>
      </c>
      <c r="K6870" s="3" t="s">
        <v>23</v>
      </c>
    </row>
    <row r="6871" spans="1:11" ht="42" customHeight="1">
      <c r="A6871" s="2" t="s">
        <v>13584</v>
      </c>
      <c r="B6871" s="2" t="s">
        <v>13584</v>
      </c>
      <c r="C6871" s="2" t="s">
        <v>17</v>
      </c>
      <c r="D6871" s="2" t="s">
        <v>18</v>
      </c>
      <c r="E6871" s="5">
        <v>-28908</v>
      </c>
      <c r="F6871" s="3" t="s">
        <v>1060</v>
      </c>
      <c r="G6871" s="3" t="s">
        <v>43</v>
      </c>
      <c r="H6871" s="2" t="s">
        <v>21</v>
      </c>
      <c r="I6871" s="2" t="s">
        <v>13585</v>
      </c>
      <c r="J6871" s="3" t="str">
        <f>HYPERLINK("https://www.boe.es/gazeta/dias/1820/11/06/pdfs/GGB-1820-131.pdf#page=2","Abrir facsímil")</f>
        <v>Abrir facsímil</v>
      </c>
      <c r="K6871" s="3" t="s">
        <v>23</v>
      </c>
    </row>
    <row r="6872" spans="1:11" ht="42" customHeight="1">
      <c r="A6872" s="2" t="s">
        <v>13586</v>
      </c>
      <c r="B6872" s="2" t="s">
        <v>13586</v>
      </c>
      <c r="C6872" s="2" t="s">
        <v>35</v>
      </c>
      <c r="D6872" s="2" t="s">
        <v>36</v>
      </c>
      <c r="E6872" s="5">
        <v>-29020</v>
      </c>
      <c r="F6872" s="3" t="s">
        <v>756</v>
      </c>
      <c r="G6872" s="3" t="s">
        <v>62</v>
      </c>
      <c r="H6872" s="2" t="s">
        <v>21</v>
      </c>
      <c r="I6872" s="2" t="s">
        <v>13587</v>
      </c>
      <c r="J6872" s="3" t="str">
        <f>HYPERLINK("https://www.boe.es/gazeta/dias/1820/07/17/pdfs/GGB-1820-19.pdf#page=3","Abrir facsímil")</f>
        <v>Abrir facsímil</v>
      </c>
      <c r="K6872" s="3" t="s">
        <v>23</v>
      </c>
    </row>
    <row r="6873" spans="1:11" ht="42" customHeight="1">
      <c r="A6873" s="2" t="s">
        <v>13586</v>
      </c>
      <c r="B6873" s="2" t="s">
        <v>13586</v>
      </c>
      <c r="C6873" s="2" t="s">
        <v>26</v>
      </c>
      <c r="D6873" s="2" t="s">
        <v>27</v>
      </c>
      <c r="E6873" s="5">
        <v>-29007</v>
      </c>
      <c r="F6873" s="3" t="s">
        <v>251</v>
      </c>
      <c r="G6873" s="3" t="s">
        <v>62</v>
      </c>
      <c r="H6873" s="2" t="s">
        <v>21</v>
      </c>
      <c r="I6873" s="2" t="s">
        <v>13588</v>
      </c>
      <c r="J6873" s="3" t="str">
        <f>HYPERLINK("https://www.boe.es/gazeta/dias/1820/07/30/pdfs/GGB-1820-32.pdf#page=3","Abrir facsímil")</f>
        <v>Abrir facsímil</v>
      </c>
      <c r="K6873" s="3" t="s">
        <v>23</v>
      </c>
    </row>
    <row r="6874" spans="1:11" ht="42" customHeight="1">
      <c r="A6874" s="2" t="s">
        <v>13586</v>
      </c>
      <c r="B6874" s="2" t="s">
        <v>13586</v>
      </c>
      <c r="C6874" s="2" t="s">
        <v>26</v>
      </c>
      <c r="D6874" s="2" t="s">
        <v>27</v>
      </c>
      <c r="E6874" s="5">
        <v>-28998</v>
      </c>
      <c r="F6874" s="3" t="s">
        <v>629</v>
      </c>
      <c r="G6874" s="3" t="s">
        <v>43</v>
      </c>
      <c r="H6874" s="2" t="s">
        <v>21</v>
      </c>
      <c r="I6874" s="2" t="s">
        <v>13589</v>
      </c>
      <c r="J6874" s="3" t="str">
        <f>HYPERLINK("https://www.boe.es/gazeta/dias/1820/08/08/pdfs/GGB-1820-41.pdf#page=2","Abrir facsímil")</f>
        <v>Abrir facsímil</v>
      </c>
      <c r="K6874" s="3" t="s">
        <v>23</v>
      </c>
    </row>
    <row r="6875" spans="1:11" ht="42" customHeight="1">
      <c r="A6875" s="2" t="s">
        <v>13586</v>
      </c>
      <c r="B6875" s="2" t="s">
        <v>13586</v>
      </c>
      <c r="C6875" s="2" t="s">
        <v>26</v>
      </c>
      <c r="D6875" s="2" t="s">
        <v>27</v>
      </c>
      <c r="E6875" s="5">
        <v>-28987</v>
      </c>
      <c r="F6875" s="3" t="s">
        <v>680</v>
      </c>
      <c r="G6875" s="3" t="s">
        <v>1300</v>
      </c>
      <c r="H6875" s="2" t="s">
        <v>21</v>
      </c>
      <c r="I6875" s="2" t="s">
        <v>13590</v>
      </c>
      <c r="J6875" s="3" t="str">
        <f>HYPERLINK("https://www.boe.es/gazeta/dias/1820/08/19/pdfs/GGB-1820-52.pdf#page=2","Abrir facsímil")</f>
        <v>Abrir facsímil</v>
      </c>
      <c r="K6875" s="3" t="s">
        <v>23</v>
      </c>
    </row>
    <row r="6876" spans="1:11" ht="42" customHeight="1">
      <c r="A6876" s="2" t="s">
        <v>13586</v>
      </c>
      <c r="B6876" s="2" t="s">
        <v>13586</v>
      </c>
      <c r="C6876" s="2" t="s">
        <v>26</v>
      </c>
      <c r="D6876" s="2" t="s">
        <v>27</v>
      </c>
      <c r="E6876" s="5">
        <v>-28984</v>
      </c>
      <c r="F6876" s="3" t="s">
        <v>520</v>
      </c>
      <c r="G6876" s="3" t="s">
        <v>20</v>
      </c>
      <c r="H6876" s="2" t="s">
        <v>21</v>
      </c>
      <c r="I6876" s="2" t="s">
        <v>13591</v>
      </c>
      <c r="J6876" s="3" t="str">
        <f>HYPERLINK("https://www.boe.es/gazeta/dias/1820/08/22/pdfs/GGB-1820-55.pdf#page=4","Abrir facsímil")</f>
        <v>Abrir facsímil</v>
      </c>
      <c r="K6876" s="3" t="s">
        <v>23</v>
      </c>
    </row>
    <row r="6877" spans="1:11" ht="42" customHeight="1">
      <c r="A6877" s="2" t="s">
        <v>13586</v>
      </c>
      <c r="B6877" s="2" t="s">
        <v>13586</v>
      </c>
      <c r="C6877" s="2" t="s">
        <v>26</v>
      </c>
      <c r="D6877" s="2" t="s">
        <v>27</v>
      </c>
      <c r="E6877" s="5">
        <v>-28976</v>
      </c>
      <c r="F6877" s="3" t="s">
        <v>689</v>
      </c>
      <c r="G6877" s="3" t="s">
        <v>62</v>
      </c>
      <c r="H6877" s="2" t="s">
        <v>21</v>
      </c>
      <c r="I6877" s="2" t="s">
        <v>13592</v>
      </c>
      <c r="J6877" s="3" t="str">
        <f>HYPERLINK("https://www.boe.es/gazeta/dias/1820/08/30/pdfs/GGB-1820-63.pdf#page=3","Abrir facsímil")</f>
        <v>Abrir facsímil</v>
      </c>
      <c r="K6877" s="3" t="s">
        <v>23</v>
      </c>
    </row>
    <row r="6878" spans="1:11" ht="42" customHeight="1">
      <c r="A6878" s="2" t="s">
        <v>13586</v>
      </c>
      <c r="B6878" s="2" t="s">
        <v>13586</v>
      </c>
      <c r="C6878" s="2" t="s">
        <v>26</v>
      </c>
      <c r="D6878" s="2" t="s">
        <v>27</v>
      </c>
      <c r="E6878" s="5">
        <v>-28972</v>
      </c>
      <c r="F6878" s="3" t="s">
        <v>522</v>
      </c>
      <c r="G6878" s="3" t="s">
        <v>20</v>
      </c>
      <c r="H6878" s="2" t="s">
        <v>21</v>
      </c>
      <c r="I6878" s="2" t="s">
        <v>13593</v>
      </c>
      <c r="J6878" s="3" t="str">
        <f>HYPERLINK("https://www.boe.es/gazeta/dias/1820/09/03/pdfs/GGB-1820-67.pdf#page=4","Abrir facsímil")</f>
        <v>Abrir facsímil</v>
      </c>
      <c r="K6878" s="3" t="s">
        <v>23</v>
      </c>
    </row>
    <row r="6879" spans="1:11" ht="42" customHeight="1">
      <c r="A6879" s="2" t="s">
        <v>13586</v>
      </c>
      <c r="B6879" s="2" t="s">
        <v>13586</v>
      </c>
      <c r="C6879" s="2" t="s">
        <v>26</v>
      </c>
      <c r="D6879" s="2" t="s">
        <v>27</v>
      </c>
      <c r="E6879" s="5">
        <v>-28962</v>
      </c>
      <c r="F6879" s="3" t="s">
        <v>90</v>
      </c>
      <c r="G6879" s="3" t="s">
        <v>62</v>
      </c>
      <c r="H6879" s="2" t="s">
        <v>21</v>
      </c>
      <c r="I6879" s="2" t="s">
        <v>13594</v>
      </c>
      <c r="J6879" s="3" t="str">
        <f>HYPERLINK("https://www.boe.es/gazeta/dias/1820/09/13/pdfs/GGB-1820-77.pdf#page=3","Abrir facsímil")</f>
        <v>Abrir facsímil</v>
      </c>
      <c r="K6879" s="3" t="s">
        <v>23</v>
      </c>
    </row>
    <row r="6880" spans="1:11" ht="42" customHeight="1">
      <c r="A6880" s="2" t="s">
        <v>13586</v>
      </c>
      <c r="B6880" s="2" t="s">
        <v>13586</v>
      </c>
      <c r="C6880" s="2" t="s">
        <v>26</v>
      </c>
      <c r="D6880" s="2" t="s">
        <v>27</v>
      </c>
      <c r="E6880" s="5">
        <v>-28960</v>
      </c>
      <c r="F6880" s="3" t="s">
        <v>704</v>
      </c>
      <c r="G6880" s="3" t="s">
        <v>62</v>
      </c>
      <c r="H6880" s="2" t="s">
        <v>21</v>
      </c>
      <c r="I6880" s="2" t="s">
        <v>13595</v>
      </c>
      <c r="J6880" s="3" t="str">
        <f>HYPERLINK("https://www.boe.es/gazeta/dias/1820/09/15/pdfs/GGB-1820-79.pdf#page=3","Abrir facsímil")</f>
        <v>Abrir facsímil</v>
      </c>
      <c r="K6880" s="3" t="s">
        <v>23</v>
      </c>
    </row>
    <row r="6881" spans="1:11" ht="42" customHeight="1">
      <c r="A6881" s="2" t="s">
        <v>13586</v>
      </c>
      <c r="B6881" s="2" t="s">
        <v>13586</v>
      </c>
      <c r="C6881" s="2" t="s">
        <v>17</v>
      </c>
      <c r="D6881" s="2" t="s">
        <v>18</v>
      </c>
      <c r="E6881" s="5">
        <v>-28958</v>
      </c>
      <c r="F6881" s="3" t="s">
        <v>706</v>
      </c>
      <c r="G6881" s="3" t="s">
        <v>62</v>
      </c>
      <c r="H6881" s="2" t="s">
        <v>21</v>
      </c>
      <c r="I6881" s="2" t="s">
        <v>13596</v>
      </c>
      <c r="J6881" s="3" t="str">
        <f>HYPERLINK("https://www.boe.es/gazeta/dias/1820/09/17/pdfs/GGB-1820-81.pdf#page=3","Abrir facsímil")</f>
        <v>Abrir facsímil</v>
      </c>
      <c r="K6881" s="3" t="s">
        <v>23</v>
      </c>
    </row>
    <row r="6882" spans="1:11" ht="42" customHeight="1">
      <c r="A6882" s="2" t="s">
        <v>13586</v>
      </c>
      <c r="B6882" s="2" t="s">
        <v>13586</v>
      </c>
      <c r="C6882" s="2" t="s">
        <v>111</v>
      </c>
      <c r="D6882" s="2" t="s">
        <v>18</v>
      </c>
      <c r="E6882" s="5">
        <v>-28955</v>
      </c>
      <c r="F6882" s="3" t="s">
        <v>175</v>
      </c>
      <c r="G6882" s="3" t="s">
        <v>62</v>
      </c>
      <c r="H6882" s="2" t="s">
        <v>21</v>
      </c>
      <c r="I6882" s="2" t="s">
        <v>13597</v>
      </c>
      <c r="J6882" s="3" t="str">
        <f>HYPERLINK("https://www.boe.es/gazeta/dias/1820/09/20/pdfs/GGB-1820-84.pdf#page=3","Abrir facsímil")</f>
        <v>Abrir facsímil</v>
      </c>
      <c r="K6882" s="3" t="s">
        <v>23</v>
      </c>
    </row>
    <row r="6883" spans="1:11" ht="42" customHeight="1">
      <c r="A6883" s="2" t="s">
        <v>13586</v>
      </c>
      <c r="B6883" s="2" t="s">
        <v>13586</v>
      </c>
      <c r="C6883" s="2" t="s">
        <v>35</v>
      </c>
      <c r="D6883" s="2" t="s">
        <v>36</v>
      </c>
      <c r="E6883" s="5">
        <v>-28950</v>
      </c>
      <c r="F6883" s="3" t="s">
        <v>1052</v>
      </c>
      <c r="G6883" s="3" t="s">
        <v>62</v>
      </c>
      <c r="H6883" s="2" t="s">
        <v>21</v>
      </c>
      <c r="I6883" s="2" t="s">
        <v>13598</v>
      </c>
      <c r="J6883" s="3" t="str">
        <f>HYPERLINK("https://www.boe.es/gazeta/dias/1820/09/25/pdfs/GGB-1820-89.pdf#page=3","Abrir facsímil")</f>
        <v>Abrir facsímil</v>
      </c>
      <c r="K6883" s="3" t="s">
        <v>23</v>
      </c>
    </row>
    <row r="6884" spans="1:11" ht="42" customHeight="1">
      <c r="A6884" s="2" t="s">
        <v>13586</v>
      </c>
      <c r="B6884" s="2" t="s">
        <v>13586</v>
      </c>
      <c r="C6884" s="2" t="s">
        <v>17</v>
      </c>
      <c r="D6884" s="2" t="s">
        <v>18</v>
      </c>
      <c r="E6884" s="5">
        <v>-28938</v>
      </c>
      <c r="F6884" s="3" t="s">
        <v>716</v>
      </c>
      <c r="G6884" s="3" t="s">
        <v>1452</v>
      </c>
      <c r="H6884" s="2" t="s">
        <v>21</v>
      </c>
      <c r="I6884" s="2" t="s">
        <v>13599</v>
      </c>
      <c r="J6884" s="3" t="str">
        <f>HYPERLINK("https://www.boe.es/gazeta/dias/1820/10/07/pdfs/GGB-1820-101.pdf#page=4","Abrir facsímil")</f>
        <v>Abrir facsímil</v>
      </c>
      <c r="K6884" s="3" t="s">
        <v>23</v>
      </c>
    </row>
    <row r="6885" spans="1:11" ht="42" customHeight="1">
      <c r="A6885" s="2" t="s">
        <v>13586</v>
      </c>
      <c r="B6885" s="2" t="s">
        <v>13586</v>
      </c>
      <c r="C6885" s="2" t="s">
        <v>26</v>
      </c>
      <c r="D6885" s="2" t="s">
        <v>27</v>
      </c>
      <c r="E6885" s="5">
        <v>-28929</v>
      </c>
      <c r="F6885" s="3" t="s">
        <v>728</v>
      </c>
      <c r="G6885" s="3" t="s">
        <v>62</v>
      </c>
      <c r="H6885" s="2" t="s">
        <v>21</v>
      </c>
      <c r="I6885" s="2" t="s">
        <v>13600</v>
      </c>
      <c r="J6885" s="3" t="str">
        <f>HYPERLINK("https://www.boe.es/gazeta/dias/1820/10/16/pdfs/GGB-1820-110.pdf#page=3","Abrir facsímil")</f>
        <v>Abrir facsímil</v>
      </c>
      <c r="K6885" s="3" t="s">
        <v>23</v>
      </c>
    </row>
    <row r="6886" spans="1:11" ht="42" customHeight="1">
      <c r="A6886" s="2" t="s">
        <v>13601</v>
      </c>
      <c r="B6886" s="2" t="s">
        <v>13602</v>
      </c>
      <c r="C6886" s="2" t="s">
        <v>26</v>
      </c>
      <c r="D6886" s="2" t="s">
        <v>27</v>
      </c>
      <c r="E6886" s="5">
        <v>-28865</v>
      </c>
      <c r="F6886" s="3" t="s">
        <v>136</v>
      </c>
      <c r="G6886" s="3" t="s">
        <v>137</v>
      </c>
      <c r="H6886" s="2" t="s">
        <v>21</v>
      </c>
      <c r="I6886" s="2" t="s">
        <v>13603</v>
      </c>
      <c r="J6886" s="3" t="str">
        <f>HYPERLINK("https://www.boe.es/gazeta/dias/1820/12/19/pdfs/GGB-1820-176.pdf#page=3","Abrir facsímil")</f>
        <v>Abrir facsímil</v>
      </c>
      <c r="K6886" s="3" t="s">
        <v>23</v>
      </c>
    </row>
    <row r="6887" spans="1:11" ht="42" customHeight="1">
      <c r="A6887" s="2" t="s">
        <v>13604</v>
      </c>
      <c r="B6887" s="2" t="s">
        <v>13605</v>
      </c>
      <c r="C6887" s="2" t="s">
        <v>35</v>
      </c>
      <c r="D6887" s="2" t="s">
        <v>36</v>
      </c>
      <c r="E6887" s="5">
        <v>-29009</v>
      </c>
      <c r="F6887" s="3" t="s">
        <v>605</v>
      </c>
      <c r="G6887" s="3" t="s">
        <v>43</v>
      </c>
      <c r="H6887" s="2" t="s">
        <v>30</v>
      </c>
      <c r="I6887" s="2" t="s">
        <v>13606</v>
      </c>
      <c r="J6887" s="3" t="str">
        <f>HYPERLINK("https://www.boe.es/gazeta/dias/1820/07/28/pdfs/GGB-1820-30.pdf#page=2","Abrir facsímil")</f>
        <v>Abrir facsímil</v>
      </c>
      <c r="K6887" s="3" t="s">
        <v>32</v>
      </c>
    </row>
    <row r="6888" spans="1:11" ht="42" customHeight="1">
      <c r="A6888" s="2" t="s">
        <v>13604</v>
      </c>
      <c r="B6888" s="2" t="s">
        <v>13605</v>
      </c>
      <c r="C6888" s="2" t="s">
        <v>26</v>
      </c>
      <c r="D6888" s="2" t="s">
        <v>27</v>
      </c>
      <c r="E6888" s="5">
        <v>-28906</v>
      </c>
      <c r="F6888" s="3" t="s">
        <v>232</v>
      </c>
      <c r="G6888" s="3" t="s">
        <v>20</v>
      </c>
      <c r="H6888" s="2" t="s">
        <v>30</v>
      </c>
      <c r="I6888" s="2" t="s">
        <v>13607</v>
      </c>
      <c r="J6888" s="3" t="str">
        <f>HYPERLINK("https://www.boe.es/gazeta/dias/1820/11/08/pdfs/GGB-1820-133.pdf#page=4","Abrir facsímil")</f>
        <v>Abrir facsímil</v>
      </c>
      <c r="K6888" s="3" t="s">
        <v>32</v>
      </c>
    </row>
    <row r="6889" spans="1:11" ht="42" customHeight="1">
      <c r="A6889" s="2" t="s">
        <v>13608</v>
      </c>
      <c r="B6889" s="2" t="s">
        <v>13609</v>
      </c>
      <c r="C6889" s="2" t="s">
        <v>26</v>
      </c>
      <c r="D6889" s="2" t="s">
        <v>27</v>
      </c>
      <c r="E6889" s="5">
        <v>-29180</v>
      </c>
      <c r="F6889" s="3" t="s">
        <v>294</v>
      </c>
      <c r="G6889" s="3" t="s">
        <v>20</v>
      </c>
      <c r="H6889" s="2" t="s">
        <v>21</v>
      </c>
      <c r="I6889" s="2" t="s">
        <v>13610</v>
      </c>
      <c r="J6889" s="3" t="str">
        <f>HYPERLINK("https://www.boe.es/gazeta/dias/1820/02/08/pdfs/GMD-1820-17.pdf#page=4","Abrir facsímil")</f>
        <v>Abrir facsímil</v>
      </c>
      <c r="K6889" s="3" t="s">
        <v>23</v>
      </c>
    </row>
    <row r="6890" spans="1:11" ht="42" customHeight="1">
      <c r="A6890" s="2" t="s">
        <v>13611</v>
      </c>
      <c r="B6890" s="2" t="s">
        <v>13612</v>
      </c>
      <c r="C6890" s="2" t="s">
        <v>17</v>
      </c>
      <c r="D6890" s="2" t="s">
        <v>18</v>
      </c>
      <c r="E6890" s="5">
        <v>-28994</v>
      </c>
      <c r="F6890" s="3" t="s">
        <v>1612</v>
      </c>
      <c r="G6890" s="3" t="s">
        <v>20</v>
      </c>
      <c r="H6890" s="2" t="s">
        <v>21</v>
      </c>
      <c r="I6890" s="2" t="s">
        <v>13613</v>
      </c>
      <c r="J6890" s="3" t="str">
        <f>HYPERLINK("https://www.boe.es/gazeta/dias/1820/08/12/pdfs/GGB-1820-45.pdf#page=4","Abrir facsímil")</f>
        <v>Abrir facsímil</v>
      </c>
      <c r="K6890" s="3" t="s">
        <v>23</v>
      </c>
    </row>
    <row r="6891" spans="1:11" ht="42" customHeight="1">
      <c r="A6891" s="2" t="s">
        <v>13614</v>
      </c>
      <c r="B6891" s="2" t="s">
        <v>13615</v>
      </c>
      <c r="C6891" s="2" t="s">
        <v>26</v>
      </c>
      <c r="D6891" s="2" t="s">
        <v>27</v>
      </c>
      <c r="E6891" s="5">
        <v>-29029</v>
      </c>
      <c r="F6891" s="3" t="s">
        <v>282</v>
      </c>
      <c r="G6891" s="3" t="s">
        <v>20</v>
      </c>
      <c r="H6891" s="2" t="s">
        <v>21</v>
      </c>
      <c r="I6891" s="2" t="s">
        <v>13616</v>
      </c>
      <c r="J6891" s="3" t="str">
        <f>HYPERLINK("https://www.boe.es/gazeta/dias/1820/07/08/pdfs/GGB-1820-9.pdf#page=4","Abrir facsímil")</f>
        <v>Abrir facsímil</v>
      </c>
      <c r="K6891" s="3" t="s">
        <v>23</v>
      </c>
    </row>
    <row r="6892" spans="1:11" ht="42" customHeight="1">
      <c r="A6892" s="2" t="s">
        <v>13617</v>
      </c>
      <c r="B6892" s="2" t="s">
        <v>13618</v>
      </c>
      <c r="C6892" s="2" t="s">
        <v>35</v>
      </c>
      <c r="D6892" s="2" t="s">
        <v>36</v>
      </c>
      <c r="E6892" s="5">
        <v>-28978</v>
      </c>
      <c r="F6892" s="3" t="s">
        <v>203</v>
      </c>
      <c r="G6892" s="3" t="s">
        <v>13619</v>
      </c>
      <c r="H6892" s="2" t="s">
        <v>21</v>
      </c>
      <c r="I6892" s="2" t="s">
        <v>13620</v>
      </c>
      <c r="J6892" s="3" t="str">
        <f>HYPERLINK("https://www.boe.es/gazeta/dias/1820/08/28/pdfs/GGB-1820-61.pdf#page=4","Abrir facsímil")</f>
        <v>Abrir facsímil</v>
      </c>
      <c r="K6892" s="3" t="s">
        <v>23</v>
      </c>
    </row>
    <row r="6893" spans="1:11" ht="42" customHeight="1">
      <c r="A6893" s="2" t="s">
        <v>13621</v>
      </c>
      <c r="B6893" s="2" t="s">
        <v>13622</v>
      </c>
      <c r="C6893" s="2" t="s">
        <v>35</v>
      </c>
      <c r="D6893" s="2" t="s">
        <v>36</v>
      </c>
      <c r="E6893" s="5">
        <v>-28938</v>
      </c>
      <c r="F6893" s="3" t="s">
        <v>716</v>
      </c>
      <c r="G6893" s="3" t="s">
        <v>1452</v>
      </c>
      <c r="H6893" s="2" t="s">
        <v>21</v>
      </c>
      <c r="I6893" s="2" t="s">
        <v>13623</v>
      </c>
      <c r="J6893" s="3" t="str">
        <f>HYPERLINK("https://www.boe.es/gazeta/dias/1820/10/07/pdfs/GGB-1820-101.pdf#page=4","Abrir facsímil")</f>
        <v>Abrir facsímil</v>
      </c>
      <c r="K6893" s="3" t="s">
        <v>23</v>
      </c>
    </row>
    <row r="6894" spans="1:11" ht="42" customHeight="1">
      <c r="A6894" s="2" t="s">
        <v>13624</v>
      </c>
      <c r="B6894" s="2" t="s">
        <v>13625</v>
      </c>
      <c r="C6894" s="2" t="s">
        <v>74</v>
      </c>
      <c r="D6894" s="2" t="s">
        <v>18</v>
      </c>
      <c r="E6894" s="5">
        <v>-28951</v>
      </c>
      <c r="F6894" s="3" t="s">
        <v>622</v>
      </c>
      <c r="G6894" s="3" t="s">
        <v>20</v>
      </c>
      <c r="H6894" s="2" t="s">
        <v>21</v>
      </c>
      <c r="I6894" s="2" t="s">
        <v>13626</v>
      </c>
      <c r="J6894" s="3" t="str">
        <f>HYPERLINK("https://www.boe.es/gazeta/dias/1820/09/24/pdfs/GGB-1820-88.pdf#page=4","Abrir facsímil")</f>
        <v>Abrir facsímil</v>
      </c>
      <c r="K6894" s="3" t="s">
        <v>23</v>
      </c>
    </row>
    <row r="6895" spans="1:11" ht="42" customHeight="1">
      <c r="A6895" s="2" t="s">
        <v>13627</v>
      </c>
      <c r="B6895" s="2" t="s">
        <v>13627</v>
      </c>
      <c r="C6895" s="2" t="s">
        <v>26</v>
      </c>
      <c r="D6895" s="2" t="s">
        <v>27</v>
      </c>
      <c r="E6895" s="5">
        <v>-28900</v>
      </c>
      <c r="F6895" s="3" t="s">
        <v>878</v>
      </c>
      <c r="G6895" s="3" t="s">
        <v>13628</v>
      </c>
      <c r="H6895" s="2" t="s">
        <v>21</v>
      </c>
      <c r="I6895" s="2" t="s">
        <v>13629</v>
      </c>
      <c r="J6895" s="3" t="str">
        <f>HYPERLINK("https://www.boe.es/gazeta/dias/1820/11/14/pdfs/GGB-1820-140.pdf#page=2","Abrir facsímil")</f>
        <v>Abrir facsímil</v>
      </c>
      <c r="K6895" s="3" t="s">
        <v>23</v>
      </c>
    </row>
    <row r="6896" spans="1:11" ht="42" customHeight="1">
      <c r="A6896" s="2" t="s">
        <v>13630</v>
      </c>
      <c r="B6896" s="2" t="s">
        <v>13631</v>
      </c>
      <c r="C6896" s="2" t="s">
        <v>26</v>
      </c>
      <c r="D6896" s="2" t="s">
        <v>27</v>
      </c>
      <c r="E6896" s="5">
        <v>-29206</v>
      </c>
      <c r="F6896" s="3" t="s">
        <v>897</v>
      </c>
      <c r="G6896" s="3" t="s">
        <v>1156</v>
      </c>
      <c r="H6896" s="2" t="s">
        <v>21</v>
      </c>
      <c r="I6896" s="2" t="s">
        <v>13632</v>
      </c>
      <c r="J6896" s="3" t="str">
        <f>HYPERLINK("https://www.boe.es/gazeta/dias/1820/01/13/pdfs/GMD-1820-6.pdf#page=5","Abrir facsímil")</f>
        <v>Abrir facsímil</v>
      </c>
      <c r="K6896" s="3" t="s">
        <v>23</v>
      </c>
    </row>
    <row r="6897" spans="1:11" ht="42" customHeight="1">
      <c r="A6897" s="2" t="s">
        <v>13633</v>
      </c>
      <c r="B6897" s="2" t="s">
        <v>13634</v>
      </c>
      <c r="C6897" s="2" t="s">
        <v>26</v>
      </c>
      <c r="D6897" s="2" t="s">
        <v>27</v>
      </c>
      <c r="E6897" s="5">
        <v>-29029</v>
      </c>
      <c r="F6897" s="3" t="s">
        <v>282</v>
      </c>
      <c r="G6897" s="3" t="s">
        <v>20</v>
      </c>
      <c r="H6897" s="2" t="s">
        <v>21</v>
      </c>
      <c r="I6897" s="2" t="s">
        <v>13635</v>
      </c>
      <c r="J6897" s="3" t="str">
        <f>HYPERLINK("https://www.boe.es/gazeta/dias/1820/07/08/pdfs/GGB-1820-9.pdf#page=4","Abrir facsímil")</f>
        <v>Abrir facsímil</v>
      </c>
      <c r="K6897" s="3" t="s">
        <v>23</v>
      </c>
    </row>
    <row r="6898" spans="1:11" ht="42" customHeight="1">
      <c r="A6898" s="2" t="s">
        <v>13636</v>
      </c>
      <c r="B6898" s="2" t="s">
        <v>13637</v>
      </c>
      <c r="C6898" s="2" t="s">
        <v>35</v>
      </c>
      <c r="D6898" s="2" t="s">
        <v>36</v>
      </c>
      <c r="E6898" s="5">
        <v>-28864</v>
      </c>
      <c r="F6898" s="3" t="s">
        <v>1275</v>
      </c>
      <c r="G6898" s="3" t="s">
        <v>38</v>
      </c>
      <c r="H6898" s="2" t="s">
        <v>21</v>
      </c>
      <c r="I6898" s="2" t="s">
        <v>13638</v>
      </c>
      <c r="J6898" s="3" t="str">
        <f>HYPERLINK("https://www.boe.es/gazeta/dias/1820/12/20/pdfs/GGB-1820-177.pdf#page=6","Abrir facsímil")</f>
        <v>Abrir facsímil</v>
      </c>
      <c r="K6898" s="3" t="s">
        <v>23</v>
      </c>
    </row>
    <row r="6899" spans="1:11" ht="42" customHeight="1">
      <c r="A6899" s="2" t="s">
        <v>13639</v>
      </c>
      <c r="B6899" s="2" t="s">
        <v>13640</v>
      </c>
      <c r="C6899" s="2" t="s">
        <v>111</v>
      </c>
      <c r="D6899" s="2" t="s">
        <v>18</v>
      </c>
      <c r="E6899" s="5">
        <v>-28967</v>
      </c>
      <c r="F6899" s="3" t="s">
        <v>238</v>
      </c>
      <c r="G6899" s="3" t="s">
        <v>675</v>
      </c>
      <c r="H6899" s="2" t="s">
        <v>30</v>
      </c>
      <c r="I6899" s="2" t="s">
        <v>13641</v>
      </c>
      <c r="J6899" s="3" t="str">
        <f>HYPERLINK("https://www.boe.es/gazeta/dias/1820/09/08/pdfs/GGB-1820-72.pdf#page=2","Abrir facsímil")</f>
        <v>Abrir facsímil</v>
      </c>
      <c r="K6899" s="3" t="s">
        <v>32</v>
      </c>
    </row>
    <row r="6900" spans="1:11" ht="42" customHeight="1">
      <c r="A6900" s="2" t="s">
        <v>13642</v>
      </c>
      <c r="B6900" s="2" t="s">
        <v>13643</v>
      </c>
      <c r="C6900" s="2" t="s">
        <v>35</v>
      </c>
      <c r="D6900" s="2" t="s">
        <v>36</v>
      </c>
      <c r="E6900" s="5">
        <v>-29159</v>
      </c>
      <c r="F6900" s="3" t="s">
        <v>1022</v>
      </c>
      <c r="G6900" s="3" t="s">
        <v>3766</v>
      </c>
      <c r="H6900" s="2" t="s">
        <v>30</v>
      </c>
      <c r="I6900" s="2" t="s">
        <v>13644</v>
      </c>
      <c r="J6900" s="3" t="str">
        <f>HYPERLINK("https://www.boe.es/gazeta/dias/1820/02/29/pdfs/GMD-1820-26.pdf#page=8","Abrir facsímil")</f>
        <v>Abrir facsímil</v>
      </c>
      <c r="K6900" s="3" t="s">
        <v>32</v>
      </c>
    </row>
    <row r="6901" spans="1:11" ht="42" customHeight="1">
      <c r="A6901" s="2" t="s">
        <v>13642</v>
      </c>
      <c r="B6901" s="2" t="s">
        <v>13643</v>
      </c>
      <c r="C6901" s="2" t="s">
        <v>35</v>
      </c>
      <c r="D6901" s="2" t="s">
        <v>36</v>
      </c>
      <c r="E6901" s="5">
        <v>-29136</v>
      </c>
      <c r="F6901" s="3" t="s">
        <v>2972</v>
      </c>
      <c r="G6901" s="3" t="s">
        <v>201</v>
      </c>
      <c r="H6901" s="2" t="s">
        <v>30</v>
      </c>
      <c r="I6901" s="2" t="s">
        <v>13645</v>
      </c>
      <c r="J6901" s="3" t="str">
        <f>HYPERLINK("https://www.boe.es/gazeta/dias/1820/03/23/pdfs/GMD-1820-51.pdf#page=7","Abrir facsímil")</f>
        <v>Abrir facsímil</v>
      </c>
      <c r="K6901" s="3" t="s">
        <v>32</v>
      </c>
    </row>
    <row r="6902" spans="1:11" ht="42" customHeight="1">
      <c r="A6902" s="2" t="s">
        <v>13646</v>
      </c>
      <c r="B6902" s="2" t="s">
        <v>13647</v>
      </c>
      <c r="C6902" s="2" t="s">
        <v>26</v>
      </c>
      <c r="D6902" s="2" t="s">
        <v>27</v>
      </c>
      <c r="E6902" s="5">
        <v>-29013</v>
      </c>
      <c r="F6902" s="3" t="s">
        <v>52</v>
      </c>
      <c r="G6902" s="3" t="s">
        <v>20</v>
      </c>
      <c r="H6902" s="2" t="s">
        <v>21</v>
      </c>
      <c r="I6902" s="2" t="s">
        <v>13648</v>
      </c>
      <c r="J6902" s="3" t="str">
        <f>HYPERLINK("https://www.boe.es/gazeta/dias/1820/07/24/pdfs/GGB-1820-26.pdf#page=4","Abrir facsímil")</f>
        <v>Abrir facsímil</v>
      </c>
      <c r="K6902" s="3" t="s">
        <v>23</v>
      </c>
    </row>
    <row r="6903" spans="1:11" ht="42" customHeight="1">
      <c r="A6903" s="2" t="s">
        <v>13649</v>
      </c>
      <c r="B6903" s="2" t="s">
        <v>13650</v>
      </c>
      <c r="C6903" s="2" t="s">
        <v>26</v>
      </c>
      <c r="D6903" s="2" t="s">
        <v>27</v>
      </c>
      <c r="E6903" s="5">
        <v>-29029</v>
      </c>
      <c r="F6903" s="3" t="s">
        <v>282</v>
      </c>
      <c r="G6903" s="3" t="s">
        <v>20</v>
      </c>
      <c r="H6903" s="2" t="s">
        <v>21</v>
      </c>
      <c r="I6903" s="2" t="s">
        <v>13651</v>
      </c>
      <c r="J6903" s="3" t="str">
        <f>HYPERLINK("https://www.boe.es/gazeta/dias/1820/07/08/pdfs/GGB-1820-9.pdf#page=4","Abrir facsímil")</f>
        <v>Abrir facsímil</v>
      </c>
      <c r="K6903" s="3" t="s">
        <v>23</v>
      </c>
    </row>
    <row r="6904" spans="1:11" ht="42" customHeight="1">
      <c r="A6904" s="2" t="s">
        <v>13652</v>
      </c>
      <c r="B6904" s="2" t="s">
        <v>13653</v>
      </c>
      <c r="C6904" s="2" t="s">
        <v>111</v>
      </c>
      <c r="D6904" s="2" t="s">
        <v>18</v>
      </c>
      <c r="E6904" s="5">
        <v>-29035</v>
      </c>
      <c r="F6904" s="3" t="s">
        <v>2267</v>
      </c>
      <c r="G6904" s="3" t="s">
        <v>62</v>
      </c>
      <c r="H6904" s="2" t="s">
        <v>21</v>
      </c>
      <c r="I6904" s="2" t="s">
        <v>13654</v>
      </c>
      <c r="J6904" s="3" t="str">
        <f>HYPERLINK("https://www.boe.es/gazeta/dias/1820/07/02/pdfs/GGB-1820-2.pdf#page=3","Abrir facsímil")</f>
        <v>Abrir facsímil</v>
      </c>
      <c r="K6904" s="3" t="s">
        <v>23</v>
      </c>
    </row>
    <row r="6905" spans="1:11" ht="42" customHeight="1">
      <c r="A6905" s="2" t="s">
        <v>13655</v>
      </c>
      <c r="B6905" s="2" t="s">
        <v>13655</v>
      </c>
      <c r="C6905" s="2" t="s">
        <v>74</v>
      </c>
      <c r="D6905" s="2" t="s">
        <v>18</v>
      </c>
      <c r="E6905" s="5">
        <v>-29009</v>
      </c>
      <c r="F6905" s="3" t="s">
        <v>605</v>
      </c>
      <c r="G6905" s="3" t="s">
        <v>62</v>
      </c>
      <c r="H6905" s="2" t="s">
        <v>21</v>
      </c>
      <c r="I6905" s="2" t="s">
        <v>13656</v>
      </c>
      <c r="J6905" s="3" t="str">
        <f>HYPERLINK("https://www.boe.es/gazeta/dias/1820/07/28/pdfs/GGB-1820-30.pdf#page=3","Abrir facsímil")</f>
        <v>Abrir facsímil</v>
      </c>
      <c r="K6905" s="3" t="s">
        <v>23</v>
      </c>
    </row>
    <row r="6906" spans="1:11" ht="42" customHeight="1">
      <c r="A6906" s="2" t="s">
        <v>13657</v>
      </c>
      <c r="B6906" s="2" t="s">
        <v>13657</v>
      </c>
      <c r="C6906" s="2" t="s">
        <v>17</v>
      </c>
      <c r="D6906" s="2" t="s">
        <v>18</v>
      </c>
      <c r="E6906" s="5">
        <v>-29017</v>
      </c>
      <c r="F6906" s="3" t="s">
        <v>274</v>
      </c>
      <c r="G6906" s="3" t="s">
        <v>62</v>
      </c>
      <c r="H6906" s="2" t="s">
        <v>21</v>
      </c>
      <c r="I6906" s="2" t="s">
        <v>13658</v>
      </c>
      <c r="J6906" s="3" t="str">
        <f>HYPERLINK("https://www.boe.es/gazeta/dias/1820/07/20/pdfs/GGB-1820-22.pdf#page=3","Abrir facsímil")</f>
        <v>Abrir facsímil</v>
      </c>
      <c r="K6906" s="3" t="s">
        <v>23</v>
      </c>
    </row>
    <row r="6907" spans="1:11" ht="42" customHeight="1">
      <c r="A6907" s="2" t="s">
        <v>13657</v>
      </c>
      <c r="B6907" s="2" t="s">
        <v>13657</v>
      </c>
      <c r="C6907" s="2" t="s">
        <v>26</v>
      </c>
      <c r="D6907" s="2" t="s">
        <v>27</v>
      </c>
      <c r="E6907" s="5">
        <v>-28976</v>
      </c>
      <c r="F6907" s="3" t="s">
        <v>689</v>
      </c>
      <c r="G6907" s="3" t="s">
        <v>62</v>
      </c>
      <c r="H6907" s="2" t="s">
        <v>21</v>
      </c>
      <c r="I6907" s="2" t="s">
        <v>13659</v>
      </c>
      <c r="J6907" s="3" t="str">
        <f>HYPERLINK("https://www.boe.es/gazeta/dias/1820/08/30/pdfs/GGB-1820-63.pdf#page=3","Abrir facsímil")</f>
        <v>Abrir facsímil</v>
      </c>
      <c r="K6907" s="3" t="s">
        <v>23</v>
      </c>
    </row>
    <row r="6908" spans="1:11" ht="42" customHeight="1">
      <c r="A6908" s="2" t="s">
        <v>13657</v>
      </c>
      <c r="B6908" s="2" t="s">
        <v>13657</v>
      </c>
      <c r="C6908" s="2" t="s">
        <v>35</v>
      </c>
      <c r="D6908" s="2" t="s">
        <v>36</v>
      </c>
      <c r="E6908" s="5">
        <v>-28931</v>
      </c>
      <c r="F6908" s="3" t="s">
        <v>724</v>
      </c>
      <c r="G6908" s="3" t="s">
        <v>43</v>
      </c>
      <c r="H6908" s="2" t="s">
        <v>21</v>
      </c>
      <c r="I6908" s="2" t="s">
        <v>13660</v>
      </c>
      <c r="J6908" s="3" t="str">
        <f>HYPERLINK("https://www.boe.es/gazeta/dias/1820/10/14/pdfs/GGB-1820-108.pdf#page=2","Abrir facsímil")</f>
        <v>Abrir facsímil</v>
      </c>
      <c r="K6908" s="3" t="s">
        <v>23</v>
      </c>
    </row>
    <row r="6909" spans="1:11" ht="42" customHeight="1">
      <c r="A6909" s="2" t="s">
        <v>13657</v>
      </c>
      <c r="B6909" s="2" t="s">
        <v>13657</v>
      </c>
      <c r="C6909" s="2" t="s">
        <v>293</v>
      </c>
      <c r="D6909" s="2" t="s">
        <v>18</v>
      </c>
      <c r="E6909" s="5">
        <v>-28907</v>
      </c>
      <c r="F6909" s="3" t="s">
        <v>374</v>
      </c>
      <c r="G6909" s="3" t="s">
        <v>20</v>
      </c>
      <c r="H6909" s="2" t="s">
        <v>21</v>
      </c>
      <c r="I6909" s="2" t="s">
        <v>13661</v>
      </c>
      <c r="J6909" s="3" t="str">
        <f>HYPERLINK("https://www.boe.es/gazeta/dias/1820/11/07/pdfs/GGB-1820-132.pdf#page=4","Abrir facsímil")</f>
        <v>Abrir facsímil</v>
      </c>
      <c r="K6909" s="3" t="s">
        <v>23</v>
      </c>
    </row>
    <row r="6910" spans="1:11" ht="42" customHeight="1">
      <c r="A6910" s="2" t="s">
        <v>13662</v>
      </c>
      <c r="B6910" s="2" t="s">
        <v>13663</v>
      </c>
      <c r="C6910" s="2" t="s">
        <v>293</v>
      </c>
      <c r="D6910" s="2" t="s">
        <v>18</v>
      </c>
      <c r="E6910" s="5">
        <v>-28979</v>
      </c>
      <c r="F6910" s="3" t="s">
        <v>218</v>
      </c>
      <c r="G6910" s="3" t="s">
        <v>20</v>
      </c>
      <c r="H6910" s="2" t="s">
        <v>21</v>
      </c>
      <c r="I6910" s="2" t="s">
        <v>13664</v>
      </c>
      <c r="J6910" s="3" t="str">
        <f>HYPERLINK("https://www.boe.es/gazeta/dias/1820/08/27/pdfs/GGB-1820-60.pdf#page=4","Abrir facsímil")</f>
        <v>Abrir facsímil</v>
      </c>
      <c r="K6910" s="3" t="s">
        <v>23</v>
      </c>
    </row>
    <row r="6911" spans="1:11" ht="42" customHeight="1">
      <c r="A6911" s="2" t="s">
        <v>13662</v>
      </c>
      <c r="B6911" s="2" t="s">
        <v>13663</v>
      </c>
      <c r="C6911" s="2" t="s">
        <v>107</v>
      </c>
      <c r="D6911" s="2" t="s">
        <v>18</v>
      </c>
      <c r="E6911" s="5">
        <v>-28974</v>
      </c>
      <c r="F6911" s="3" t="s">
        <v>1144</v>
      </c>
      <c r="G6911" s="3" t="s">
        <v>1145</v>
      </c>
      <c r="H6911" s="2" t="s">
        <v>21</v>
      </c>
      <c r="I6911" s="2" t="s">
        <v>13665</v>
      </c>
      <c r="J6911" s="3" t="str">
        <f>HYPERLINK("https://www.boe.es/gazeta/dias/1820/09/01/pdfs/GGB-1820-65.pdf#page=4","Abrir facsímil")</f>
        <v>Abrir facsímil</v>
      </c>
      <c r="K6911" s="3" t="s">
        <v>23</v>
      </c>
    </row>
    <row r="6912" spans="1:11" ht="42" customHeight="1">
      <c r="A6912" s="2" t="s">
        <v>13666</v>
      </c>
      <c r="B6912" s="2" t="s">
        <v>13667</v>
      </c>
      <c r="C6912" s="2" t="s">
        <v>35</v>
      </c>
      <c r="D6912" s="2" t="s">
        <v>36</v>
      </c>
      <c r="E6912" s="5">
        <v>-28900</v>
      </c>
      <c r="F6912" s="3" t="s">
        <v>878</v>
      </c>
      <c r="G6912" s="3" t="s">
        <v>20</v>
      </c>
      <c r="H6912" s="2" t="s">
        <v>21</v>
      </c>
      <c r="I6912" s="2" t="s">
        <v>13668</v>
      </c>
      <c r="J6912" s="3" t="str">
        <f>HYPERLINK("https://www.boe.es/gazeta/dias/1820/11/14/pdfs/GGB-1820-140.pdf#page=4","Abrir facsímil")</f>
        <v>Abrir facsímil</v>
      </c>
      <c r="K6912" s="3" t="s">
        <v>23</v>
      </c>
    </row>
    <row r="6913" spans="1:11" ht="42" customHeight="1">
      <c r="A6913" s="2" t="s">
        <v>13669</v>
      </c>
      <c r="B6913" s="2" t="s">
        <v>13670</v>
      </c>
      <c r="C6913" s="2" t="s">
        <v>26</v>
      </c>
      <c r="D6913" s="2" t="s">
        <v>27</v>
      </c>
      <c r="E6913" s="5">
        <v>-28973</v>
      </c>
      <c r="F6913" s="3" t="s">
        <v>151</v>
      </c>
      <c r="G6913" s="3" t="s">
        <v>20</v>
      </c>
      <c r="H6913" s="2" t="s">
        <v>21</v>
      </c>
      <c r="I6913" s="2" t="s">
        <v>13671</v>
      </c>
      <c r="J6913" s="3" t="str">
        <f>HYPERLINK("https://www.boe.es/gazeta/dias/1820/09/02/pdfs/GGB-1820-66.pdf#page=4","Abrir facsímil")</f>
        <v>Abrir facsímil</v>
      </c>
      <c r="K6913" s="3" t="s">
        <v>23</v>
      </c>
    </row>
    <row r="6914" spans="1:11" ht="42" customHeight="1">
      <c r="A6914" s="2" t="s">
        <v>13672</v>
      </c>
      <c r="B6914" s="2" t="s">
        <v>13672</v>
      </c>
      <c r="C6914" s="2" t="s">
        <v>26</v>
      </c>
      <c r="D6914" s="2" t="s">
        <v>27</v>
      </c>
      <c r="E6914" s="5">
        <v>-28967</v>
      </c>
      <c r="F6914" s="3" t="s">
        <v>238</v>
      </c>
      <c r="G6914" s="3" t="s">
        <v>256</v>
      </c>
      <c r="H6914" s="2" t="s">
        <v>21</v>
      </c>
      <c r="I6914" s="2" t="s">
        <v>13673</v>
      </c>
      <c r="J6914" s="3" t="str">
        <f>HYPERLINK("https://www.boe.es/gazeta/dias/1820/09/08/pdfs/GGB-1820-72.pdf#page=5","Abrir facsímil")</f>
        <v>Abrir facsímil</v>
      </c>
      <c r="K6914" s="3" t="s">
        <v>23</v>
      </c>
    </row>
    <row r="6915" spans="1:11" ht="42" customHeight="1">
      <c r="A6915" s="2" t="s">
        <v>13674</v>
      </c>
      <c r="B6915" s="2" t="s">
        <v>13675</v>
      </c>
      <c r="C6915" s="2" t="s">
        <v>17</v>
      </c>
      <c r="D6915" s="2" t="s">
        <v>18</v>
      </c>
      <c r="E6915" s="5">
        <v>-28918</v>
      </c>
      <c r="F6915" s="3" t="s">
        <v>160</v>
      </c>
      <c r="G6915" s="3" t="s">
        <v>43</v>
      </c>
      <c r="H6915" s="2" t="s">
        <v>21</v>
      </c>
      <c r="I6915" s="2" t="s">
        <v>13676</v>
      </c>
      <c r="J6915" s="3" t="str">
        <f>HYPERLINK("https://www.boe.es/gazeta/dias/1820/10/27/pdfs/GGB-1820-121.pdf#page=2","Abrir facsímil")</f>
        <v>Abrir facsímil</v>
      </c>
      <c r="K6915" s="3" t="s">
        <v>23</v>
      </c>
    </row>
    <row r="6916" spans="1:11" ht="42" customHeight="1">
      <c r="A6916" s="2" t="s">
        <v>13677</v>
      </c>
      <c r="B6916" s="2" t="s">
        <v>13678</v>
      </c>
      <c r="C6916" s="2" t="s">
        <v>26</v>
      </c>
      <c r="D6916" s="2" t="s">
        <v>27</v>
      </c>
      <c r="E6916" s="5">
        <v>-29136</v>
      </c>
      <c r="F6916" s="3" t="s">
        <v>2972</v>
      </c>
      <c r="G6916" s="3" t="s">
        <v>256</v>
      </c>
      <c r="H6916" s="2" t="s">
        <v>21</v>
      </c>
      <c r="I6916" s="2" t="s">
        <v>13679</v>
      </c>
      <c r="J6916" s="3" t="str">
        <f>HYPERLINK("https://www.boe.es/gazeta/dias/1820/03/23/pdfs/GMD-1820-51.pdf#page=5","Abrir facsímil")</f>
        <v>Abrir facsímil</v>
      </c>
      <c r="K6916" s="3" t="s">
        <v>23</v>
      </c>
    </row>
    <row r="6917" spans="1:11" ht="42" customHeight="1">
      <c r="A6917" s="2" t="s">
        <v>13680</v>
      </c>
      <c r="B6917" s="2" t="s">
        <v>13681</v>
      </c>
      <c r="C6917" s="2" t="s">
        <v>26</v>
      </c>
      <c r="D6917" s="2" t="s">
        <v>27</v>
      </c>
      <c r="E6917" s="5">
        <v>-28858</v>
      </c>
      <c r="F6917" s="3" t="s">
        <v>117</v>
      </c>
      <c r="G6917" s="3" t="s">
        <v>20</v>
      </c>
      <c r="H6917" s="2" t="s">
        <v>21</v>
      </c>
      <c r="I6917" s="2" t="s">
        <v>13682</v>
      </c>
      <c r="J6917" s="3" t="str">
        <f>HYPERLINK("https://www.boe.es/gazeta/dias/1820/12/26/pdfs/GGB-1820-183.pdf#page=4","Abrir facsímil")</f>
        <v>Abrir facsímil</v>
      </c>
      <c r="K6917" s="3" t="s">
        <v>23</v>
      </c>
    </row>
    <row r="6918" spans="1:11" ht="42" customHeight="1">
      <c r="A6918" s="2" t="s">
        <v>13683</v>
      </c>
      <c r="B6918" s="2" t="s">
        <v>13684</v>
      </c>
      <c r="C6918" s="2" t="s">
        <v>26</v>
      </c>
      <c r="D6918" s="2" t="s">
        <v>27</v>
      </c>
      <c r="E6918" s="5">
        <v>-29045</v>
      </c>
      <c r="F6918" s="3" t="s">
        <v>155</v>
      </c>
      <c r="G6918" s="3" t="s">
        <v>38</v>
      </c>
      <c r="H6918" s="2" t="s">
        <v>21</v>
      </c>
      <c r="I6918" s="2" t="s">
        <v>13685</v>
      </c>
      <c r="J6918" s="3" t="str">
        <f>HYPERLINK("https://www.boe.es/gazeta/dias/1820/06/22/pdfs/GMD-1820-97.pdf#page=6","Abrir facsímil")</f>
        <v>Abrir facsímil</v>
      </c>
      <c r="K6918" s="3" t="s">
        <v>23</v>
      </c>
    </row>
    <row r="6919" spans="1:11" ht="42" customHeight="1">
      <c r="A6919" s="2" t="s">
        <v>13683</v>
      </c>
      <c r="B6919" s="2" t="s">
        <v>13684</v>
      </c>
      <c r="C6919" s="2" t="s">
        <v>26</v>
      </c>
      <c r="D6919" s="2" t="s">
        <v>27</v>
      </c>
      <c r="E6919" s="5">
        <v>-28883</v>
      </c>
      <c r="F6919" s="3" t="s">
        <v>306</v>
      </c>
      <c r="G6919" s="3" t="s">
        <v>20</v>
      </c>
      <c r="H6919" s="2" t="s">
        <v>21</v>
      </c>
      <c r="I6919" s="2" t="s">
        <v>13686</v>
      </c>
      <c r="J6919" s="3" t="str">
        <f>HYPERLINK("https://www.boe.es/gazeta/dias/1820/12/01/pdfs/GGB-1820-158.pdf#page=4","Abrir facsímil")</f>
        <v>Abrir facsímil</v>
      </c>
      <c r="K6919" s="3" t="s">
        <v>23</v>
      </c>
    </row>
    <row r="6920" spans="1:11" ht="42" customHeight="1">
      <c r="A6920" s="2" t="s">
        <v>13687</v>
      </c>
      <c r="B6920" s="2" t="s">
        <v>13687</v>
      </c>
      <c r="C6920" s="2" t="s">
        <v>35</v>
      </c>
      <c r="D6920" s="2" t="s">
        <v>36</v>
      </c>
      <c r="E6920" s="5">
        <v>-29159</v>
      </c>
      <c r="F6920" s="3" t="s">
        <v>1022</v>
      </c>
      <c r="G6920" s="3" t="s">
        <v>1023</v>
      </c>
      <c r="H6920" s="2" t="s">
        <v>21</v>
      </c>
      <c r="I6920" s="2" t="s">
        <v>13688</v>
      </c>
      <c r="J6920" s="3" t="str">
        <f>HYPERLINK("https://www.boe.es/gazeta/dias/1820/02/29/pdfs/GMD-1820-26.pdf#page=4","Abrir facsímil")</f>
        <v>Abrir facsímil</v>
      </c>
      <c r="K6920" s="3" t="s">
        <v>23</v>
      </c>
    </row>
    <row r="6921" spans="1:11" ht="42" customHeight="1">
      <c r="A6921" s="2" t="s">
        <v>13689</v>
      </c>
      <c r="B6921" s="2" t="s">
        <v>13690</v>
      </c>
      <c r="C6921" s="2" t="s">
        <v>47</v>
      </c>
      <c r="D6921" s="2" t="s">
        <v>18</v>
      </c>
      <c r="E6921" s="5">
        <v>-28891</v>
      </c>
      <c r="F6921" s="3" t="s">
        <v>965</v>
      </c>
      <c r="G6921" s="3" t="s">
        <v>20</v>
      </c>
      <c r="H6921" s="2" t="s">
        <v>21</v>
      </c>
      <c r="I6921" s="2" t="s">
        <v>13691</v>
      </c>
      <c r="J6921" s="3" t="str">
        <f>HYPERLINK("https://www.boe.es/gazeta/dias/1820/11/23/pdfs/GGB-1820-150.pdf#page=4","Abrir facsímil")</f>
        <v>Abrir facsímil</v>
      </c>
      <c r="K6921" s="3" t="s">
        <v>23</v>
      </c>
    </row>
    <row r="6922" spans="1:11" ht="42" customHeight="1">
      <c r="A6922" s="2" t="s">
        <v>13692</v>
      </c>
      <c r="B6922" s="2" t="s">
        <v>13693</v>
      </c>
      <c r="C6922" s="2" t="s">
        <v>17</v>
      </c>
      <c r="D6922" s="2" t="s">
        <v>18</v>
      </c>
      <c r="E6922" s="5">
        <v>-29159</v>
      </c>
      <c r="F6922" s="3" t="s">
        <v>1022</v>
      </c>
      <c r="G6922" s="3" t="s">
        <v>1023</v>
      </c>
      <c r="H6922" s="2" t="s">
        <v>21</v>
      </c>
      <c r="I6922" s="2" t="s">
        <v>13694</v>
      </c>
      <c r="J6922" s="3" t="str">
        <f>HYPERLINK("https://www.boe.es/gazeta/dias/1820/02/29/pdfs/GMD-1820-26.pdf#page=4","Abrir facsímil")</f>
        <v>Abrir facsímil</v>
      </c>
      <c r="K6922" s="3" t="s">
        <v>23</v>
      </c>
    </row>
    <row r="6923" spans="1:11" ht="42" customHeight="1">
      <c r="A6923" s="2" t="s">
        <v>13695</v>
      </c>
      <c r="B6923" s="2" t="s">
        <v>13696</v>
      </c>
      <c r="C6923" s="2" t="s">
        <v>35</v>
      </c>
      <c r="D6923" s="2" t="s">
        <v>36</v>
      </c>
      <c r="E6923" s="5">
        <v>-29005</v>
      </c>
      <c r="F6923" s="3" t="s">
        <v>1656</v>
      </c>
      <c r="G6923" s="3" t="s">
        <v>43</v>
      </c>
      <c r="H6923" s="2" t="s">
        <v>30</v>
      </c>
      <c r="I6923" s="2" t="s">
        <v>13697</v>
      </c>
      <c r="J6923" s="3" t="str">
        <f>HYPERLINK("https://www.boe.es/gazeta/dias/1820/08/01/pdfs/GGB-1820-34.pdf#page=2","Abrir facsímil")</f>
        <v>Abrir facsímil</v>
      </c>
      <c r="K6923" s="3" t="s">
        <v>32</v>
      </c>
    </row>
    <row r="6924" spans="1:11" ht="42" customHeight="1">
      <c r="A6924" s="2" t="s">
        <v>13698</v>
      </c>
      <c r="B6924" s="2" t="s">
        <v>13699</v>
      </c>
      <c r="C6924" s="2" t="s">
        <v>17</v>
      </c>
      <c r="D6924" s="2" t="s">
        <v>18</v>
      </c>
      <c r="E6924" s="5">
        <v>-28895</v>
      </c>
      <c r="F6924" s="3" t="s">
        <v>347</v>
      </c>
      <c r="G6924" s="3" t="s">
        <v>20</v>
      </c>
      <c r="H6924" s="2" t="s">
        <v>21</v>
      </c>
      <c r="I6924" s="2" t="s">
        <v>13700</v>
      </c>
      <c r="J6924" s="3" t="str">
        <f>HYPERLINK("https://www.boe.es/gazeta/dias/1820/11/19/pdfs/GGB-1820-146.pdf#page=4","Abrir facsímil")</f>
        <v>Abrir facsímil</v>
      </c>
      <c r="K6924" s="3" t="s">
        <v>23</v>
      </c>
    </row>
    <row r="6925" spans="1:11" ht="42" customHeight="1">
      <c r="A6925" s="2" t="s">
        <v>13701</v>
      </c>
      <c r="B6925" s="2" t="s">
        <v>13702</v>
      </c>
      <c r="C6925" s="2" t="s">
        <v>47</v>
      </c>
      <c r="D6925" s="2" t="s">
        <v>18</v>
      </c>
      <c r="E6925" s="5">
        <v>-28930</v>
      </c>
      <c r="F6925" s="3" t="s">
        <v>372</v>
      </c>
      <c r="G6925" s="3" t="s">
        <v>20</v>
      </c>
      <c r="H6925" s="2" t="s">
        <v>30</v>
      </c>
      <c r="I6925" s="2" t="s">
        <v>13703</v>
      </c>
      <c r="J6925" s="3" t="str">
        <f>HYPERLINK("https://www.boe.es/gazeta/dias/1820/10/15/pdfs/GGB-1820-109.pdf#page=4","Abrir facsímil")</f>
        <v>Abrir facsímil</v>
      </c>
      <c r="K6925" s="3" t="s">
        <v>32</v>
      </c>
    </row>
    <row r="6926" spans="1:11" ht="42" customHeight="1">
      <c r="A6926" s="2" t="s">
        <v>13704</v>
      </c>
      <c r="B6926" s="2" t="s">
        <v>13705</v>
      </c>
      <c r="C6926" s="2" t="s">
        <v>26</v>
      </c>
      <c r="D6926" s="2" t="s">
        <v>27</v>
      </c>
      <c r="E6926" s="5">
        <v>-28963</v>
      </c>
      <c r="F6926" s="3" t="s">
        <v>94</v>
      </c>
      <c r="G6926" s="3" t="s">
        <v>95</v>
      </c>
      <c r="H6926" s="2" t="s">
        <v>30</v>
      </c>
      <c r="I6926" s="2" t="s">
        <v>13706</v>
      </c>
      <c r="J6926" s="3" t="str">
        <f>HYPERLINK("https://www.boe.es/gazeta/dias/1820/09/12/pdfs/GGB-1820-76.pdf#page=4","Abrir facsímil")</f>
        <v>Abrir facsímil</v>
      </c>
      <c r="K6926" s="3" t="s">
        <v>32</v>
      </c>
    </row>
    <row r="6927" spans="1:11" ht="42" customHeight="1">
      <c r="A6927" s="2" t="s">
        <v>13707</v>
      </c>
      <c r="B6927" s="2" t="s">
        <v>13708</v>
      </c>
      <c r="C6927" s="2" t="s">
        <v>111</v>
      </c>
      <c r="D6927" s="2" t="s">
        <v>18</v>
      </c>
      <c r="E6927" s="5">
        <v>-29035</v>
      </c>
      <c r="F6927" s="3" t="s">
        <v>2267</v>
      </c>
      <c r="G6927" s="3" t="s">
        <v>62</v>
      </c>
      <c r="H6927" s="2" t="s">
        <v>21</v>
      </c>
      <c r="I6927" s="2" t="s">
        <v>13709</v>
      </c>
      <c r="J6927" s="3" t="str">
        <f>HYPERLINK("https://www.boe.es/gazeta/dias/1820/07/02/pdfs/GGB-1820-2.pdf#page=3","Abrir facsímil")</f>
        <v>Abrir facsímil</v>
      </c>
      <c r="K6927" s="3" t="s">
        <v>23</v>
      </c>
    </row>
    <row r="6928" spans="1:11" ht="42" customHeight="1">
      <c r="A6928" s="2" t="s">
        <v>13710</v>
      </c>
      <c r="B6928" s="2" t="s">
        <v>13711</v>
      </c>
      <c r="C6928" s="2" t="s">
        <v>35</v>
      </c>
      <c r="D6928" s="2" t="s">
        <v>36</v>
      </c>
      <c r="E6928" s="5">
        <v>-29197</v>
      </c>
      <c r="F6928" s="3" t="s">
        <v>48</v>
      </c>
      <c r="G6928" s="3" t="s">
        <v>295</v>
      </c>
      <c r="H6928" s="2" t="s">
        <v>21</v>
      </c>
      <c r="I6928" s="2" t="s">
        <v>13712</v>
      </c>
      <c r="J6928" s="3" t="str">
        <f>HYPERLINK("https://www.boe.es/gazeta/dias/1820/01/22/pdfs/GMD-1820-10.pdf#page=8","Abrir facsímil")</f>
        <v>Abrir facsímil</v>
      </c>
      <c r="K6928" s="3" t="s">
        <v>23</v>
      </c>
    </row>
    <row r="6929" spans="1:11" ht="42" customHeight="1">
      <c r="A6929" s="2" t="s">
        <v>13713</v>
      </c>
      <c r="B6929" s="2" t="s">
        <v>13714</v>
      </c>
      <c r="C6929" s="2" t="s">
        <v>107</v>
      </c>
      <c r="D6929" s="2" t="s">
        <v>18</v>
      </c>
      <c r="E6929" s="5">
        <v>-29197</v>
      </c>
      <c r="F6929" s="3" t="s">
        <v>48</v>
      </c>
      <c r="G6929" s="3" t="s">
        <v>295</v>
      </c>
      <c r="H6929" s="2" t="s">
        <v>21</v>
      </c>
      <c r="I6929" s="2" t="s">
        <v>13715</v>
      </c>
      <c r="J6929" s="3" t="str">
        <f>HYPERLINK("https://www.boe.es/gazeta/dias/1820/01/22/pdfs/GMD-1820-10.pdf#page=8","Abrir facsímil")</f>
        <v>Abrir facsímil</v>
      </c>
      <c r="K6929" s="3" t="s">
        <v>23</v>
      </c>
    </row>
    <row r="6930" spans="1:11" ht="42" customHeight="1">
      <c r="A6930" s="2" t="s">
        <v>13716</v>
      </c>
      <c r="B6930" s="2" t="s">
        <v>13716</v>
      </c>
      <c r="C6930" s="2" t="s">
        <v>17</v>
      </c>
      <c r="D6930" s="2" t="s">
        <v>18</v>
      </c>
      <c r="E6930" s="5">
        <v>-28997</v>
      </c>
      <c r="F6930" s="3" t="s">
        <v>1471</v>
      </c>
      <c r="G6930" s="3" t="s">
        <v>43</v>
      </c>
      <c r="H6930" s="2" t="s">
        <v>21</v>
      </c>
      <c r="I6930" s="2" t="s">
        <v>13717</v>
      </c>
      <c r="J6930" s="3" t="str">
        <f>HYPERLINK("https://www.boe.es/gazeta/dias/1820/08/09/pdfs/GGB-1820-42.pdf#page=2","Abrir facsímil")</f>
        <v>Abrir facsímil</v>
      </c>
      <c r="K6930" s="3" t="s">
        <v>23</v>
      </c>
    </row>
    <row r="6931" spans="1:11" ht="42" customHeight="1">
      <c r="A6931" s="2" t="s">
        <v>13718</v>
      </c>
      <c r="B6931" s="2" t="s">
        <v>13719</v>
      </c>
      <c r="C6931" s="2" t="s">
        <v>35</v>
      </c>
      <c r="D6931" s="2" t="s">
        <v>36</v>
      </c>
      <c r="E6931" s="5">
        <v>-28923</v>
      </c>
      <c r="F6931" s="3" t="s">
        <v>648</v>
      </c>
      <c r="G6931" s="3" t="s">
        <v>62</v>
      </c>
      <c r="H6931" s="2" t="s">
        <v>21</v>
      </c>
      <c r="I6931" s="2" t="s">
        <v>13720</v>
      </c>
      <c r="J6931" s="3" t="str">
        <f>HYPERLINK("https://www.boe.es/gazeta/dias/1820/10/22/pdfs/GGB-1820-116.pdf#page=3","Abrir facsímil")</f>
        <v>Abrir facsímil</v>
      </c>
      <c r="K6931" s="3" t="s">
        <v>23</v>
      </c>
    </row>
    <row r="6932" spans="1:11" ht="42" customHeight="1">
      <c r="A6932" s="2" t="s">
        <v>13721</v>
      </c>
      <c r="B6932" s="2" t="s">
        <v>13722</v>
      </c>
      <c r="C6932" s="2" t="s">
        <v>17</v>
      </c>
      <c r="D6932" s="2" t="s">
        <v>18</v>
      </c>
      <c r="E6932" s="5">
        <v>-29155</v>
      </c>
      <c r="F6932" s="3" t="s">
        <v>2095</v>
      </c>
      <c r="G6932" s="3" t="s">
        <v>6100</v>
      </c>
      <c r="H6932" s="2" t="s">
        <v>21</v>
      </c>
      <c r="I6932" s="2" t="s">
        <v>13723</v>
      </c>
      <c r="J6932" s="3" t="str">
        <f>HYPERLINK("https://www.boe.es/gazeta/dias/1820/03/04/pdfs/GMD-1820-28.pdf#page=7","Abrir facsímil")</f>
        <v>Abrir facsímil</v>
      </c>
      <c r="K6932" s="3" t="s">
        <v>23</v>
      </c>
    </row>
    <row r="6933" spans="1:11" ht="42" customHeight="1">
      <c r="A6933" s="2" t="s">
        <v>13724</v>
      </c>
      <c r="B6933" s="2" t="s">
        <v>13724</v>
      </c>
      <c r="C6933" s="2" t="s">
        <v>107</v>
      </c>
      <c r="D6933" s="2" t="s">
        <v>18</v>
      </c>
      <c r="E6933" s="5">
        <v>-29138</v>
      </c>
      <c r="F6933" s="3" t="s">
        <v>200</v>
      </c>
      <c r="G6933" s="3" t="s">
        <v>201</v>
      </c>
      <c r="H6933" s="2" t="s">
        <v>21</v>
      </c>
      <c r="I6933" s="2" t="s">
        <v>13725</v>
      </c>
      <c r="J6933" s="3" t="str">
        <f>HYPERLINK("https://www.boe.es/gazeta/dias/1820/03/21/pdfs/GMD-1820-46.pdf#page=7","Abrir facsímil")</f>
        <v>Abrir facsímil</v>
      </c>
      <c r="K6933" s="3" t="s">
        <v>23</v>
      </c>
    </row>
    <row r="6934" spans="1:11" ht="42" customHeight="1">
      <c r="A6934" s="2" t="s">
        <v>13724</v>
      </c>
      <c r="B6934" s="2" t="s">
        <v>13724</v>
      </c>
      <c r="C6934" s="2" t="s">
        <v>293</v>
      </c>
      <c r="D6934" s="2" t="s">
        <v>18</v>
      </c>
      <c r="E6934" s="5">
        <v>-29022</v>
      </c>
      <c r="F6934" s="3" t="s">
        <v>1310</v>
      </c>
      <c r="G6934" s="3" t="s">
        <v>20</v>
      </c>
      <c r="H6934" s="2" t="s">
        <v>21</v>
      </c>
      <c r="I6934" s="2" t="s">
        <v>13726</v>
      </c>
      <c r="J6934" s="3" t="str">
        <f>HYPERLINK("https://www.boe.es/gazeta/dias/1820/07/15/pdfs/GGB-1820-17.pdf#page=4","Abrir facsímil")</f>
        <v>Abrir facsímil</v>
      </c>
      <c r="K6934" s="3" t="s">
        <v>23</v>
      </c>
    </row>
    <row r="6935" spans="1:11" ht="42" customHeight="1">
      <c r="A6935" s="2" t="s">
        <v>13724</v>
      </c>
      <c r="B6935" s="2" t="s">
        <v>13724</v>
      </c>
      <c r="C6935" s="2" t="s">
        <v>35</v>
      </c>
      <c r="D6935" s="2" t="s">
        <v>36</v>
      </c>
      <c r="E6935" s="5">
        <v>-29014</v>
      </c>
      <c r="F6935" s="3" t="s">
        <v>70</v>
      </c>
      <c r="G6935" s="3" t="s">
        <v>62</v>
      </c>
      <c r="H6935" s="2" t="s">
        <v>21</v>
      </c>
      <c r="I6935" s="2" t="s">
        <v>13727</v>
      </c>
      <c r="J6935" s="3" t="str">
        <f>HYPERLINK("https://www.boe.es/gazeta/dias/1820/07/23/pdfs/GGB-1820-25.pdf#page=3","Abrir facsímil")</f>
        <v>Abrir facsímil</v>
      </c>
      <c r="K6935" s="3" t="s">
        <v>23</v>
      </c>
    </row>
    <row r="6936" spans="1:11" ht="42" customHeight="1">
      <c r="A6936" s="2" t="s">
        <v>13724</v>
      </c>
      <c r="B6936" s="2" t="s">
        <v>13724</v>
      </c>
      <c r="C6936" s="2" t="s">
        <v>17</v>
      </c>
      <c r="D6936" s="2" t="s">
        <v>18</v>
      </c>
      <c r="E6936" s="5">
        <v>-28995</v>
      </c>
      <c r="F6936" s="3" t="s">
        <v>672</v>
      </c>
      <c r="G6936" s="3" t="s">
        <v>62</v>
      </c>
      <c r="H6936" s="2" t="s">
        <v>21</v>
      </c>
      <c r="I6936" s="2" t="s">
        <v>13728</v>
      </c>
      <c r="J6936" s="3" t="str">
        <f>HYPERLINK("https://www.boe.es/gazeta/dias/1820/08/11/pdfs/GGB-1820-44.pdf#page=3","Abrir facsímil")</f>
        <v>Abrir facsímil</v>
      </c>
      <c r="K6936" s="3" t="s">
        <v>23</v>
      </c>
    </row>
    <row r="6937" spans="1:11" ht="42" customHeight="1">
      <c r="A6937" s="2" t="s">
        <v>13724</v>
      </c>
      <c r="B6937" s="2" t="s">
        <v>13724</v>
      </c>
      <c r="C6937" s="2" t="s">
        <v>17</v>
      </c>
      <c r="D6937" s="2" t="s">
        <v>18</v>
      </c>
      <c r="E6937" s="5">
        <v>-28924</v>
      </c>
      <c r="F6937" s="3" t="s">
        <v>78</v>
      </c>
      <c r="G6937" s="3" t="s">
        <v>62</v>
      </c>
      <c r="H6937" s="2" t="s">
        <v>21</v>
      </c>
      <c r="I6937" s="2" t="s">
        <v>13729</v>
      </c>
      <c r="J6937" s="3" t="str">
        <f>HYPERLINK("https://www.boe.es/gazeta/dias/1820/10/21/pdfs/GGB-1820-115.pdf#page=3","Abrir facsímil")</f>
        <v>Abrir facsímil</v>
      </c>
      <c r="K6937" s="3" t="s">
        <v>23</v>
      </c>
    </row>
    <row r="6938" spans="1:11" ht="42" customHeight="1">
      <c r="A6938" s="2" t="s">
        <v>13730</v>
      </c>
      <c r="B6938" s="2" t="s">
        <v>13731</v>
      </c>
      <c r="C6938" s="2" t="s">
        <v>47</v>
      </c>
      <c r="D6938" s="2" t="s">
        <v>18</v>
      </c>
      <c r="E6938" s="5">
        <v>-28892</v>
      </c>
      <c r="F6938" s="3" t="s">
        <v>3036</v>
      </c>
      <c r="G6938" s="3" t="s">
        <v>20</v>
      </c>
      <c r="H6938" s="2" t="s">
        <v>21</v>
      </c>
      <c r="I6938" s="2" t="s">
        <v>13732</v>
      </c>
      <c r="J6938" s="3" t="str">
        <f>HYPERLINK("https://www.boe.es/gazeta/dias/1820/11/22/pdfs/GGB-1820-149.pdf#page=4","Abrir facsímil")</f>
        <v>Abrir facsímil</v>
      </c>
      <c r="K6938" s="3" t="s">
        <v>23</v>
      </c>
    </row>
    <row r="6939" spans="1:11" ht="42" customHeight="1">
      <c r="A6939" s="2" t="s">
        <v>13733</v>
      </c>
      <c r="B6939" s="2" t="s">
        <v>13734</v>
      </c>
      <c r="C6939" s="2" t="s">
        <v>74</v>
      </c>
      <c r="D6939" s="2" t="s">
        <v>18</v>
      </c>
      <c r="E6939" s="5">
        <v>-28925</v>
      </c>
      <c r="F6939" s="3" t="s">
        <v>228</v>
      </c>
      <c r="G6939" s="3" t="s">
        <v>62</v>
      </c>
      <c r="H6939" s="2" t="s">
        <v>21</v>
      </c>
      <c r="I6939" s="2" t="s">
        <v>13735</v>
      </c>
      <c r="J6939" s="3" t="str">
        <f>HYPERLINK("https://www.boe.es/gazeta/dias/1820/10/20/pdfs/GGB-1820-114.pdf#page=3","Abrir facsímil")</f>
        <v>Abrir facsímil</v>
      </c>
      <c r="K6939" s="3" t="s">
        <v>23</v>
      </c>
    </row>
    <row r="6940" spans="1:11" ht="42" customHeight="1">
      <c r="A6940" s="2" t="s">
        <v>13736</v>
      </c>
      <c r="B6940" s="2" t="s">
        <v>13737</v>
      </c>
      <c r="C6940" s="2" t="s">
        <v>35</v>
      </c>
      <c r="D6940" s="2" t="s">
        <v>36</v>
      </c>
      <c r="E6940" s="5">
        <v>-28859</v>
      </c>
      <c r="F6940" s="3" t="s">
        <v>265</v>
      </c>
      <c r="G6940" s="3" t="s">
        <v>62</v>
      </c>
      <c r="H6940" s="2" t="s">
        <v>21</v>
      </c>
      <c r="I6940" s="2" t="s">
        <v>13738</v>
      </c>
      <c r="J6940" s="3" t="str">
        <f>HYPERLINK("https://www.boe.es/gazeta/dias/1820/12/25/pdfs/GGB-1820-182.pdf#page=3","Abrir facsímil")</f>
        <v>Abrir facsímil</v>
      </c>
      <c r="K6940" s="3" t="s">
        <v>23</v>
      </c>
    </row>
    <row r="6941" spans="1:11" ht="42" customHeight="1">
      <c r="A6941" s="2" t="s">
        <v>13739</v>
      </c>
      <c r="B6941" s="2" t="s">
        <v>13740</v>
      </c>
      <c r="C6941" s="2" t="s">
        <v>26</v>
      </c>
      <c r="D6941" s="2" t="s">
        <v>27</v>
      </c>
      <c r="E6941" s="5">
        <v>-29134</v>
      </c>
      <c r="F6941" s="3" t="s">
        <v>255</v>
      </c>
      <c r="G6941" s="3" t="s">
        <v>4445</v>
      </c>
      <c r="H6941" s="2" t="s">
        <v>21</v>
      </c>
      <c r="I6941" s="2" t="s">
        <v>13741</v>
      </c>
      <c r="J6941" s="3" t="str">
        <f>HYPERLINK("https://www.boe.es/gazeta/dias/1820/03/25/pdfs/GMD-1820-53.pdf#page=7","Abrir facsímil")</f>
        <v>Abrir facsímil</v>
      </c>
      <c r="K6941" s="3" t="s">
        <v>23</v>
      </c>
    </row>
    <row r="6942" spans="1:11" ht="42" customHeight="1">
      <c r="A6942" s="2" t="s">
        <v>13742</v>
      </c>
      <c r="B6942" s="2" t="s">
        <v>13742</v>
      </c>
      <c r="C6942" s="2" t="s">
        <v>26</v>
      </c>
      <c r="D6942" s="2" t="s">
        <v>27</v>
      </c>
      <c r="E6942" s="5">
        <v>-29171</v>
      </c>
      <c r="F6942" s="3" t="s">
        <v>764</v>
      </c>
      <c r="G6942" s="3" t="s">
        <v>20</v>
      </c>
      <c r="H6942" s="2" t="s">
        <v>21</v>
      </c>
      <c r="I6942" s="2" t="s">
        <v>13743</v>
      </c>
      <c r="J6942" s="3" t="str">
        <f>HYPERLINK("https://www.boe.es/gazeta/dias/1820/02/17/pdfs/GMD-1820-21.pdf#page=4","Abrir facsímil")</f>
        <v>Abrir facsímil</v>
      </c>
      <c r="K6942" s="3" t="s">
        <v>23</v>
      </c>
    </row>
    <row r="6943" spans="1:11" ht="42" customHeight="1">
      <c r="A6943" s="2" t="s">
        <v>13742</v>
      </c>
      <c r="B6943" s="2" t="s">
        <v>13742</v>
      </c>
      <c r="C6943" s="2" t="s">
        <v>17</v>
      </c>
      <c r="D6943" s="2" t="s">
        <v>18</v>
      </c>
      <c r="E6943" s="5">
        <v>-29171</v>
      </c>
      <c r="F6943" s="3" t="s">
        <v>764</v>
      </c>
      <c r="G6943" s="3" t="s">
        <v>256</v>
      </c>
      <c r="H6943" s="2" t="s">
        <v>21</v>
      </c>
      <c r="I6943" s="2" t="s">
        <v>13744</v>
      </c>
      <c r="J6943" s="3" t="str">
        <f>HYPERLINK("https://www.boe.es/gazeta/dias/1820/02/17/pdfs/GMD-1820-21.pdf#page=5","Abrir facsímil")</f>
        <v>Abrir facsímil</v>
      </c>
      <c r="K6943" s="3" t="s">
        <v>23</v>
      </c>
    </row>
    <row r="6944" spans="1:11" ht="42" customHeight="1">
      <c r="A6944" s="2" t="s">
        <v>13742</v>
      </c>
      <c r="B6944" s="2" t="s">
        <v>13742</v>
      </c>
      <c r="C6944" s="2" t="s">
        <v>35</v>
      </c>
      <c r="D6944" s="2" t="s">
        <v>36</v>
      </c>
      <c r="E6944" s="5">
        <v>-29113</v>
      </c>
      <c r="F6944" s="3" t="s">
        <v>501</v>
      </c>
      <c r="G6944" s="3" t="s">
        <v>295</v>
      </c>
      <c r="H6944" s="2" t="s">
        <v>21</v>
      </c>
      <c r="I6944" s="2" t="s">
        <v>13745</v>
      </c>
      <c r="J6944" s="3" t="str">
        <f>HYPERLINK("https://www.boe.es/gazeta/dias/1820/04/15/pdfs/GMD-1820-66.pdf#page=8","Abrir facsímil")</f>
        <v>Abrir facsímil</v>
      </c>
      <c r="K6944" s="3" t="s">
        <v>23</v>
      </c>
    </row>
    <row r="6945" spans="1:11" ht="42" customHeight="1">
      <c r="A6945" s="2" t="s">
        <v>13742</v>
      </c>
      <c r="B6945" s="2" t="s">
        <v>13742</v>
      </c>
      <c r="C6945" s="2" t="s">
        <v>111</v>
      </c>
      <c r="D6945" s="2" t="s">
        <v>18</v>
      </c>
      <c r="E6945" s="5">
        <v>-29052</v>
      </c>
      <c r="F6945" s="3" t="s">
        <v>1231</v>
      </c>
      <c r="G6945" s="3" t="s">
        <v>295</v>
      </c>
      <c r="H6945" s="2" t="s">
        <v>21</v>
      </c>
      <c r="I6945" s="2" t="s">
        <v>13746</v>
      </c>
      <c r="J6945" s="3" t="str">
        <f>HYPERLINK("https://www.boe.es/gazeta/dias/1820/06/15/pdfs/GMD-1820-94.pdf#page=8","Abrir facsímil")</f>
        <v>Abrir facsímil</v>
      </c>
      <c r="K6945" s="3" t="s">
        <v>23</v>
      </c>
    </row>
    <row r="6946" spans="1:11" ht="42" customHeight="1">
      <c r="A6946" s="2" t="s">
        <v>13742</v>
      </c>
      <c r="B6946" s="2" t="s">
        <v>13742</v>
      </c>
      <c r="C6946" s="2" t="s">
        <v>35</v>
      </c>
      <c r="D6946" s="2" t="s">
        <v>36</v>
      </c>
      <c r="E6946" s="5">
        <v>-28996</v>
      </c>
      <c r="F6946" s="3" t="s">
        <v>636</v>
      </c>
      <c r="G6946" s="3" t="s">
        <v>20</v>
      </c>
      <c r="H6946" s="2" t="s">
        <v>21</v>
      </c>
      <c r="I6946" s="2" t="s">
        <v>13747</v>
      </c>
      <c r="J6946" s="3" t="str">
        <f>HYPERLINK("https://www.boe.es/gazeta/dias/1820/08/10/pdfs/GGB-1820-43.pdf#page=4","Abrir facsímil")</f>
        <v>Abrir facsímil</v>
      </c>
      <c r="K6946" s="3" t="s">
        <v>23</v>
      </c>
    </row>
    <row r="6947" spans="1:11" ht="42" customHeight="1">
      <c r="A6947" s="2" t="s">
        <v>13742</v>
      </c>
      <c r="B6947" s="2" t="s">
        <v>13742</v>
      </c>
      <c r="C6947" s="2" t="s">
        <v>17</v>
      </c>
      <c r="D6947" s="2" t="s">
        <v>18</v>
      </c>
      <c r="E6947" s="5">
        <v>-28916</v>
      </c>
      <c r="F6947" s="3" t="s">
        <v>2688</v>
      </c>
      <c r="G6947" s="3" t="s">
        <v>43</v>
      </c>
      <c r="H6947" s="2" t="s">
        <v>21</v>
      </c>
      <c r="I6947" s="2" t="s">
        <v>13748</v>
      </c>
      <c r="J6947" s="3" t="str">
        <f>HYPERLINK("https://www.boe.es/gazeta/dias/1820/10/29/pdfs/GGB-1820-123.pdf#page=2","Abrir facsímil")</f>
        <v>Abrir facsímil</v>
      </c>
      <c r="K6947" s="3" t="s">
        <v>23</v>
      </c>
    </row>
    <row r="6948" spans="1:11" ht="42" customHeight="1">
      <c r="A6948" s="2" t="s">
        <v>13742</v>
      </c>
      <c r="B6948" s="2" t="s">
        <v>13742</v>
      </c>
      <c r="C6948" s="2" t="s">
        <v>35</v>
      </c>
      <c r="D6948" s="2" t="s">
        <v>36</v>
      </c>
      <c r="E6948" s="5">
        <v>-28908</v>
      </c>
      <c r="F6948" s="3" t="s">
        <v>1060</v>
      </c>
      <c r="G6948" s="3" t="s">
        <v>20</v>
      </c>
      <c r="H6948" s="2" t="s">
        <v>21</v>
      </c>
      <c r="I6948" s="2" t="s">
        <v>13749</v>
      </c>
      <c r="J6948" s="3" t="str">
        <f>HYPERLINK("https://www.boe.es/gazeta/dias/1820/11/06/pdfs/GGB-1820-131.pdf#page=4","Abrir facsímil")</f>
        <v>Abrir facsímil</v>
      </c>
      <c r="K6948" s="3" t="s">
        <v>23</v>
      </c>
    </row>
    <row r="6949" spans="1:11" ht="42" customHeight="1">
      <c r="A6949" s="2" t="s">
        <v>13742</v>
      </c>
      <c r="B6949" s="2" t="s">
        <v>13742</v>
      </c>
      <c r="C6949" s="2" t="s">
        <v>17</v>
      </c>
      <c r="D6949" s="2" t="s">
        <v>18</v>
      </c>
      <c r="E6949" s="5">
        <v>-28885</v>
      </c>
      <c r="F6949" s="3" t="s">
        <v>2588</v>
      </c>
      <c r="G6949" s="3" t="s">
        <v>20</v>
      </c>
      <c r="H6949" s="2" t="s">
        <v>21</v>
      </c>
      <c r="I6949" s="2" t="s">
        <v>13750</v>
      </c>
      <c r="J6949" s="3" t="str">
        <f>HYPERLINK("https://www.boe.es/gazeta/dias/1820/11/29/pdfs/GGB-1820-156.pdf#page=4","Abrir facsímil")</f>
        <v>Abrir facsímil</v>
      </c>
      <c r="K6949" s="3" t="s">
        <v>23</v>
      </c>
    </row>
    <row r="6950" spans="1:11" ht="42" customHeight="1">
      <c r="A6950" s="2" t="s">
        <v>13742</v>
      </c>
      <c r="B6950" s="2" t="s">
        <v>13742</v>
      </c>
      <c r="C6950" s="2" t="s">
        <v>293</v>
      </c>
      <c r="D6950" s="2" t="s">
        <v>18</v>
      </c>
      <c r="E6950" s="5">
        <v>-28882</v>
      </c>
      <c r="F6950" s="3" t="s">
        <v>1245</v>
      </c>
      <c r="G6950" s="3" t="s">
        <v>20</v>
      </c>
      <c r="H6950" s="2" t="s">
        <v>21</v>
      </c>
      <c r="I6950" s="2" t="s">
        <v>13751</v>
      </c>
      <c r="J6950" s="3" t="str">
        <f>HYPERLINK("https://www.boe.es/gazeta/dias/1820/12/02/pdfs/GGB-1820-159.pdf#page=4","Abrir facsímil")</f>
        <v>Abrir facsímil</v>
      </c>
      <c r="K6950" s="3" t="s">
        <v>23</v>
      </c>
    </row>
    <row r="6951" spans="1:11" ht="42" customHeight="1">
      <c r="A6951" s="2" t="s">
        <v>13742</v>
      </c>
      <c r="B6951" s="2" t="s">
        <v>13742</v>
      </c>
      <c r="C6951" s="2" t="s">
        <v>35</v>
      </c>
      <c r="D6951" s="2" t="s">
        <v>36</v>
      </c>
      <c r="E6951" s="5">
        <v>-28866</v>
      </c>
      <c r="F6951" s="3" t="s">
        <v>507</v>
      </c>
      <c r="G6951" s="3" t="s">
        <v>20</v>
      </c>
      <c r="H6951" s="2" t="s">
        <v>21</v>
      </c>
      <c r="I6951" s="2" t="s">
        <v>13752</v>
      </c>
      <c r="J6951" s="3" t="str">
        <f>HYPERLINK("https://www.boe.es/gazeta/dias/1820/12/18/pdfs/GGB-1820-175.pdf#page=4","Abrir facsímil")</f>
        <v>Abrir facsímil</v>
      </c>
      <c r="K6951" s="3" t="s">
        <v>23</v>
      </c>
    </row>
    <row r="6952" spans="1:11" ht="42" customHeight="1">
      <c r="A6952" s="2" t="s">
        <v>13753</v>
      </c>
      <c r="B6952" s="2" t="s">
        <v>13753</v>
      </c>
      <c r="C6952" s="2" t="s">
        <v>26</v>
      </c>
      <c r="D6952" s="2" t="s">
        <v>27</v>
      </c>
      <c r="E6952" s="5">
        <v>-29134</v>
      </c>
      <c r="F6952" s="3" t="s">
        <v>255</v>
      </c>
      <c r="G6952" s="3" t="s">
        <v>4445</v>
      </c>
      <c r="H6952" s="2" t="s">
        <v>21</v>
      </c>
      <c r="I6952" s="2" t="s">
        <v>13754</v>
      </c>
      <c r="J6952" s="3" t="str">
        <f>HYPERLINK("https://www.boe.es/gazeta/dias/1820/03/25/pdfs/GMD-1820-53.pdf#page=7","Abrir facsímil")</f>
        <v>Abrir facsímil</v>
      </c>
      <c r="K6952" s="3" t="s">
        <v>23</v>
      </c>
    </row>
    <row r="6953" spans="1:11" ht="42" customHeight="1">
      <c r="A6953" s="2" t="s">
        <v>13755</v>
      </c>
      <c r="B6953" s="2" t="s">
        <v>13755</v>
      </c>
      <c r="C6953" s="2" t="s">
        <v>17</v>
      </c>
      <c r="D6953" s="2" t="s">
        <v>18</v>
      </c>
      <c r="E6953" s="5">
        <v>-28991</v>
      </c>
      <c r="F6953" s="3" t="s">
        <v>213</v>
      </c>
      <c r="G6953" s="3" t="s">
        <v>675</v>
      </c>
      <c r="H6953" s="2" t="s">
        <v>21</v>
      </c>
      <c r="I6953" s="2" t="s">
        <v>13756</v>
      </c>
      <c r="J6953" s="3" t="str">
        <f>HYPERLINK("https://www.boe.es/gazeta/dias/1820/08/15/pdfs/GGB-1820-48.pdf#page=4","Abrir facsímil")</f>
        <v>Abrir facsímil</v>
      </c>
      <c r="K6953" s="3" t="s">
        <v>23</v>
      </c>
    </row>
    <row r="6954" spans="1:11" ht="42" customHeight="1">
      <c r="A6954" s="2" t="s">
        <v>13757</v>
      </c>
      <c r="B6954" s="2" t="s">
        <v>13757</v>
      </c>
      <c r="C6954" s="2" t="s">
        <v>74</v>
      </c>
      <c r="D6954" s="2" t="s">
        <v>18</v>
      </c>
      <c r="E6954" s="5">
        <v>-29025</v>
      </c>
      <c r="F6954" s="3" t="s">
        <v>902</v>
      </c>
      <c r="G6954" s="3" t="s">
        <v>62</v>
      </c>
      <c r="H6954" s="2" t="s">
        <v>21</v>
      </c>
      <c r="I6954" s="2" t="s">
        <v>13758</v>
      </c>
      <c r="J6954" s="3" t="str">
        <f>HYPERLINK("https://www.boe.es/gazeta/dias/1820/07/12/pdfs/GGB-1820-14.pdf#page=3","Abrir facsímil")</f>
        <v>Abrir facsímil</v>
      </c>
      <c r="K6954" s="3" t="s">
        <v>23</v>
      </c>
    </row>
    <row r="6955" spans="1:11" ht="42" customHeight="1">
      <c r="A6955" s="2" t="s">
        <v>13757</v>
      </c>
      <c r="B6955" s="2" t="s">
        <v>13757</v>
      </c>
      <c r="C6955" s="2" t="s">
        <v>35</v>
      </c>
      <c r="D6955" s="2" t="s">
        <v>36</v>
      </c>
      <c r="E6955" s="5">
        <v>-29024</v>
      </c>
      <c r="F6955" s="3" t="s">
        <v>1916</v>
      </c>
      <c r="G6955" s="3" t="s">
        <v>43</v>
      </c>
      <c r="H6955" s="2" t="s">
        <v>21</v>
      </c>
      <c r="I6955" s="2" t="s">
        <v>13759</v>
      </c>
      <c r="J6955" s="3" t="str">
        <f>HYPERLINK("https://www.boe.es/gazeta/dias/1820/07/13/pdfs/GGB-1820-15.pdf#page=2","Abrir facsímil")</f>
        <v>Abrir facsímil</v>
      </c>
      <c r="K6955" s="3" t="s">
        <v>23</v>
      </c>
    </row>
    <row r="6956" spans="1:11" ht="42" customHeight="1">
      <c r="A6956" s="2" t="s">
        <v>13760</v>
      </c>
      <c r="B6956" s="2" t="s">
        <v>13761</v>
      </c>
      <c r="C6956" s="2" t="s">
        <v>26</v>
      </c>
      <c r="D6956" s="2" t="s">
        <v>27</v>
      </c>
      <c r="E6956" s="5">
        <v>-28873</v>
      </c>
      <c r="F6956" s="3" t="s">
        <v>4997</v>
      </c>
      <c r="G6956" s="3" t="s">
        <v>20</v>
      </c>
      <c r="H6956" s="2" t="s">
        <v>21</v>
      </c>
      <c r="I6956" s="2" t="s">
        <v>13762</v>
      </c>
      <c r="J6956" s="3" t="str">
        <f>HYPERLINK("https://www.boe.es/gazeta/dias/1820/12/11/pdfs/GGB-1820-168.pdf#page=4","Abrir facsímil")</f>
        <v>Abrir facsímil</v>
      </c>
      <c r="K6956" s="3" t="s">
        <v>23</v>
      </c>
    </row>
    <row r="6957" spans="1:11" ht="42" customHeight="1">
      <c r="A6957" s="2" t="s">
        <v>13763</v>
      </c>
      <c r="B6957" s="2" t="s">
        <v>13763</v>
      </c>
      <c r="C6957" s="2" t="s">
        <v>26</v>
      </c>
      <c r="D6957" s="2" t="s">
        <v>27</v>
      </c>
      <c r="E6957" s="5">
        <v>-28982</v>
      </c>
      <c r="F6957" s="3" t="s">
        <v>173</v>
      </c>
      <c r="G6957" s="3" t="s">
        <v>62</v>
      </c>
      <c r="H6957" s="2" t="s">
        <v>21</v>
      </c>
      <c r="I6957" s="2" t="s">
        <v>13764</v>
      </c>
      <c r="J6957" s="3" t="str">
        <f>HYPERLINK("https://www.boe.es/gazeta/dias/1820/08/24/pdfs/GGB-1820-57.pdf#page=3","Abrir facsímil")</f>
        <v>Abrir facsímil</v>
      </c>
      <c r="K6957" s="3" t="s">
        <v>23</v>
      </c>
    </row>
    <row r="6958" spans="1:11" ht="42" customHeight="1">
      <c r="A6958" s="2" t="s">
        <v>13765</v>
      </c>
      <c r="B6958" s="2" t="s">
        <v>13766</v>
      </c>
      <c r="C6958" s="2" t="s">
        <v>26</v>
      </c>
      <c r="D6958" s="2" t="s">
        <v>27</v>
      </c>
      <c r="E6958" s="5">
        <v>-28924</v>
      </c>
      <c r="F6958" s="3" t="s">
        <v>78</v>
      </c>
      <c r="G6958" s="3" t="s">
        <v>62</v>
      </c>
      <c r="H6958" s="2" t="s">
        <v>21</v>
      </c>
      <c r="I6958" s="2" t="s">
        <v>13767</v>
      </c>
      <c r="J6958" s="3" t="str">
        <f>HYPERLINK("https://www.boe.es/gazeta/dias/1820/10/21/pdfs/GGB-1820-115.pdf#page=3","Abrir facsímil")</f>
        <v>Abrir facsímil</v>
      </c>
      <c r="K6958" s="3" t="s">
        <v>23</v>
      </c>
    </row>
    <row r="6959" spans="1:11" ht="42" customHeight="1">
      <c r="A6959" s="2" t="s">
        <v>13768</v>
      </c>
      <c r="B6959" s="2" t="s">
        <v>13769</v>
      </c>
      <c r="C6959" s="2" t="s">
        <v>26</v>
      </c>
      <c r="D6959" s="2" t="s">
        <v>27</v>
      </c>
      <c r="E6959" s="5">
        <v>-28982</v>
      </c>
      <c r="F6959" s="3" t="s">
        <v>173</v>
      </c>
      <c r="G6959" s="3" t="s">
        <v>62</v>
      </c>
      <c r="H6959" s="2" t="s">
        <v>21</v>
      </c>
      <c r="I6959" s="2" t="s">
        <v>13770</v>
      </c>
      <c r="J6959" s="3" t="str">
        <f>HYPERLINK("https://www.boe.es/gazeta/dias/1820/08/24/pdfs/GGB-1820-57.pdf#page=3","Abrir facsímil")</f>
        <v>Abrir facsímil</v>
      </c>
      <c r="K6959" s="3" t="s">
        <v>23</v>
      </c>
    </row>
    <row r="6960" spans="1:11" ht="42" customHeight="1">
      <c r="A6960" s="2" t="s">
        <v>13771</v>
      </c>
      <c r="B6960" s="2" t="s">
        <v>13772</v>
      </c>
      <c r="C6960" s="2" t="s">
        <v>26</v>
      </c>
      <c r="D6960" s="2" t="s">
        <v>310</v>
      </c>
      <c r="E6960" s="5">
        <v>-29142</v>
      </c>
      <c r="F6960" s="3" t="s">
        <v>2712</v>
      </c>
      <c r="G6960" s="3" t="s">
        <v>43</v>
      </c>
      <c r="H6960" s="2" t="s">
        <v>21</v>
      </c>
      <c r="I6960" s="2" t="s">
        <v>13773</v>
      </c>
      <c r="J6960" s="3" t="str">
        <f>HYPERLINK("https://www.boe.es/gazeta/dias/1820/03/17/pdfs/GMD-1820-43E.pdf#page=2","Abrir facsímil")</f>
        <v>Abrir facsímil</v>
      </c>
      <c r="K6960" s="3" t="s">
        <v>23</v>
      </c>
    </row>
    <row r="6961" spans="1:11" ht="42" customHeight="1">
      <c r="A6961" s="2" t="s">
        <v>13774</v>
      </c>
      <c r="B6961" s="2" t="s">
        <v>13774</v>
      </c>
      <c r="C6961" s="2" t="s">
        <v>35</v>
      </c>
      <c r="D6961" s="2" t="s">
        <v>36</v>
      </c>
      <c r="E6961" s="5">
        <v>-28992</v>
      </c>
      <c r="F6961" s="3" t="s">
        <v>587</v>
      </c>
      <c r="G6961" s="3" t="s">
        <v>62</v>
      </c>
      <c r="H6961" s="2" t="s">
        <v>21</v>
      </c>
      <c r="I6961" s="2" t="s">
        <v>13775</v>
      </c>
      <c r="J6961" s="3" t="str">
        <f>HYPERLINK("https://www.boe.es/gazeta/dias/1820/08/14/pdfs/GGB-1820-47.pdf#page=3","Abrir facsímil")</f>
        <v>Abrir facsímil</v>
      </c>
      <c r="K6961" s="3" t="s">
        <v>23</v>
      </c>
    </row>
    <row r="6962" spans="1:11" ht="42" customHeight="1">
      <c r="A6962" s="2" t="s">
        <v>13776</v>
      </c>
      <c r="B6962" s="2" t="s">
        <v>13776</v>
      </c>
      <c r="C6962" s="2" t="s">
        <v>35</v>
      </c>
      <c r="D6962" s="2" t="s">
        <v>36</v>
      </c>
      <c r="E6962" s="5">
        <v>-29082</v>
      </c>
      <c r="F6962" s="3" t="s">
        <v>478</v>
      </c>
      <c r="G6962" s="3" t="s">
        <v>196</v>
      </c>
      <c r="H6962" s="2" t="s">
        <v>21</v>
      </c>
      <c r="I6962" s="2" t="s">
        <v>13777</v>
      </c>
      <c r="J6962" s="3" t="str">
        <f>HYPERLINK("https://www.boe.es/gazeta/dias/1820/05/16/pdfs/GMD-1820-80.pdf#page=11","Abrir facsímil")</f>
        <v>Abrir facsímil</v>
      </c>
      <c r="K6962" s="3" t="s">
        <v>23</v>
      </c>
    </row>
    <row r="6963" spans="1:11" ht="42" customHeight="1">
      <c r="A6963" s="2" t="s">
        <v>13776</v>
      </c>
      <c r="B6963" s="2" t="s">
        <v>13776</v>
      </c>
      <c r="C6963" s="2" t="s">
        <v>35</v>
      </c>
      <c r="D6963" s="2" t="s">
        <v>36</v>
      </c>
      <c r="E6963" s="5">
        <v>-29082</v>
      </c>
      <c r="F6963" s="3" t="s">
        <v>478</v>
      </c>
      <c r="G6963" s="3" t="s">
        <v>479</v>
      </c>
      <c r="H6963" s="2" t="s">
        <v>21</v>
      </c>
      <c r="I6963" s="2" t="s">
        <v>13778</v>
      </c>
      <c r="J6963" s="3" t="str">
        <f>HYPERLINK("https://www.boe.es/gazeta/dias/1820/05/16/pdfs/GMD-1820-80.pdf#page=12","Abrir facsímil")</f>
        <v>Abrir facsímil</v>
      </c>
      <c r="K6963" s="3" t="s">
        <v>23</v>
      </c>
    </row>
    <row r="6964" spans="1:11" ht="42" customHeight="1">
      <c r="A6964" s="2" t="s">
        <v>13779</v>
      </c>
      <c r="B6964" s="2" t="s">
        <v>13780</v>
      </c>
      <c r="C6964" s="2" t="s">
        <v>47</v>
      </c>
      <c r="D6964" s="2" t="s">
        <v>18</v>
      </c>
      <c r="E6964" s="5">
        <v>-29173</v>
      </c>
      <c r="F6964" s="3" t="s">
        <v>829</v>
      </c>
      <c r="G6964" s="3" t="s">
        <v>38</v>
      </c>
      <c r="H6964" s="2" t="s">
        <v>21</v>
      </c>
      <c r="I6964" s="2" t="s">
        <v>13781</v>
      </c>
      <c r="J6964" s="3" t="str">
        <f>HYPERLINK("https://www.boe.es/gazeta/dias/1820/02/15/pdfs/GMD-1820-20.pdf#page=6","Abrir facsímil")</f>
        <v>Abrir facsímil</v>
      </c>
      <c r="K6964" s="3" t="s">
        <v>23</v>
      </c>
    </row>
    <row r="6965" spans="1:11" ht="42" customHeight="1">
      <c r="A6965" s="2" t="s">
        <v>13782</v>
      </c>
      <c r="B6965" s="2" t="s">
        <v>13782</v>
      </c>
      <c r="C6965" s="2" t="s">
        <v>26</v>
      </c>
      <c r="D6965" s="2" t="s">
        <v>27</v>
      </c>
      <c r="E6965" s="5">
        <v>-28875</v>
      </c>
      <c r="F6965" s="3" t="s">
        <v>2737</v>
      </c>
      <c r="G6965" s="3" t="s">
        <v>62</v>
      </c>
      <c r="H6965" s="2" t="s">
        <v>21</v>
      </c>
      <c r="I6965" s="2" t="s">
        <v>13783</v>
      </c>
      <c r="J6965" s="3" t="str">
        <f>HYPERLINK("https://www.boe.es/gazeta/dias/1820/12/09/pdfs/GGB-1820-166.pdf#page=3","Abrir facsímil")</f>
        <v>Abrir facsímil</v>
      </c>
      <c r="K6965" s="3" t="s">
        <v>23</v>
      </c>
    </row>
    <row r="6966" spans="1:11" ht="42" customHeight="1">
      <c r="A6966" s="2" t="s">
        <v>13784</v>
      </c>
      <c r="B6966" s="2" t="s">
        <v>13785</v>
      </c>
      <c r="C6966" s="2" t="s">
        <v>293</v>
      </c>
      <c r="D6966" s="2" t="s">
        <v>18</v>
      </c>
      <c r="E6966" s="5">
        <v>-28942</v>
      </c>
      <c r="F6966" s="3" t="s">
        <v>244</v>
      </c>
      <c r="G6966" s="3" t="s">
        <v>20</v>
      </c>
      <c r="H6966" s="2" t="s">
        <v>21</v>
      </c>
      <c r="I6966" s="2" t="s">
        <v>13786</v>
      </c>
      <c r="J6966" s="3" t="str">
        <f>HYPERLINK("https://www.boe.es/gazeta/dias/1820/10/03/pdfs/GGB-1820-97.pdf#page=4","Abrir facsímil")</f>
        <v>Abrir facsímil</v>
      </c>
      <c r="K6966" s="3" t="s">
        <v>23</v>
      </c>
    </row>
    <row r="6967" spans="1:11" ht="42" customHeight="1">
      <c r="A6967" s="2" t="s">
        <v>13787</v>
      </c>
      <c r="B6967" s="2" t="s">
        <v>13788</v>
      </c>
      <c r="C6967" s="2" t="s">
        <v>26</v>
      </c>
      <c r="D6967" s="2" t="s">
        <v>27</v>
      </c>
      <c r="E6967" s="5">
        <v>-29001</v>
      </c>
      <c r="F6967" s="3" t="s">
        <v>633</v>
      </c>
      <c r="G6967" s="3" t="s">
        <v>43</v>
      </c>
      <c r="H6967" s="2" t="s">
        <v>21</v>
      </c>
      <c r="I6967" s="2" t="s">
        <v>13789</v>
      </c>
      <c r="J6967" s="3" t="str">
        <f>HYPERLINK("https://www.boe.es/gazeta/dias/1820/08/05/pdfs/GGB-1820-38.pdf#page=2","Abrir facsímil")</f>
        <v>Abrir facsímil</v>
      </c>
      <c r="K6967" s="3" t="s">
        <v>23</v>
      </c>
    </row>
    <row r="6968" spans="1:11" ht="42" customHeight="1">
      <c r="A6968" s="2" t="s">
        <v>13790</v>
      </c>
      <c r="B6968" s="2" t="s">
        <v>13790</v>
      </c>
      <c r="C6968" s="2" t="s">
        <v>26</v>
      </c>
      <c r="D6968" s="2" t="s">
        <v>27</v>
      </c>
      <c r="E6968" s="5">
        <v>-28928</v>
      </c>
      <c r="F6968" s="3" t="s">
        <v>86</v>
      </c>
      <c r="G6968" s="3" t="s">
        <v>20</v>
      </c>
      <c r="H6968" s="2" t="s">
        <v>21</v>
      </c>
      <c r="I6968" s="2" t="s">
        <v>13791</v>
      </c>
      <c r="J6968" s="3" t="str">
        <f>HYPERLINK("https://www.boe.es/gazeta/dias/1820/10/17/pdfs/GGB-1820-111.pdf#page=4","Abrir facsímil")</f>
        <v>Abrir facsímil</v>
      </c>
      <c r="K6968" s="3" t="s">
        <v>23</v>
      </c>
    </row>
    <row r="6969" spans="1:11" ht="42" customHeight="1">
      <c r="A6969" s="2" t="s">
        <v>13792</v>
      </c>
      <c r="B6969" s="2" t="s">
        <v>13793</v>
      </c>
      <c r="C6969" s="2" t="s">
        <v>26</v>
      </c>
      <c r="D6969" s="2" t="s">
        <v>27</v>
      </c>
      <c r="E6969" s="5">
        <v>-28882</v>
      </c>
      <c r="F6969" s="3" t="s">
        <v>1245</v>
      </c>
      <c r="G6969" s="3" t="s">
        <v>1246</v>
      </c>
      <c r="H6969" s="2" t="s">
        <v>21</v>
      </c>
      <c r="I6969" s="2" t="s">
        <v>13794</v>
      </c>
      <c r="J6969" s="3" t="str">
        <f>HYPERLINK("https://www.boe.es/gazeta/dias/1820/12/02/pdfs/GGB-1820-159.pdf#page=3","Abrir facsímil")</f>
        <v>Abrir facsímil</v>
      </c>
      <c r="K6969" s="3" t="s">
        <v>23</v>
      </c>
    </row>
    <row r="6970" spans="1:11" ht="42" customHeight="1">
      <c r="A6970" s="2" t="s">
        <v>13795</v>
      </c>
      <c r="B6970" s="2" t="s">
        <v>13795</v>
      </c>
      <c r="C6970" s="2" t="s">
        <v>17</v>
      </c>
      <c r="D6970" s="2" t="s">
        <v>18</v>
      </c>
      <c r="E6970" s="5">
        <v>-28971</v>
      </c>
      <c r="F6970" s="3" t="s">
        <v>691</v>
      </c>
      <c r="G6970" s="3" t="s">
        <v>62</v>
      </c>
      <c r="H6970" s="2" t="s">
        <v>21</v>
      </c>
      <c r="I6970" s="2" t="s">
        <v>13796</v>
      </c>
      <c r="J6970" s="3" t="str">
        <f>HYPERLINK("https://www.boe.es/gazeta/dias/1820/09/04/pdfs/GGB-1820-68.pdf#page=3","Abrir facsímil")</f>
        <v>Abrir facsímil</v>
      </c>
      <c r="K6970" s="3" t="s">
        <v>23</v>
      </c>
    </row>
    <row r="6971" spans="1:11" ht="42" customHeight="1">
      <c r="A6971" s="2" t="s">
        <v>13797</v>
      </c>
      <c r="B6971" s="2" t="s">
        <v>13798</v>
      </c>
      <c r="C6971" s="2" t="s">
        <v>26</v>
      </c>
      <c r="D6971" s="2" t="s">
        <v>27</v>
      </c>
      <c r="E6971" s="5">
        <v>-29176</v>
      </c>
      <c r="F6971" s="3" t="s">
        <v>797</v>
      </c>
      <c r="G6971" s="3" t="s">
        <v>20</v>
      </c>
      <c r="H6971" s="2" t="s">
        <v>21</v>
      </c>
      <c r="I6971" s="2" t="s">
        <v>13799</v>
      </c>
      <c r="J6971" s="3" t="str">
        <f>HYPERLINK("https://www.boe.es/gazeta/dias/1820/02/12/pdfs/GMD-1820-19.pdf#page=4","Abrir facsímil")</f>
        <v>Abrir facsímil</v>
      </c>
      <c r="K6971" s="3" t="s">
        <v>23</v>
      </c>
    </row>
    <row r="6972" spans="1:11" ht="42" customHeight="1">
      <c r="A6972" s="2" t="s">
        <v>13800</v>
      </c>
      <c r="B6972" s="2" t="s">
        <v>13800</v>
      </c>
      <c r="C6972" s="2" t="s">
        <v>26</v>
      </c>
      <c r="D6972" s="2" t="s">
        <v>27</v>
      </c>
      <c r="E6972" s="5">
        <v>-29171</v>
      </c>
      <c r="F6972" s="3" t="s">
        <v>764</v>
      </c>
      <c r="G6972" s="3" t="s">
        <v>256</v>
      </c>
      <c r="H6972" s="2" t="s">
        <v>21</v>
      </c>
      <c r="I6972" s="2" t="s">
        <v>13801</v>
      </c>
      <c r="J6972" s="3" t="str">
        <f>HYPERLINK("https://www.boe.es/gazeta/dias/1820/02/17/pdfs/GMD-1820-21.pdf#page=5","Abrir facsímil")</f>
        <v>Abrir facsímil</v>
      </c>
      <c r="K6972" s="3" t="s">
        <v>23</v>
      </c>
    </row>
    <row r="6973" spans="1:11" ht="42" customHeight="1">
      <c r="A6973" s="2" t="s">
        <v>13802</v>
      </c>
      <c r="B6973" s="2" t="s">
        <v>13803</v>
      </c>
      <c r="C6973" s="2" t="s">
        <v>111</v>
      </c>
      <c r="D6973" s="2" t="s">
        <v>18</v>
      </c>
      <c r="E6973" s="5">
        <v>-29201</v>
      </c>
      <c r="F6973" s="3" t="s">
        <v>411</v>
      </c>
      <c r="G6973" s="3" t="s">
        <v>201</v>
      </c>
      <c r="H6973" s="2" t="s">
        <v>21</v>
      </c>
      <c r="I6973" s="2" t="s">
        <v>13804</v>
      </c>
      <c r="J6973" s="3" t="str">
        <f>HYPERLINK("https://www.boe.es/gazeta/dias/1820/01/18/pdfs/GMD-1820-8.pdf#page=7","Abrir facsímil")</f>
        <v>Abrir facsímil</v>
      </c>
      <c r="K6973" s="3" t="s">
        <v>23</v>
      </c>
    </row>
    <row r="6974" spans="1:11" ht="42" customHeight="1">
      <c r="A6974" s="2" t="s">
        <v>13805</v>
      </c>
      <c r="B6974" s="2" t="s">
        <v>13806</v>
      </c>
      <c r="C6974" s="2" t="s">
        <v>293</v>
      </c>
      <c r="D6974" s="2" t="s">
        <v>18</v>
      </c>
      <c r="E6974" s="5">
        <v>-28939</v>
      </c>
      <c r="F6974" s="3" t="s">
        <v>992</v>
      </c>
      <c r="G6974" s="3" t="s">
        <v>20</v>
      </c>
      <c r="H6974" s="2" t="s">
        <v>21</v>
      </c>
      <c r="I6974" s="2" t="s">
        <v>13807</v>
      </c>
      <c r="J6974" s="3" t="str">
        <f>HYPERLINK("https://www.boe.es/gazeta/dias/1820/10/06/pdfs/GGB-1820-100.pdf#page=4","Abrir facsímil")</f>
        <v>Abrir facsímil</v>
      </c>
      <c r="K6974" s="3" t="s">
        <v>23</v>
      </c>
    </row>
    <row r="6975" spans="1:11" ht="42" customHeight="1">
      <c r="A6975" s="2" t="s">
        <v>13808</v>
      </c>
      <c r="B6975" s="2" t="s">
        <v>13809</v>
      </c>
      <c r="C6975" s="2" t="s">
        <v>26</v>
      </c>
      <c r="D6975" s="2" t="s">
        <v>310</v>
      </c>
      <c r="E6975" s="5">
        <v>-29102</v>
      </c>
      <c r="F6975" s="3" t="s">
        <v>899</v>
      </c>
      <c r="G6975" s="3" t="s">
        <v>295</v>
      </c>
      <c r="H6975" s="2" t="s">
        <v>21</v>
      </c>
      <c r="I6975" s="2" t="s">
        <v>13810</v>
      </c>
      <c r="J6975" s="3" t="str">
        <f>HYPERLINK("https://www.boe.es/gazeta/dias/1820/04/26/pdfs/GMD-1820-71E.pdf#page=8","Abrir facsímil")</f>
        <v>Abrir facsímil</v>
      </c>
      <c r="K6975" s="3" t="s">
        <v>23</v>
      </c>
    </row>
    <row r="6976" spans="1:11" ht="42" customHeight="1">
      <c r="A6976" s="2" t="s">
        <v>13811</v>
      </c>
      <c r="B6976" s="2" t="s">
        <v>13812</v>
      </c>
      <c r="C6976" s="2" t="s">
        <v>35</v>
      </c>
      <c r="D6976" s="2" t="s">
        <v>36</v>
      </c>
      <c r="E6976" s="5">
        <v>-28911</v>
      </c>
      <c r="F6976" s="3" t="s">
        <v>82</v>
      </c>
      <c r="G6976" s="3" t="s">
        <v>43</v>
      </c>
      <c r="H6976" s="2" t="s">
        <v>21</v>
      </c>
      <c r="I6976" s="2" t="s">
        <v>13813</v>
      </c>
      <c r="J6976" s="3" t="str">
        <f>HYPERLINK("https://www.boe.es/gazeta/dias/1820/11/03/pdfs/GGB-1820-128.pdf#page=2","Abrir facsímil")</f>
        <v>Abrir facsímil</v>
      </c>
      <c r="K6976" s="3" t="s">
        <v>23</v>
      </c>
    </row>
    <row r="6977" spans="1:11" ht="42" customHeight="1">
      <c r="A6977" s="2" t="s">
        <v>13814</v>
      </c>
      <c r="B6977" s="2" t="s">
        <v>13815</v>
      </c>
      <c r="C6977" s="2" t="s">
        <v>293</v>
      </c>
      <c r="D6977" s="2" t="s">
        <v>18</v>
      </c>
      <c r="E6977" s="5">
        <v>-29014</v>
      </c>
      <c r="F6977" s="3" t="s">
        <v>70</v>
      </c>
      <c r="G6977" s="3" t="s">
        <v>20</v>
      </c>
      <c r="H6977" s="2" t="s">
        <v>21</v>
      </c>
      <c r="I6977" s="2" t="s">
        <v>13816</v>
      </c>
      <c r="J6977" s="3" t="str">
        <f>HYPERLINK("https://www.boe.es/gazeta/dias/1820/07/23/pdfs/GGB-1820-25.pdf#page=4","Abrir facsímil")</f>
        <v>Abrir facsímil</v>
      </c>
      <c r="K6977" s="3" t="s">
        <v>23</v>
      </c>
    </row>
    <row r="6978" spans="1:11" ht="42" customHeight="1">
      <c r="A6978" s="2" t="s">
        <v>13817</v>
      </c>
      <c r="B6978" s="2" t="s">
        <v>13817</v>
      </c>
      <c r="C6978" s="2" t="s">
        <v>74</v>
      </c>
      <c r="D6978" s="2" t="s">
        <v>18</v>
      </c>
      <c r="E6978" s="5">
        <v>-29023</v>
      </c>
      <c r="F6978" s="3" t="s">
        <v>1662</v>
      </c>
      <c r="G6978" s="3" t="s">
        <v>3662</v>
      </c>
      <c r="H6978" s="2" t="s">
        <v>21</v>
      </c>
      <c r="I6978" s="2" t="s">
        <v>13818</v>
      </c>
      <c r="J6978" s="3" t="str">
        <f>HYPERLINK("https://www.boe.es/gazeta/dias/1820/07/14/pdfs/GGB-1820-16.pdf#page=2","Abrir facsímil")</f>
        <v>Abrir facsímil</v>
      </c>
      <c r="K6978" s="3" t="s">
        <v>23</v>
      </c>
    </row>
    <row r="6979" spans="1:11" ht="42" customHeight="1">
      <c r="A6979" s="2" t="s">
        <v>13817</v>
      </c>
      <c r="B6979" s="2" t="s">
        <v>13817</v>
      </c>
      <c r="C6979" s="2" t="s">
        <v>74</v>
      </c>
      <c r="D6979" s="2" t="s">
        <v>18</v>
      </c>
      <c r="E6979" s="5">
        <v>-29015</v>
      </c>
      <c r="F6979" s="3" t="s">
        <v>359</v>
      </c>
      <c r="G6979" s="3" t="s">
        <v>62</v>
      </c>
      <c r="H6979" s="2" t="s">
        <v>21</v>
      </c>
      <c r="I6979" s="2" t="s">
        <v>13819</v>
      </c>
      <c r="J6979" s="3" t="str">
        <f>HYPERLINK("https://www.boe.es/gazeta/dias/1820/07/22/pdfs/GGB-1820-24.pdf#page=3","Abrir facsímil")</f>
        <v>Abrir facsímil</v>
      </c>
      <c r="K6979" s="3" t="s">
        <v>23</v>
      </c>
    </row>
    <row r="6980" spans="1:11" ht="42" customHeight="1">
      <c r="A6980" s="2" t="s">
        <v>13820</v>
      </c>
      <c r="B6980" s="2" t="s">
        <v>13820</v>
      </c>
      <c r="C6980" s="2" t="s">
        <v>26</v>
      </c>
      <c r="D6980" s="2" t="s">
        <v>27</v>
      </c>
      <c r="E6980" s="5">
        <v>-28982</v>
      </c>
      <c r="F6980" s="3" t="s">
        <v>173</v>
      </c>
      <c r="G6980" s="3" t="s">
        <v>529</v>
      </c>
      <c r="H6980" s="2" t="s">
        <v>21</v>
      </c>
      <c r="I6980" s="2" t="s">
        <v>13821</v>
      </c>
      <c r="J6980" s="3" t="str">
        <f>HYPERLINK("https://www.boe.es/gazeta/dias/1820/08/24/pdfs/GGB-1820-57.pdf#page=4","Abrir facsímil")</f>
        <v>Abrir facsímil</v>
      </c>
      <c r="K6980" s="3" t="s">
        <v>23</v>
      </c>
    </row>
    <row r="6981" spans="1:11" ht="42" customHeight="1">
      <c r="A6981" s="2" t="s">
        <v>13822</v>
      </c>
      <c r="B6981" s="2" t="s">
        <v>13822</v>
      </c>
      <c r="C6981" s="2" t="s">
        <v>26</v>
      </c>
      <c r="D6981" s="2" t="s">
        <v>27</v>
      </c>
      <c r="E6981" s="5">
        <v>-29131</v>
      </c>
      <c r="F6981" s="3" t="s">
        <v>1193</v>
      </c>
      <c r="G6981" s="3" t="s">
        <v>256</v>
      </c>
      <c r="H6981" s="2" t="s">
        <v>21</v>
      </c>
      <c r="I6981" s="2" t="s">
        <v>13823</v>
      </c>
      <c r="J6981" s="3" t="str">
        <f>HYPERLINK("https://www.boe.es/gazeta/dias/1820/03/28/pdfs/GMD-1820-56.pdf#page=5","Abrir facsímil")</f>
        <v>Abrir facsímil</v>
      </c>
      <c r="K6981" s="3" t="s">
        <v>23</v>
      </c>
    </row>
    <row r="6982" spans="1:11" ht="42" customHeight="1">
      <c r="A6982" s="2" t="s">
        <v>13824</v>
      </c>
      <c r="B6982" s="2" t="s">
        <v>13824</v>
      </c>
      <c r="C6982" s="2" t="s">
        <v>74</v>
      </c>
      <c r="D6982" s="2" t="s">
        <v>18</v>
      </c>
      <c r="E6982" s="5">
        <v>-29025</v>
      </c>
      <c r="F6982" s="3" t="s">
        <v>902</v>
      </c>
      <c r="G6982" s="3" t="s">
        <v>62</v>
      </c>
      <c r="H6982" s="2" t="s">
        <v>21</v>
      </c>
      <c r="I6982" s="2" t="s">
        <v>13825</v>
      </c>
      <c r="J6982" s="3" t="str">
        <f>HYPERLINK("https://www.boe.es/gazeta/dias/1820/07/12/pdfs/GGB-1820-14.pdf#page=3","Abrir facsímil")</f>
        <v>Abrir facsímil</v>
      </c>
      <c r="K6982" s="3" t="s">
        <v>23</v>
      </c>
    </row>
    <row r="6983" spans="1:11" ht="42" customHeight="1">
      <c r="A6983" s="2" t="s">
        <v>13824</v>
      </c>
      <c r="B6983" s="2" t="s">
        <v>13824</v>
      </c>
      <c r="C6983" s="2" t="s">
        <v>35</v>
      </c>
      <c r="D6983" s="2" t="s">
        <v>36</v>
      </c>
      <c r="E6983" s="5">
        <v>-29023</v>
      </c>
      <c r="F6983" s="3" t="s">
        <v>1662</v>
      </c>
      <c r="G6983" s="3" t="s">
        <v>1663</v>
      </c>
      <c r="H6983" s="2" t="s">
        <v>21</v>
      </c>
      <c r="I6983" s="2" t="s">
        <v>13826</v>
      </c>
      <c r="J6983" s="3" t="str">
        <f>HYPERLINK("https://www.boe.es/gazeta/dias/1820/07/14/pdfs/GGB-1820-16.pdf#page=3","Abrir facsímil")</f>
        <v>Abrir facsímil</v>
      </c>
      <c r="K6983" s="3" t="s">
        <v>23</v>
      </c>
    </row>
    <row r="6984" spans="1:11" ht="42" customHeight="1">
      <c r="A6984" s="2" t="s">
        <v>13824</v>
      </c>
      <c r="B6984" s="2" t="s">
        <v>13824</v>
      </c>
      <c r="C6984" s="2" t="s">
        <v>293</v>
      </c>
      <c r="D6984" s="2" t="s">
        <v>18</v>
      </c>
      <c r="E6984" s="5">
        <v>-28998</v>
      </c>
      <c r="F6984" s="3" t="s">
        <v>629</v>
      </c>
      <c r="G6984" s="3" t="s">
        <v>43</v>
      </c>
      <c r="H6984" s="2" t="s">
        <v>21</v>
      </c>
      <c r="I6984" s="2" t="s">
        <v>13827</v>
      </c>
      <c r="J6984" s="3" t="str">
        <f>HYPERLINK("https://www.boe.es/gazeta/dias/1820/08/08/pdfs/GGB-1820-41.pdf#page=2","Abrir facsímil")</f>
        <v>Abrir facsímil</v>
      </c>
      <c r="K6984" s="3" t="s">
        <v>23</v>
      </c>
    </row>
    <row r="6985" spans="1:11" ht="42" customHeight="1">
      <c r="A6985" s="2" t="s">
        <v>13824</v>
      </c>
      <c r="B6985" s="2" t="s">
        <v>13824</v>
      </c>
      <c r="C6985" s="2" t="s">
        <v>17</v>
      </c>
      <c r="D6985" s="2" t="s">
        <v>18</v>
      </c>
      <c r="E6985" s="5">
        <v>-28995</v>
      </c>
      <c r="F6985" s="3" t="s">
        <v>672</v>
      </c>
      <c r="G6985" s="3" t="s">
        <v>62</v>
      </c>
      <c r="H6985" s="2" t="s">
        <v>21</v>
      </c>
      <c r="I6985" s="2" t="s">
        <v>13828</v>
      </c>
      <c r="J6985" s="3" t="str">
        <f>HYPERLINK("https://www.boe.es/gazeta/dias/1820/08/11/pdfs/GGB-1820-44.pdf#page=3","Abrir facsímil")</f>
        <v>Abrir facsímil</v>
      </c>
      <c r="K6985" s="3" t="s">
        <v>23</v>
      </c>
    </row>
    <row r="6986" spans="1:11" ht="42" customHeight="1">
      <c r="A6986" s="2" t="s">
        <v>13829</v>
      </c>
      <c r="B6986" s="2" t="s">
        <v>13830</v>
      </c>
      <c r="C6986" s="2" t="s">
        <v>17</v>
      </c>
      <c r="D6986" s="2" t="s">
        <v>18</v>
      </c>
      <c r="E6986" s="5">
        <v>-28899</v>
      </c>
      <c r="F6986" s="3" t="s">
        <v>285</v>
      </c>
      <c r="G6986" s="3" t="s">
        <v>20</v>
      </c>
      <c r="H6986" s="2" t="s">
        <v>21</v>
      </c>
      <c r="I6986" s="2" t="s">
        <v>13831</v>
      </c>
      <c r="J6986" s="3" t="str">
        <f>HYPERLINK("https://www.boe.es/gazeta/dias/1820/11/15/pdfs/GGB-1820-141.pdf#page=4","Abrir facsímil")</f>
        <v>Abrir facsímil</v>
      </c>
      <c r="K6986" s="3" t="s">
        <v>23</v>
      </c>
    </row>
    <row r="6987" spans="1:11" ht="42" customHeight="1">
      <c r="A6987" s="2" t="s">
        <v>13832</v>
      </c>
      <c r="B6987" s="2" t="s">
        <v>13833</v>
      </c>
      <c r="C6987" s="2" t="s">
        <v>26</v>
      </c>
      <c r="D6987" s="2" t="s">
        <v>27</v>
      </c>
      <c r="E6987" s="5">
        <v>-29136</v>
      </c>
      <c r="F6987" s="3" t="s">
        <v>2972</v>
      </c>
      <c r="G6987" s="3" t="s">
        <v>2973</v>
      </c>
      <c r="H6987" s="2" t="s">
        <v>21</v>
      </c>
      <c r="I6987" s="2" t="s">
        <v>13834</v>
      </c>
      <c r="J6987" s="3" t="str">
        <f>HYPERLINK("https://www.boe.es/gazeta/dias/1820/03/23/pdfs/GMD-1820-51.pdf#page=4","Abrir facsímil")</f>
        <v>Abrir facsímil</v>
      </c>
      <c r="K6987" s="3" t="s">
        <v>23</v>
      </c>
    </row>
    <row r="6988" spans="1:11" ht="42" customHeight="1">
      <c r="A6988" s="2" t="s">
        <v>13835</v>
      </c>
      <c r="B6988" s="2" t="s">
        <v>13835</v>
      </c>
      <c r="C6988" s="2" t="s">
        <v>26</v>
      </c>
      <c r="D6988" s="2" t="s">
        <v>27</v>
      </c>
      <c r="E6988" s="5">
        <v>-29136</v>
      </c>
      <c r="F6988" s="3" t="s">
        <v>2972</v>
      </c>
      <c r="G6988" s="3" t="s">
        <v>201</v>
      </c>
      <c r="H6988" s="2" t="s">
        <v>21</v>
      </c>
      <c r="I6988" s="2" t="s">
        <v>13836</v>
      </c>
      <c r="J6988" s="3" t="str">
        <f>HYPERLINK("https://www.boe.es/gazeta/dias/1820/03/23/pdfs/GMD-1820-51.pdf#page=7","Abrir facsímil")</f>
        <v>Abrir facsímil</v>
      </c>
      <c r="K6988" s="3" t="s">
        <v>23</v>
      </c>
    </row>
    <row r="6989" spans="1:11" ht="42" customHeight="1">
      <c r="A6989" s="2" t="s">
        <v>13835</v>
      </c>
      <c r="B6989" s="2" t="s">
        <v>13835</v>
      </c>
      <c r="C6989" s="2" t="s">
        <v>26</v>
      </c>
      <c r="D6989" s="2" t="s">
        <v>27</v>
      </c>
      <c r="E6989" s="5">
        <v>-28934</v>
      </c>
      <c r="F6989" s="3" t="s">
        <v>163</v>
      </c>
      <c r="G6989" s="3" t="s">
        <v>1539</v>
      </c>
      <c r="H6989" s="2" t="s">
        <v>21</v>
      </c>
      <c r="I6989" s="2" t="s">
        <v>13837</v>
      </c>
      <c r="J6989" s="3" t="str">
        <f>HYPERLINK("https://www.boe.es/gazeta/dias/1820/10/11/pdfs/GGB-1820-105.pdf#page=2","Abrir facsímil")</f>
        <v>Abrir facsímil</v>
      </c>
      <c r="K6989" s="3" t="s">
        <v>23</v>
      </c>
    </row>
    <row r="6990" spans="1:11" ht="42" customHeight="1">
      <c r="A6990" s="2" t="s">
        <v>13838</v>
      </c>
      <c r="B6990" s="2" t="s">
        <v>13839</v>
      </c>
      <c r="C6990" s="2" t="s">
        <v>26</v>
      </c>
      <c r="D6990" s="2" t="s">
        <v>310</v>
      </c>
      <c r="E6990" s="5">
        <v>-29138</v>
      </c>
      <c r="F6990" s="3" t="s">
        <v>4019</v>
      </c>
      <c r="G6990" s="3" t="s">
        <v>43</v>
      </c>
      <c r="H6990" s="2" t="s">
        <v>21</v>
      </c>
      <c r="I6990" s="2" t="s">
        <v>13840</v>
      </c>
      <c r="J6990" s="3" t="str">
        <f>HYPERLINK("https://www.boe.es/gazeta/dias/1820/03/21/pdfs/GMD-1820-49E.pdf#page=2","Abrir facsímil")</f>
        <v>Abrir facsímil</v>
      </c>
      <c r="K6990" s="3" t="s">
        <v>23</v>
      </c>
    </row>
    <row r="6991" spans="1:11" ht="42" customHeight="1">
      <c r="A6991" s="2" t="s">
        <v>13841</v>
      </c>
      <c r="B6991" s="2" t="s">
        <v>13842</v>
      </c>
      <c r="C6991" s="2" t="s">
        <v>26</v>
      </c>
      <c r="D6991" s="2" t="s">
        <v>27</v>
      </c>
      <c r="E6991" s="5">
        <v>-28920</v>
      </c>
      <c r="F6991" s="3" t="s">
        <v>399</v>
      </c>
      <c r="G6991" s="3" t="s">
        <v>43</v>
      </c>
      <c r="H6991" s="2" t="s">
        <v>21</v>
      </c>
      <c r="I6991" s="2" t="s">
        <v>13843</v>
      </c>
      <c r="J6991" s="3" t="str">
        <f>HYPERLINK("https://www.boe.es/gazeta/dias/1820/10/25/pdfs/GGB-1820-119.pdf#page=2","Abrir facsímil")</f>
        <v>Abrir facsímil</v>
      </c>
      <c r="K6991" s="3" t="s">
        <v>23</v>
      </c>
    </row>
    <row r="6992" spans="1:11" ht="42" customHeight="1">
      <c r="A6992" s="2" t="s">
        <v>13844</v>
      </c>
      <c r="B6992" s="2" t="s">
        <v>13845</v>
      </c>
      <c r="C6992" s="2" t="s">
        <v>293</v>
      </c>
      <c r="D6992" s="2" t="s">
        <v>18</v>
      </c>
      <c r="E6992" s="5">
        <v>-28976</v>
      </c>
      <c r="F6992" s="3" t="s">
        <v>689</v>
      </c>
      <c r="G6992" s="3" t="s">
        <v>20</v>
      </c>
      <c r="H6992" s="2" t="s">
        <v>21</v>
      </c>
      <c r="I6992" s="2" t="s">
        <v>13846</v>
      </c>
      <c r="J6992" s="3" t="str">
        <f>HYPERLINK("https://www.boe.es/gazeta/dias/1820/08/30/pdfs/GGB-1820-63.pdf#page=4","Abrir facsímil")</f>
        <v>Abrir facsímil</v>
      </c>
      <c r="K6992" s="3" t="s">
        <v>23</v>
      </c>
    </row>
    <row r="6993" spans="1:11" ht="42" customHeight="1">
      <c r="A6993" s="2" t="s">
        <v>13847</v>
      </c>
      <c r="B6993" s="2" t="s">
        <v>13848</v>
      </c>
      <c r="C6993" s="2" t="s">
        <v>35</v>
      </c>
      <c r="D6993" s="2" t="s">
        <v>36</v>
      </c>
      <c r="E6993" s="5">
        <v>-29015</v>
      </c>
      <c r="F6993" s="3" t="s">
        <v>359</v>
      </c>
      <c r="G6993" s="3" t="s">
        <v>20</v>
      </c>
      <c r="H6993" s="2" t="s">
        <v>21</v>
      </c>
      <c r="I6993" s="2" t="s">
        <v>13849</v>
      </c>
      <c r="J6993" s="3" t="str">
        <f>HYPERLINK("https://www.boe.es/gazeta/dias/1820/07/22/pdfs/GGB-1820-24.pdf#page=4","Abrir facsímil")</f>
        <v>Abrir facsímil</v>
      </c>
      <c r="K6993" s="3" t="s">
        <v>23</v>
      </c>
    </row>
    <row r="6994" spans="1:11" ht="42" customHeight="1">
      <c r="A6994" s="2" t="s">
        <v>13850</v>
      </c>
      <c r="B6994" s="2" t="s">
        <v>13851</v>
      </c>
      <c r="C6994" s="2" t="s">
        <v>26</v>
      </c>
      <c r="D6994" s="2" t="s">
        <v>27</v>
      </c>
      <c r="E6994" s="5">
        <v>-28987</v>
      </c>
      <c r="F6994" s="3" t="s">
        <v>680</v>
      </c>
      <c r="G6994" s="3" t="s">
        <v>20</v>
      </c>
      <c r="H6994" s="2" t="s">
        <v>21</v>
      </c>
      <c r="I6994" s="2" t="s">
        <v>13852</v>
      </c>
      <c r="J6994" s="3" t="str">
        <f>HYPERLINK("https://www.boe.es/gazeta/dias/1820/08/19/pdfs/GGB-1820-52.pdf#page=4","Abrir facsímil")</f>
        <v>Abrir facsímil</v>
      </c>
      <c r="K6994" s="3" t="s">
        <v>23</v>
      </c>
    </row>
    <row r="6995" spans="1:11" ht="42" customHeight="1">
      <c r="A6995" s="2" t="s">
        <v>13853</v>
      </c>
      <c r="B6995" s="2" t="s">
        <v>13854</v>
      </c>
      <c r="C6995" s="2" t="s">
        <v>293</v>
      </c>
      <c r="D6995" s="2" t="s">
        <v>18</v>
      </c>
      <c r="E6995" s="5">
        <v>-29082</v>
      </c>
      <c r="F6995" s="3" t="s">
        <v>478</v>
      </c>
      <c r="G6995" s="3" t="s">
        <v>479</v>
      </c>
      <c r="H6995" s="2" t="s">
        <v>21</v>
      </c>
      <c r="I6995" s="2" t="s">
        <v>13855</v>
      </c>
      <c r="J6995" s="3" t="str">
        <f>HYPERLINK("https://www.boe.es/gazeta/dias/1820/05/16/pdfs/GMD-1820-80.pdf#page=12","Abrir facsímil")</f>
        <v>Abrir facsímil</v>
      </c>
      <c r="K6995" s="3" t="s">
        <v>23</v>
      </c>
    </row>
    <row r="6996" spans="1:11" ht="42" customHeight="1">
      <c r="A6996" s="2" t="s">
        <v>13856</v>
      </c>
      <c r="B6996" s="2" t="s">
        <v>13857</v>
      </c>
      <c r="C6996" s="2" t="s">
        <v>26</v>
      </c>
      <c r="D6996" s="2" t="s">
        <v>27</v>
      </c>
      <c r="E6996" s="5">
        <v>-28917</v>
      </c>
      <c r="F6996" s="3" t="s">
        <v>19</v>
      </c>
      <c r="G6996" s="3" t="s">
        <v>43</v>
      </c>
      <c r="H6996" s="2" t="s">
        <v>21</v>
      </c>
      <c r="I6996" s="2" t="s">
        <v>13858</v>
      </c>
      <c r="J6996" s="3" t="str">
        <f>HYPERLINK("https://www.boe.es/gazeta/dias/1820/10/28/pdfs/GGB-1820-122.pdf#page=2","Abrir facsímil")</f>
        <v>Abrir facsímil</v>
      </c>
      <c r="K6996" s="3" t="s">
        <v>23</v>
      </c>
    </row>
    <row r="6997" spans="1:11" ht="42" customHeight="1">
      <c r="A6997" s="2" t="s">
        <v>13859</v>
      </c>
      <c r="B6997" s="2" t="s">
        <v>13860</v>
      </c>
      <c r="C6997" s="2" t="s">
        <v>26</v>
      </c>
      <c r="D6997" s="2" t="s">
        <v>27</v>
      </c>
      <c r="E6997" s="5">
        <v>-29036</v>
      </c>
      <c r="F6997" s="3" t="s">
        <v>1167</v>
      </c>
      <c r="G6997" s="3" t="s">
        <v>20</v>
      </c>
      <c r="H6997" s="2" t="s">
        <v>21</v>
      </c>
      <c r="I6997" s="2" t="s">
        <v>13861</v>
      </c>
      <c r="J6997" s="3" t="str">
        <f>HYPERLINK("https://www.boe.es/gazeta/dias/1820/07/01/pdfs/GGB-1820-1.pdf#page=4","Abrir facsímil")</f>
        <v>Abrir facsímil</v>
      </c>
      <c r="K6997" s="3" t="s">
        <v>23</v>
      </c>
    </row>
    <row r="6998" spans="1:11" ht="42" customHeight="1">
      <c r="A6998" s="2" t="s">
        <v>13862</v>
      </c>
      <c r="B6998" s="2" t="s">
        <v>13863</v>
      </c>
      <c r="C6998" s="2" t="s">
        <v>26</v>
      </c>
      <c r="D6998" s="2" t="s">
        <v>27</v>
      </c>
      <c r="E6998" s="5">
        <v>-29029</v>
      </c>
      <c r="F6998" s="3" t="s">
        <v>282</v>
      </c>
      <c r="G6998" s="3" t="s">
        <v>20</v>
      </c>
      <c r="H6998" s="2" t="s">
        <v>21</v>
      </c>
      <c r="I6998" s="2" t="s">
        <v>13864</v>
      </c>
      <c r="J6998" s="3" t="str">
        <f>HYPERLINK("https://www.boe.es/gazeta/dias/1820/07/08/pdfs/GGB-1820-9.pdf#page=4","Abrir facsímil")</f>
        <v>Abrir facsímil</v>
      </c>
      <c r="K6998" s="3" t="s">
        <v>23</v>
      </c>
    </row>
    <row r="6999" spans="1:11" ht="42" customHeight="1">
      <c r="A6999" s="2" t="s">
        <v>13865</v>
      </c>
      <c r="B6999" s="2" t="s">
        <v>13866</v>
      </c>
      <c r="C6999" s="2" t="s">
        <v>17</v>
      </c>
      <c r="D6999" s="2" t="s">
        <v>18</v>
      </c>
      <c r="E6999" s="5">
        <v>-28991</v>
      </c>
      <c r="F6999" s="3" t="s">
        <v>213</v>
      </c>
      <c r="G6999" s="3" t="s">
        <v>128</v>
      </c>
      <c r="H6999" s="2" t="s">
        <v>21</v>
      </c>
      <c r="I6999" s="2" t="s">
        <v>13867</v>
      </c>
      <c r="J6999" s="3" t="str">
        <f>HYPERLINK("https://www.boe.es/gazeta/dias/1820/08/15/pdfs/GGB-1820-48.pdf#page=1","Abrir facsímil")</f>
        <v>Abrir facsímil</v>
      </c>
      <c r="K6999" s="3" t="s">
        <v>23</v>
      </c>
    </row>
    <row r="7000" spans="1:11" ht="42" customHeight="1">
      <c r="A7000" s="2" t="s">
        <v>13868</v>
      </c>
      <c r="B7000" s="2" t="s">
        <v>13869</v>
      </c>
      <c r="C7000" s="2" t="s">
        <v>111</v>
      </c>
      <c r="D7000" s="2" t="s">
        <v>18</v>
      </c>
      <c r="E7000" s="5">
        <v>-28864</v>
      </c>
      <c r="F7000" s="3" t="s">
        <v>1275</v>
      </c>
      <c r="G7000" s="3" t="s">
        <v>38</v>
      </c>
      <c r="H7000" s="2" t="s">
        <v>21</v>
      </c>
      <c r="I7000" s="2" t="s">
        <v>13870</v>
      </c>
      <c r="J7000" s="3" t="str">
        <f>HYPERLINK("https://www.boe.es/gazeta/dias/1820/12/20/pdfs/GGB-1820-177.pdf#page=6","Abrir facsímil")</f>
        <v>Abrir facsímil</v>
      </c>
      <c r="K7000" s="3" t="s">
        <v>23</v>
      </c>
    </row>
    <row r="7001" spans="1:11" ht="42" customHeight="1">
      <c r="A7001" s="2" t="s">
        <v>13871</v>
      </c>
      <c r="B7001" s="2" t="s">
        <v>13871</v>
      </c>
      <c r="C7001" s="2" t="s">
        <v>111</v>
      </c>
      <c r="D7001" s="2" t="s">
        <v>18</v>
      </c>
      <c r="E7001" s="5">
        <v>-28973</v>
      </c>
      <c r="F7001" s="3" t="s">
        <v>151</v>
      </c>
      <c r="G7001" s="3" t="s">
        <v>43</v>
      </c>
      <c r="H7001" s="2" t="s">
        <v>21</v>
      </c>
      <c r="I7001" s="2" t="s">
        <v>13872</v>
      </c>
      <c r="J7001" s="3" t="str">
        <f>HYPERLINK("https://www.boe.es/gazeta/dias/1820/09/02/pdfs/GGB-1820-66.pdf#page=2","Abrir facsímil")</f>
        <v>Abrir facsímil</v>
      </c>
      <c r="K7001" s="3" t="s">
        <v>23</v>
      </c>
    </row>
    <row r="7002" spans="1:11" ht="42" customHeight="1">
      <c r="A7002" s="2" t="s">
        <v>13873</v>
      </c>
      <c r="B7002" s="2" t="s">
        <v>13873</v>
      </c>
      <c r="C7002" s="2" t="s">
        <v>26</v>
      </c>
      <c r="D7002" s="2" t="s">
        <v>27</v>
      </c>
      <c r="E7002" s="5">
        <v>-29024</v>
      </c>
      <c r="F7002" s="3" t="s">
        <v>1916</v>
      </c>
      <c r="G7002" s="3" t="s">
        <v>62</v>
      </c>
      <c r="H7002" s="2" t="s">
        <v>21</v>
      </c>
      <c r="I7002" s="2" t="s">
        <v>13874</v>
      </c>
      <c r="J7002" s="3" t="str">
        <f>HYPERLINK("https://www.boe.es/gazeta/dias/1820/07/13/pdfs/GGB-1820-15.pdf#page=3","Abrir facsímil")</f>
        <v>Abrir facsímil</v>
      </c>
      <c r="K7002" s="3" t="s">
        <v>23</v>
      </c>
    </row>
    <row r="7003" spans="1:11" ht="42" customHeight="1">
      <c r="A7003" s="2" t="s">
        <v>13873</v>
      </c>
      <c r="B7003" s="2" t="s">
        <v>13873</v>
      </c>
      <c r="C7003" s="2" t="s">
        <v>35</v>
      </c>
      <c r="D7003" s="2" t="s">
        <v>36</v>
      </c>
      <c r="E7003" s="5">
        <v>-29019</v>
      </c>
      <c r="F7003" s="3" t="s">
        <v>655</v>
      </c>
      <c r="G7003" s="3" t="s">
        <v>62</v>
      </c>
      <c r="H7003" s="2" t="s">
        <v>21</v>
      </c>
      <c r="I7003" s="2" t="s">
        <v>13875</v>
      </c>
      <c r="J7003" s="3" t="str">
        <f>HYPERLINK("https://www.boe.es/gazeta/dias/1820/07/18/pdfs/GGB-1820-20.pdf#page=3","Abrir facsímil")</f>
        <v>Abrir facsímil</v>
      </c>
      <c r="K7003" s="3" t="s">
        <v>23</v>
      </c>
    </row>
    <row r="7004" spans="1:11" ht="42" customHeight="1">
      <c r="A7004" s="2" t="s">
        <v>13873</v>
      </c>
      <c r="B7004" s="2" t="s">
        <v>13873</v>
      </c>
      <c r="C7004" s="2" t="s">
        <v>26</v>
      </c>
      <c r="D7004" s="2" t="s">
        <v>27</v>
      </c>
      <c r="E7004" s="5">
        <v>-29018</v>
      </c>
      <c r="F7004" s="3" t="s">
        <v>601</v>
      </c>
      <c r="G7004" s="3" t="s">
        <v>62</v>
      </c>
      <c r="H7004" s="2" t="s">
        <v>21</v>
      </c>
      <c r="I7004" s="2" t="s">
        <v>13876</v>
      </c>
      <c r="J7004" s="3" t="str">
        <f>HYPERLINK("https://www.boe.es/gazeta/dias/1820/07/19/pdfs/GGB-1820-21.pdf#page=3","Abrir facsímil")</f>
        <v>Abrir facsímil</v>
      </c>
      <c r="K7004" s="3" t="s">
        <v>23</v>
      </c>
    </row>
    <row r="7005" spans="1:11" ht="42" customHeight="1">
      <c r="A7005" s="2" t="s">
        <v>13873</v>
      </c>
      <c r="B7005" s="2" t="s">
        <v>13873</v>
      </c>
      <c r="C7005" s="2" t="s">
        <v>26</v>
      </c>
      <c r="D7005" s="2" t="s">
        <v>27</v>
      </c>
      <c r="E7005" s="5">
        <v>-29009</v>
      </c>
      <c r="F7005" s="3" t="s">
        <v>605</v>
      </c>
      <c r="G7005" s="3" t="s">
        <v>43</v>
      </c>
      <c r="H7005" s="2" t="s">
        <v>21</v>
      </c>
      <c r="I7005" s="2" t="s">
        <v>13877</v>
      </c>
      <c r="J7005" s="3" t="str">
        <f>HYPERLINK("https://www.boe.es/gazeta/dias/1820/07/28/pdfs/GGB-1820-30.pdf#page=2","Abrir facsímil")</f>
        <v>Abrir facsímil</v>
      </c>
      <c r="K7005" s="3" t="s">
        <v>23</v>
      </c>
    </row>
    <row r="7006" spans="1:11" ht="42" customHeight="1">
      <c r="A7006" s="2" t="s">
        <v>13873</v>
      </c>
      <c r="B7006" s="2" t="s">
        <v>13873</v>
      </c>
      <c r="C7006" s="2" t="s">
        <v>35</v>
      </c>
      <c r="D7006" s="2" t="s">
        <v>36</v>
      </c>
      <c r="E7006" s="5">
        <v>-29009</v>
      </c>
      <c r="F7006" s="3" t="s">
        <v>605</v>
      </c>
      <c r="G7006" s="3" t="s">
        <v>20</v>
      </c>
      <c r="H7006" s="2" t="s">
        <v>21</v>
      </c>
      <c r="I7006" s="2" t="s">
        <v>13878</v>
      </c>
      <c r="J7006" s="3" t="str">
        <f>HYPERLINK("https://www.boe.es/gazeta/dias/1820/07/28/pdfs/GGB-1820-30.pdf#page=4","Abrir facsímil")</f>
        <v>Abrir facsímil</v>
      </c>
      <c r="K7006" s="3" t="s">
        <v>23</v>
      </c>
    </row>
    <row r="7007" spans="1:11" ht="42" customHeight="1">
      <c r="A7007" s="2" t="s">
        <v>13873</v>
      </c>
      <c r="B7007" s="2" t="s">
        <v>13873</v>
      </c>
      <c r="C7007" s="2" t="s">
        <v>111</v>
      </c>
      <c r="D7007" s="2" t="s">
        <v>18</v>
      </c>
      <c r="E7007" s="5">
        <v>-29005</v>
      </c>
      <c r="F7007" s="3" t="s">
        <v>1656</v>
      </c>
      <c r="G7007" s="3" t="s">
        <v>43</v>
      </c>
      <c r="H7007" s="2" t="s">
        <v>21</v>
      </c>
      <c r="I7007" s="2" t="s">
        <v>13879</v>
      </c>
      <c r="J7007" s="3" t="str">
        <f>HYPERLINK("https://www.boe.es/gazeta/dias/1820/08/01/pdfs/GGB-1820-34.pdf#page=2","Abrir facsímil")</f>
        <v>Abrir facsímil</v>
      </c>
      <c r="K7007" s="3" t="s">
        <v>23</v>
      </c>
    </row>
    <row r="7008" spans="1:11" ht="42" customHeight="1">
      <c r="A7008" s="2" t="s">
        <v>13873</v>
      </c>
      <c r="B7008" s="2" t="s">
        <v>13873</v>
      </c>
      <c r="C7008" s="2" t="s">
        <v>35</v>
      </c>
      <c r="D7008" s="2" t="s">
        <v>36</v>
      </c>
      <c r="E7008" s="5">
        <v>-29004</v>
      </c>
      <c r="F7008" s="3" t="s">
        <v>75</v>
      </c>
      <c r="G7008" s="3" t="s">
        <v>76</v>
      </c>
      <c r="H7008" s="2" t="s">
        <v>21</v>
      </c>
      <c r="I7008" s="2" t="s">
        <v>13880</v>
      </c>
      <c r="J7008" s="3" t="str">
        <f>HYPERLINK("https://www.boe.es/gazeta/dias/1820/08/02/pdfs/GGB-1820-35.pdf#page=2","Abrir facsímil")</f>
        <v>Abrir facsímil</v>
      </c>
      <c r="K7008" s="3" t="s">
        <v>23</v>
      </c>
    </row>
    <row r="7009" spans="1:11" ht="42" customHeight="1">
      <c r="A7009" s="2" t="s">
        <v>13873</v>
      </c>
      <c r="B7009" s="2" t="s">
        <v>13873</v>
      </c>
      <c r="C7009" s="2" t="s">
        <v>35</v>
      </c>
      <c r="D7009" s="2" t="s">
        <v>36</v>
      </c>
      <c r="E7009" s="5">
        <v>-29004</v>
      </c>
      <c r="F7009" s="3" t="s">
        <v>75</v>
      </c>
      <c r="G7009" s="3" t="s">
        <v>62</v>
      </c>
      <c r="H7009" s="2" t="s">
        <v>21</v>
      </c>
      <c r="I7009" s="2" t="s">
        <v>13881</v>
      </c>
      <c r="J7009" s="3" t="str">
        <f>HYPERLINK("https://www.boe.es/gazeta/dias/1820/08/02/pdfs/GGB-1820-35.pdf#page=3","Abrir facsímil")</f>
        <v>Abrir facsímil</v>
      </c>
      <c r="K7009" s="3" t="s">
        <v>23</v>
      </c>
    </row>
    <row r="7010" spans="1:11" ht="42" customHeight="1">
      <c r="A7010" s="2" t="s">
        <v>13873</v>
      </c>
      <c r="B7010" s="2" t="s">
        <v>13873</v>
      </c>
      <c r="C7010" s="2" t="s">
        <v>35</v>
      </c>
      <c r="D7010" s="2" t="s">
        <v>36</v>
      </c>
      <c r="E7010" s="5">
        <v>-29003</v>
      </c>
      <c r="F7010" s="3" t="s">
        <v>340</v>
      </c>
      <c r="G7010" s="3" t="s">
        <v>20</v>
      </c>
      <c r="H7010" s="2" t="s">
        <v>21</v>
      </c>
      <c r="I7010" s="2" t="s">
        <v>13882</v>
      </c>
      <c r="J7010" s="3" t="str">
        <f>HYPERLINK("https://www.boe.es/gazeta/dias/1820/08/03/pdfs/GGB-1820-36.pdf#page=4","Abrir facsímil")</f>
        <v>Abrir facsímil</v>
      </c>
      <c r="K7010" s="3" t="s">
        <v>23</v>
      </c>
    </row>
    <row r="7011" spans="1:11" ht="42" customHeight="1">
      <c r="A7011" s="2" t="s">
        <v>13873</v>
      </c>
      <c r="B7011" s="2" t="s">
        <v>13873</v>
      </c>
      <c r="C7011" s="2" t="s">
        <v>26</v>
      </c>
      <c r="D7011" s="2" t="s">
        <v>27</v>
      </c>
      <c r="E7011" s="5">
        <v>-29002</v>
      </c>
      <c r="F7011" s="3" t="s">
        <v>124</v>
      </c>
      <c r="G7011" s="3" t="s">
        <v>20</v>
      </c>
      <c r="H7011" s="2" t="s">
        <v>21</v>
      </c>
      <c r="I7011" s="2" t="s">
        <v>13883</v>
      </c>
      <c r="J7011" s="3" t="str">
        <f>HYPERLINK("https://www.boe.es/gazeta/dias/1820/08/04/pdfs/GGB-1820-37.pdf#page=4","Abrir facsímil")</f>
        <v>Abrir facsímil</v>
      </c>
      <c r="K7011" s="3" t="s">
        <v>23</v>
      </c>
    </row>
    <row r="7012" spans="1:11" ht="42" customHeight="1">
      <c r="A7012" s="2" t="s">
        <v>13873</v>
      </c>
      <c r="B7012" s="2" t="s">
        <v>13873</v>
      </c>
      <c r="C7012" s="2" t="s">
        <v>26</v>
      </c>
      <c r="D7012" s="2" t="s">
        <v>27</v>
      </c>
      <c r="E7012" s="5">
        <v>-29001</v>
      </c>
      <c r="F7012" s="3" t="s">
        <v>633</v>
      </c>
      <c r="G7012" s="3" t="s">
        <v>43</v>
      </c>
      <c r="H7012" s="2" t="s">
        <v>21</v>
      </c>
      <c r="I7012" s="2" t="s">
        <v>13884</v>
      </c>
      <c r="J7012" s="3" t="str">
        <f>HYPERLINK("https://www.boe.es/gazeta/dias/1820/08/05/pdfs/GGB-1820-38.pdf#page=2","Abrir facsímil")</f>
        <v>Abrir facsímil</v>
      </c>
      <c r="K7012" s="3" t="s">
        <v>23</v>
      </c>
    </row>
    <row r="7013" spans="1:11" ht="42" customHeight="1">
      <c r="A7013" s="2" t="s">
        <v>13873</v>
      </c>
      <c r="B7013" s="2" t="s">
        <v>13873</v>
      </c>
      <c r="C7013" s="2" t="s">
        <v>35</v>
      </c>
      <c r="D7013" s="2" t="s">
        <v>36</v>
      </c>
      <c r="E7013" s="5">
        <v>-28995</v>
      </c>
      <c r="F7013" s="3" t="s">
        <v>672</v>
      </c>
      <c r="G7013" s="3" t="s">
        <v>20</v>
      </c>
      <c r="H7013" s="2" t="s">
        <v>21</v>
      </c>
      <c r="I7013" s="2" t="s">
        <v>13885</v>
      </c>
      <c r="J7013" s="3" t="str">
        <f>HYPERLINK("https://www.boe.es/gazeta/dias/1820/08/11/pdfs/GGB-1820-44.pdf#page=4","Abrir facsímil")</f>
        <v>Abrir facsímil</v>
      </c>
      <c r="K7013" s="3" t="s">
        <v>23</v>
      </c>
    </row>
    <row r="7014" spans="1:11" ht="42" customHeight="1">
      <c r="A7014" s="2" t="s">
        <v>13873</v>
      </c>
      <c r="B7014" s="2" t="s">
        <v>13873</v>
      </c>
      <c r="C7014" s="2" t="s">
        <v>74</v>
      </c>
      <c r="D7014" s="2" t="s">
        <v>18</v>
      </c>
      <c r="E7014" s="5">
        <v>-28994</v>
      </c>
      <c r="F7014" s="3" t="s">
        <v>1612</v>
      </c>
      <c r="G7014" s="3" t="s">
        <v>43</v>
      </c>
      <c r="H7014" s="2" t="s">
        <v>21</v>
      </c>
      <c r="I7014" s="2" t="s">
        <v>13886</v>
      </c>
      <c r="J7014" s="3" t="str">
        <f>HYPERLINK("https://www.boe.es/gazeta/dias/1820/08/12/pdfs/GGB-1820-45.pdf#page=2","Abrir facsímil")</f>
        <v>Abrir facsímil</v>
      </c>
      <c r="K7014" s="3" t="s">
        <v>23</v>
      </c>
    </row>
    <row r="7015" spans="1:11" ht="42" customHeight="1">
      <c r="A7015" s="2" t="s">
        <v>13873</v>
      </c>
      <c r="B7015" s="2" t="s">
        <v>13873</v>
      </c>
      <c r="C7015" s="2" t="s">
        <v>74</v>
      </c>
      <c r="D7015" s="2" t="s">
        <v>18</v>
      </c>
      <c r="E7015" s="5">
        <v>-28991</v>
      </c>
      <c r="F7015" s="3" t="s">
        <v>213</v>
      </c>
      <c r="G7015" s="3" t="s">
        <v>675</v>
      </c>
      <c r="H7015" s="2" t="s">
        <v>21</v>
      </c>
      <c r="I7015" s="2" t="s">
        <v>13887</v>
      </c>
      <c r="J7015" s="3" t="str">
        <f>HYPERLINK("https://www.boe.es/gazeta/dias/1820/08/15/pdfs/GGB-1820-48.pdf#page=4","Abrir facsímil")</f>
        <v>Abrir facsímil</v>
      </c>
      <c r="K7015" s="3" t="s">
        <v>23</v>
      </c>
    </row>
    <row r="7016" spans="1:11" ht="42" customHeight="1">
      <c r="A7016" s="2" t="s">
        <v>13873</v>
      </c>
      <c r="B7016" s="2" t="s">
        <v>13873</v>
      </c>
      <c r="C7016" s="2" t="s">
        <v>35</v>
      </c>
      <c r="D7016" s="2" t="s">
        <v>36</v>
      </c>
      <c r="E7016" s="5">
        <v>-28987</v>
      </c>
      <c r="F7016" s="3" t="s">
        <v>680</v>
      </c>
      <c r="G7016" s="3" t="s">
        <v>62</v>
      </c>
      <c r="H7016" s="2" t="s">
        <v>21</v>
      </c>
      <c r="I7016" s="2" t="s">
        <v>13888</v>
      </c>
      <c r="J7016" s="3" t="str">
        <f>HYPERLINK("https://www.boe.es/gazeta/dias/1820/08/19/pdfs/GGB-1820-52.pdf#page=3","Abrir facsímil")</f>
        <v>Abrir facsímil</v>
      </c>
      <c r="K7016" s="3" t="s">
        <v>23</v>
      </c>
    </row>
    <row r="7017" spans="1:11" ht="42" customHeight="1">
      <c r="A7017" s="2" t="s">
        <v>13873</v>
      </c>
      <c r="B7017" s="2" t="s">
        <v>13873</v>
      </c>
      <c r="C7017" s="2" t="s">
        <v>47</v>
      </c>
      <c r="D7017" s="2" t="s">
        <v>18</v>
      </c>
      <c r="E7017" s="5">
        <v>-28985</v>
      </c>
      <c r="F7017" s="3" t="s">
        <v>905</v>
      </c>
      <c r="G7017" s="3" t="s">
        <v>62</v>
      </c>
      <c r="H7017" s="2" t="s">
        <v>21</v>
      </c>
      <c r="I7017" s="2" t="s">
        <v>13889</v>
      </c>
      <c r="J7017" s="3" t="str">
        <f>HYPERLINK("https://www.boe.es/gazeta/dias/1820/08/21/pdfs/GGB-1820-54.pdf#page=3","Abrir facsímil")</f>
        <v>Abrir facsímil</v>
      </c>
      <c r="K7017" s="3" t="s">
        <v>23</v>
      </c>
    </row>
    <row r="7018" spans="1:11" ht="42" customHeight="1">
      <c r="A7018" s="2" t="s">
        <v>13873</v>
      </c>
      <c r="B7018" s="2" t="s">
        <v>13873</v>
      </c>
      <c r="C7018" s="2" t="s">
        <v>17</v>
      </c>
      <c r="D7018" s="2" t="s">
        <v>18</v>
      </c>
      <c r="E7018" s="5">
        <v>-28983</v>
      </c>
      <c r="F7018" s="3" t="s">
        <v>682</v>
      </c>
      <c r="G7018" s="3" t="s">
        <v>20</v>
      </c>
      <c r="H7018" s="2" t="s">
        <v>21</v>
      </c>
      <c r="I7018" s="2" t="s">
        <v>13890</v>
      </c>
      <c r="J7018" s="3" t="str">
        <f>HYPERLINK("https://www.boe.es/gazeta/dias/1820/08/23/pdfs/GGB-1820-56.pdf#page=4","Abrir facsímil")</f>
        <v>Abrir facsímil</v>
      </c>
      <c r="K7018" s="3" t="s">
        <v>23</v>
      </c>
    </row>
    <row r="7019" spans="1:11" ht="42" customHeight="1">
      <c r="A7019" s="2" t="s">
        <v>13873</v>
      </c>
      <c r="B7019" s="2" t="s">
        <v>13873</v>
      </c>
      <c r="C7019" s="2" t="s">
        <v>26</v>
      </c>
      <c r="D7019" s="2" t="s">
        <v>27</v>
      </c>
      <c r="E7019" s="5">
        <v>-28982</v>
      </c>
      <c r="F7019" s="3" t="s">
        <v>173</v>
      </c>
      <c r="G7019" s="3" t="s">
        <v>62</v>
      </c>
      <c r="H7019" s="2" t="s">
        <v>21</v>
      </c>
      <c r="I7019" s="2" t="s">
        <v>13891</v>
      </c>
      <c r="J7019" s="3" t="str">
        <f>HYPERLINK("https://www.boe.es/gazeta/dias/1820/08/24/pdfs/GGB-1820-57.pdf#page=3","Abrir facsímil")</f>
        <v>Abrir facsímil</v>
      </c>
      <c r="K7019" s="3" t="s">
        <v>23</v>
      </c>
    </row>
    <row r="7020" spans="1:11" ht="42" customHeight="1">
      <c r="A7020" s="2" t="s">
        <v>13892</v>
      </c>
      <c r="B7020" s="2" t="s">
        <v>13892</v>
      </c>
      <c r="C7020" s="2" t="s">
        <v>17</v>
      </c>
      <c r="D7020" s="2" t="s">
        <v>18</v>
      </c>
      <c r="E7020" s="5">
        <v>-28977</v>
      </c>
      <c r="F7020" s="3" t="s">
        <v>687</v>
      </c>
      <c r="G7020" s="3" t="s">
        <v>62</v>
      </c>
      <c r="H7020" s="2" t="s">
        <v>21</v>
      </c>
      <c r="I7020" s="2" t="s">
        <v>13893</v>
      </c>
      <c r="J7020" s="3" t="str">
        <f>HYPERLINK("https://www.boe.es/gazeta/dias/1820/08/29/pdfs/GGB-1820-62.pdf#page=3","Abrir facsímil")</f>
        <v>Abrir facsímil</v>
      </c>
      <c r="K7020" s="3" t="s">
        <v>23</v>
      </c>
    </row>
    <row r="7021" spans="1:11" ht="42" customHeight="1">
      <c r="A7021" s="2" t="s">
        <v>13873</v>
      </c>
      <c r="B7021" s="2" t="s">
        <v>13873</v>
      </c>
      <c r="C7021" s="2" t="s">
        <v>47</v>
      </c>
      <c r="D7021" s="2" t="s">
        <v>18</v>
      </c>
      <c r="E7021" s="5">
        <v>-28973</v>
      </c>
      <c r="F7021" s="3" t="s">
        <v>151</v>
      </c>
      <c r="G7021" s="3" t="s">
        <v>43</v>
      </c>
      <c r="H7021" s="2" t="s">
        <v>21</v>
      </c>
      <c r="I7021" s="2" t="s">
        <v>13894</v>
      </c>
      <c r="J7021" s="3" t="str">
        <f>HYPERLINK("https://www.boe.es/gazeta/dias/1820/09/02/pdfs/GGB-1820-66.pdf#page=2","Abrir facsímil")</f>
        <v>Abrir facsímil</v>
      </c>
      <c r="K7021" s="3" t="s">
        <v>23</v>
      </c>
    </row>
    <row r="7022" spans="1:11" ht="42" customHeight="1">
      <c r="A7022" s="2" t="s">
        <v>13873</v>
      </c>
      <c r="B7022" s="2" t="s">
        <v>13873</v>
      </c>
      <c r="C7022" s="2" t="s">
        <v>293</v>
      </c>
      <c r="D7022" s="2" t="s">
        <v>18</v>
      </c>
      <c r="E7022" s="5">
        <v>-28962</v>
      </c>
      <c r="F7022" s="3" t="s">
        <v>90</v>
      </c>
      <c r="G7022" s="3" t="s">
        <v>62</v>
      </c>
      <c r="H7022" s="2" t="s">
        <v>21</v>
      </c>
      <c r="I7022" s="2" t="s">
        <v>13895</v>
      </c>
      <c r="J7022" s="3" t="str">
        <f>HYPERLINK("https://www.boe.es/gazeta/dias/1820/09/13/pdfs/GGB-1820-77.pdf#page=3","Abrir facsímil")</f>
        <v>Abrir facsímil</v>
      </c>
      <c r="K7022" s="3" t="s">
        <v>23</v>
      </c>
    </row>
    <row r="7023" spans="1:11" ht="42" customHeight="1">
      <c r="A7023" s="2" t="s">
        <v>13873</v>
      </c>
      <c r="B7023" s="2" t="s">
        <v>13873</v>
      </c>
      <c r="C7023" s="2" t="s">
        <v>17</v>
      </c>
      <c r="D7023" s="2" t="s">
        <v>18</v>
      </c>
      <c r="E7023" s="5">
        <v>-28952</v>
      </c>
      <c r="F7023" s="3" t="s">
        <v>370</v>
      </c>
      <c r="G7023" s="3" t="s">
        <v>43</v>
      </c>
      <c r="H7023" s="2" t="s">
        <v>21</v>
      </c>
      <c r="I7023" s="2" t="s">
        <v>13896</v>
      </c>
      <c r="J7023" s="3" t="str">
        <f>HYPERLINK("https://www.boe.es/gazeta/dias/1820/09/23/pdfs/GGB-1820-87.pdf#page=2","Abrir facsímil")</f>
        <v>Abrir facsímil</v>
      </c>
      <c r="K7023" s="3" t="s">
        <v>23</v>
      </c>
    </row>
    <row r="7024" spans="1:11" ht="42" customHeight="1">
      <c r="A7024" s="2" t="s">
        <v>13873</v>
      </c>
      <c r="B7024" s="2" t="s">
        <v>13873</v>
      </c>
      <c r="C7024" s="2" t="s">
        <v>47</v>
      </c>
      <c r="D7024" s="2" t="s">
        <v>18</v>
      </c>
      <c r="E7024" s="5">
        <v>-28935</v>
      </c>
      <c r="F7024" s="3" t="s">
        <v>2464</v>
      </c>
      <c r="G7024" s="3" t="s">
        <v>20</v>
      </c>
      <c r="H7024" s="2" t="s">
        <v>21</v>
      </c>
      <c r="I7024" s="2" t="s">
        <v>13897</v>
      </c>
      <c r="J7024" s="3" t="str">
        <f>HYPERLINK("https://www.boe.es/gazeta/dias/1820/10/10/pdfs/GGB-1820-104.pdf#page=4","Abrir facsímil")</f>
        <v>Abrir facsímil</v>
      </c>
      <c r="K7024" s="3" t="s">
        <v>23</v>
      </c>
    </row>
    <row r="7025" spans="1:11" ht="42" customHeight="1">
      <c r="A7025" s="2" t="s">
        <v>13873</v>
      </c>
      <c r="B7025" s="2" t="s">
        <v>13873</v>
      </c>
      <c r="C7025" s="2" t="s">
        <v>35</v>
      </c>
      <c r="D7025" s="2" t="s">
        <v>36</v>
      </c>
      <c r="E7025" s="5">
        <v>-28931</v>
      </c>
      <c r="F7025" s="3" t="s">
        <v>724</v>
      </c>
      <c r="G7025" s="3" t="s">
        <v>43</v>
      </c>
      <c r="H7025" s="2" t="s">
        <v>21</v>
      </c>
      <c r="I7025" s="2" t="s">
        <v>13898</v>
      </c>
      <c r="J7025" s="3" t="str">
        <f>HYPERLINK("https://www.boe.es/gazeta/dias/1820/10/14/pdfs/GGB-1820-108.pdf#page=2","Abrir facsímil")</f>
        <v>Abrir facsímil</v>
      </c>
      <c r="K7025" s="3" t="s">
        <v>23</v>
      </c>
    </row>
    <row r="7026" spans="1:11" ht="42" customHeight="1">
      <c r="A7026" s="2" t="s">
        <v>13873</v>
      </c>
      <c r="B7026" s="2" t="s">
        <v>13873</v>
      </c>
      <c r="C7026" s="2" t="s">
        <v>74</v>
      </c>
      <c r="D7026" s="2" t="s">
        <v>18</v>
      </c>
      <c r="E7026" s="5">
        <v>-28921</v>
      </c>
      <c r="F7026" s="3" t="s">
        <v>738</v>
      </c>
      <c r="G7026" s="3" t="s">
        <v>3686</v>
      </c>
      <c r="H7026" s="2" t="s">
        <v>21</v>
      </c>
      <c r="I7026" s="2" t="s">
        <v>13899</v>
      </c>
      <c r="J7026" s="3" t="str">
        <f>HYPERLINK("https://www.boe.es/gazeta/dias/1820/10/24/pdfs/GGB-1820-118.pdf#page=3","Abrir facsímil")</f>
        <v>Abrir facsímil</v>
      </c>
      <c r="K7026" s="3" t="s">
        <v>23</v>
      </c>
    </row>
    <row r="7027" spans="1:11" ht="42" customHeight="1">
      <c r="A7027" s="2" t="s">
        <v>13873</v>
      </c>
      <c r="B7027" s="2" t="s">
        <v>13873</v>
      </c>
      <c r="C7027" s="2" t="s">
        <v>35</v>
      </c>
      <c r="D7027" s="2" t="s">
        <v>36</v>
      </c>
      <c r="E7027" s="5">
        <v>-28920</v>
      </c>
      <c r="F7027" s="3" t="s">
        <v>399</v>
      </c>
      <c r="G7027" s="3" t="s">
        <v>43</v>
      </c>
      <c r="H7027" s="2" t="s">
        <v>21</v>
      </c>
      <c r="I7027" s="2" t="s">
        <v>13900</v>
      </c>
      <c r="J7027" s="3" t="str">
        <f>HYPERLINK("https://www.boe.es/gazeta/dias/1820/10/25/pdfs/GGB-1820-119.pdf#page=2","Abrir facsímil")</f>
        <v>Abrir facsímil</v>
      </c>
      <c r="K7027" s="3" t="s">
        <v>23</v>
      </c>
    </row>
    <row r="7028" spans="1:11" ht="42" customHeight="1">
      <c r="A7028" s="2" t="s">
        <v>13901</v>
      </c>
      <c r="B7028" s="2" t="s">
        <v>13902</v>
      </c>
      <c r="C7028" s="2" t="s">
        <v>74</v>
      </c>
      <c r="D7028" s="2" t="s">
        <v>18</v>
      </c>
      <c r="E7028" s="5">
        <v>-28868</v>
      </c>
      <c r="F7028" s="3" t="s">
        <v>4191</v>
      </c>
      <c r="G7028" s="3" t="s">
        <v>43</v>
      </c>
      <c r="H7028" s="2" t="s">
        <v>21</v>
      </c>
      <c r="I7028" s="2" t="s">
        <v>13903</v>
      </c>
      <c r="J7028" s="3" t="str">
        <f>HYPERLINK("https://www.boe.es/gazeta/dias/1820/12/16/pdfs/GGB-1820-173.pdf#page=2","Abrir facsímil")</f>
        <v>Abrir facsímil</v>
      </c>
      <c r="K7028" s="3" t="s">
        <v>23</v>
      </c>
    </row>
    <row r="7029" spans="1:11" ht="42" customHeight="1">
      <c r="A7029" s="2" t="s">
        <v>13904</v>
      </c>
      <c r="B7029" s="2" t="s">
        <v>13905</v>
      </c>
      <c r="C7029" s="2" t="s">
        <v>107</v>
      </c>
      <c r="D7029" s="2" t="s">
        <v>18</v>
      </c>
      <c r="E7029" s="5">
        <v>-29029</v>
      </c>
      <c r="F7029" s="3" t="s">
        <v>282</v>
      </c>
      <c r="G7029" s="3" t="s">
        <v>20</v>
      </c>
      <c r="H7029" s="2" t="s">
        <v>21</v>
      </c>
      <c r="I7029" s="2" t="s">
        <v>13906</v>
      </c>
      <c r="J7029" s="3" t="str">
        <f>HYPERLINK("https://www.boe.es/gazeta/dias/1820/07/08/pdfs/GGB-1820-9.pdf#page=4","Abrir facsímil")</f>
        <v>Abrir facsímil</v>
      </c>
      <c r="K7029" s="3" t="s">
        <v>23</v>
      </c>
    </row>
    <row r="7030" spans="1:11" ht="42" customHeight="1">
      <c r="A7030" s="2" t="s">
        <v>13907</v>
      </c>
      <c r="B7030" s="2" t="s">
        <v>13908</v>
      </c>
      <c r="C7030" s="2" t="s">
        <v>47</v>
      </c>
      <c r="D7030" s="2" t="s">
        <v>18</v>
      </c>
      <c r="E7030" s="5">
        <v>-29171</v>
      </c>
      <c r="F7030" s="3" t="s">
        <v>764</v>
      </c>
      <c r="G7030" s="3" t="s">
        <v>3896</v>
      </c>
      <c r="H7030" s="2" t="s">
        <v>21</v>
      </c>
      <c r="I7030" s="2" t="s">
        <v>13909</v>
      </c>
      <c r="J7030" s="3" t="str">
        <f>HYPERLINK("https://www.boe.es/gazeta/dias/1820/02/17/pdfs/GMD-1820-21.pdf#page=6","Abrir facsímil")</f>
        <v>Abrir facsímil</v>
      </c>
      <c r="K7030" s="3" t="s">
        <v>23</v>
      </c>
    </row>
    <row r="7031" spans="1:11" ht="42" customHeight="1">
      <c r="A7031" s="2" t="s">
        <v>13910</v>
      </c>
      <c r="B7031" s="2" t="s">
        <v>13911</v>
      </c>
      <c r="C7031" s="2" t="s">
        <v>17</v>
      </c>
      <c r="D7031" s="2" t="s">
        <v>18</v>
      </c>
      <c r="E7031" s="5">
        <v>-29215</v>
      </c>
      <c r="F7031" s="3" t="s">
        <v>827</v>
      </c>
      <c r="G7031" s="3" t="s">
        <v>461</v>
      </c>
      <c r="H7031" s="2" t="s">
        <v>21</v>
      </c>
      <c r="I7031" s="2" t="s">
        <v>13912</v>
      </c>
      <c r="J7031" s="3" t="str">
        <f>HYPERLINK("https://www.boe.es/gazeta/dias/1820/01/04/pdfs/GMD-1820-2.pdf#page=6","Abrir facsímil")</f>
        <v>Abrir facsímil</v>
      </c>
      <c r="K7031" s="3" t="s">
        <v>23</v>
      </c>
    </row>
    <row r="7032" spans="1:11" ht="42" customHeight="1">
      <c r="A7032" s="2" t="s">
        <v>13913</v>
      </c>
      <c r="B7032" s="2" t="s">
        <v>13914</v>
      </c>
      <c r="C7032" s="2" t="s">
        <v>17</v>
      </c>
      <c r="D7032" s="2" t="s">
        <v>18</v>
      </c>
      <c r="E7032" s="5">
        <v>-28858</v>
      </c>
      <c r="F7032" s="3" t="s">
        <v>117</v>
      </c>
      <c r="G7032" s="3" t="s">
        <v>20</v>
      </c>
      <c r="H7032" s="2" t="s">
        <v>21</v>
      </c>
      <c r="I7032" s="2" t="s">
        <v>13915</v>
      </c>
      <c r="J7032" s="3" t="str">
        <f>HYPERLINK("https://www.boe.es/gazeta/dias/1820/12/26/pdfs/GGB-1820-183.pdf#page=4","Abrir facsímil")</f>
        <v>Abrir facsímil</v>
      </c>
      <c r="K7032" s="3" t="s">
        <v>23</v>
      </c>
    </row>
    <row r="7033" spans="1:11" ht="42" customHeight="1">
      <c r="A7033" s="2" t="s">
        <v>13916</v>
      </c>
      <c r="B7033" s="2" t="s">
        <v>13916</v>
      </c>
      <c r="C7033" s="2" t="s">
        <v>26</v>
      </c>
      <c r="D7033" s="2" t="s">
        <v>27</v>
      </c>
      <c r="E7033" s="5">
        <v>-29183</v>
      </c>
      <c r="F7033" s="3" t="s">
        <v>476</v>
      </c>
      <c r="G7033" s="3" t="s">
        <v>4240</v>
      </c>
      <c r="H7033" s="2" t="s">
        <v>21</v>
      </c>
      <c r="I7033" s="2" t="s">
        <v>13917</v>
      </c>
      <c r="J7033" s="3" t="str">
        <f>HYPERLINK("https://www.boe.es/gazeta/dias/1820/02/05/pdfs/GMD-1820-16.pdf#page=6","Abrir facsímil")</f>
        <v>Abrir facsímil</v>
      </c>
      <c r="K7033" s="3" t="s">
        <v>23</v>
      </c>
    </row>
    <row r="7034" spans="1:11" ht="42" customHeight="1">
      <c r="A7034" s="2" t="s">
        <v>13916</v>
      </c>
      <c r="B7034" s="2" t="s">
        <v>13916</v>
      </c>
      <c r="C7034" s="2" t="s">
        <v>26</v>
      </c>
      <c r="D7034" s="2" t="s">
        <v>27</v>
      </c>
      <c r="E7034" s="5">
        <v>-29183</v>
      </c>
      <c r="F7034" s="3" t="s">
        <v>476</v>
      </c>
      <c r="G7034" s="3" t="s">
        <v>256</v>
      </c>
      <c r="H7034" s="2" t="s">
        <v>21</v>
      </c>
      <c r="I7034" s="2" t="s">
        <v>13918</v>
      </c>
      <c r="J7034" s="3" t="str">
        <f>HYPERLINK("https://www.boe.es/gazeta/dias/1820/02/05/pdfs/GMD-1820-16.pdf#page=5","Abrir facsímil")</f>
        <v>Abrir facsímil</v>
      </c>
      <c r="K7034" s="3" t="s">
        <v>23</v>
      </c>
    </row>
    <row r="7035" spans="1:11" ht="42" customHeight="1">
      <c r="A7035" s="2" t="s">
        <v>13919</v>
      </c>
      <c r="B7035" s="2" t="s">
        <v>13920</v>
      </c>
      <c r="C7035" s="2" t="s">
        <v>26</v>
      </c>
      <c r="D7035" s="2" t="s">
        <v>27</v>
      </c>
      <c r="E7035" s="5">
        <v>-29183</v>
      </c>
      <c r="F7035" s="3" t="s">
        <v>476</v>
      </c>
      <c r="G7035" s="3" t="s">
        <v>256</v>
      </c>
      <c r="H7035" s="2" t="s">
        <v>21</v>
      </c>
      <c r="I7035" s="2" t="s">
        <v>13921</v>
      </c>
      <c r="J7035" s="3" t="str">
        <f>HYPERLINK("https://www.boe.es/gazeta/dias/1820/02/05/pdfs/GMD-1820-16.pdf#page=5","Abrir facsímil")</f>
        <v>Abrir facsímil</v>
      </c>
      <c r="K7035" s="3" t="s">
        <v>23</v>
      </c>
    </row>
    <row r="7036" spans="1:11" ht="42" customHeight="1">
      <c r="A7036" s="2" t="s">
        <v>13919</v>
      </c>
      <c r="B7036" s="2" t="s">
        <v>13920</v>
      </c>
      <c r="C7036" s="2" t="s">
        <v>26</v>
      </c>
      <c r="D7036" s="2" t="s">
        <v>27</v>
      </c>
      <c r="E7036" s="5">
        <v>-29183</v>
      </c>
      <c r="F7036" s="3" t="s">
        <v>476</v>
      </c>
      <c r="G7036" s="3" t="s">
        <v>201</v>
      </c>
      <c r="H7036" s="2" t="s">
        <v>21</v>
      </c>
      <c r="I7036" s="2" t="s">
        <v>13922</v>
      </c>
      <c r="J7036" s="3" t="str">
        <f>HYPERLINK("https://www.boe.es/gazeta/dias/1820/02/05/pdfs/GMD-1820-16.pdf#page=7","Abrir facsímil")</f>
        <v>Abrir facsímil</v>
      </c>
      <c r="K7036" s="3" t="s">
        <v>23</v>
      </c>
    </row>
    <row r="7037" spans="1:11" ht="42" customHeight="1">
      <c r="A7037" s="2" t="s">
        <v>13919</v>
      </c>
      <c r="B7037" s="2" t="s">
        <v>13920</v>
      </c>
      <c r="C7037" s="2" t="s">
        <v>26</v>
      </c>
      <c r="D7037" s="2" t="s">
        <v>27</v>
      </c>
      <c r="E7037" s="5">
        <v>-29178</v>
      </c>
      <c r="F7037" s="3" t="s">
        <v>782</v>
      </c>
      <c r="G7037" s="3" t="s">
        <v>76</v>
      </c>
      <c r="H7037" s="2" t="s">
        <v>21</v>
      </c>
      <c r="I7037" s="2" t="s">
        <v>13923</v>
      </c>
      <c r="J7037" s="3" t="str">
        <f>HYPERLINK("https://www.boe.es/gazeta/dias/1820/02/10/pdfs/GMD-1820-18.pdf#page=6","Abrir facsímil")</f>
        <v>Abrir facsímil</v>
      </c>
      <c r="K7037" s="3" t="s">
        <v>23</v>
      </c>
    </row>
    <row r="7038" spans="1:11" ht="42" customHeight="1">
      <c r="A7038" s="2" t="s">
        <v>13919</v>
      </c>
      <c r="B7038" s="2" t="s">
        <v>13920</v>
      </c>
      <c r="C7038" s="2" t="s">
        <v>26</v>
      </c>
      <c r="D7038" s="2" t="s">
        <v>27</v>
      </c>
      <c r="E7038" s="5">
        <v>-29176</v>
      </c>
      <c r="F7038" s="3" t="s">
        <v>797</v>
      </c>
      <c r="G7038" s="3" t="s">
        <v>38</v>
      </c>
      <c r="H7038" s="2" t="s">
        <v>21</v>
      </c>
      <c r="I7038" s="2" t="s">
        <v>13924</v>
      </c>
      <c r="J7038" s="3" t="str">
        <f>HYPERLINK("https://www.boe.es/gazeta/dias/1820/02/12/pdfs/GMD-1820-19.pdf#page=6","Abrir facsímil")</f>
        <v>Abrir facsímil</v>
      </c>
      <c r="K7038" s="3" t="s">
        <v>23</v>
      </c>
    </row>
    <row r="7039" spans="1:11" ht="42" customHeight="1">
      <c r="A7039" s="2" t="s">
        <v>13919</v>
      </c>
      <c r="B7039" s="2" t="s">
        <v>13920</v>
      </c>
      <c r="C7039" s="2" t="s">
        <v>26</v>
      </c>
      <c r="D7039" s="2" t="s">
        <v>27</v>
      </c>
      <c r="E7039" s="5">
        <v>-29171</v>
      </c>
      <c r="F7039" s="3" t="s">
        <v>764</v>
      </c>
      <c r="G7039" s="3" t="s">
        <v>62</v>
      </c>
      <c r="H7039" s="2" t="s">
        <v>21</v>
      </c>
      <c r="I7039" s="2" t="s">
        <v>13925</v>
      </c>
      <c r="J7039" s="3" t="str">
        <f>HYPERLINK("https://www.boe.es/gazeta/dias/1820/02/17/pdfs/GMD-1820-21.pdf#page=3","Abrir facsímil")</f>
        <v>Abrir facsímil</v>
      </c>
      <c r="K7039" s="3" t="s">
        <v>23</v>
      </c>
    </row>
    <row r="7040" spans="1:11" ht="42" customHeight="1">
      <c r="A7040" s="2" t="s">
        <v>13919</v>
      </c>
      <c r="B7040" s="2" t="s">
        <v>13920</v>
      </c>
      <c r="C7040" s="2" t="s">
        <v>26</v>
      </c>
      <c r="D7040" s="2" t="s">
        <v>27</v>
      </c>
      <c r="E7040" s="5">
        <v>-29164</v>
      </c>
      <c r="F7040" s="3" t="s">
        <v>2516</v>
      </c>
      <c r="G7040" s="3" t="s">
        <v>20</v>
      </c>
      <c r="H7040" s="2" t="s">
        <v>21</v>
      </c>
      <c r="I7040" s="2" t="s">
        <v>13926</v>
      </c>
      <c r="J7040" s="3" t="str">
        <f>HYPERLINK("https://www.boe.es/gazeta/dias/1820/02/24/pdfs/GMD-1820-24.pdf#page=4","Abrir facsímil")</f>
        <v>Abrir facsímil</v>
      </c>
      <c r="K7040" s="3" t="s">
        <v>23</v>
      </c>
    </row>
    <row r="7041" spans="1:11" ht="42" customHeight="1">
      <c r="A7041" s="2" t="s">
        <v>13927</v>
      </c>
      <c r="B7041" s="2" t="s">
        <v>13928</v>
      </c>
      <c r="C7041" s="2" t="s">
        <v>26</v>
      </c>
      <c r="D7041" s="2" t="s">
        <v>27</v>
      </c>
      <c r="E7041" s="5">
        <v>-29178</v>
      </c>
      <c r="F7041" s="3" t="s">
        <v>782</v>
      </c>
      <c r="G7041" s="3" t="s">
        <v>76</v>
      </c>
      <c r="H7041" s="2" t="s">
        <v>21</v>
      </c>
      <c r="I7041" s="2" t="s">
        <v>13929</v>
      </c>
      <c r="J7041" s="3" t="str">
        <f>HYPERLINK("https://www.boe.es/gazeta/dias/1820/02/10/pdfs/GMD-1820-18.pdf#page=6","Abrir facsímil")</f>
        <v>Abrir facsímil</v>
      </c>
      <c r="K7041" s="3" t="s">
        <v>23</v>
      </c>
    </row>
    <row r="7042" spans="1:11" ht="42" customHeight="1">
      <c r="A7042" s="2" t="s">
        <v>13930</v>
      </c>
      <c r="B7042" s="2" t="s">
        <v>13931</v>
      </c>
      <c r="C7042" s="2" t="s">
        <v>35</v>
      </c>
      <c r="D7042" s="2" t="s">
        <v>36</v>
      </c>
      <c r="E7042" s="5">
        <v>-29040</v>
      </c>
      <c r="F7042" s="3" t="s">
        <v>1125</v>
      </c>
      <c r="G7042" s="3" t="s">
        <v>196</v>
      </c>
      <c r="H7042" s="2" t="s">
        <v>21</v>
      </c>
      <c r="I7042" s="2" t="s">
        <v>13932</v>
      </c>
      <c r="J7042" s="3" t="str">
        <f>HYPERLINK("https://www.boe.es/gazeta/dias/1820/06/27/pdfs/GMD-1820-99.pdf#page=11","Abrir facsímil")</f>
        <v>Abrir facsímil</v>
      </c>
      <c r="K7042" s="3" t="s">
        <v>23</v>
      </c>
    </row>
    <row r="7043" spans="1:11" ht="42" customHeight="1">
      <c r="A7043" s="2" t="s">
        <v>13933</v>
      </c>
      <c r="B7043" s="2" t="s">
        <v>13934</v>
      </c>
      <c r="C7043" s="2" t="s">
        <v>35</v>
      </c>
      <c r="D7043" s="2" t="s">
        <v>36</v>
      </c>
      <c r="E7043" s="5">
        <v>-28946</v>
      </c>
      <c r="F7043" s="3" t="s">
        <v>1055</v>
      </c>
      <c r="G7043" s="3" t="s">
        <v>4558</v>
      </c>
      <c r="H7043" s="2" t="s">
        <v>21</v>
      </c>
      <c r="I7043" s="2" t="s">
        <v>13935</v>
      </c>
      <c r="J7043" s="3" t="str">
        <f>HYPERLINK("https://www.boe.es/gazeta/dias/1820/09/29/pdfs/GGB-1820-93.pdf#page=3","Abrir facsímil")</f>
        <v>Abrir facsímil</v>
      </c>
      <c r="K7043" s="3" t="s">
        <v>23</v>
      </c>
    </row>
    <row r="7044" spans="1:11" ht="42" customHeight="1">
      <c r="A7044" s="2" t="s">
        <v>13936</v>
      </c>
      <c r="B7044" s="2" t="s">
        <v>13937</v>
      </c>
      <c r="C7044" s="2" t="s">
        <v>17</v>
      </c>
      <c r="D7044" s="2" t="s">
        <v>310</v>
      </c>
      <c r="E7044" s="5">
        <v>-29138</v>
      </c>
      <c r="F7044" s="3" t="s">
        <v>2523</v>
      </c>
      <c r="G7044" s="3" t="s">
        <v>13938</v>
      </c>
      <c r="H7044" s="2" t="s">
        <v>21</v>
      </c>
      <c r="I7044" s="2" t="s">
        <v>13939</v>
      </c>
      <c r="J7044" s="3" t="str">
        <f>HYPERLINK("https://www.boe.es/gazeta/dias/1820/03/21/pdfs/GMD-1820-48E.pdf#page=14","Abrir facsímil")</f>
        <v>Abrir facsímil</v>
      </c>
      <c r="K7044" s="3" t="s">
        <v>23</v>
      </c>
    </row>
    <row r="7045" spans="1:11" ht="42" customHeight="1">
      <c r="A7045" s="2" t="s">
        <v>13940</v>
      </c>
      <c r="B7045" s="2" t="s">
        <v>13940</v>
      </c>
      <c r="C7045" s="2" t="s">
        <v>26</v>
      </c>
      <c r="D7045" s="2" t="s">
        <v>27</v>
      </c>
      <c r="E7045" s="5">
        <v>-29131</v>
      </c>
      <c r="F7045" s="3" t="s">
        <v>1193</v>
      </c>
      <c r="G7045" s="3" t="s">
        <v>256</v>
      </c>
      <c r="H7045" s="2" t="s">
        <v>21</v>
      </c>
      <c r="I7045" s="2" t="s">
        <v>13941</v>
      </c>
      <c r="J7045" s="3" t="str">
        <f>HYPERLINK("https://www.boe.es/gazeta/dias/1820/03/28/pdfs/GMD-1820-56.pdf#page=5","Abrir facsímil")</f>
        <v>Abrir facsímil</v>
      </c>
      <c r="K7045" s="3" t="s">
        <v>23</v>
      </c>
    </row>
    <row r="7046" spans="1:11" ht="42" customHeight="1">
      <c r="A7046" s="2" t="s">
        <v>13942</v>
      </c>
      <c r="B7046" s="2" t="s">
        <v>13943</v>
      </c>
      <c r="C7046" s="2" t="s">
        <v>26</v>
      </c>
      <c r="D7046" s="2" t="s">
        <v>27</v>
      </c>
      <c r="E7046" s="5">
        <v>-28988</v>
      </c>
      <c r="F7046" s="3" t="s">
        <v>618</v>
      </c>
      <c r="G7046" s="3" t="s">
        <v>677</v>
      </c>
      <c r="H7046" s="2" t="s">
        <v>21</v>
      </c>
      <c r="I7046" s="2" t="s">
        <v>13944</v>
      </c>
      <c r="J7046" s="3" t="str">
        <f>HYPERLINK("https://www.boe.es/gazeta/dias/1820/08/18/pdfs/GGB-1820-51.pdf#page=2","Abrir facsímil")</f>
        <v>Abrir facsímil</v>
      </c>
      <c r="K7046" s="3" t="s">
        <v>23</v>
      </c>
    </row>
    <row r="7047" spans="1:11" ht="42" customHeight="1">
      <c r="A7047" s="2" t="s">
        <v>13945</v>
      </c>
      <c r="B7047" s="2" t="s">
        <v>13946</v>
      </c>
      <c r="C7047" s="2" t="s">
        <v>111</v>
      </c>
      <c r="D7047" s="2" t="s">
        <v>18</v>
      </c>
      <c r="E7047" s="5">
        <v>-29213</v>
      </c>
      <c r="F7047" s="3" t="s">
        <v>195</v>
      </c>
      <c r="G7047" s="3" t="s">
        <v>196</v>
      </c>
      <c r="H7047" s="2" t="s">
        <v>21</v>
      </c>
      <c r="I7047" s="2" t="s">
        <v>13947</v>
      </c>
      <c r="J7047" s="3" t="str">
        <f>HYPERLINK("https://www.boe.es/gazeta/dias/1820/01/06/pdfs/GMD-1820-3.pdf#page=11","Abrir facsímil")</f>
        <v>Abrir facsímil</v>
      </c>
      <c r="K7047" s="3" t="s">
        <v>23</v>
      </c>
    </row>
    <row r="7048" spans="1:11" ht="42" customHeight="1">
      <c r="A7048" s="2" t="s">
        <v>13948</v>
      </c>
      <c r="B7048" s="2" t="s">
        <v>13949</v>
      </c>
      <c r="C7048" s="2" t="s">
        <v>47</v>
      </c>
      <c r="D7048" s="2" t="s">
        <v>18</v>
      </c>
      <c r="E7048" s="5">
        <v>-29115</v>
      </c>
      <c r="F7048" s="3" t="s">
        <v>289</v>
      </c>
      <c r="G7048" s="3" t="s">
        <v>20</v>
      </c>
      <c r="H7048" s="2" t="s">
        <v>30</v>
      </c>
      <c r="I7048" s="2" t="s">
        <v>13950</v>
      </c>
      <c r="J7048" s="3" t="str">
        <f>HYPERLINK("https://www.boe.es/gazeta/dias/1820/04/13/pdfs/GMD-1820-65.pdf#page=4","Abrir facsímil")</f>
        <v>Abrir facsímil</v>
      </c>
      <c r="K7048" s="3" t="s">
        <v>32</v>
      </c>
    </row>
    <row r="7049" spans="1:11" ht="42" customHeight="1">
      <c r="A7049" s="2" t="s">
        <v>13951</v>
      </c>
      <c r="B7049" s="2" t="s">
        <v>13952</v>
      </c>
      <c r="C7049" s="2" t="s">
        <v>26</v>
      </c>
      <c r="D7049" s="2" t="s">
        <v>27</v>
      </c>
      <c r="E7049" s="5">
        <v>-29045</v>
      </c>
      <c r="F7049" s="3" t="s">
        <v>155</v>
      </c>
      <c r="G7049" s="3" t="s">
        <v>6409</v>
      </c>
      <c r="H7049" s="2" t="s">
        <v>21</v>
      </c>
      <c r="I7049" s="2" t="s">
        <v>13953</v>
      </c>
      <c r="J7049" s="3" t="str">
        <f>HYPERLINK("https://www.boe.es/gazeta/dias/1820/06/22/pdfs/GMD-1820-97.pdf#page=5","Abrir facsímil")</f>
        <v>Abrir facsímil</v>
      </c>
      <c r="K7049" s="3" t="s">
        <v>23</v>
      </c>
    </row>
    <row r="7050" spans="1:11" ht="42" customHeight="1">
      <c r="A7050" s="2" t="s">
        <v>13954</v>
      </c>
      <c r="B7050" s="2" t="s">
        <v>13955</v>
      </c>
      <c r="C7050" s="2" t="s">
        <v>26</v>
      </c>
      <c r="D7050" s="2" t="s">
        <v>27</v>
      </c>
      <c r="E7050" s="5">
        <v>-29218</v>
      </c>
      <c r="F7050" s="3" t="s">
        <v>834</v>
      </c>
      <c r="G7050" s="3" t="s">
        <v>20</v>
      </c>
      <c r="H7050" s="2" t="s">
        <v>21</v>
      </c>
      <c r="I7050" s="2" t="s">
        <v>13956</v>
      </c>
      <c r="J7050" s="3" t="str">
        <f>HYPERLINK("https://www.boe.es/gazeta/dias/1820/01/01/pdfs/GMD-1820-1.pdf#page=4","Abrir facsímil")</f>
        <v>Abrir facsímil</v>
      </c>
      <c r="K7050" s="3" t="s">
        <v>23</v>
      </c>
    </row>
    <row r="7051" spans="1:11" ht="42" customHeight="1">
      <c r="A7051" s="2" t="s">
        <v>13957</v>
      </c>
      <c r="B7051" s="2" t="s">
        <v>13958</v>
      </c>
      <c r="C7051" s="2" t="s">
        <v>26</v>
      </c>
      <c r="D7051" s="2" t="s">
        <v>27</v>
      </c>
      <c r="E7051" s="5">
        <v>-29218</v>
      </c>
      <c r="F7051" s="3" t="s">
        <v>834</v>
      </c>
      <c r="G7051" s="3" t="s">
        <v>20</v>
      </c>
      <c r="H7051" s="2" t="s">
        <v>21</v>
      </c>
      <c r="I7051" s="2" t="s">
        <v>13959</v>
      </c>
      <c r="J7051" s="3" t="str">
        <f>HYPERLINK("https://www.boe.es/gazeta/dias/1820/01/01/pdfs/GMD-1820-1.pdf#page=4","Abrir facsímil")</f>
        <v>Abrir facsímil</v>
      </c>
      <c r="K7051" s="3" t="s">
        <v>23</v>
      </c>
    </row>
    <row r="7052" spans="1:11" ht="42" customHeight="1">
      <c r="A7052" s="2" t="s">
        <v>13960</v>
      </c>
      <c r="B7052" s="2" t="s">
        <v>13961</v>
      </c>
      <c r="C7052" s="2" t="s">
        <v>26</v>
      </c>
      <c r="D7052" s="2" t="s">
        <v>27</v>
      </c>
      <c r="E7052" s="5">
        <v>-29218</v>
      </c>
      <c r="F7052" s="3" t="s">
        <v>834</v>
      </c>
      <c r="G7052" s="3" t="s">
        <v>20</v>
      </c>
      <c r="H7052" s="2" t="s">
        <v>21</v>
      </c>
      <c r="I7052" s="2" t="s">
        <v>13962</v>
      </c>
      <c r="J7052" s="3" t="str">
        <f>HYPERLINK("https://www.boe.es/gazeta/dias/1820/01/01/pdfs/GMD-1820-1.pdf#page=4","Abrir facsímil")</f>
        <v>Abrir facsímil</v>
      </c>
      <c r="K7052" s="3" t="s">
        <v>23</v>
      </c>
    </row>
    <row r="7053" spans="1:11" ht="42" customHeight="1">
      <c r="A7053" s="2" t="s">
        <v>13963</v>
      </c>
      <c r="B7053" s="2" t="s">
        <v>13964</v>
      </c>
      <c r="C7053" s="2" t="s">
        <v>26</v>
      </c>
      <c r="D7053" s="2" t="s">
        <v>27</v>
      </c>
      <c r="E7053" s="5">
        <v>-28909</v>
      </c>
      <c r="F7053" s="3" t="s">
        <v>278</v>
      </c>
      <c r="G7053" s="3" t="s">
        <v>62</v>
      </c>
      <c r="H7053" s="2" t="s">
        <v>21</v>
      </c>
      <c r="I7053" s="2" t="s">
        <v>13965</v>
      </c>
      <c r="J7053" s="3" t="str">
        <f>HYPERLINK("https://www.boe.es/gazeta/dias/1820/11/05/pdfs/GGB-1820-130.pdf#page=3","Abrir facsímil")</f>
        <v>Abrir facsímil</v>
      </c>
      <c r="K7053" s="3" t="s">
        <v>23</v>
      </c>
    </row>
    <row r="7054" spans="1:11" ht="42" customHeight="1">
      <c r="A7054" s="2" t="s">
        <v>13966</v>
      </c>
      <c r="B7054" s="2" t="s">
        <v>13966</v>
      </c>
      <c r="C7054" s="2" t="s">
        <v>35</v>
      </c>
      <c r="D7054" s="2" t="s">
        <v>36</v>
      </c>
      <c r="E7054" s="5">
        <v>-28856</v>
      </c>
      <c r="F7054" s="3" t="s">
        <v>1217</v>
      </c>
      <c r="G7054" s="3" t="s">
        <v>43</v>
      </c>
      <c r="H7054" s="2" t="s">
        <v>21</v>
      </c>
      <c r="I7054" s="2" t="s">
        <v>13967</v>
      </c>
      <c r="J7054" s="3" t="str">
        <f>HYPERLINK("https://www.boe.es/gazeta/dias/1820/12/28/pdfs/GGB-1820-185.pdf#page=2","Abrir facsímil")</f>
        <v>Abrir facsímil</v>
      </c>
      <c r="K7054" s="3" t="s">
        <v>23</v>
      </c>
    </row>
    <row r="7055" spans="1:11" ht="42" customHeight="1">
      <c r="A7055" s="2" t="s">
        <v>13968</v>
      </c>
      <c r="B7055" s="2" t="s">
        <v>13968</v>
      </c>
      <c r="C7055" s="2" t="s">
        <v>74</v>
      </c>
      <c r="D7055" s="2" t="s">
        <v>18</v>
      </c>
      <c r="E7055" s="5">
        <v>-29006</v>
      </c>
      <c r="F7055" s="3" t="s">
        <v>609</v>
      </c>
      <c r="G7055" s="3" t="s">
        <v>43</v>
      </c>
      <c r="H7055" s="2" t="s">
        <v>21</v>
      </c>
      <c r="I7055" s="2" t="s">
        <v>13969</v>
      </c>
      <c r="J7055" s="3" t="str">
        <f>HYPERLINK("https://www.boe.es/gazeta/dias/1820/07/31/pdfs/GGB-1820-33.pdf#page=2","Abrir facsímil")</f>
        <v>Abrir facsímil</v>
      </c>
      <c r="K7055" s="3" t="s">
        <v>23</v>
      </c>
    </row>
    <row r="7056" spans="1:11" ht="42" customHeight="1">
      <c r="A7056" s="2" t="s">
        <v>13968</v>
      </c>
      <c r="B7056" s="2" t="s">
        <v>13968</v>
      </c>
      <c r="C7056" s="2" t="s">
        <v>17</v>
      </c>
      <c r="D7056" s="2" t="s">
        <v>18</v>
      </c>
      <c r="E7056" s="5">
        <v>-28997</v>
      </c>
      <c r="F7056" s="3" t="s">
        <v>1471</v>
      </c>
      <c r="G7056" s="3" t="s">
        <v>43</v>
      </c>
      <c r="H7056" s="2" t="s">
        <v>21</v>
      </c>
      <c r="I7056" s="2" t="s">
        <v>13970</v>
      </c>
      <c r="J7056" s="3" t="str">
        <f>HYPERLINK("https://www.boe.es/gazeta/dias/1820/08/09/pdfs/GGB-1820-42.pdf#page=2","Abrir facsímil")</f>
        <v>Abrir facsímil</v>
      </c>
      <c r="K7056" s="3" t="s">
        <v>23</v>
      </c>
    </row>
    <row r="7057" spans="1:11" ht="42" customHeight="1">
      <c r="A7057" s="2" t="s">
        <v>13968</v>
      </c>
      <c r="B7057" s="2" t="s">
        <v>13968</v>
      </c>
      <c r="C7057" s="2" t="s">
        <v>26</v>
      </c>
      <c r="D7057" s="2" t="s">
        <v>27</v>
      </c>
      <c r="E7057" s="5">
        <v>-28960</v>
      </c>
      <c r="F7057" s="3" t="s">
        <v>704</v>
      </c>
      <c r="G7057" s="3" t="s">
        <v>62</v>
      </c>
      <c r="H7057" s="2" t="s">
        <v>21</v>
      </c>
      <c r="I7057" s="2" t="s">
        <v>13971</v>
      </c>
      <c r="J7057" s="3" t="str">
        <f>HYPERLINK("https://www.boe.es/gazeta/dias/1820/09/15/pdfs/GGB-1820-79.pdf#page=3","Abrir facsímil")</f>
        <v>Abrir facsímil</v>
      </c>
      <c r="K7057" s="3" t="s">
        <v>23</v>
      </c>
    </row>
    <row r="7058" spans="1:11" ht="42" customHeight="1">
      <c r="A7058" s="2" t="s">
        <v>13968</v>
      </c>
      <c r="B7058" s="2" t="s">
        <v>13968</v>
      </c>
      <c r="C7058" s="2" t="s">
        <v>26</v>
      </c>
      <c r="D7058" s="2" t="s">
        <v>27</v>
      </c>
      <c r="E7058" s="5">
        <v>-28951</v>
      </c>
      <c r="F7058" s="3" t="s">
        <v>622</v>
      </c>
      <c r="G7058" s="3" t="s">
        <v>1370</v>
      </c>
      <c r="H7058" s="2" t="s">
        <v>21</v>
      </c>
      <c r="I7058" s="2" t="s">
        <v>13972</v>
      </c>
      <c r="J7058" s="3" t="str">
        <f>HYPERLINK("https://www.boe.es/gazeta/dias/1820/09/24/pdfs/GGB-1820-88.pdf#page=2","Abrir facsímil")</f>
        <v>Abrir facsímil</v>
      </c>
      <c r="K7058" s="3" t="s">
        <v>23</v>
      </c>
    </row>
    <row r="7059" spans="1:11" ht="42" customHeight="1">
      <c r="A7059" s="2" t="s">
        <v>13968</v>
      </c>
      <c r="B7059" s="2" t="s">
        <v>13968</v>
      </c>
      <c r="C7059" s="2" t="s">
        <v>74</v>
      </c>
      <c r="D7059" s="2" t="s">
        <v>18</v>
      </c>
      <c r="E7059" s="5">
        <v>-28950</v>
      </c>
      <c r="F7059" s="3" t="s">
        <v>1052</v>
      </c>
      <c r="G7059" s="3" t="s">
        <v>1372</v>
      </c>
      <c r="H7059" s="2" t="s">
        <v>21</v>
      </c>
      <c r="I7059" s="2" t="s">
        <v>13973</v>
      </c>
      <c r="J7059" s="3" t="str">
        <f>HYPERLINK("https://www.boe.es/gazeta/dias/1820/09/25/pdfs/GGB-1820-89.pdf#page=2","Abrir facsímil")</f>
        <v>Abrir facsímil</v>
      </c>
      <c r="K7059" s="3" t="s">
        <v>23</v>
      </c>
    </row>
    <row r="7060" spans="1:11" ht="42" customHeight="1">
      <c r="A7060" s="2" t="s">
        <v>13974</v>
      </c>
      <c r="B7060" s="2" t="s">
        <v>13975</v>
      </c>
      <c r="C7060" s="2" t="s">
        <v>17</v>
      </c>
      <c r="D7060" s="2" t="s">
        <v>18</v>
      </c>
      <c r="E7060" s="5">
        <v>-28866</v>
      </c>
      <c r="F7060" s="3" t="s">
        <v>507</v>
      </c>
      <c r="G7060" s="3" t="s">
        <v>62</v>
      </c>
      <c r="H7060" s="2" t="s">
        <v>21</v>
      </c>
      <c r="I7060" s="2" t="s">
        <v>13976</v>
      </c>
      <c r="J7060" s="3" t="str">
        <f>HYPERLINK("https://www.boe.es/gazeta/dias/1820/12/18/pdfs/GGB-1820-175.pdf#page=3","Abrir facsímil")</f>
        <v>Abrir facsímil</v>
      </c>
      <c r="K7060" s="3" t="s">
        <v>23</v>
      </c>
    </row>
    <row r="7061" spans="1:11" ht="42" customHeight="1">
      <c r="A7061" s="2" t="s">
        <v>13977</v>
      </c>
      <c r="B7061" s="2" t="s">
        <v>13977</v>
      </c>
      <c r="C7061" s="2" t="s">
        <v>17</v>
      </c>
      <c r="D7061" s="2" t="s">
        <v>18</v>
      </c>
      <c r="E7061" s="5">
        <v>-28892</v>
      </c>
      <c r="F7061" s="3" t="s">
        <v>3036</v>
      </c>
      <c r="G7061" s="3" t="s">
        <v>128</v>
      </c>
      <c r="H7061" s="2" t="s">
        <v>21</v>
      </c>
      <c r="I7061" s="2" t="s">
        <v>13978</v>
      </c>
      <c r="J7061" s="3" t="str">
        <f>HYPERLINK("https://www.boe.es/gazeta/dias/1820/11/22/pdfs/GGB-1820-149.pdf#page=1","Abrir facsímil")</f>
        <v>Abrir facsímil</v>
      </c>
      <c r="K7061" s="3" t="s">
        <v>23</v>
      </c>
    </row>
    <row r="7062" spans="1:11" ht="42" customHeight="1">
      <c r="A7062" s="2" t="s">
        <v>13979</v>
      </c>
      <c r="B7062" s="2" t="s">
        <v>13980</v>
      </c>
      <c r="C7062" s="2" t="s">
        <v>47</v>
      </c>
      <c r="D7062" s="2" t="s">
        <v>18</v>
      </c>
      <c r="E7062" s="5">
        <v>-29171</v>
      </c>
      <c r="F7062" s="3" t="s">
        <v>764</v>
      </c>
      <c r="G7062" s="3" t="s">
        <v>3896</v>
      </c>
      <c r="H7062" s="2" t="s">
        <v>21</v>
      </c>
      <c r="I7062" s="2" t="s">
        <v>13981</v>
      </c>
      <c r="J7062" s="3" t="str">
        <f>HYPERLINK("https://www.boe.es/gazeta/dias/1820/02/17/pdfs/GMD-1820-21.pdf#page=6","Abrir facsímil")</f>
        <v>Abrir facsímil</v>
      </c>
      <c r="K7062" s="3" t="s">
        <v>23</v>
      </c>
    </row>
    <row r="7063" spans="1:11" ht="42" customHeight="1">
      <c r="A7063" s="2" t="s">
        <v>13982</v>
      </c>
      <c r="B7063" s="2" t="s">
        <v>13982</v>
      </c>
      <c r="C7063" s="2" t="s">
        <v>26</v>
      </c>
      <c r="D7063" s="2" t="s">
        <v>27</v>
      </c>
      <c r="E7063" s="5">
        <v>-29017</v>
      </c>
      <c r="F7063" s="3" t="s">
        <v>274</v>
      </c>
      <c r="G7063" s="3" t="s">
        <v>62</v>
      </c>
      <c r="H7063" s="2" t="s">
        <v>21</v>
      </c>
      <c r="I7063" s="2" t="s">
        <v>13983</v>
      </c>
      <c r="J7063" s="3" t="str">
        <f>HYPERLINK("https://www.boe.es/gazeta/dias/1820/07/20/pdfs/GGB-1820-22.pdf#page=3","Abrir facsímil")</f>
        <v>Abrir facsímil</v>
      </c>
      <c r="K7063" s="3" t="s">
        <v>23</v>
      </c>
    </row>
    <row r="7064" spans="1:11" ht="42" customHeight="1">
      <c r="A7064" s="2" t="s">
        <v>13982</v>
      </c>
      <c r="B7064" s="2" t="s">
        <v>13982</v>
      </c>
      <c r="C7064" s="2" t="s">
        <v>26</v>
      </c>
      <c r="D7064" s="2" t="s">
        <v>27</v>
      </c>
      <c r="E7064" s="5">
        <v>-28990</v>
      </c>
      <c r="F7064" s="3" t="s">
        <v>61</v>
      </c>
      <c r="G7064" s="3" t="s">
        <v>62</v>
      </c>
      <c r="H7064" s="2" t="s">
        <v>21</v>
      </c>
      <c r="I7064" s="2" t="s">
        <v>13984</v>
      </c>
      <c r="J7064" s="3" t="str">
        <f>HYPERLINK("https://www.boe.es/gazeta/dias/1820/08/16/pdfs/GGB-1820-49.pdf#page=3","Abrir facsímil")</f>
        <v>Abrir facsímil</v>
      </c>
      <c r="K7064" s="3" t="s">
        <v>23</v>
      </c>
    </row>
    <row r="7065" spans="1:11" ht="42" customHeight="1">
      <c r="A7065" s="2" t="s">
        <v>13985</v>
      </c>
      <c r="B7065" s="2" t="s">
        <v>13985</v>
      </c>
      <c r="C7065" s="2" t="s">
        <v>35</v>
      </c>
      <c r="D7065" s="2" t="s">
        <v>36</v>
      </c>
      <c r="E7065" s="5">
        <v>-29010</v>
      </c>
      <c r="F7065" s="3" t="s">
        <v>664</v>
      </c>
      <c r="G7065" s="3" t="s">
        <v>62</v>
      </c>
      <c r="H7065" s="2" t="s">
        <v>21</v>
      </c>
      <c r="I7065" s="2" t="s">
        <v>13986</v>
      </c>
      <c r="J7065" s="3" t="str">
        <f>HYPERLINK("https://www.boe.es/gazeta/dias/1820/07/27/pdfs/GGB-1820-29.pdf#page=3","Abrir facsímil")</f>
        <v>Abrir facsímil</v>
      </c>
      <c r="K7065" s="3" t="s">
        <v>23</v>
      </c>
    </row>
    <row r="7066" spans="1:11" ht="42" customHeight="1">
      <c r="A7066" s="2" t="s">
        <v>13987</v>
      </c>
      <c r="B7066" s="2" t="s">
        <v>13987</v>
      </c>
      <c r="C7066" s="2" t="s">
        <v>35</v>
      </c>
      <c r="D7066" s="2" t="s">
        <v>36</v>
      </c>
      <c r="E7066" s="5">
        <v>-29026</v>
      </c>
      <c r="F7066" s="3" t="s">
        <v>1197</v>
      </c>
      <c r="G7066" s="3" t="s">
        <v>62</v>
      </c>
      <c r="H7066" s="2" t="s">
        <v>21</v>
      </c>
      <c r="I7066" s="2" t="s">
        <v>13988</v>
      </c>
      <c r="J7066" s="3" t="str">
        <f>HYPERLINK("https://www.boe.es/gazeta/dias/1820/07/11/pdfs/GGB-1820-13.pdf#page=3","Abrir facsímil")</f>
        <v>Abrir facsímil</v>
      </c>
      <c r="K7066" s="3" t="s">
        <v>23</v>
      </c>
    </row>
    <row r="7067" spans="1:11" ht="42" customHeight="1">
      <c r="A7067" s="2" t="s">
        <v>13987</v>
      </c>
      <c r="B7067" s="2" t="s">
        <v>13987</v>
      </c>
      <c r="C7067" s="2" t="s">
        <v>17</v>
      </c>
      <c r="D7067" s="2" t="s">
        <v>18</v>
      </c>
      <c r="E7067" s="5">
        <v>-29016</v>
      </c>
      <c r="F7067" s="3" t="s">
        <v>657</v>
      </c>
      <c r="G7067" s="3" t="s">
        <v>62</v>
      </c>
      <c r="H7067" s="2" t="s">
        <v>21</v>
      </c>
      <c r="I7067" s="2" t="s">
        <v>13989</v>
      </c>
      <c r="J7067" s="3" t="str">
        <f>HYPERLINK("https://www.boe.es/gazeta/dias/1820/07/21/pdfs/GGB-1820-23.pdf#page=3","Abrir facsímil")</f>
        <v>Abrir facsímil</v>
      </c>
      <c r="K7067" s="3" t="s">
        <v>23</v>
      </c>
    </row>
    <row r="7068" spans="1:11" ht="42" customHeight="1">
      <c r="A7068" s="2" t="s">
        <v>13987</v>
      </c>
      <c r="B7068" s="2" t="s">
        <v>13987</v>
      </c>
      <c r="C7068" s="2" t="s">
        <v>35</v>
      </c>
      <c r="D7068" s="2" t="s">
        <v>36</v>
      </c>
      <c r="E7068" s="5">
        <v>-29010</v>
      </c>
      <c r="F7068" s="3" t="s">
        <v>664</v>
      </c>
      <c r="G7068" s="3" t="s">
        <v>62</v>
      </c>
      <c r="H7068" s="2" t="s">
        <v>21</v>
      </c>
      <c r="I7068" s="2" t="s">
        <v>13990</v>
      </c>
      <c r="J7068" s="3" t="str">
        <f>HYPERLINK("https://www.boe.es/gazeta/dias/1820/07/27/pdfs/GGB-1820-29.pdf#page=3","Abrir facsímil")</f>
        <v>Abrir facsímil</v>
      </c>
      <c r="K7068" s="3" t="s">
        <v>23</v>
      </c>
    </row>
    <row r="7069" spans="1:11" ht="42" customHeight="1">
      <c r="A7069" s="2" t="s">
        <v>13987</v>
      </c>
      <c r="B7069" s="2" t="s">
        <v>13987</v>
      </c>
      <c r="C7069" s="2" t="s">
        <v>17</v>
      </c>
      <c r="D7069" s="2" t="s">
        <v>18</v>
      </c>
      <c r="E7069" s="5">
        <v>-29009</v>
      </c>
      <c r="F7069" s="3" t="s">
        <v>605</v>
      </c>
      <c r="G7069" s="3" t="s">
        <v>62</v>
      </c>
      <c r="H7069" s="2" t="s">
        <v>21</v>
      </c>
      <c r="I7069" s="2" t="s">
        <v>13991</v>
      </c>
      <c r="J7069" s="3" t="str">
        <f>HYPERLINK("https://www.boe.es/gazeta/dias/1820/07/28/pdfs/GGB-1820-30.pdf#page=3","Abrir facsímil")</f>
        <v>Abrir facsímil</v>
      </c>
      <c r="K7069" s="3" t="s">
        <v>23</v>
      </c>
    </row>
    <row r="7070" spans="1:11" ht="42" customHeight="1">
      <c r="A7070" s="2" t="s">
        <v>13987</v>
      </c>
      <c r="B7070" s="2" t="s">
        <v>13987</v>
      </c>
      <c r="C7070" s="2" t="s">
        <v>47</v>
      </c>
      <c r="D7070" s="2" t="s">
        <v>18</v>
      </c>
      <c r="E7070" s="5">
        <v>-29009</v>
      </c>
      <c r="F7070" s="3" t="s">
        <v>605</v>
      </c>
      <c r="G7070" s="3" t="s">
        <v>20</v>
      </c>
      <c r="H7070" s="2" t="s">
        <v>21</v>
      </c>
      <c r="I7070" s="2" t="s">
        <v>13992</v>
      </c>
      <c r="J7070" s="3" t="str">
        <f>HYPERLINK("https://www.boe.es/gazeta/dias/1820/07/28/pdfs/GGB-1820-30.pdf#page=4","Abrir facsímil")</f>
        <v>Abrir facsímil</v>
      </c>
      <c r="K7070" s="3" t="s">
        <v>23</v>
      </c>
    </row>
    <row r="7071" spans="1:11" ht="42" customHeight="1">
      <c r="A7071" s="2" t="s">
        <v>13987</v>
      </c>
      <c r="B7071" s="2" t="s">
        <v>13987</v>
      </c>
      <c r="C7071" s="2" t="s">
        <v>17</v>
      </c>
      <c r="D7071" s="2" t="s">
        <v>18</v>
      </c>
      <c r="E7071" s="5">
        <v>-29008</v>
      </c>
      <c r="F7071" s="3" t="s">
        <v>2250</v>
      </c>
      <c r="G7071" s="3" t="s">
        <v>43</v>
      </c>
      <c r="H7071" s="2" t="s">
        <v>21</v>
      </c>
      <c r="I7071" s="2" t="s">
        <v>13993</v>
      </c>
      <c r="J7071" s="3" t="str">
        <f>HYPERLINK("https://www.boe.es/gazeta/dias/1820/07/29/pdfs/GGB-1820-31.pdf#page=2","Abrir facsímil")</f>
        <v>Abrir facsímil</v>
      </c>
      <c r="K7071" s="3" t="s">
        <v>23</v>
      </c>
    </row>
    <row r="7072" spans="1:11" ht="42" customHeight="1">
      <c r="A7072" s="2" t="s">
        <v>13987</v>
      </c>
      <c r="B7072" s="2" t="s">
        <v>13987</v>
      </c>
      <c r="C7072" s="2" t="s">
        <v>35</v>
      </c>
      <c r="D7072" s="2" t="s">
        <v>36</v>
      </c>
      <c r="E7072" s="5">
        <v>-29008</v>
      </c>
      <c r="F7072" s="3" t="s">
        <v>2250</v>
      </c>
      <c r="G7072" s="3" t="s">
        <v>62</v>
      </c>
      <c r="H7072" s="2" t="s">
        <v>21</v>
      </c>
      <c r="I7072" s="2" t="s">
        <v>13994</v>
      </c>
      <c r="J7072" s="3" t="str">
        <f>HYPERLINK("https://www.boe.es/gazeta/dias/1820/07/29/pdfs/GGB-1820-31.pdf#page=3","Abrir facsímil")</f>
        <v>Abrir facsímil</v>
      </c>
      <c r="K7072" s="3" t="s">
        <v>23</v>
      </c>
    </row>
    <row r="7073" spans="1:11" ht="42" customHeight="1">
      <c r="A7073" s="2" t="s">
        <v>13987</v>
      </c>
      <c r="B7073" s="2" t="s">
        <v>13987</v>
      </c>
      <c r="C7073" s="2" t="s">
        <v>74</v>
      </c>
      <c r="D7073" s="2" t="s">
        <v>18</v>
      </c>
      <c r="E7073" s="5">
        <v>-29003</v>
      </c>
      <c r="F7073" s="3" t="s">
        <v>340</v>
      </c>
      <c r="G7073" s="3" t="s">
        <v>62</v>
      </c>
      <c r="H7073" s="2" t="s">
        <v>21</v>
      </c>
      <c r="I7073" s="2" t="s">
        <v>13995</v>
      </c>
      <c r="J7073" s="3" t="str">
        <f>HYPERLINK("https://www.boe.es/gazeta/dias/1820/08/03/pdfs/GGB-1820-36.pdf#page=3","Abrir facsímil")</f>
        <v>Abrir facsímil</v>
      </c>
      <c r="K7073" s="3" t="s">
        <v>23</v>
      </c>
    </row>
    <row r="7074" spans="1:11" ht="42" customHeight="1">
      <c r="A7074" s="2" t="s">
        <v>13987</v>
      </c>
      <c r="B7074" s="2" t="s">
        <v>13987</v>
      </c>
      <c r="C7074" s="2" t="s">
        <v>17</v>
      </c>
      <c r="D7074" s="2" t="s">
        <v>18</v>
      </c>
      <c r="E7074" s="5">
        <v>-29003</v>
      </c>
      <c r="F7074" s="3" t="s">
        <v>340</v>
      </c>
      <c r="G7074" s="3" t="s">
        <v>20</v>
      </c>
      <c r="H7074" s="2" t="s">
        <v>21</v>
      </c>
      <c r="I7074" s="2" t="s">
        <v>13996</v>
      </c>
      <c r="J7074" s="3" t="str">
        <f>HYPERLINK("https://www.boe.es/gazeta/dias/1820/08/03/pdfs/GGB-1820-36.pdf#page=4","Abrir facsímil")</f>
        <v>Abrir facsímil</v>
      </c>
      <c r="K7074" s="3" t="s">
        <v>23</v>
      </c>
    </row>
    <row r="7075" spans="1:11" ht="42" customHeight="1">
      <c r="A7075" s="2" t="s">
        <v>13987</v>
      </c>
      <c r="B7075" s="2" t="s">
        <v>13987</v>
      </c>
      <c r="C7075" s="2" t="s">
        <v>47</v>
      </c>
      <c r="D7075" s="2" t="s">
        <v>18</v>
      </c>
      <c r="E7075" s="5">
        <v>-29002</v>
      </c>
      <c r="F7075" s="3" t="s">
        <v>124</v>
      </c>
      <c r="G7075" s="3" t="s">
        <v>62</v>
      </c>
      <c r="H7075" s="2" t="s">
        <v>21</v>
      </c>
      <c r="I7075" s="2" t="s">
        <v>13997</v>
      </c>
      <c r="J7075" s="3" t="str">
        <f>HYPERLINK("https://www.boe.es/gazeta/dias/1820/08/04/pdfs/GGB-1820-37.pdf#page=3","Abrir facsímil")</f>
        <v>Abrir facsímil</v>
      </c>
      <c r="K7075" s="3" t="s">
        <v>23</v>
      </c>
    </row>
    <row r="7076" spans="1:11" ht="42" customHeight="1">
      <c r="A7076" s="2" t="s">
        <v>13987</v>
      </c>
      <c r="B7076" s="2" t="s">
        <v>13987</v>
      </c>
      <c r="C7076" s="2" t="s">
        <v>17</v>
      </c>
      <c r="D7076" s="2" t="s">
        <v>18</v>
      </c>
      <c r="E7076" s="5">
        <v>-29002</v>
      </c>
      <c r="F7076" s="3" t="s">
        <v>124</v>
      </c>
      <c r="G7076" s="3" t="s">
        <v>20</v>
      </c>
      <c r="H7076" s="2" t="s">
        <v>21</v>
      </c>
      <c r="I7076" s="2" t="s">
        <v>13998</v>
      </c>
      <c r="J7076" s="3" t="str">
        <f>HYPERLINK("https://www.boe.es/gazeta/dias/1820/08/04/pdfs/GGB-1820-37.pdf#page=4","Abrir facsímil")</f>
        <v>Abrir facsímil</v>
      </c>
      <c r="K7076" s="3" t="s">
        <v>23</v>
      </c>
    </row>
    <row r="7077" spans="1:11" ht="42" customHeight="1">
      <c r="A7077" s="2" t="s">
        <v>13987</v>
      </c>
      <c r="B7077" s="2" t="s">
        <v>13987</v>
      </c>
      <c r="C7077" s="2" t="s">
        <v>35</v>
      </c>
      <c r="D7077" s="2" t="s">
        <v>36</v>
      </c>
      <c r="E7077" s="5">
        <v>-29000</v>
      </c>
      <c r="F7077" s="3" t="s">
        <v>670</v>
      </c>
      <c r="G7077" s="3" t="s">
        <v>20</v>
      </c>
      <c r="H7077" s="2" t="s">
        <v>21</v>
      </c>
      <c r="I7077" s="2" t="s">
        <v>13999</v>
      </c>
      <c r="J7077" s="3" t="str">
        <f>HYPERLINK("https://www.boe.es/gazeta/dias/1820/08/06/pdfs/GGB-1820-39.pdf#page=4","Abrir facsímil")</f>
        <v>Abrir facsímil</v>
      </c>
      <c r="K7077" s="3" t="s">
        <v>23</v>
      </c>
    </row>
    <row r="7078" spans="1:11" ht="42" customHeight="1">
      <c r="A7078" s="2" t="s">
        <v>13987</v>
      </c>
      <c r="B7078" s="2" t="s">
        <v>13987</v>
      </c>
      <c r="C7078" s="2" t="s">
        <v>26</v>
      </c>
      <c r="D7078" s="2" t="s">
        <v>27</v>
      </c>
      <c r="E7078" s="5">
        <v>-28993</v>
      </c>
      <c r="F7078" s="3" t="s">
        <v>465</v>
      </c>
      <c r="G7078" s="3" t="s">
        <v>20</v>
      </c>
      <c r="H7078" s="2" t="s">
        <v>21</v>
      </c>
      <c r="I7078" s="2" t="s">
        <v>14000</v>
      </c>
      <c r="J7078" s="3" t="str">
        <f>HYPERLINK("https://www.boe.es/gazeta/dias/1820/08/13/pdfs/GGB-1820-46.pdf#page=4","Abrir facsímil")</f>
        <v>Abrir facsímil</v>
      </c>
      <c r="K7078" s="3" t="s">
        <v>23</v>
      </c>
    </row>
    <row r="7079" spans="1:11" ht="42" customHeight="1">
      <c r="A7079" s="2" t="s">
        <v>13987</v>
      </c>
      <c r="B7079" s="2" t="s">
        <v>13987</v>
      </c>
      <c r="C7079" s="2" t="s">
        <v>35</v>
      </c>
      <c r="D7079" s="2" t="s">
        <v>36</v>
      </c>
      <c r="E7079" s="5">
        <v>-28987</v>
      </c>
      <c r="F7079" s="3" t="s">
        <v>680</v>
      </c>
      <c r="G7079" s="3" t="s">
        <v>62</v>
      </c>
      <c r="H7079" s="2" t="s">
        <v>21</v>
      </c>
      <c r="I7079" s="2" t="s">
        <v>14001</v>
      </c>
      <c r="J7079" s="3" t="str">
        <f>HYPERLINK("https://www.boe.es/gazeta/dias/1820/08/19/pdfs/GGB-1820-52.pdf#page=3","Abrir facsímil")</f>
        <v>Abrir facsímil</v>
      </c>
      <c r="K7079" s="3" t="s">
        <v>23</v>
      </c>
    </row>
    <row r="7080" spans="1:11" ht="42" customHeight="1">
      <c r="A7080" s="2" t="s">
        <v>13987</v>
      </c>
      <c r="B7080" s="2" t="s">
        <v>13987</v>
      </c>
      <c r="C7080" s="2" t="s">
        <v>293</v>
      </c>
      <c r="D7080" s="2" t="s">
        <v>18</v>
      </c>
      <c r="E7080" s="5">
        <v>-28984</v>
      </c>
      <c r="F7080" s="3" t="s">
        <v>520</v>
      </c>
      <c r="G7080" s="3" t="s">
        <v>62</v>
      </c>
      <c r="H7080" s="2" t="s">
        <v>21</v>
      </c>
      <c r="I7080" s="2" t="s">
        <v>14002</v>
      </c>
      <c r="J7080" s="3" t="str">
        <f>HYPERLINK("https://www.boe.es/gazeta/dias/1820/08/22/pdfs/GGB-1820-55.pdf#page=3","Abrir facsímil")</f>
        <v>Abrir facsímil</v>
      </c>
      <c r="K7080" s="3" t="s">
        <v>23</v>
      </c>
    </row>
    <row r="7081" spans="1:11" ht="42" customHeight="1">
      <c r="A7081" s="2" t="s">
        <v>13987</v>
      </c>
      <c r="B7081" s="2" t="s">
        <v>13987</v>
      </c>
      <c r="C7081" s="2" t="s">
        <v>74</v>
      </c>
      <c r="D7081" s="2" t="s">
        <v>18</v>
      </c>
      <c r="E7081" s="5">
        <v>-28982</v>
      </c>
      <c r="F7081" s="3" t="s">
        <v>173</v>
      </c>
      <c r="G7081" s="3" t="s">
        <v>43</v>
      </c>
      <c r="H7081" s="2" t="s">
        <v>21</v>
      </c>
      <c r="I7081" s="2" t="s">
        <v>14003</v>
      </c>
      <c r="J7081" s="3" t="str">
        <f>HYPERLINK("https://www.boe.es/gazeta/dias/1820/08/24/pdfs/GGB-1820-57.pdf#page=2","Abrir facsímil")</f>
        <v>Abrir facsímil</v>
      </c>
      <c r="K7081" s="3" t="s">
        <v>23</v>
      </c>
    </row>
    <row r="7082" spans="1:11" ht="42" customHeight="1">
      <c r="A7082" s="2" t="s">
        <v>13987</v>
      </c>
      <c r="B7082" s="2" t="s">
        <v>13987</v>
      </c>
      <c r="C7082" s="2" t="s">
        <v>293</v>
      </c>
      <c r="D7082" s="2" t="s">
        <v>18</v>
      </c>
      <c r="E7082" s="5">
        <v>-28978</v>
      </c>
      <c r="F7082" s="3" t="s">
        <v>203</v>
      </c>
      <c r="G7082" s="3" t="s">
        <v>43</v>
      </c>
      <c r="H7082" s="2" t="s">
        <v>21</v>
      </c>
      <c r="I7082" s="2" t="s">
        <v>14004</v>
      </c>
      <c r="J7082" s="3" t="str">
        <f>HYPERLINK("https://www.boe.es/gazeta/dias/1820/08/28/pdfs/GGB-1820-61.pdf#page=2","Abrir facsímil")</f>
        <v>Abrir facsímil</v>
      </c>
      <c r="K7082" s="3" t="s">
        <v>23</v>
      </c>
    </row>
    <row r="7083" spans="1:11" ht="42" customHeight="1">
      <c r="A7083" s="2" t="s">
        <v>13987</v>
      </c>
      <c r="B7083" s="2" t="s">
        <v>13987</v>
      </c>
      <c r="C7083" s="2" t="s">
        <v>35</v>
      </c>
      <c r="D7083" s="2" t="s">
        <v>36</v>
      </c>
      <c r="E7083" s="5">
        <v>-28977</v>
      </c>
      <c r="F7083" s="3" t="s">
        <v>687</v>
      </c>
      <c r="G7083" s="3" t="s">
        <v>20</v>
      </c>
      <c r="H7083" s="2" t="s">
        <v>21</v>
      </c>
      <c r="I7083" s="2" t="s">
        <v>14005</v>
      </c>
      <c r="J7083" s="3" t="str">
        <f>HYPERLINK("https://www.boe.es/gazeta/dias/1820/08/29/pdfs/GGB-1820-62.pdf#page=4","Abrir facsímil")</f>
        <v>Abrir facsímil</v>
      </c>
      <c r="K7083" s="3" t="s">
        <v>23</v>
      </c>
    </row>
    <row r="7084" spans="1:11" ht="42" customHeight="1">
      <c r="A7084" s="2" t="s">
        <v>13987</v>
      </c>
      <c r="B7084" s="2" t="s">
        <v>13987</v>
      </c>
      <c r="C7084" s="2" t="s">
        <v>111</v>
      </c>
      <c r="D7084" s="2" t="s">
        <v>18</v>
      </c>
      <c r="E7084" s="5">
        <v>-28971</v>
      </c>
      <c r="F7084" s="3" t="s">
        <v>691</v>
      </c>
      <c r="G7084" s="3" t="s">
        <v>62</v>
      </c>
      <c r="H7084" s="2" t="s">
        <v>21</v>
      </c>
      <c r="I7084" s="2" t="s">
        <v>14006</v>
      </c>
      <c r="J7084" s="3" t="str">
        <f>HYPERLINK("https://www.boe.es/gazeta/dias/1820/09/04/pdfs/GGB-1820-68.pdf#page=3","Abrir facsímil")</f>
        <v>Abrir facsímil</v>
      </c>
      <c r="K7084" s="3" t="s">
        <v>23</v>
      </c>
    </row>
    <row r="7085" spans="1:11" ht="42" customHeight="1">
      <c r="A7085" s="2" t="s">
        <v>13987</v>
      </c>
      <c r="B7085" s="2" t="s">
        <v>13987</v>
      </c>
      <c r="C7085" s="2" t="s">
        <v>26</v>
      </c>
      <c r="D7085" s="2" t="s">
        <v>27</v>
      </c>
      <c r="E7085" s="5">
        <v>-28968</v>
      </c>
      <c r="F7085" s="3" t="s">
        <v>66</v>
      </c>
      <c r="G7085" s="3" t="s">
        <v>62</v>
      </c>
      <c r="H7085" s="2" t="s">
        <v>21</v>
      </c>
      <c r="I7085" s="2" t="s">
        <v>14007</v>
      </c>
      <c r="J7085" s="3" t="str">
        <f>HYPERLINK("https://www.boe.es/gazeta/dias/1820/09/07/pdfs/GGB-1820-71.pdf#page=3","Abrir facsímil")</f>
        <v>Abrir facsímil</v>
      </c>
      <c r="K7085" s="3" t="s">
        <v>23</v>
      </c>
    </row>
    <row r="7086" spans="1:11" ht="42" customHeight="1">
      <c r="A7086" s="2" t="s">
        <v>13987</v>
      </c>
      <c r="B7086" s="2" t="s">
        <v>13987</v>
      </c>
      <c r="C7086" s="2" t="s">
        <v>35</v>
      </c>
      <c r="D7086" s="2" t="s">
        <v>36</v>
      </c>
      <c r="E7086" s="5">
        <v>-28967</v>
      </c>
      <c r="F7086" s="3" t="s">
        <v>238</v>
      </c>
      <c r="G7086" s="3" t="s">
        <v>128</v>
      </c>
      <c r="H7086" s="2" t="s">
        <v>21</v>
      </c>
      <c r="I7086" s="2" t="s">
        <v>14008</v>
      </c>
      <c r="J7086" s="3" t="str">
        <f>HYPERLINK("https://www.boe.es/gazeta/dias/1820/09/08/pdfs/GGB-1820-72.pdf#page=1","Abrir facsímil")</f>
        <v>Abrir facsímil</v>
      </c>
      <c r="K7086" s="3" t="s">
        <v>23</v>
      </c>
    </row>
    <row r="7087" spans="1:11" ht="42" customHeight="1">
      <c r="A7087" s="2" t="s">
        <v>13987</v>
      </c>
      <c r="B7087" s="2" t="s">
        <v>13987</v>
      </c>
      <c r="C7087" s="2" t="s">
        <v>17</v>
      </c>
      <c r="D7087" s="2" t="s">
        <v>18</v>
      </c>
      <c r="E7087" s="5">
        <v>-28965</v>
      </c>
      <c r="F7087" s="3" t="s">
        <v>1520</v>
      </c>
      <c r="G7087" s="3" t="s">
        <v>62</v>
      </c>
      <c r="H7087" s="2" t="s">
        <v>21</v>
      </c>
      <c r="I7087" s="2" t="s">
        <v>14009</v>
      </c>
      <c r="J7087" s="3" t="str">
        <f>HYPERLINK("https://www.boe.es/gazeta/dias/1820/09/10/pdfs/GGB-1820-74.pdf#page=3","Abrir facsímil")</f>
        <v>Abrir facsímil</v>
      </c>
      <c r="K7087" s="3" t="s">
        <v>23</v>
      </c>
    </row>
    <row r="7088" spans="1:11" ht="42" customHeight="1">
      <c r="A7088" s="2" t="s">
        <v>13987</v>
      </c>
      <c r="B7088" s="2" t="s">
        <v>13987</v>
      </c>
      <c r="C7088" s="2" t="s">
        <v>26</v>
      </c>
      <c r="D7088" s="2" t="s">
        <v>27</v>
      </c>
      <c r="E7088" s="5">
        <v>-28964</v>
      </c>
      <c r="F7088" s="3" t="s">
        <v>240</v>
      </c>
      <c r="G7088" s="3" t="s">
        <v>62</v>
      </c>
      <c r="H7088" s="2" t="s">
        <v>21</v>
      </c>
      <c r="I7088" s="2" t="s">
        <v>14010</v>
      </c>
      <c r="J7088" s="3" t="str">
        <f>HYPERLINK("https://www.boe.es/gazeta/dias/1820/09/11/pdfs/GGB-1820-75.pdf#page=3","Abrir facsímil")</f>
        <v>Abrir facsímil</v>
      </c>
      <c r="K7088" s="3" t="s">
        <v>23</v>
      </c>
    </row>
    <row r="7089" spans="1:11" ht="42" customHeight="1">
      <c r="A7089" s="2" t="s">
        <v>14011</v>
      </c>
      <c r="B7089" s="2" t="s">
        <v>14011</v>
      </c>
      <c r="C7089" s="2" t="s">
        <v>17</v>
      </c>
      <c r="D7089" s="2" t="s">
        <v>18</v>
      </c>
      <c r="E7089" s="5">
        <v>-28960</v>
      </c>
      <c r="F7089" s="3" t="s">
        <v>704</v>
      </c>
      <c r="G7089" s="3" t="s">
        <v>62</v>
      </c>
      <c r="H7089" s="2" t="s">
        <v>21</v>
      </c>
      <c r="I7089" s="2" t="s">
        <v>14012</v>
      </c>
      <c r="J7089" s="3" t="str">
        <f>HYPERLINK("https://www.boe.es/gazeta/dias/1820/09/15/pdfs/GGB-1820-79.pdf#page=3","Abrir facsímil")</f>
        <v>Abrir facsímil</v>
      </c>
      <c r="K7089" s="3" t="s">
        <v>23</v>
      </c>
    </row>
    <row r="7090" spans="1:11" ht="42" customHeight="1">
      <c r="A7090" s="2" t="s">
        <v>13987</v>
      </c>
      <c r="B7090" s="2" t="s">
        <v>13987</v>
      </c>
      <c r="C7090" s="2" t="s">
        <v>111</v>
      </c>
      <c r="D7090" s="2" t="s">
        <v>18</v>
      </c>
      <c r="E7090" s="5">
        <v>-28954</v>
      </c>
      <c r="F7090" s="3" t="s">
        <v>28</v>
      </c>
      <c r="G7090" s="3" t="s">
        <v>62</v>
      </c>
      <c r="H7090" s="2" t="s">
        <v>21</v>
      </c>
      <c r="I7090" s="2" t="s">
        <v>14013</v>
      </c>
      <c r="J7090" s="3" t="str">
        <f>HYPERLINK("https://www.boe.es/gazeta/dias/1820/09/21/pdfs/GGB-1820-85.pdf#page=3","Abrir facsímil")</f>
        <v>Abrir facsímil</v>
      </c>
      <c r="K7090" s="3" t="s">
        <v>23</v>
      </c>
    </row>
    <row r="7091" spans="1:11" ht="42" customHeight="1">
      <c r="A7091" s="2" t="s">
        <v>13987</v>
      </c>
      <c r="B7091" s="2" t="s">
        <v>13987</v>
      </c>
      <c r="C7091" s="2" t="s">
        <v>74</v>
      </c>
      <c r="D7091" s="2" t="s">
        <v>18</v>
      </c>
      <c r="E7091" s="5">
        <v>-28952</v>
      </c>
      <c r="F7091" s="3" t="s">
        <v>370</v>
      </c>
      <c r="G7091" s="3" t="s">
        <v>43</v>
      </c>
      <c r="H7091" s="2" t="s">
        <v>21</v>
      </c>
      <c r="I7091" s="2" t="s">
        <v>14014</v>
      </c>
      <c r="J7091" s="3" t="str">
        <f>HYPERLINK("https://www.boe.es/gazeta/dias/1820/09/23/pdfs/GGB-1820-87.pdf#page=2","Abrir facsímil")</f>
        <v>Abrir facsímil</v>
      </c>
      <c r="K7091" s="3" t="s">
        <v>23</v>
      </c>
    </row>
    <row r="7092" spans="1:11" ht="42" customHeight="1">
      <c r="A7092" s="2" t="s">
        <v>13987</v>
      </c>
      <c r="B7092" s="2" t="s">
        <v>13987</v>
      </c>
      <c r="C7092" s="2" t="s">
        <v>17</v>
      </c>
      <c r="D7092" s="2" t="s">
        <v>18</v>
      </c>
      <c r="E7092" s="5">
        <v>-28952</v>
      </c>
      <c r="F7092" s="3" t="s">
        <v>370</v>
      </c>
      <c r="G7092" s="3" t="s">
        <v>20</v>
      </c>
      <c r="H7092" s="2" t="s">
        <v>21</v>
      </c>
      <c r="I7092" s="2" t="s">
        <v>14015</v>
      </c>
      <c r="J7092" s="3" t="str">
        <f>HYPERLINK("https://www.boe.es/gazeta/dias/1820/09/23/pdfs/GGB-1820-87.pdf#page=4","Abrir facsímil")</f>
        <v>Abrir facsímil</v>
      </c>
      <c r="K7092" s="3" t="s">
        <v>23</v>
      </c>
    </row>
    <row r="7093" spans="1:11" ht="42" customHeight="1">
      <c r="A7093" s="2" t="s">
        <v>13987</v>
      </c>
      <c r="B7093" s="2" t="s">
        <v>13987</v>
      </c>
      <c r="C7093" s="2" t="s">
        <v>35</v>
      </c>
      <c r="D7093" s="2" t="s">
        <v>36</v>
      </c>
      <c r="E7093" s="5">
        <v>-28950</v>
      </c>
      <c r="F7093" s="3" t="s">
        <v>1052</v>
      </c>
      <c r="G7093" s="3" t="s">
        <v>1372</v>
      </c>
      <c r="H7093" s="2" t="s">
        <v>21</v>
      </c>
      <c r="I7093" s="2" t="s">
        <v>14016</v>
      </c>
      <c r="J7093" s="3" t="str">
        <f>HYPERLINK("https://www.boe.es/gazeta/dias/1820/09/25/pdfs/GGB-1820-89.pdf#page=2","Abrir facsímil")</f>
        <v>Abrir facsímil</v>
      </c>
      <c r="K7093" s="3" t="s">
        <v>23</v>
      </c>
    </row>
    <row r="7094" spans="1:11" ht="42" customHeight="1">
      <c r="A7094" s="2" t="s">
        <v>13987</v>
      </c>
      <c r="B7094" s="2" t="s">
        <v>13987</v>
      </c>
      <c r="C7094" s="2" t="s">
        <v>111</v>
      </c>
      <c r="D7094" s="2" t="s">
        <v>18</v>
      </c>
      <c r="E7094" s="5">
        <v>-28949</v>
      </c>
      <c r="F7094" s="3" t="s">
        <v>178</v>
      </c>
      <c r="G7094" s="3" t="s">
        <v>62</v>
      </c>
      <c r="H7094" s="2" t="s">
        <v>21</v>
      </c>
      <c r="I7094" s="2" t="s">
        <v>14017</v>
      </c>
      <c r="J7094" s="3" t="str">
        <f>HYPERLINK("https://www.boe.es/gazeta/dias/1820/09/26/pdfs/GGB-1820-90.pdf#page=3","Abrir facsímil")</f>
        <v>Abrir facsímil</v>
      </c>
      <c r="K7094" s="3" t="s">
        <v>23</v>
      </c>
    </row>
    <row r="7095" spans="1:11" ht="42" customHeight="1">
      <c r="A7095" s="2" t="s">
        <v>14011</v>
      </c>
      <c r="B7095" s="2" t="s">
        <v>14011</v>
      </c>
      <c r="C7095" s="2" t="s">
        <v>35</v>
      </c>
      <c r="D7095" s="2" t="s">
        <v>36</v>
      </c>
      <c r="E7095" s="5">
        <v>-28948</v>
      </c>
      <c r="F7095" s="3" t="s">
        <v>1069</v>
      </c>
      <c r="G7095" s="3" t="s">
        <v>62</v>
      </c>
      <c r="H7095" s="2" t="s">
        <v>21</v>
      </c>
      <c r="I7095" s="2" t="s">
        <v>14018</v>
      </c>
      <c r="J7095" s="3" t="str">
        <f>HYPERLINK("https://www.boe.es/gazeta/dias/1820/09/27/pdfs/GGB-1820-91.pdf#page=3","Abrir facsímil")</f>
        <v>Abrir facsímil</v>
      </c>
      <c r="K7095" s="3" t="s">
        <v>23</v>
      </c>
    </row>
    <row r="7096" spans="1:11" ht="42" customHeight="1">
      <c r="A7096" s="2" t="s">
        <v>13987</v>
      </c>
      <c r="B7096" s="2" t="s">
        <v>13987</v>
      </c>
      <c r="C7096" s="2" t="s">
        <v>17</v>
      </c>
      <c r="D7096" s="2" t="s">
        <v>18</v>
      </c>
      <c r="E7096" s="5">
        <v>-28947</v>
      </c>
      <c r="F7096" s="3" t="s">
        <v>127</v>
      </c>
      <c r="G7096" s="3" t="s">
        <v>62</v>
      </c>
      <c r="H7096" s="2" t="s">
        <v>21</v>
      </c>
      <c r="I7096" s="2" t="s">
        <v>14019</v>
      </c>
      <c r="J7096" s="3" t="str">
        <f>HYPERLINK("https://www.boe.es/gazeta/dias/1820/09/28/pdfs/GGB-1820-92.pdf#page=3","Abrir facsímil")</f>
        <v>Abrir facsímil</v>
      </c>
      <c r="K7096" s="3" t="s">
        <v>23</v>
      </c>
    </row>
    <row r="7097" spans="1:11" ht="42" customHeight="1">
      <c r="A7097" s="2" t="s">
        <v>13987</v>
      </c>
      <c r="B7097" s="2" t="s">
        <v>13987</v>
      </c>
      <c r="C7097" s="2" t="s">
        <v>47</v>
      </c>
      <c r="D7097" s="2" t="s">
        <v>18</v>
      </c>
      <c r="E7097" s="5">
        <v>-28929</v>
      </c>
      <c r="F7097" s="3" t="s">
        <v>728</v>
      </c>
      <c r="G7097" s="3" t="s">
        <v>20</v>
      </c>
      <c r="H7097" s="2" t="s">
        <v>21</v>
      </c>
      <c r="I7097" s="2" t="s">
        <v>14020</v>
      </c>
      <c r="J7097" s="3" t="str">
        <f>HYPERLINK("https://www.boe.es/gazeta/dias/1820/10/16/pdfs/GGB-1820-110.pdf#page=4","Abrir facsímil")</f>
        <v>Abrir facsímil</v>
      </c>
      <c r="K7097" s="3" t="s">
        <v>23</v>
      </c>
    </row>
    <row r="7098" spans="1:11" ht="42" customHeight="1">
      <c r="A7098" s="2" t="s">
        <v>13987</v>
      </c>
      <c r="B7098" s="2" t="s">
        <v>13987</v>
      </c>
      <c r="C7098" s="2" t="s">
        <v>293</v>
      </c>
      <c r="D7098" s="2" t="s">
        <v>18</v>
      </c>
      <c r="E7098" s="5">
        <v>-28918</v>
      </c>
      <c r="F7098" s="3" t="s">
        <v>160</v>
      </c>
      <c r="G7098" s="3" t="s">
        <v>20</v>
      </c>
      <c r="H7098" s="2" t="s">
        <v>21</v>
      </c>
      <c r="I7098" s="2" t="s">
        <v>14021</v>
      </c>
      <c r="J7098" s="3" t="str">
        <f>HYPERLINK("https://www.boe.es/gazeta/dias/1820/10/27/pdfs/GGB-1820-121.pdf#page=4","Abrir facsímil")</f>
        <v>Abrir facsímil</v>
      </c>
      <c r="K7098" s="3" t="s">
        <v>23</v>
      </c>
    </row>
    <row r="7099" spans="1:11" ht="42" customHeight="1">
      <c r="A7099" s="2" t="s">
        <v>14022</v>
      </c>
      <c r="B7099" s="2" t="s">
        <v>14022</v>
      </c>
      <c r="C7099" s="2" t="s">
        <v>35</v>
      </c>
      <c r="D7099" s="2" t="s">
        <v>36</v>
      </c>
      <c r="E7099" s="5">
        <v>-28916</v>
      </c>
      <c r="F7099" s="3" t="s">
        <v>2688</v>
      </c>
      <c r="G7099" s="3" t="s">
        <v>62</v>
      </c>
      <c r="H7099" s="2" t="s">
        <v>21</v>
      </c>
      <c r="I7099" s="2" t="s">
        <v>14023</v>
      </c>
      <c r="J7099" s="3" t="str">
        <f>HYPERLINK("https://www.boe.es/gazeta/dias/1820/10/29/pdfs/GGB-1820-123.pdf#page=3","Abrir facsímil")</f>
        <v>Abrir facsímil</v>
      </c>
      <c r="K7099" s="3" t="s">
        <v>23</v>
      </c>
    </row>
    <row r="7100" spans="1:11" ht="42" customHeight="1">
      <c r="A7100" s="2" t="s">
        <v>13987</v>
      </c>
      <c r="B7100" s="2" t="s">
        <v>13987</v>
      </c>
      <c r="C7100" s="2" t="s">
        <v>35</v>
      </c>
      <c r="D7100" s="2" t="s">
        <v>36</v>
      </c>
      <c r="E7100" s="5">
        <v>-28907</v>
      </c>
      <c r="F7100" s="3" t="s">
        <v>374</v>
      </c>
      <c r="G7100" s="3" t="s">
        <v>20</v>
      </c>
      <c r="H7100" s="2" t="s">
        <v>21</v>
      </c>
      <c r="I7100" s="2" t="s">
        <v>14024</v>
      </c>
      <c r="J7100" s="3" t="str">
        <f>HYPERLINK("https://www.boe.es/gazeta/dias/1820/11/07/pdfs/GGB-1820-132.pdf#page=4","Abrir facsímil")</f>
        <v>Abrir facsímil</v>
      </c>
      <c r="K7100" s="3" t="s">
        <v>23</v>
      </c>
    </row>
    <row r="7101" spans="1:11" ht="42" customHeight="1">
      <c r="A7101" s="2" t="s">
        <v>14025</v>
      </c>
      <c r="B7101" s="2" t="s">
        <v>14025</v>
      </c>
      <c r="C7101" s="2" t="s">
        <v>26</v>
      </c>
      <c r="D7101" s="2" t="s">
        <v>27</v>
      </c>
      <c r="E7101" s="5">
        <v>-29020</v>
      </c>
      <c r="F7101" s="3" t="s">
        <v>756</v>
      </c>
      <c r="G7101" s="3" t="s">
        <v>62</v>
      </c>
      <c r="H7101" s="2" t="s">
        <v>21</v>
      </c>
      <c r="I7101" s="2" t="s">
        <v>14026</v>
      </c>
      <c r="J7101" s="3" t="str">
        <f>HYPERLINK("https://www.boe.es/gazeta/dias/1820/07/17/pdfs/GGB-1820-19.pdf#page=3","Abrir facsímil")</f>
        <v>Abrir facsímil</v>
      </c>
      <c r="K7101" s="3" t="s">
        <v>23</v>
      </c>
    </row>
    <row r="7102" spans="1:11" ht="42" customHeight="1">
      <c r="A7102" s="2" t="s">
        <v>14027</v>
      </c>
      <c r="B7102" s="2" t="s">
        <v>14027</v>
      </c>
      <c r="C7102" s="2" t="s">
        <v>17</v>
      </c>
      <c r="D7102" s="2" t="s">
        <v>18</v>
      </c>
      <c r="E7102" s="5">
        <v>-28971</v>
      </c>
      <c r="F7102" s="3" t="s">
        <v>691</v>
      </c>
      <c r="G7102" s="3" t="s">
        <v>62</v>
      </c>
      <c r="H7102" s="2" t="s">
        <v>21</v>
      </c>
      <c r="I7102" s="2" t="s">
        <v>14028</v>
      </c>
      <c r="J7102" s="3" t="str">
        <f>HYPERLINK("https://www.boe.es/gazeta/dias/1820/09/04/pdfs/GGB-1820-68.pdf#page=3","Abrir facsímil")</f>
        <v>Abrir facsímil</v>
      </c>
      <c r="K7102" s="3" t="s">
        <v>23</v>
      </c>
    </row>
    <row r="7103" spans="1:11" ht="42" customHeight="1">
      <c r="A7103" s="2" t="s">
        <v>14029</v>
      </c>
      <c r="B7103" s="2" t="s">
        <v>14029</v>
      </c>
      <c r="C7103" s="2" t="s">
        <v>17</v>
      </c>
      <c r="D7103" s="2" t="s">
        <v>18</v>
      </c>
      <c r="E7103" s="5">
        <v>-28950</v>
      </c>
      <c r="F7103" s="3" t="s">
        <v>1052</v>
      </c>
      <c r="G7103" s="3" t="s">
        <v>128</v>
      </c>
      <c r="H7103" s="2" t="s">
        <v>21</v>
      </c>
      <c r="I7103" s="2" t="s">
        <v>14030</v>
      </c>
      <c r="J7103" s="3" t="str">
        <f>HYPERLINK("https://www.boe.es/gazeta/dias/1820/09/25/pdfs/GGB-1820-89.pdf#page=1","Abrir facsímil")</f>
        <v>Abrir facsímil</v>
      </c>
      <c r="K7103" s="3" t="s">
        <v>23</v>
      </c>
    </row>
    <row r="7104" spans="1:11" ht="42" customHeight="1">
      <c r="A7104" s="2" t="s">
        <v>14031</v>
      </c>
      <c r="B7104" s="2" t="s">
        <v>14031</v>
      </c>
      <c r="C7104" s="2" t="s">
        <v>26</v>
      </c>
      <c r="D7104" s="2" t="s">
        <v>27</v>
      </c>
      <c r="E7104" s="5">
        <v>-29071</v>
      </c>
      <c r="F7104" s="3" t="s">
        <v>329</v>
      </c>
      <c r="G7104" s="3" t="s">
        <v>62</v>
      </c>
      <c r="H7104" s="2" t="s">
        <v>21</v>
      </c>
      <c r="I7104" s="2" t="s">
        <v>14032</v>
      </c>
      <c r="J7104" s="3" t="str">
        <f>HYPERLINK("https://www.boe.es/gazeta/dias/1820/05/27/pdfs/GMD-1820-86.pdf#page=3","Abrir facsímil")</f>
        <v>Abrir facsímil</v>
      </c>
      <c r="K7104" s="3" t="s">
        <v>23</v>
      </c>
    </row>
    <row r="7105" spans="1:11" ht="42" customHeight="1">
      <c r="A7105" s="2" t="s">
        <v>14031</v>
      </c>
      <c r="B7105" s="2" t="s">
        <v>14031</v>
      </c>
      <c r="C7105" s="2" t="s">
        <v>26</v>
      </c>
      <c r="D7105" s="2" t="s">
        <v>27</v>
      </c>
      <c r="E7105" s="5">
        <v>-29064</v>
      </c>
      <c r="F7105" s="3" t="s">
        <v>1264</v>
      </c>
      <c r="G7105" s="3" t="s">
        <v>43</v>
      </c>
      <c r="H7105" s="2" t="s">
        <v>21</v>
      </c>
      <c r="I7105" s="2" t="s">
        <v>14033</v>
      </c>
      <c r="J7105" s="3" t="str">
        <f>HYPERLINK("https://www.boe.es/gazeta/dias/1820/06/03/pdfs/GMD-1820-89.pdf#page=2","Abrir facsímil")</f>
        <v>Abrir facsímil</v>
      </c>
      <c r="K7105" s="3" t="s">
        <v>23</v>
      </c>
    </row>
    <row r="7106" spans="1:11" ht="42" customHeight="1">
      <c r="A7106" s="2" t="s">
        <v>14034</v>
      </c>
      <c r="B7106" s="2" t="s">
        <v>14035</v>
      </c>
      <c r="C7106" s="2" t="s">
        <v>17</v>
      </c>
      <c r="D7106" s="2" t="s">
        <v>18</v>
      </c>
      <c r="E7106" s="5">
        <v>-28983</v>
      </c>
      <c r="F7106" s="3" t="s">
        <v>682</v>
      </c>
      <c r="G7106" s="3" t="s">
        <v>43</v>
      </c>
      <c r="H7106" s="2" t="s">
        <v>21</v>
      </c>
      <c r="I7106" s="2" t="s">
        <v>14036</v>
      </c>
      <c r="J7106" s="3" t="str">
        <f>HYPERLINK("https://www.boe.es/gazeta/dias/1820/08/23/pdfs/GGB-1820-56.pdf#page=2","Abrir facsímil")</f>
        <v>Abrir facsímil</v>
      </c>
      <c r="K7106" s="3" t="s">
        <v>23</v>
      </c>
    </row>
    <row r="7107" spans="1:11" ht="42" customHeight="1">
      <c r="A7107" s="2" t="s">
        <v>14037</v>
      </c>
      <c r="B7107" s="2" t="s">
        <v>14037</v>
      </c>
      <c r="C7107" s="2" t="s">
        <v>107</v>
      </c>
      <c r="D7107" s="2" t="s">
        <v>18</v>
      </c>
      <c r="E7107" s="5">
        <v>-29204</v>
      </c>
      <c r="F7107" s="3" t="s">
        <v>753</v>
      </c>
      <c r="G7107" s="3" t="s">
        <v>256</v>
      </c>
      <c r="H7107" s="2" t="s">
        <v>21</v>
      </c>
      <c r="I7107" s="2" t="s">
        <v>14038</v>
      </c>
      <c r="J7107" s="3" t="str">
        <f>HYPERLINK("https://www.boe.es/gazeta/dias/1820/01/15/pdfs/GMD-1820-7.pdf#page=5","Abrir facsímil")</f>
        <v>Abrir facsímil</v>
      </c>
      <c r="K7107" s="3" t="s">
        <v>23</v>
      </c>
    </row>
    <row r="7108" spans="1:11" ht="42" customHeight="1">
      <c r="A7108" s="2" t="s">
        <v>14039</v>
      </c>
      <c r="B7108" s="2" t="s">
        <v>14039</v>
      </c>
      <c r="C7108" s="2" t="s">
        <v>17</v>
      </c>
      <c r="D7108" s="2" t="s">
        <v>18</v>
      </c>
      <c r="E7108" s="5">
        <v>-28865</v>
      </c>
      <c r="F7108" s="3" t="s">
        <v>136</v>
      </c>
      <c r="G7108" s="3" t="s">
        <v>137</v>
      </c>
      <c r="H7108" s="2" t="s">
        <v>21</v>
      </c>
      <c r="I7108" s="2" t="s">
        <v>14040</v>
      </c>
      <c r="J7108" s="3" t="str">
        <f>HYPERLINK("https://www.boe.es/gazeta/dias/1820/12/19/pdfs/GGB-1820-176.pdf#page=3","Abrir facsímil")</f>
        <v>Abrir facsímil</v>
      </c>
      <c r="K7108" s="3" t="s">
        <v>23</v>
      </c>
    </row>
    <row r="7109" spans="1:11" ht="42" customHeight="1">
      <c r="A7109" s="2" t="s">
        <v>14041</v>
      </c>
      <c r="B7109" s="2" t="s">
        <v>14041</v>
      </c>
      <c r="C7109" s="2" t="s">
        <v>26</v>
      </c>
      <c r="D7109" s="2" t="s">
        <v>27</v>
      </c>
      <c r="E7109" s="5">
        <v>-28984</v>
      </c>
      <c r="F7109" s="3" t="s">
        <v>520</v>
      </c>
      <c r="G7109" s="3" t="s">
        <v>62</v>
      </c>
      <c r="H7109" s="2" t="s">
        <v>21</v>
      </c>
      <c r="I7109" s="2" t="s">
        <v>14042</v>
      </c>
      <c r="J7109" s="3" t="str">
        <f>HYPERLINK("https://www.boe.es/gazeta/dias/1820/08/22/pdfs/GGB-1820-55.pdf#page=3","Abrir facsímil")</f>
        <v>Abrir facsímil</v>
      </c>
      <c r="K7109" s="3" t="s">
        <v>23</v>
      </c>
    </row>
    <row r="7110" spans="1:11" ht="42" customHeight="1">
      <c r="A7110" s="2" t="s">
        <v>14043</v>
      </c>
      <c r="B7110" s="2" t="s">
        <v>14044</v>
      </c>
      <c r="C7110" s="2" t="s">
        <v>74</v>
      </c>
      <c r="D7110" s="2" t="s">
        <v>18</v>
      </c>
      <c r="E7110" s="5">
        <v>-28938</v>
      </c>
      <c r="F7110" s="3" t="s">
        <v>716</v>
      </c>
      <c r="G7110" s="3" t="s">
        <v>62</v>
      </c>
      <c r="H7110" s="2" t="s">
        <v>21</v>
      </c>
      <c r="I7110" s="2" t="s">
        <v>14045</v>
      </c>
      <c r="J7110" s="3" t="str">
        <f>HYPERLINK("https://www.boe.es/gazeta/dias/1820/10/07/pdfs/GGB-1820-101.pdf#page=3","Abrir facsímil")</f>
        <v>Abrir facsímil</v>
      </c>
      <c r="K7110" s="3" t="s">
        <v>23</v>
      </c>
    </row>
    <row r="7111" spans="1:11" ht="42" customHeight="1">
      <c r="A7111" s="2" t="s">
        <v>14046</v>
      </c>
      <c r="B7111" s="2" t="s">
        <v>14047</v>
      </c>
      <c r="C7111" s="2" t="s">
        <v>26</v>
      </c>
      <c r="D7111" s="2" t="s">
        <v>27</v>
      </c>
      <c r="E7111" s="5">
        <v>-29131</v>
      </c>
      <c r="F7111" s="3" t="s">
        <v>1193</v>
      </c>
      <c r="G7111" s="3" t="s">
        <v>256</v>
      </c>
      <c r="H7111" s="2" t="s">
        <v>21</v>
      </c>
      <c r="I7111" s="2" t="s">
        <v>14048</v>
      </c>
      <c r="J7111" s="3" t="str">
        <f>HYPERLINK("https://www.boe.es/gazeta/dias/1820/03/28/pdfs/GMD-1820-56.pdf#page=5","Abrir facsímil")</f>
        <v>Abrir facsímil</v>
      </c>
      <c r="K7111" s="3" t="s">
        <v>23</v>
      </c>
    </row>
    <row r="7112" spans="1:11" ht="42" customHeight="1">
      <c r="A7112" s="2" t="s">
        <v>14049</v>
      </c>
      <c r="B7112" s="2" t="s">
        <v>14049</v>
      </c>
      <c r="C7112" s="2" t="s">
        <v>17</v>
      </c>
      <c r="D7112" s="2" t="s">
        <v>18</v>
      </c>
      <c r="E7112" s="5">
        <v>-28884</v>
      </c>
      <c r="F7112" s="3" t="s">
        <v>882</v>
      </c>
      <c r="G7112" s="3" t="s">
        <v>128</v>
      </c>
      <c r="H7112" s="2" t="s">
        <v>21</v>
      </c>
      <c r="I7112" s="2" t="s">
        <v>14050</v>
      </c>
      <c r="J7112" s="3" t="str">
        <f>HYPERLINK("https://www.boe.es/gazeta/dias/1820/11/30/pdfs/GGB-1820-157.pdf#page=1","Abrir facsímil")</f>
        <v>Abrir facsímil</v>
      </c>
      <c r="K7112" s="3" t="s">
        <v>23</v>
      </c>
    </row>
    <row r="7113" spans="1:11" ht="42" customHeight="1">
      <c r="A7113" s="2" t="s">
        <v>14051</v>
      </c>
      <c r="B7113" s="2" t="s">
        <v>14052</v>
      </c>
      <c r="C7113" s="2" t="s">
        <v>26</v>
      </c>
      <c r="D7113" s="2" t="s">
        <v>27</v>
      </c>
      <c r="E7113" s="5">
        <v>-29213</v>
      </c>
      <c r="F7113" s="3" t="s">
        <v>195</v>
      </c>
      <c r="G7113" s="3" t="s">
        <v>196</v>
      </c>
      <c r="H7113" s="2" t="s">
        <v>30</v>
      </c>
      <c r="I7113" s="2" t="s">
        <v>14053</v>
      </c>
      <c r="J7113" s="3" t="str">
        <f>HYPERLINK("https://www.boe.es/gazeta/dias/1820/01/06/pdfs/GMD-1820-3.pdf#page=11","Abrir facsímil")</f>
        <v>Abrir facsímil</v>
      </c>
      <c r="K7113" s="3" t="s">
        <v>32</v>
      </c>
    </row>
    <row r="7114" spans="1:11" ht="42" customHeight="1">
      <c r="A7114" s="2" t="s">
        <v>14054</v>
      </c>
      <c r="B7114" s="2" t="s">
        <v>14055</v>
      </c>
      <c r="C7114" s="2" t="s">
        <v>35</v>
      </c>
      <c r="D7114" s="2" t="s">
        <v>36</v>
      </c>
      <c r="E7114" s="5">
        <v>-28891</v>
      </c>
      <c r="F7114" s="3" t="s">
        <v>965</v>
      </c>
      <c r="G7114" s="3" t="s">
        <v>62</v>
      </c>
      <c r="H7114" s="2" t="s">
        <v>21</v>
      </c>
      <c r="I7114" s="2" t="s">
        <v>14056</v>
      </c>
      <c r="J7114" s="3" t="str">
        <f>HYPERLINK("https://www.boe.es/gazeta/dias/1820/11/23/pdfs/GGB-1820-150.pdf#page=3","Abrir facsímil")</f>
        <v>Abrir facsímil</v>
      </c>
      <c r="K7114" s="3" t="s">
        <v>23</v>
      </c>
    </row>
    <row r="7115" spans="1:11" ht="42" customHeight="1">
      <c r="A7115" s="2" t="s">
        <v>14057</v>
      </c>
      <c r="B7115" s="2" t="s">
        <v>14057</v>
      </c>
      <c r="C7115" s="2" t="s">
        <v>26</v>
      </c>
      <c r="D7115" s="2" t="s">
        <v>27</v>
      </c>
      <c r="E7115" s="5">
        <v>-29066</v>
      </c>
      <c r="F7115" s="3" t="s">
        <v>1966</v>
      </c>
      <c r="G7115" s="3" t="s">
        <v>256</v>
      </c>
      <c r="H7115" s="2" t="s">
        <v>21</v>
      </c>
      <c r="I7115" s="2" t="s">
        <v>14058</v>
      </c>
      <c r="J7115" s="3" t="str">
        <f>HYPERLINK("https://www.boe.es/gazeta/dias/1820/06/01/pdfs/GMD-1820-88.pdf#page=5","Abrir facsímil")</f>
        <v>Abrir facsímil</v>
      </c>
      <c r="K7115" s="3" t="s">
        <v>23</v>
      </c>
    </row>
    <row r="7116" spans="1:11" ht="42" customHeight="1">
      <c r="A7116" s="2" t="s">
        <v>14059</v>
      </c>
      <c r="B7116" s="2" t="s">
        <v>14059</v>
      </c>
      <c r="C7116" s="2" t="s">
        <v>26</v>
      </c>
      <c r="D7116" s="2" t="s">
        <v>27</v>
      </c>
      <c r="E7116" s="5">
        <v>-28892</v>
      </c>
      <c r="F7116" s="3" t="s">
        <v>3036</v>
      </c>
      <c r="G7116" s="3" t="s">
        <v>20</v>
      </c>
      <c r="H7116" s="2" t="s">
        <v>21</v>
      </c>
      <c r="I7116" s="2" t="s">
        <v>14060</v>
      </c>
      <c r="J7116" s="3" t="str">
        <f>HYPERLINK("https://www.boe.es/gazeta/dias/1820/11/22/pdfs/GGB-1820-149.pdf#page=4","Abrir facsímil")</f>
        <v>Abrir facsímil</v>
      </c>
      <c r="K7116" s="3" t="s">
        <v>23</v>
      </c>
    </row>
    <row r="7117" spans="1:11" ht="42" customHeight="1">
      <c r="A7117" s="2" t="s">
        <v>14061</v>
      </c>
      <c r="B7117" s="2" t="s">
        <v>14061</v>
      </c>
      <c r="C7117" s="2" t="s">
        <v>17</v>
      </c>
      <c r="D7117" s="2" t="s">
        <v>18</v>
      </c>
      <c r="E7117" s="5">
        <v>-29127</v>
      </c>
      <c r="F7117" s="3" t="s">
        <v>583</v>
      </c>
      <c r="G7117" s="3" t="s">
        <v>43</v>
      </c>
      <c r="H7117" s="2" t="s">
        <v>21</v>
      </c>
      <c r="I7117" s="2" t="s">
        <v>14062</v>
      </c>
      <c r="J7117" s="3" t="str">
        <f>HYPERLINK("https://www.boe.es/gazeta/dias/1820/04/01/pdfs/GMD-1820-59.pdf#page=2","Abrir facsímil")</f>
        <v>Abrir facsímil</v>
      </c>
      <c r="K7117" s="3" t="s">
        <v>23</v>
      </c>
    </row>
    <row r="7118" spans="1:11" ht="42" customHeight="1">
      <c r="A7118" s="2" t="s">
        <v>14063</v>
      </c>
      <c r="B7118" s="2" t="s">
        <v>14063</v>
      </c>
      <c r="C7118" s="2" t="s">
        <v>26</v>
      </c>
      <c r="D7118" s="2" t="s">
        <v>27</v>
      </c>
      <c r="E7118" s="5">
        <v>-29029</v>
      </c>
      <c r="F7118" s="3" t="s">
        <v>282</v>
      </c>
      <c r="G7118" s="3" t="s">
        <v>128</v>
      </c>
      <c r="H7118" s="2" t="s">
        <v>21</v>
      </c>
      <c r="I7118" s="2" t="s">
        <v>14064</v>
      </c>
      <c r="J7118" s="3" t="str">
        <f>HYPERLINK("https://www.boe.es/gazeta/dias/1820/07/08/pdfs/GGB-1820-9.pdf#page=1","Abrir facsímil")</f>
        <v>Abrir facsímil</v>
      </c>
      <c r="K7118" s="3" t="s">
        <v>23</v>
      </c>
    </row>
    <row r="7119" spans="1:11" ht="42" customHeight="1">
      <c r="A7119" s="2" t="s">
        <v>14065</v>
      </c>
      <c r="B7119" s="2" t="s">
        <v>14065</v>
      </c>
      <c r="C7119" s="2" t="s">
        <v>35</v>
      </c>
      <c r="D7119" s="2" t="s">
        <v>36</v>
      </c>
      <c r="E7119" s="5">
        <v>-29145</v>
      </c>
      <c r="F7119" s="3" t="s">
        <v>3537</v>
      </c>
      <c r="G7119" s="3" t="s">
        <v>20</v>
      </c>
      <c r="H7119" s="2" t="s">
        <v>21</v>
      </c>
      <c r="I7119" s="2" t="s">
        <v>14066</v>
      </c>
      <c r="J7119" s="3" t="str">
        <f>HYPERLINK("https://www.boe.es/gazeta/dias/1820/03/14/pdfs/GMD-1820-39.pdf#page=4","Abrir facsímil")</f>
        <v>Abrir facsímil</v>
      </c>
      <c r="K7119" s="3" t="s">
        <v>23</v>
      </c>
    </row>
    <row r="7120" spans="1:11" ht="42" customHeight="1">
      <c r="A7120" s="2" t="s">
        <v>14067</v>
      </c>
      <c r="B7120" s="2" t="s">
        <v>14067</v>
      </c>
      <c r="C7120" s="2" t="s">
        <v>26</v>
      </c>
      <c r="D7120" s="2" t="s">
        <v>27</v>
      </c>
      <c r="E7120" s="5">
        <v>-29166</v>
      </c>
      <c r="F7120" s="3" t="s">
        <v>799</v>
      </c>
      <c r="G7120" s="3" t="s">
        <v>20</v>
      </c>
      <c r="H7120" s="2" t="s">
        <v>21</v>
      </c>
      <c r="I7120" s="2" t="s">
        <v>14068</v>
      </c>
      <c r="J7120" s="3" t="str">
        <f>HYPERLINK("https://www.boe.es/gazeta/dias/1820/02/22/pdfs/GMD-1820-23.pdf#page=4","Abrir facsímil")</f>
        <v>Abrir facsímil</v>
      </c>
      <c r="K7120" s="3" t="s">
        <v>23</v>
      </c>
    </row>
    <row r="7121" spans="1:11" ht="42" customHeight="1">
      <c r="A7121" s="2" t="s">
        <v>14069</v>
      </c>
      <c r="B7121" s="2" t="s">
        <v>14069</v>
      </c>
      <c r="C7121" s="2" t="s">
        <v>17</v>
      </c>
      <c r="D7121" s="2" t="s">
        <v>18</v>
      </c>
      <c r="E7121" s="5">
        <v>-28857</v>
      </c>
      <c r="F7121" s="3" t="s">
        <v>889</v>
      </c>
      <c r="G7121" s="3" t="s">
        <v>62</v>
      </c>
      <c r="H7121" s="2" t="s">
        <v>21</v>
      </c>
      <c r="I7121" s="2" t="s">
        <v>14070</v>
      </c>
      <c r="J7121" s="3" t="str">
        <f>HYPERLINK("https://www.boe.es/gazeta/dias/1820/12/27/pdfs/GGB-1820-184.pdf#page=3","Abrir facsímil")</f>
        <v>Abrir facsímil</v>
      </c>
      <c r="K7121" s="3" t="s">
        <v>23</v>
      </c>
    </row>
    <row r="7122" spans="1:11" ht="42" customHeight="1">
      <c r="A7122" s="2" t="s">
        <v>14071</v>
      </c>
      <c r="B7122" s="2" t="s">
        <v>14071</v>
      </c>
      <c r="C7122" s="2" t="s">
        <v>111</v>
      </c>
      <c r="D7122" s="2" t="s">
        <v>18</v>
      </c>
      <c r="E7122" s="5">
        <v>-29071</v>
      </c>
      <c r="F7122" s="3" t="s">
        <v>329</v>
      </c>
      <c r="G7122" s="3" t="s">
        <v>13047</v>
      </c>
      <c r="H7122" s="2" t="s">
        <v>21</v>
      </c>
      <c r="I7122" s="2" t="s">
        <v>14072</v>
      </c>
      <c r="J7122" s="3" t="str">
        <f>HYPERLINK("https://www.boe.es/gazeta/dias/1820/05/27/pdfs/GMD-1820-86.pdf#page=2","Abrir facsímil")</f>
        <v>Abrir facsímil</v>
      </c>
      <c r="K7122" s="3" t="s">
        <v>23</v>
      </c>
    </row>
    <row r="7123" spans="1:11" ht="42" customHeight="1">
      <c r="A7123" s="2" t="s">
        <v>14073</v>
      </c>
      <c r="B7123" s="2" t="s">
        <v>14073</v>
      </c>
      <c r="C7123" s="2" t="s">
        <v>26</v>
      </c>
      <c r="D7123" s="2" t="s">
        <v>27</v>
      </c>
      <c r="E7123" s="5">
        <v>-28872</v>
      </c>
      <c r="F7123" s="3" t="s">
        <v>1939</v>
      </c>
      <c r="G7123" s="3" t="s">
        <v>20</v>
      </c>
      <c r="H7123" s="2" t="s">
        <v>21</v>
      </c>
      <c r="I7123" s="2" t="s">
        <v>14074</v>
      </c>
      <c r="J7123" s="3" t="str">
        <f>HYPERLINK("https://www.boe.es/gazeta/dias/1820/12/12/pdfs/GGB-1820-169.pdf#page=4","Abrir facsímil")</f>
        <v>Abrir facsímil</v>
      </c>
      <c r="K7123" s="3" t="s">
        <v>23</v>
      </c>
    </row>
    <row r="7124" spans="1:11" ht="42" customHeight="1">
      <c r="A7124" s="2" t="s">
        <v>14075</v>
      </c>
      <c r="B7124" s="2" t="s">
        <v>14076</v>
      </c>
      <c r="C7124" s="2" t="s">
        <v>17</v>
      </c>
      <c r="D7124" s="2" t="s">
        <v>18</v>
      </c>
      <c r="E7124" s="5">
        <v>-28928</v>
      </c>
      <c r="F7124" s="3" t="s">
        <v>86</v>
      </c>
      <c r="G7124" s="3" t="s">
        <v>43</v>
      </c>
      <c r="H7124" s="2" t="s">
        <v>21</v>
      </c>
      <c r="I7124" s="2" t="s">
        <v>14077</v>
      </c>
      <c r="J7124" s="3" t="str">
        <f>HYPERLINK("https://www.boe.es/gazeta/dias/1820/10/17/pdfs/GGB-1820-111.pdf#page=2","Abrir facsímil")</f>
        <v>Abrir facsímil</v>
      </c>
      <c r="K7124" s="3" t="s">
        <v>23</v>
      </c>
    </row>
    <row r="7125" spans="1:11" ht="42" customHeight="1">
      <c r="A7125" s="2" t="s">
        <v>14078</v>
      </c>
      <c r="B7125" s="2" t="s">
        <v>14079</v>
      </c>
      <c r="C7125" s="2" t="s">
        <v>26</v>
      </c>
      <c r="D7125" s="2" t="s">
        <v>27</v>
      </c>
      <c r="E7125" s="5">
        <v>-29085</v>
      </c>
      <c r="F7125" s="3" t="s">
        <v>1502</v>
      </c>
      <c r="G7125" s="3" t="s">
        <v>20</v>
      </c>
      <c r="H7125" s="2" t="s">
        <v>21</v>
      </c>
      <c r="I7125" s="2" t="s">
        <v>14080</v>
      </c>
      <c r="J7125" s="3" t="str">
        <f>HYPERLINK("https://www.boe.es/gazeta/dias/1820/05/13/pdfs/GMD-1820-79.pdf#page=4","Abrir facsímil")</f>
        <v>Abrir facsímil</v>
      </c>
      <c r="K7125" s="3" t="s">
        <v>23</v>
      </c>
    </row>
    <row r="7126" spans="1:11" ht="42" customHeight="1">
      <c r="A7126" s="2" t="s">
        <v>14081</v>
      </c>
      <c r="B7126" s="2" t="s">
        <v>14081</v>
      </c>
      <c r="C7126" s="2" t="s">
        <v>26</v>
      </c>
      <c r="D7126" s="2" t="s">
        <v>27</v>
      </c>
      <c r="E7126" s="5">
        <v>-28917</v>
      </c>
      <c r="F7126" s="3" t="s">
        <v>19</v>
      </c>
      <c r="G7126" s="3" t="s">
        <v>62</v>
      </c>
      <c r="H7126" s="2" t="s">
        <v>21</v>
      </c>
      <c r="I7126" s="2" t="s">
        <v>14082</v>
      </c>
      <c r="J7126" s="3" t="str">
        <f>HYPERLINK("https://www.boe.es/gazeta/dias/1820/10/28/pdfs/GGB-1820-122.pdf#page=3","Abrir facsímil")</f>
        <v>Abrir facsímil</v>
      </c>
      <c r="K7126" s="3" t="s">
        <v>23</v>
      </c>
    </row>
    <row r="7127" spans="1:11" ht="42" customHeight="1">
      <c r="A7127" s="2" t="s">
        <v>14083</v>
      </c>
      <c r="B7127" s="2" t="s">
        <v>14084</v>
      </c>
      <c r="C7127" s="2" t="s">
        <v>26</v>
      </c>
      <c r="D7127" s="2" t="s">
        <v>27</v>
      </c>
      <c r="E7127" s="5">
        <v>-28917</v>
      </c>
      <c r="F7127" s="3" t="s">
        <v>19</v>
      </c>
      <c r="G7127" s="3" t="s">
        <v>43</v>
      </c>
      <c r="H7127" s="2" t="s">
        <v>21</v>
      </c>
      <c r="I7127" s="2" t="s">
        <v>14085</v>
      </c>
      <c r="J7127" s="3" t="str">
        <f>HYPERLINK("https://www.boe.es/gazeta/dias/1820/10/28/pdfs/GGB-1820-122.pdf#page=2","Abrir facsímil")</f>
        <v>Abrir facsímil</v>
      </c>
      <c r="K7127" s="3" t="s">
        <v>23</v>
      </c>
    </row>
    <row r="7128" spans="1:11" ht="42" customHeight="1">
      <c r="A7128" s="2" t="s">
        <v>14086</v>
      </c>
      <c r="B7128" s="2" t="s">
        <v>14087</v>
      </c>
      <c r="C7128" s="2" t="s">
        <v>47</v>
      </c>
      <c r="D7128" s="2" t="s">
        <v>18</v>
      </c>
      <c r="E7128" s="5">
        <v>-28861</v>
      </c>
      <c r="F7128" s="3" t="s">
        <v>894</v>
      </c>
      <c r="G7128" s="3" t="s">
        <v>20</v>
      </c>
      <c r="H7128" s="2" t="s">
        <v>21</v>
      </c>
      <c r="I7128" s="2" t="s">
        <v>14088</v>
      </c>
      <c r="J7128" s="3" t="str">
        <f>HYPERLINK("https://www.boe.es/gazeta/dias/1820/12/23/pdfs/GGB-1820-180.pdf#page=4","Abrir facsímil")</f>
        <v>Abrir facsímil</v>
      </c>
      <c r="K7128" s="3" t="s">
        <v>23</v>
      </c>
    </row>
    <row r="7129" spans="1:11" ht="42" customHeight="1">
      <c r="A7129" s="2" t="s">
        <v>14089</v>
      </c>
      <c r="B7129" s="2" t="s">
        <v>14089</v>
      </c>
      <c r="C7129" s="2" t="s">
        <v>26</v>
      </c>
      <c r="D7129" s="2" t="s">
        <v>27</v>
      </c>
      <c r="E7129" s="5">
        <v>-29185</v>
      </c>
      <c r="F7129" s="3" t="s">
        <v>772</v>
      </c>
      <c r="G7129" s="3" t="s">
        <v>128</v>
      </c>
      <c r="H7129" s="2" t="s">
        <v>21</v>
      </c>
      <c r="I7129" s="2" t="s">
        <v>14090</v>
      </c>
      <c r="J7129" s="3" t="str">
        <f>HYPERLINK("https://www.boe.es/gazeta/dias/1820/02/03/pdfs/GMD-1820-15.pdf#page=1","Abrir facsímil")</f>
        <v>Abrir facsímil</v>
      </c>
      <c r="K7129" s="3" t="s">
        <v>23</v>
      </c>
    </row>
    <row r="7130" spans="1:11" ht="42" customHeight="1">
      <c r="A7130" s="2" t="s">
        <v>14091</v>
      </c>
      <c r="B7130" s="2" t="s">
        <v>14091</v>
      </c>
      <c r="C7130" s="2" t="s">
        <v>26</v>
      </c>
      <c r="D7130" s="2" t="s">
        <v>27</v>
      </c>
      <c r="E7130" s="5">
        <v>-29206</v>
      </c>
      <c r="F7130" s="3" t="s">
        <v>897</v>
      </c>
      <c r="G7130" s="3" t="s">
        <v>14092</v>
      </c>
      <c r="H7130" s="2" t="s">
        <v>21</v>
      </c>
      <c r="I7130" s="2" t="s">
        <v>14093</v>
      </c>
      <c r="J7130" s="3" t="str">
        <f>HYPERLINK("https://www.boe.es/gazeta/dias/1820/01/13/pdfs/GMD-1820-6.pdf#page=2","Abrir facsímil")</f>
        <v>Abrir facsímil</v>
      </c>
      <c r="K7130" s="3" t="s">
        <v>23</v>
      </c>
    </row>
    <row r="7131" spans="1:11" ht="42" customHeight="1">
      <c r="A7131" s="2" t="s">
        <v>14094</v>
      </c>
      <c r="B7131" s="2" t="s">
        <v>14094</v>
      </c>
      <c r="C7131" s="2" t="s">
        <v>26</v>
      </c>
      <c r="D7131" s="2" t="s">
        <v>27</v>
      </c>
      <c r="E7131" s="5">
        <v>-28996</v>
      </c>
      <c r="F7131" s="3" t="s">
        <v>636</v>
      </c>
      <c r="G7131" s="3" t="s">
        <v>128</v>
      </c>
      <c r="H7131" s="2" t="s">
        <v>21</v>
      </c>
      <c r="I7131" s="2" t="s">
        <v>14095</v>
      </c>
      <c r="J7131" s="3" t="str">
        <f>HYPERLINK("https://www.boe.es/gazeta/dias/1820/08/10/pdfs/GGB-1820-43.pdf#page=1","Abrir facsímil")</f>
        <v>Abrir facsímil</v>
      </c>
      <c r="K7131" s="3" t="s">
        <v>23</v>
      </c>
    </row>
    <row r="7132" spans="1:11" ht="42" customHeight="1">
      <c r="A7132" s="2" t="s">
        <v>14096</v>
      </c>
      <c r="B7132" s="2" t="s">
        <v>14096</v>
      </c>
      <c r="C7132" s="2" t="s">
        <v>26</v>
      </c>
      <c r="D7132" s="2" t="s">
        <v>27</v>
      </c>
      <c r="E7132" s="5">
        <v>-28872</v>
      </c>
      <c r="F7132" s="3" t="s">
        <v>1939</v>
      </c>
      <c r="G7132" s="3" t="s">
        <v>20</v>
      </c>
      <c r="H7132" s="2" t="s">
        <v>21</v>
      </c>
      <c r="I7132" s="2" t="s">
        <v>14097</v>
      </c>
      <c r="J7132" s="3" t="str">
        <f>HYPERLINK("https://www.boe.es/gazeta/dias/1820/12/12/pdfs/GGB-1820-169.pdf#page=4","Abrir facsímil")</f>
        <v>Abrir facsímil</v>
      </c>
      <c r="K7132" s="3" t="s">
        <v>23</v>
      </c>
    </row>
    <row r="7133" spans="1:11" ht="42" customHeight="1">
      <c r="A7133" s="2" t="s">
        <v>14098</v>
      </c>
      <c r="B7133" s="2" t="s">
        <v>14099</v>
      </c>
      <c r="C7133" s="2" t="s">
        <v>35</v>
      </c>
      <c r="D7133" s="2" t="s">
        <v>36</v>
      </c>
      <c r="E7133" s="5">
        <v>-29155</v>
      </c>
      <c r="F7133" s="3" t="s">
        <v>2095</v>
      </c>
      <c r="G7133" s="3" t="s">
        <v>62</v>
      </c>
      <c r="H7133" s="2" t="s">
        <v>21</v>
      </c>
      <c r="I7133" s="2" t="s">
        <v>14100</v>
      </c>
      <c r="J7133" s="3" t="str">
        <f>HYPERLINK("https://www.boe.es/gazeta/dias/1820/03/04/pdfs/GMD-1820-28.pdf#page=3","Abrir facsímil")</f>
        <v>Abrir facsímil</v>
      </c>
      <c r="K7133" s="3" t="s">
        <v>23</v>
      </c>
    </row>
    <row r="7134" spans="1:11" ht="42" customHeight="1">
      <c r="A7134" s="2" t="s">
        <v>14098</v>
      </c>
      <c r="B7134" s="2" t="s">
        <v>14099</v>
      </c>
      <c r="C7134" s="2" t="s">
        <v>107</v>
      </c>
      <c r="D7134" s="2" t="s">
        <v>18</v>
      </c>
      <c r="E7134" s="5">
        <v>-29148</v>
      </c>
      <c r="F7134" s="3" t="s">
        <v>493</v>
      </c>
      <c r="G7134" s="3" t="s">
        <v>43</v>
      </c>
      <c r="H7134" s="2" t="s">
        <v>21</v>
      </c>
      <c r="I7134" s="2" t="s">
        <v>14101</v>
      </c>
      <c r="J7134" s="3" t="str">
        <f>HYPERLINK("https://www.boe.es/gazeta/dias/1820/03/11/pdfs/GMD-1820-36.pdf#page=2","Abrir facsímil")</f>
        <v>Abrir facsímil</v>
      </c>
      <c r="K7134" s="3" t="s">
        <v>23</v>
      </c>
    </row>
    <row r="7135" spans="1:11" ht="42" customHeight="1">
      <c r="A7135" s="2" t="s">
        <v>14102</v>
      </c>
      <c r="B7135" s="2" t="s">
        <v>14102</v>
      </c>
      <c r="C7135" s="2" t="s">
        <v>17</v>
      </c>
      <c r="D7135" s="2" t="s">
        <v>18</v>
      </c>
      <c r="E7135" s="5">
        <v>-28906</v>
      </c>
      <c r="F7135" s="3" t="s">
        <v>232</v>
      </c>
      <c r="G7135" s="3" t="s">
        <v>62</v>
      </c>
      <c r="H7135" s="2" t="s">
        <v>21</v>
      </c>
      <c r="I7135" s="2" t="s">
        <v>14103</v>
      </c>
      <c r="J7135" s="3" t="str">
        <f>HYPERLINK("https://www.boe.es/gazeta/dias/1820/11/08/pdfs/GGB-1820-133.pdf#page=3","Abrir facsímil")</f>
        <v>Abrir facsímil</v>
      </c>
      <c r="K7135" s="3" t="s">
        <v>23</v>
      </c>
    </row>
    <row r="7136" spans="1:11" ht="42" customHeight="1">
      <c r="A7136" s="2" t="s">
        <v>14104</v>
      </c>
      <c r="B7136" s="2" t="s">
        <v>14104</v>
      </c>
      <c r="C7136" s="2" t="s">
        <v>35</v>
      </c>
      <c r="D7136" s="2" t="s">
        <v>36</v>
      </c>
      <c r="E7136" s="5">
        <v>-28982</v>
      </c>
      <c r="F7136" s="3" t="s">
        <v>173</v>
      </c>
      <c r="G7136" s="3" t="s">
        <v>62</v>
      </c>
      <c r="H7136" s="2" t="s">
        <v>21</v>
      </c>
      <c r="I7136" s="2" t="s">
        <v>14105</v>
      </c>
      <c r="J7136" s="3" t="str">
        <f>HYPERLINK("https://www.boe.es/gazeta/dias/1820/08/24/pdfs/GGB-1820-57.pdf#page=3","Abrir facsímil")</f>
        <v>Abrir facsímil</v>
      </c>
      <c r="K7136" s="3" t="s">
        <v>23</v>
      </c>
    </row>
    <row r="7137" spans="1:11" ht="42" customHeight="1">
      <c r="A7137" s="2" t="s">
        <v>14104</v>
      </c>
      <c r="B7137" s="2" t="s">
        <v>14104</v>
      </c>
      <c r="C7137" s="2" t="s">
        <v>17</v>
      </c>
      <c r="D7137" s="2" t="s">
        <v>18</v>
      </c>
      <c r="E7137" s="5">
        <v>-28955</v>
      </c>
      <c r="F7137" s="3" t="s">
        <v>175</v>
      </c>
      <c r="G7137" s="3" t="s">
        <v>43</v>
      </c>
      <c r="H7137" s="2" t="s">
        <v>21</v>
      </c>
      <c r="I7137" s="2" t="s">
        <v>14106</v>
      </c>
      <c r="J7137" s="3" t="str">
        <f>HYPERLINK("https://www.boe.es/gazeta/dias/1820/09/20/pdfs/GGB-1820-84.pdf#page=2","Abrir facsímil")</f>
        <v>Abrir facsímil</v>
      </c>
      <c r="K7137" s="3" t="s">
        <v>23</v>
      </c>
    </row>
    <row r="7138" spans="1:11" ht="42" customHeight="1">
      <c r="A7138" s="2" t="s">
        <v>14104</v>
      </c>
      <c r="B7138" s="2" t="s">
        <v>14104</v>
      </c>
      <c r="C7138" s="2" t="s">
        <v>17</v>
      </c>
      <c r="D7138" s="2" t="s">
        <v>18</v>
      </c>
      <c r="E7138" s="5">
        <v>-28953</v>
      </c>
      <c r="F7138" s="3" t="s">
        <v>367</v>
      </c>
      <c r="G7138" s="3" t="s">
        <v>62</v>
      </c>
      <c r="H7138" s="2" t="s">
        <v>21</v>
      </c>
      <c r="I7138" s="2" t="s">
        <v>14107</v>
      </c>
      <c r="J7138" s="3" t="str">
        <f>HYPERLINK("https://www.boe.es/gazeta/dias/1820/09/22/pdfs/GGB-1820-86.pdf#page=3","Abrir facsímil")</f>
        <v>Abrir facsímil</v>
      </c>
      <c r="K7138" s="3" t="s">
        <v>23</v>
      </c>
    </row>
    <row r="7139" spans="1:11" ht="42" customHeight="1">
      <c r="A7139" s="2" t="s">
        <v>14104</v>
      </c>
      <c r="B7139" s="2" t="s">
        <v>14104</v>
      </c>
      <c r="C7139" s="2" t="s">
        <v>17</v>
      </c>
      <c r="D7139" s="2" t="s">
        <v>18</v>
      </c>
      <c r="E7139" s="5">
        <v>-28952</v>
      </c>
      <c r="F7139" s="3" t="s">
        <v>370</v>
      </c>
      <c r="G7139" s="3" t="s">
        <v>20</v>
      </c>
      <c r="H7139" s="2" t="s">
        <v>21</v>
      </c>
      <c r="I7139" s="2" t="s">
        <v>14108</v>
      </c>
      <c r="J7139" s="3" t="str">
        <f>HYPERLINK("https://www.boe.es/gazeta/dias/1820/09/23/pdfs/GGB-1820-87.pdf#page=4","Abrir facsímil")</f>
        <v>Abrir facsímil</v>
      </c>
      <c r="K7139" s="3" t="s">
        <v>23</v>
      </c>
    </row>
    <row r="7140" spans="1:11" ht="42" customHeight="1">
      <c r="A7140" s="2" t="s">
        <v>14104</v>
      </c>
      <c r="B7140" s="2" t="s">
        <v>14104</v>
      </c>
      <c r="C7140" s="2" t="s">
        <v>26</v>
      </c>
      <c r="D7140" s="2" t="s">
        <v>27</v>
      </c>
      <c r="E7140" s="5">
        <v>-28908</v>
      </c>
      <c r="F7140" s="3" t="s">
        <v>1060</v>
      </c>
      <c r="G7140" s="3" t="s">
        <v>62</v>
      </c>
      <c r="H7140" s="2" t="s">
        <v>21</v>
      </c>
      <c r="I7140" s="2" t="s">
        <v>14109</v>
      </c>
      <c r="J7140" s="3" t="str">
        <f>HYPERLINK("https://www.boe.es/gazeta/dias/1820/11/06/pdfs/GGB-1820-131.pdf#page=3","Abrir facsímil")</f>
        <v>Abrir facsímil</v>
      </c>
      <c r="K7140" s="3" t="s">
        <v>23</v>
      </c>
    </row>
    <row r="7141" spans="1:11" ht="42" customHeight="1">
      <c r="A7141" s="2" t="s">
        <v>14110</v>
      </c>
      <c r="B7141" s="2" t="s">
        <v>14111</v>
      </c>
      <c r="C7141" s="2" t="s">
        <v>293</v>
      </c>
      <c r="D7141" s="2" t="s">
        <v>18</v>
      </c>
      <c r="E7141" s="5">
        <v>-29115</v>
      </c>
      <c r="F7141" s="3" t="s">
        <v>289</v>
      </c>
      <c r="G7141" s="3" t="s">
        <v>142</v>
      </c>
      <c r="H7141" s="2" t="s">
        <v>21</v>
      </c>
      <c r="I7141" s="2" t="s">
        <v>14112</v>
      </c>
      <c r="J7141" s="3" t="str">
        <f>HYPERLINK("https://www.boe.es/gazeta/dias/1820/04/13/pdfs/GMD-1820-65.pdf#page=8","Abrir facsímil")</f>
        <v>Abrir facsímil</v>
      </c>
      <c r="K7141" s="3" t="s">
        <v>23</v>
      </c>
    </row>
    <row r="7142" spans="1:11" ht="42" customHeight="1">
      <c r="A7142" s="2" t="s">
        <v>14113</v>
      </c>
      <c r="B7142" s="2" t="s">
        <v>14114</v>
      </c>
      <c r="C7142" s="2" t="s">
        <v>26</v>
      </c>
      <c r="D7142" s="2" t="s">
        <v>27</v>
      </c>
      <c r="E7142" s="5">
        <v>-29211</v>
      </c>
      <c r="F7142" s="3" t="s">
        <v>578</v>
      </c>
      <c r="G7142" s="3" t="s">
        <v>295</v>
      </c>
      <c r="H7142" s="2" t="s">
        <v>21</v>
      </c>
      <c r="I7142" s="2" t="s">
        <v>14115</v>
      </c>
      <c r="J7142" s="3" t="str">
        <f>HYPERLINK("https://www.boe.es/gazeta/dias/1820/01/08/pdfs/GMD-1820-4.pdf#page=8","Abrir facsímil")</f>
        <v>Abrir facsímil</v>
      </c>
      <c r="K7142" s="3" t="s">
        <v>23</v>
      </c>
    </row>
    <row r="7143" spans="1:11" ht="42" customHeight="1">
      <c r="A7143" s="2" t="s">
        <v>14113</v>
      </c>
      <c r="B7143" s="2" t="s">
        <v>14114</v>
      </c>
      <c r="C7143" s="2" t="s">
        <v>26</v>
      </c>
      <c r="D7143" s="2" t="s">
        <v>27</v>
      </c>
      <c r="E7143" s="5">
        <v>-29194</v>
      </c>
      <c r="F7143" s="3" t="s">
        <v>416</v>
      </c>
      <c r="G7143" s="3" t="s">
        <v>201</v>
      </c>
      <c r="H7143" s="2" t="s">
        <v>21</v>
      </c>
      <c r="I7143" s="2" t="s">
        <v>14116</v>
      </c>
      <c r="J7143" s="3" t="str">
        <f>HYPERLINK("https://www.boe.es/gazeta/dias/1820/01/25/pdfs/GMD-1820-11.pdf#page=7","Abrir facsímil")</f>
        <v>Abrir facsímil</v>
      </c>
      <c r="K7143" s="3" t="s">
        <v>23</v>
      </c>
    </row>
    <row r="7144" spans="1:11" ht="42" customHeight="1">
      <c r="A7144" s="2" t="s">
        <v>14113</v>
      </c>
      <c r="B7144" s="2" t="s">
        <v>14114</v>
      </c>
      <c r="C7144" s="2" t="s">
        <v>35</v>
      </c>
      <c r="D7144" s="2" t="s">
        <v>36</v>
      </c>
      <c r="E7144" s="5">
        <v>-28973</v>
      </c>
      <c r="F7144" s="3" t="s">
        <v>151</v>
      </c>
      <c r="G7144" s="3" t="s">
        <v>62</v>
      </c>
      <c r="H7144" s="2" t="s">
        <v>21</v>
      </c>
      <c r="I7144" s="2" t="s">
        <v>14117</v>
      </c>
      <c r="J7144" s="3" t="str">
        <f>HYPERLINK("https://www.boe.es/gazeta/dias/1820/09/02/pdfs/GGB-1820-66.pdf#page=3","Abrir facsímil")</f>
        <v>Abrir facsímil</v>
      </c>
      <c r="K7144" s="3" t="s">
        <v>23</v>
      </c>
    </row>
    <row r="7145" spans="1:11" ht="42" customHeight="1">
      <c r="A7145" s="2" t="s">
        <v>14113</v>
      </c>
      <c r="B7145" s="2" t="s">
        <v>14114</v>
      </c>
      <c r="C7145" s="2" t="s">
        <v>35</v>
      </c>
      <c r="D7145" s="2" t="s">
        <v>36</v>
      </c>
      <c r="E7145" s="5">
        <v>-28914</v>
      </c>
      <c r="F7145" s="3" t="s">
        <v>434</v>
      </c>
      <c r="G7145" s="3" t="s">
        <v>43</v>
      </c>
      <c r="H7145" s="2" t="s">
        <v>21</v>
      </c>
      <c r="I7145" s="2" t="s">
        <v>14118</v>
      </c>
      <c r="J7145" s="3" t="str">
        <f>HYPERLINK("https://www.boe.es/gazeta/dias/1820/10/31/pdfs/GGB-1820-125.pdf#page=2","Abrir facsímil")</f>
        <v>Abrir facsímil</v>
      </c>
      <c r="K7145" s="3" t="s">
        <v>23</v>
      </c>
    </row>
    <row r="7146" spans="1:11" ht="42" customHeight="1">
      <c r="A7146" s="2" t="s">
        <v>14113</v>
      </c>
      <c r="B7146" s="2" t="s">
        <v>14114</v>
      </c>
      <c r="C7146" s="2" t="s">
        <v>17</v>
      </c>
      <c r="D7146" s="2" t="s">
        <v>18</v>
      </c>
      <c r="E7146" s="5">
        <v>-28912</v>
      </c>
      <c r="F7146" s="3" t="s">
        <v>1329</v>
      </c>
      <c r="G7146" s="3" t="s">
        <v>1080</v>
      </c>
      <c r="H7146" s="2" t="s">
        <v>21</v>
      </c>
      <c r="I7146" s="2" t="s">
        <v>14119</v>
      </c>
      <c r="J7146" s="3" t="str">
        <f>HYPERLINK("https://www.boe.es/gazeta/dias/1820/11/02/pdfs/GGB-1820-127.pdf#page=2","Abrir facsímil")</f>
        <v>Abrir facsímil</v>
      </c>
      <c r="K7146" s="3" t="s">
        <v>23</v>
      </c>
    </row>
    <row r="7147" spans="1:11" ht="42" customHeight="1">
      <c r="A7147" s="2" t="s">
        <v>14120</v>
      </c>
      <c r="B7147" s="2" t="s">
        <v>14121</v>
      </c>
      <c r="C7147" s="2" t="s">
        <v>17</v>
      </c>
      <c r="D7147" s="2" t="s">
        <v>18</v>
      </c>
      <c r="E7147" s="5">
        <v>-28963</v>
      </c>
      <c r="F7147" s="3" t="s">
        <v>94</v>
      </c>
      <c r="G7147" s="3" t="s">
        <v>43</v>
      </c>
      <c r="H7147" s="2" t="s">
        <v>21</v>
      </c>
      <c r="I7147" s="2" t="s">
        <v>14122</v>
      </c>
      <c r="J7147" s="3" t="str">
        <f>HYPERLINK("https://www.boe.es/gazeta/dias/1820/09/12/pdfs/GGB-1820-76.pdf#page=2","Abrir facsímil")</f>
        <v>Abrir facsímil</v>
      </c>
      <c r="K7147" s="3" t="s">
        <v>23</v>
      </c>
    </row>
    <row r="7148" spans="1:11" ht="42" customHeight="1">
      <c r="A7148" s="2" t="s">
        <v>14123</v>
      </c>
      <c r="B7148" s="2" t="s">
        <v>14124</v>
      </c>
      <c r="C7148" s="2" t="s">
        <v>47</v>
      </c>
      <c r="D7148" s="2" t="s">
        <v>18</v>
      </c>
      <c r="E7148" s="5">
        <v>-28927</v>
      </c>
      <c r="F7148" s="3" t="s">
        <v>345</v>
      </c>
      <c r="G7148" s="3" t="s">
        <v>62</v>
      </c>
      <c r="H7148" s="2" t="s">
        <v>30</v>
      </c>
      <c r="I7148" s="2" t="s">
        <v>14125</v>
      </c>
      <c r="J7148" s="3" t="str">
        <f>HYPERLINK("https://www.boe.es/gazeta/dias/1820/10/18/pdfs/GGB-1820-112.pdf#page=3","Abrir facsímil")</f>
        <v>Abrir facsímil</v>
      </c>
      <c r="K7148" s="3" t="s">
        <v>32</v>
      </c>
    </row>
    <row r="7149" spans="1:11" ht="42" customHeight="1">
      <c r="A7149" s="2" t="s">
        <v>14126</v>
      </c>
      <c r="B7149" s="2" t="s">
        <v>14127</v>
      </c>
      <c r="C7149" s="2" t="s">
        <v>35</v>
      </c>
      <c r="D7149" s="2" t="s">
        <v>36</v>
      </c>
      <c r="E7149" s="5">
        <v>-29162</v>
      </c>
      <c r="F7149" s="3" t="s">
        <v>2134</v>
      </c>
      <c r="G7149" s="3" t="s">
        <v>295</v>
      </c>
      <c r="H7149" s="2" t="s">
        <v>21</v>
      </c>
      <c r="I7149" s="2" t="s">
        <v>14128</v>
      </c>
      <c r="J7149" s="3" t="str">
        <f>HYPERLINK("https://www.boe.es/gazeta/dias/1820/02/26/pdfs/GMD-1820-25.pdf#page=8","Abrir facsímil")</f>
        <v>Abrir facsímil</v>
      </c>
      <c r="K7149" s="3" t="s">
        <v>23</v>
      </c>
    </row>
    <row r="7150" spans="1:11" ht="42" customHeight="1">
      <c r="A7150" s="2" t="s">
        <v>14129</v>
      </c>
      <c r="B7150" s="2" t="s">
        <v>14130</v>
      </c>
      <c r="C7150" s="2" t="s">
        <v>17</v>
      </c>
      <c r="D7150" s="2" t="s">
        <v>18</v>
      </c>
      <c r="E7150" s="5">
        <v>-29006</v>
      </c>
      <c r="F7150" s="3" t="s">
        <v>609</v>
      </c>
      <c r="G7150" s="3" t="s">
        <v>128</v>
      </c>
      <c r="H7150" s="2" t="s">
        <v>21</v>
      </c>
      <c r="I7150" s="2" t="s">
        <v>14131</v>
      </c>
      <c r="J7150" s="3" t="str">
        <f>HYPERLINK("https://www.boe.es/gazeta/dias/1820/07/31/pdfs/GGB-1820-33.pdf#page=1","Abrir facsímil")</f>
        <v>Abrir facsímil</v>
      </c>
      <c r="K7150" s="3" t="s">
        <v>23</v>
      </c>
    </row>
    <row r="7151" spans="1:11" ht="42" customHeight="1">
      <c r="A7151" s="2" t="s">
        <v>14132</v>
      </c>
      <c r="B7151" s="2" t="s">
        <v>14133</v>
      </c>
      <c r="C7151" s="2" t="s">
        <v>26</v>
      </c>
      <c r="D7151" s="2" t="s">
        <v>27</v>
      </c>
      <c r="E7151" s="5">
        <v>-28885</v>
      </c>
      <c r="F7151" s="3" t="s">
        <v>2588</v>
      </c>
      <c r="G7151" s="3" t="s">
        <v>43</v>
      </c>
      <c r="H7151" s="2" t="s">
        <v>21</v>
      </c>
      <c r="I7151" s="2" t="s">
        <v>14134</v>
      </c>
      <c r="J7151" s="3" t="str">
        <f>HYPERLINK("https://www.boe.es/gazeta/dias/1820/11/29/pdfs/GGB-1820-156.pdf#page=2","Abrir facsímil")</f>
        <v>Abrir facsímil</v>
      </c>
      <c r="K7151" s="3" t="s">
        <v>23</v>
      </c>
    </row>
    <row r="7152" spans="1:11" ht="42" customHeight="1">
      <c r="A7152" s="2" t="s">
        <v>14135</v>
      </c>
      <c r="B7152" s="2" t="s">
        <v>14136</v>
      </c>
      <c r="C7152" s="2" t="s">
        <v>47</v>
      </c>
      <c r="D7152" s="2" t="s">
        <v>18</v>
      </c>
      <c r="E7152" s="5">
        <v>-28928</v>
      </c>
      <c r="F7152" s="3" t="s">
        <v>86</v>
      </c>
      <c r="G7152" s="3" t="s">
        <v>43</v>
      </c>
      <c r="H7152" s="2" t="s">
        <v>21</v>
      </c>
      <c r="I7152" s="2" t="s">
        <v>14137</v>
      </c>
      <c r="J7152" s="3" t="str">
        <f>HYPERLINK("https://www.boe.es/gazeta/dias/1820/10/17/pdfs/GGB-1820-111.pdf#page=2","Abrir facsímil")</f>
        <v>Abrir facsímil</v>
      </c>
      <c r="K7152" s="3" t="s">
        <v>23</v>
      </c>
    </row>
    <row r="7153" spans="1:11" ht="42" customHeight="1">
      <c r="A7153" s="2" t="s">
        <v>14138</v>
      </c>
      <c r="B7153" s="2" t="s">
        <v>14139</v>
      </c>
      <c r="C7153" s="2" t="s">
        <v>107</v>
      </c>
      <c r="D7153" s="2" t="s">
        <v>18</v>
      </c>
      <c r="E7153" s="5">
        <v>-28930</v>
      </c>
      <c r="F7153" s="3" t="s">
        <v>372</v>
      </c>
      <c r="G7153" s="3" t="s">
        <v>20</v>
      </c>
      <c r="H7153" s="2" t="s">
        <v>21</v>
      </c>
      <c r="I7153" s="2" t="s">
        <v>14140</v>
      </c>
      <c r="J7153" s="3" t="str">
        <f>HYPERLINK("https://www.boe.es/gazeta/dias/1820/10/15/pdfs/GGB-1820-109.pdf#page=4","Abrir facsímil")</f>
        <v>Abrir facsímil</v>
      </c>
      <c r="K7153" s="3" t="s">
        <v>23</v>
      </c>
    </row>
    <row r="7154" spans="1:11" ht="42" customHeight="1">
      <c r="A7154" s="2" t="s">
        <v>14141</v>
      </c>
      <c r="B7154" s="2" t="s">
        <v>14142</v>
      </c>
      <c r="C7154" s="2" t="s">
        <v>26</v>
      </c>
      <c r="D7154" s="2" t="s">
        <v>27</v>
      </c>
      <c r="E7154" s="5">
        <v>-28976</v>
      </c>
      <c r="F7154" s="3" t="s">
        <v>689</v>
      </c>
      <c r="G7154" s="3" t="s">
        <v>20</v>
      </c>
      <c r="H7154" s="2" t="s">
        <v>21</v>
      </c>
      <c r="I7154" s="2" t="s">
        <v>14143</v>
      </c>
      <c r="J7154" s="3" t="str">
        <f>HYPERLINK("https://www.boe.es/gazeta/dias/1820/08/30/pdfs/GGB-1820-63.pdf#page=4","Abrir facsímil")</f>
        <v>Abrir facsímil</v>
      </c>
      <c r="K7154" s="3" t="s">
        <v>23</v>
      </c>
    </row>
    <row r="7155" spans="1:11" ht="42" customHeight="1">
      <c r="A7155" s="2" t="s">
        <v>14144</v>
      </c>
      <c r="B7155" s="2" t="s">
        <v>14145</v>
      </c>
      <c r="C7155" s="2" t="s">
        <v>35</v>
      </c>
      <c r="D7155" s="2" t="s">
        <v>36</v>
      </c>
      <c r="E7155" s="5">
        <v>-29061</v>
      </c>
      <c r="F7155" s="3" t="s">
        <v>4467</v>
      </c>
      <c r="G7155" s="3" t="s">
        <v>295</v>
      </c>
      <c r="H7155" s="2" t="s">
        <v>21</v>
      </c>
      <c r="I7155" s="2" t="s">
        <v>14146</v>
      </c>
      <c r="J7155" s="3" t="str">
        <f>HYPERLINK("https://www.boe.es/gazeta/dias/1820/06/06/pdfs/GMD-1820-90.pdf#page=8","Abrir facsímil")</f>
        <v>Abrir facsímil</v>
      </c>
      <c r="K7155" s="3" t="s">
        <v>23</v>
      </c>
    </row>
    <row r="7156" spans="1:11" ht="42" customHeight="1">
      <c r="A7156" s="2" t="s">
        <v>14147</v>
      </c>
      <c r="B7156" s="2" t="s">
        <v>14148</v>
      </c>
      <c r="C7156" s="2" t="s">
        <v>35</v>
      </c>
      <c r="D7156" s="2" t="s">
        <v>36</v>
      </c>
      <c r="E7156" s="5">
        <v>-29078</v>
      </c>
      <c r="F7156" s="3" t="s">
        <v>260</v>
      </c>
      <c r="G7156" s="3" t="s">
        <v>479</v>
      </c>
      <c r="H7156" s="2" t="s">
        <v>21</v>
      </c>
      <c r="I7156" s="2" t="s">
        <v>14149</v>
      </c>
      <c r="J7156" s="3" t="str">
        <f>HYPERLINK("https://www.boe.es/gazeta/dias/1820/05/20/pdfs/GMD-1820-83.pdf#page=12","Abrir facsímil")</f>
        <v>Abrir facsímil</v>
      </c>
      <c r="K7156" s="3" t="s">
        <v>23</v>
      </c>
    </row>
    <row r="7157" spans="1:11" ht="42" customHeight="1">
      <c r="A7157" s="2" t="s">
        <v>14150</v>
      </c>
      <c r="B7157" s="2" t="s">
        <v>14151</v>
      </c>
      <c r="C7157" s="2" t="s">
        <v>17</v>
      </c>
      <c r="D7157" s="2" t="s">
        <v>18</v>
      </c>
      <c r="E7157" s="5">
        <v>-29166</v>
      </c>
      <c r="F7157" s="3" t="s">
        <v>799</v>
      </c>
      <c r="G7157" s="3" t="s">
        <v>201</v>
      </c>
      <c r="H7157" s="2" t="s">
        <v>21</v>
      </c>
      <c r="I7157" s="2" t="s">
        <v>14152</v>
      </c>
      <c r="J7157" s="3" t="str">
        <f>HYPERLINK("https://www.boe.es/gazeta/dias/1820/02/22/pdfs/GMD-1820-23.pdf#page=7","Abrir facsímil")</f>
        <v>Abrir facsímil</v>
      </c>
      <c r="K7157" s="3" t="s">
        <v>23</v>
      </c>
    </row>
    <row r="7158" spans="1:11" ht="42" customHeight="1">
      <c r="A7158" s="2" t="s">
        <v>14153</v>
      </c>
      <c r="B7158" s="2" t="s">
        <v>14154</v>
      </c>
      <c r="C7158" s="2" t="s">
        <v>35</v>
      </c>
      <c r="D7158" s="2" t="s">
        <v>36</v>
      </c>
      <c r="E7158" s="5">
        <v>-28996</v>
      </c>
      <c r="F7158" s="3" t="s">
        <v>636</v>
      </c>
      <c r="G7158" s="3" t="s">
        <v>1039</v>
      </c>
      <c r="H7158" s="2" t="s">
        <v>30</v>
      </c>
      <c r="I7158" s="2" t="s">
        <v>14155</v>
      </c>
      <c r="J7158" s="3" t="str">
        <f>HYPERLINK("https://www.boe.es/gazeta/dias/1820/08/10/pdfs/GGB-1820-43.pdf#page=2","Abrir facsímil")</f>
        <v>Abrir facsímil</v>
      </c>
      <c r="K7158" s="3" t="s">
        <v>32</v>
      </c>
    </row>
    <row r="7159" spans="1:11" ht="42" customHeight="1">
      <c r="A7159" s="2" t="s">
        <v>14156</v>
      </c>
      <c r="B7159" s="2" t="s">
        <v>14157</v>
      </c>
      <c r="C7159" s="2" t="s">
        <v>35</v>
      </c>
      <c r="D7159" s="2" t="s">
        <v>36</v>
      </c>
      <c r="E7159" s="5">
        <v>-28894</v>
      </c>
      <c r="F7159" s="3" t="s">
        <v>469</v>
      </c>
      <c r="G7159" s="3" t="s">
        <v>62</v>
      </c>
      <c r="H7159" s="2" t="s">
        <v>21</v>
      </c>
      <c r="I7159" s="2" t="s">
        <v>14158</v>
      </c>
      <c r="J7159" s="3" t="str">
        <f>HYPERLINK("https://www.boe.es/gazeta/dias/1820/11/20/pdfs/GGB-1820-147.pdf#page=3","Abrir facsímil")</f>
        <v>Abrir facsímil</v>
      </c>
      <c r="K7159" s="3" t="s">
        <v>23</v>
      </c>
    </row>
    <row r="7160" spans="1:11" ht="42" customHeight="1">
      <c r="A7160" s="2" t="s">
        <v>14159</v>
      </c>
      <c r="B7160" s="2" t="s">
        <v>14159</v>
      </c>
      <c r="C7160" s="2" t="s">
        <v>35</v>
      </c>
      <c r="D7160" s="2" t="s">
        <v>36</v>
      </c>
      <c r="E7160" s="5">
        <v>-28938</v>
      </c>
      <c r="F7160" s="3" t="s">
        <v>716</v>
      </c>
      <c r="G7160" s="3" t="s">
        <v>62</v>
      </c>
      <c r="H7160" s="2" t="s">
        <v>21</v>
      </c>
      <c r="I7160" s="2" t="s">
        <v>14160</v>
      </c>
      <c r="J7160" s="3" t="str">
        <f>HYPERLINK("https://www.boe.es/gazeta/dias/1820/10/07/pdfs/GGB-1820-101.pdf#page=3","Abrir facsímil")</f>
        <v>Abrir facsímil</v>
      </c>
      <c r="K7160" s="3" t="s">
        <v>23</v>
      </c>
    </row>
    <row r="7161" spans="1:11" ht="42" customHeight="1">
      <c r="A7161" s="2" t="s">
        <v>14159</v>
      </c>
      <c r="B7161" s="2" t="s">
        <v>14159</v>
      </c>
      <c r="C7161" s="2" t="s">
        <v>26</v>
      </c>
      <c r="D7161" s="2" t="s">
        <v>27</v>
      </c>
      <c r="E7161" s="5">
        <v>-28935</v>
      </c>
      <c r="F7161" s="3" t="s">
        <v>2464</v>
      </c>
      <c r="G7161" s="3" t="s">
        <v>20</v>
      </c>
      <c r="H7161" s="2" t="s">
        <v>21</v>
      </c>
      <c r="I7161" s="2" t="s">
        <v>14161</v>
      </c>
      <c r="J7161" s="3" t="str">
        <f>HYPERLINK("https://www.boe.es/gazeta/dias/1820/10/10/pdfs/GGB-1820-104.pdf#page=4","Abrir facsímil")</f>
        <v>Abrir facsímil</v>
      </c>
      <c r="K7161" s="3" t="s">
        <v>23</v>
      </c>
    </row>
    <row r="7162" spans="1:11" ht="42" customHeight="1">
      <c r="A7162" s="2" t="s">
        <v>14162</v>
      </c>
      <c r="B7162" s="2" t="s">
        <v>14162</v>
      </c>
      <c r="C7162" s="2" t="s">
        <v>74</v>
      </c>
      <c r="D7162" s="2" t="s">
        <v>18</v>
      </c>
      <c r="E7162" s="5">
        <v>-28916</v>
      </c>
      <c r="F7162" s="3" t="s">
        <v>2688</v>
      </c>
      <c r="G7162" s="3" t="s">
        <v>43</v>
      </c>
      <c r="H7162" s="2" t="s">
        <v>21</v>
      </c>
      <c r="I7162" s="2" t="s">
        <v>14163</v>
      </c>
      <c r="J7162" s="3" t="str">
        <f>HYPERLINK("https://www.boe.es/gazeta/dias/1820/10/29/pdfs/GGB-1820-123.pdf#page=2","Abrir facsímil")</f>
        <v>Abrir facsímil</v>
      </c>
      <c r="K7162" s="3" t="s">
        <v>23</v>
      </c>
    </row>
    <row r="7163" spans="1:11" ht="42" customHeight="1">
      <c r="A7163" s="2" t="s">
        <v>14164</v>
      </c>
      <c r="B7163" s="2" t="s">
        <v>14164</v>
      </c>
      <c r="C7163" s="2" t="s">
        <v>74</v>
      </c>
      <c r="D7163" s="2" t="s">
        <v>18</v>
      </c>
      <c r="E7163" s="5">
        <v>-29022</v>
      </c>
      <c r="F7163" s="3" t="s">
        <v>1310</v>
      </c>
      <c r="G7163" s="3" t="s">
        <v>62</v>
      </c>
      <c r="H7163" s="2" t="s">
        <v>21</v>
      </c>
      <c r="I7163" s="2" t="s">
        <v>14165</v>
      </c>
      <c r="J7163" s="3" t="str">
        <f>HYPERLINK("https://www.boe.es/gazeta/dias/1820/07/15/pdfs/GGB-1820-17.pdf#page=3","Abrir facsímil")</f>
        <v>Abrir facsímil</v>
      </c>
      <c r="K7163" s="3" t="s">
        <v>23</v>
      </c>
    </row>
    <row r="7164" spans="1:11" ht="42" customHeight="1">
      <c r="A7164" s="2" t="s">
        <v>14164</v>
      </c>
      <c r="B7164" s="2" t="s">
        <v>14164</v>
      </c>
      <c r="C7164" s="2" t="s">
        <v>35</v>
      </c>
      <c r="D7164" s="2" t="s">
        <v>36</v>
      </c>
      <c r="E7164" s="5">
        <v>-29014</v>
      </c>
      <c r="F7164" s="3" t="s">
        <v>70</v>
      </c>
      <c r="G7164" s="3" t="s">
        <v>62</v>
      </c>
      <c r="H7164" s="2" t="s">
        <v>21</v>
      </c>
      <c r="I7164" s="2" t="s">
        <v>14166</v>
      </c>
      <c r="J7164" s="3" t="str">
        <f>HYPERLINK("https://www.boe.es/gazeta/dias/1820/07/23/pdfs/GGB-1820-25.pdf#page=3","Abrir facsímil")</f>
        <v>Abrir facsímil</v>
      </c>
      <c r="K7164" s="3" t="s">
        <v>23</v>
      </c>
    </row>
    <row r="7165" spans="1:11" ht="42" customHeight="1">
      <c r="A7165" s="2" t="s">
        <v>14164</v>
      </c>
      <c r="B7165" s="2" t="s">
        <v>14164</v>
      </c>
      <c r="C7165" s="2" t="s">
        <v>35</v>
      </c>
      <c r="D7165" s="2" t="s">
        <v>36</v>
      </c>
      <c r="E7165" s="5">
        <v>-29012</v>
      </c>
      <c r="F7165" s="3" t="s">
        <v>72</v>
      </c>
      <c r="G7165" s="3" t="s">
        <v>661</v>
      </c>
      <c r="H7165" s="2" t="s">
        <v>21</v>
      </c>
      <c r="I7165" s="2" t="s">
        <v>14167</v>
      </c>
      <c r="J7165" s="3" t="str">
        <f>HYPERLINK("https://www.boe.es/gazeta/dias/1820/07/25/pdfs/GGB-1820-27.pdf#page=2","Abrir facsímil")</f>
        <v>Abrir facsímil</v>
      </c>
      <c r="K7165" s="3" t="s">
        <v>23</v>
      </c>
    </row>
    <row r="7166" spans="1:11" ht="42" customHeight="1">
      <c r="A7166" s="2" t="s">
        <v>14164</v>
      </c>
      <c r="B7166" s="2" t="s">
        <v>14164</v>
      </c>
      <c r="C7166" s="2" t="s">
        <v>35</v>
      </c>
      <c r="D7166" s="2" t="s">
        <v>36</v>
      </c>
      <c r="E7166" s="5">
        <v>-29010</v>
      </c>
      <c r="F7166" s="3" t="s">
        <v>664</v>
      </c>
      <c r="G7166" s="3" t="s">
        <v>773</v>
      </c>
      <c r="H7166" s="2" t="s">
        <v>21</v>
      </c>
      <c r="I7166" s="2" t="s">
        <v>14168</v>
      </c>
      <c r="J7166" s="3" t="str">
        <f>HYPERLINK("https://www.boe.es/gazeta/dias/1820/07/27/pdfs/GGB-1820-29.pdf#page=4","Abrir facsímil")</f>
        <v>Abrir facsímil</v>
      </c>
      <c r="K7166" s="3" t="s">
        <v>23</v>
      </c>
    </row>
    <row r="7167" spans="1:11" ht="42" customHeight="1">
      <c r="A7167" s="2" t="s">
        <v>14164</v>
      </c>
      <c r="B7167" s="2" t="s">
        <v>14164</v>
      </c>
      <c r="C7167" s="2" t="s">
        <v>17</v>
      </c>
      <c r="D7167" s="2" t="s">
        <v>18</v>
      </c>
      <c r="E7167" s="5">
        <v>-29008</v>
      </c>
      <c r="F7167" s="3" t="s">
        <v>2250</v>
      </c>
      <c r="G7167" s="3" t="s">
        <v>43</v>
      </c>
      <c r="H7167" s="2" t="s">
        <v>21</v>
      </c>
      <c r="I7167" s="2" t="s">
        <v>14169</v>
      </c>
      <c r="J7167" s="3" t="str">
        <f>HYPERLINK("https://www.boe.es/gazeta/dias/1820/07/29/pdfs/GGB-1820-31.pdf#page=2","Abrir facsímil")</f>
        <v>Abrir facsímil</v>
      </c>
      <c r="K7167" s="3" t="s">
        <v>23</v>
      </c>
    </row>
    <row r="7168" spans="1:11" ht="42" customHeight="1">
      <c r="A7168" s="2" t="s">
        <v>14164</v>
      </c>
      <c r="B7168" s="2" t="s">
        <v>14164</v>
      </c>
      <c r="C7168" s="2" t="s">
        <v>74</v>
      </c>
      <c r="D7168" s="2" t="s">
        <v>18</v>
      </c>
      <c r="E7168" s="5">
        <v>-29003</v>
      </c>
      <c r="F7168" s="3" t="s">
        <v>340</v>
      </c>
      <c r="G7168" s="3" t="s">
        <v>62</v>
      </c>
      <c r="H7168" s="2" t="s">
        <v>21</v>
      </c>
      <c r="I7168" s="2" t="s">
        <v>14170</v>
      </c>
      <c r="J7168" s="3" t="str">
        <f>HYPERLINK("https://www.boe.es/gazeta/dias/1820/08/03/pdfs/GGB-1820-36.pdf#page=3","Abrir facsímil")</f>
        <v>Abrir facsímil</v>
      </c>
      <c r="K7168" s="3" t="s">
        <v>23</v>
      </c>
    </row>
    <row r="7169" spans="1:11" ht="42" customHeight="1">
      <c r="A7169" s="2" t="s">
        <v>14164</v>
      </c>
      <c r="B7169" s="2" t="s">
        <v>14164</v>
      </c>
      <c r="C7169" s="2" t="s">
        <v>35</v>
      </c>
      <c r="D7169" s="2" t="s">
        <v>36</v>
      </c>
      <c r="E7169" s="5">
        <v>-29002</v>
      </c>
      <c r="F7169" s="3" t="s">
        <v>124</v>
      </c>
      <c r="G7169" s="3" t="s">
        <v>62</v>
      </c>
      <c r="H7169" s="2" t="s">
        <v>21</v>
      </c>
      <c r="I7169" s="2" t="s">
        <v>14171</v>
      </c>
      <c r="J7169" s="3" t="str">
        <f>HYPERLINK("https://www.boe.es/gazeta/dias/1820/08/04/pdfs/GGB-1820-37.pdf#page=3","Abrir facsímil")</f>
        <v>Abrir facsímil</v>
      </c>
      <c r="K7169" s="3" t="s">
        <v>23</v>
      </c>
    </row>
    <row r="7170" spans="1:11" ht="42" customHeight="1">
      <c r="A7170" s="2" t="s">
        <v>14164</v>
      </c>
      <c r="B7170" s="2" t="s">
        <v>14164</v>
      </c>
      <c r="C7170" s="2" t="s">
        <v>35</v>
      </c>
      <c r="D7170" s="2" t="s">
        <v>36</v>
      </c>
      <c r="E7170" s="5">
        <v>-29000</v>
      </c>
      <c r="F7170" s="3" t="s">
        <v>670</v>
      </c>
      <c r="G7170" s="3" t="s">
        <v>62</v>
      </c>
      <c r="H7170" s="2" t="s">
        <v>21</v>
      </c>
      <c r="I7170" s="2" t="s">
        <v>14172</v>
      </c>
      <c r="J7170" s="3" t="str">
        <f>HYPERLINK("https://www.boe.es/gazeta/dias/1820/08/06/pdfs/GGB-1820-39.pdf#page=3","Abrir facsímil")</f>
        <v>Abrir facsímil</v>
      </c>
      <c r="K7170" s="3" t="s">
        <v>23</v>
      </c>
    </row>
    <row r="7171" spans="1:11" ht="42" customHeight="1">
      <c r="A7171" s="2" t="s">
        <v>14164</v>
      </c>
      <c r="B7171" s="2" t="s">
        <v>14164</v>
      </c>
      <c r="C7171" s="2" t="s">
        <v>35</v>
      </c>
      <c r="D7171" s="2" t="s">
        <v>36</v>
      </c>
      <c r="E7171" s="5">
        <v>-28992</v>
      </c>
      <c r="F7171" s="3" t="s">
        <v>587</v>
      </c>
      <c r="G7171" s="3" t="s">
        <v>43</v>
      </c>
      <c r="H7171" s="2" t="s">
        <v>21</v>
      </c>
      <c r="I7171" s="2" t="s">
        <v>14173</v>
      </c>
      <c r="J7171" s="3" t="str">
        <f>HYPERLINK("https://www.boe.es/gazeta/dias/1820/08/14/pdfs/GGB-1820-47.pdf#page=2","Abrir facsímil")</f>
        <v>Abrir facsímil</v>
      </c>
      <c r="K7171" s="3" t="s">
        <v>23</v>
      </c>
    </row>
    <row r="7172" spans="1:11" ht="42" customHeight="1">
      <c r="A7172" s="2" t="s">
        <v>14174</v>
      </c>
      <c r="B7172" s="2" t="s">
        <v>14174</v>
      </c>
      <c r="C7172" s="2" t="s">
        <v>26</v>
      </c>
      <c r="D7172" s="2" t="s">
        <v>27</v>
      </c>
      <c r="E7172" s="5">
        <v>-28985</v>
      </c>
      <c r="F7172" s="3" t="s">
        <v>905</v>
      </c>
      <c r="G7172" s="3" t="s">
        <v>62</v>
      </c>
      <c r="H7172" s="2" t="s">
        <v>21</v>
      </c>
      <c r="I7172" s="2" t="s">
        <v>14175</v>
      </c>
      <c r="J7172" s="3" t="str">
        <f>HYPERLINK("https://www.boe.es/gazeta/dias/1820/08/21/pdfs/GGB-1820-54.pdf#page=3","Abrir facsímil")</f>
        <v>Abrir facsímil</v>
      </c>
      <c r="K7172" s="3" t="s">
        <v>23</v>
      </c>
    </row>
    <row r="7173" spans="1:11" ht="42" customHeight="1">
      <c r="A7173" s="2" t="s">
        <v>14164</v>
      </c>
      <c r="B7173" s="2" t="s">
        <v>14164</v>
      </c>
      <c r="C7173" s="2" t="s">
        <v>26</v>
      </c>
      <c r="D7173" s="2" t="s">
        <v>27</v>
      </c>
      <c r="E7173" s="5">
        <v>-28982</v>
      </c>
      <c r="F7173" s="3" t="s">
        <v>173</v>
      </c>
      <c r="G7173" s="3" t="s">
        <v>62</v>
      </c>
      <c r="H7173" s="2" t="s">
        <v>21</v>
      </c>
      <c r="I7173" s="2" t="s">
        <v>14176</v>
      </c>
      <c r="J7173" s="3" t="str">
        <f>HYPERLINK("https://www.boe.es/gazeta/dias/1820/08/24/pdfs/GGB-1820-57.pdf#page=3","Abrir facsímil")</f>
        <v>Abrir facsímil</v>
      </c>
      <c r="K7173" s="3" t="s">
        <v>23</v>
      </c>
    </row>
    <row r="7174" spans="1:11" ht="42" customHeight="1">
      <c r="A7174" s="2" t="s">
        <v>14164</v>
      </c>
      <c r="B7174" s="2" t="s">
        <v>14164</v>
      </c>
      <c r="C7174" s="2" t="s">
        <v>26</v>
      </c>
      <c r="D7174" s="2" t="s">
        <v>27</v>
      </c>
      <c r="E7174" s="5">
        <v>-28964</v>
      </c>
      <c r="F7174" s="3" t="s">
        <v>240</v>
      </c>
      <c r="G7174" s="3" t="s">
        <v>43</v>
      </c>
      <c r="H7174" s="2" t="s">
        <v>21</v>
      </c>
      <c r="I7174" s="2" t="s">
        <v>14177</v>
      </c>
      <c r="J7174" s="3" t="str">
        <f>HYPERLINK("https://www.boe.es/gazeta/dias/1820/09/11/pdfs/GGB-1820-75.pdf#page=2","Abrir facsímil")</f>
        <v>Abrir facsímil</v>
      </c>
      <c r="K7174" s="3" t="s">
        <v>23</v>
      </c>
    </row>
    <row r="7175" spans="1:11" ht="42" customHeight="1">
      <c r="A7175" s="2" t="s">
        <v>14164</v>
      </c>
      <c r="B7175" s="2" t="s">
        <v>14164</v>
      </c>
      <c r="C7175" s="2" t="s">
        <v>35</v>
      </c>
      <c r="D7175" s="2" t="s">
        <v>36</v>
      </c>
      <c r="E7175" s="5">
        <v>-28957</v>
      </c>
      <c r="F7175" s="3" t="s">
        <v>361</v>
      </c>
      <c r="G7175" s="3" t="s">
        <v>43</v>
      </c>
      <c r="H7175" s="2" t="s">
        <v>21</v>
      </c>
      <c r="I7175" s="2" t="s">
        <v>14178</v>
      </c>
      <c r="J7175" s="3" t="str">
        <f>HYPERLINK("https://www.boe.es/gazeta/dias/1820/09/18/pdfs/GGB-1820-82.pdf#page=2","Abrir facsímil")</f>
        <v>Abrir facsímil</v>
      </c>
      <c r="K7175" s="3" t="s">
        <v>23</v>
      </c>
    </row>
    <row r="7176" spans="1:11" ht="42" customHeight="1">
      <c r="A7176" s="2" t="s">
        <v>14164</v>
      </c>
      <c r="B7176" s="2" t="s">
        <v>14164</v>
      </c>
      <c r="C7176" s="2" t="s">
        <v>35</v>
      </c>
      <c r="D7176" s="2" t="s">
        <v>36</v>
      </c>
      <c r="E7176" s="5">
        <v>-28954</v>
      </c>
      <c r="F7176" s="3" t="s">
        <v>28</v>
      </c>
      <c r="G7176" s="3" t="s">
        <v>29</v>
      </c>
      <c r="H7176" s="2" t="s">
        <v>21</v>
      </c>
      <c r="I7176" s="2" t="s">
        <v>14179</v>
      </c>
      <c r="J7176" s="3" t="str">
        <f>HYPERLINK("https://www.boe.es/gazeta/dias/1820/09/21/pdfs/GGB-1820-85.pdf#page=2","Abrir facsímil")</f>
        <v>Abrir facsímil</v>
      </c>
      <c r="K7176" s="3" t="s">
        <v>23</v>
      </c>
    </row>
    <row r="7177" spans="1:11" ht="42" customHeight="1">
      <c r="A7177" s="2" t="s">
        <v>14164</v>
      </c>
      <c r="B7177" s="2" t="s">
        <v>14164</v>
      </c>
      <c r="C7177" s="2" t="s">
        <v>74</v>
      </c>
      <c r="D7177" s="2" t="s">
        <v>18</v>
      </c>
      <c r="E7177" s="5">
        <v>-28947</v>
      </c>
      <c r="F7177" s="3" t="s">
        <v>127</v>
      </c>
      <c r="G7177" s="3" t="s">
        <v>20</v>
      </c>
      <c r="H7177" s="2" t="s">
        <v>21</v>
      </c>
      <c r="I7177" s="2" t="s">
        <v>14180</v>
      </c>
      <c r="J7177" s="3" t="str">
        <f>HYPERLINK("https://www.boe.es/gazeta/dias/1820/09/28/pdfs/GGB-1820-92.pdf#page=4","Abrir facsímil")</f>
        <v>Abrir facsímil</v>
      </c>
      <c r="K7177" s="3" t="s">
        <v>23</v>
      </c>
    </row>
    <row r="7178" spans="1:11" ht="42" customHeight="1">
      <c r="A7178" s="2" t="s">
        <v>14164</v>
      </c>
      <c r="B7178" s="2" t="s">
        <v>14164</v>
      </c>
      <c r="C7178" s="2" t="s">
        <v>293</v>
      </c>
      <c r="D7178" s="2" t="s">
        <v>18</v>
      </c>
      <c r="E7178" s="5">
        <v>-28944</v>
      </c>
      <c r="F7178" s="3" t="s">
        <v>990</v>
      </c>
      <c r="G7178" s="3" t="s">
        <v>1174</v>
      </c>
      <c r="H7178" s="2" t="s">
        <v>21</v>
      </c>
      <c r="I7178" s="2" t="s">
        <v>14181</v>
      </c>
      <c r="J7178" s="3" t="str">
        <f>HYPERLINK("https://www.boe.es/gazeta/dias/1820/10/01/pdfs/GGB-1820-95.pdf#page=4","Abrir facsímil")</f>
        <v>Abrir facsímil</v>
      </c>
      <c r="K7178" s="3" t="s">
        <v>23</v>
      </c>
    </row>
    <row r="7179" spans="1:11" ht="42" customHeight="1">
      <c r="A7179" s="2" t="s">
        <v>14164</v>
      </c>
      <c r="B7179" s="2" t="s">
        <v>14164</v>
      </c>
      <c r="C7179" s="2" t="s">
        <v>17</v>
      </c>
      <c r="D7179" s="2" t="s">
        <v>18</v>
      </c>
      <c r="E7179" s="5">
        <v>-28943</v>
      </c>
      <c r="F7179" s="3" t="s">
        <v>1403</v>
      </c>
      <c r="G7179" s="3" t="s">
        <v>1710</v>
      </c>
      <c r="H7179" s="2" t="s">
        <v>21</v>
      </c>
      <c r="I7179" s="2" t="s">
        <v>14182</v>
      </c>
      <c r="J7179" s="3" t="str">
        <f>HYPERLINK("https://www.boe.es/gazeta/dias/1820/10/02/pdfs/GGB-1820-96.pdf#page=4","Abrir facsímil")</f>
        <v>Abrir facsímil</v>
      </c>
      <c r="K7179" s="3" t="s">
        <v>23</v>
      </c>
    </row>
    <row r="7180" spans="1:11" ht="42" customHeight="1">
      <c r="A7180" s="2" t="s">
        <v>14164</v>
      </c>
      <c r="B7180" s="2" t="s">
        <v>14164</v>
      </c>
      <c r="C7180" s="2" t="s">
        <v>26</v>
      </c>
      <c r="D7180" s="2" t="s">
        <v>27</v>
      </c>
      <c r="E7180" s="5">
        <v>-28941</v>
      </c>
      <c r="F7180" s="3" t="s">
        <v>1727</v>
      </c>
      <c r="G7180" s="3" t="s">
        <v>43</v>
      </c>
      <c r="H7180" s="2" t="s">
        <v>21</v>
      </c>
      <c r="I7180" s="2" t="s">
        <v>14183</v>
      </c>
      <c r="J7180" s="3" t="str">
        <f>HYPERLINK("https://www.boe.es/gazeta/dias/1820/10/04/pdfs/GGB-1820-98.pdf#page=2","Abrir facsímil")</f>
        <v>Abrir facsímil</v>
      </c>
      <c r="K7180" s="3" t="s">
        <v>23</v>
      </c>
    </row>
    <row r="7181" spans="1:11" ht="42" customHeight="1">
      <c r="A7181" s="2" t="s">
        <v>14164</v>
      </c>
      <c r="B7181" s="2" t="s">
        <v>14164</v>
      </c>
      <c r="C7181" s="2" t="s">
        <v>26</v>
      </c>
      <c r="D7181" s="2" t="s">
        <v>27</v>
      </c>
      <c r="E7181" s="5">
        <v>-28939</v>
      </c>
      <c r="F7181" s="3" t="s">
        <v>992</v>
      </c>
      <c r="G7181" s="3" t="s">
        <v>62</v>
      </c>
      <c r="H7181" s="2" t="s">
        <v>21</v>
      </c>
      <c r="I7181" s="2" t="s">
        <v>14184</v>
      </c>
      <c r="J7181" s="3" t="str">
        <f>HYPERLINK("https://www.boe.es/gazeta/dias/1820/10/06/pdfs/GGB-1820-100.pdf#page=3","Abrir facsímil")</f>
        <v>Abrir facsímil</v>
      </c>
      <c r="K7181" s="3" t="s">
        <v>23</v>
      </c>
    </row>
    <row r="7182" spans="1:11" ht="42" customHeight="1">
      <c r="A7182" s="2" t="s">
        <v>14174</v>
      </c>
      <c r="B7182" s="2" t="s">
        <v>14174</v>
      </c>
      <c r="C7182" s="2" t="s">
        <v>17</v>
      </c>
      <c r="D7182" s="2" t="s">
        <v>18</v>
      </c>
      <c r="E7182" s="5">
        <v>-28933</v>
      </c>
      <c r="F7182" s="3" t="s">
        <v>720</v>
      </c>
      <c r="G7182" s="3" t="s">
        <v>43</v>
      </c>
      <c r="H7182" s="2" t="s">
        <v>21</v>
      </c>
      <c r="I7182" s="2" t="s">
        <v>14185</v>
      </c>
      <c r="J7182" s="3" t="str">
        <f>HYPERLINK("https://www.boe.es/gazeta/dias/1820/10/12/pdfs/GGB-1820-106.pdf#page=2","Abrir facsímil")</f>
        <v>Abrir facsímil</v>
      </c>
      <c r="K7182" s="3" t="s">
        <v>23</v>
      </c>
    </row>
    <row r="7183" spans="1:11" ht="42" customHeight="1">
      <c r="A7183" s="2" t="s">
        <v>14174</v>
      </c>
      <c r="B7183" s="2" t="s">
        <v>14174</v>
      </c>
      <c r="C7183" s="2" t="s">
        <v>74</v>
      </c>
      <c r="D7183" s="2" t="s">
        <v>18</v>
      </c>
      <c r="E7183" s="5">
        <v>-28933</v>
      </c>
      <c r="F7183" s="3" t="s">
        <v>720</v>
      </c>
      <c r="G7183" s="3" t="s">
        <v>62</v>
      </c>
      <c r="H7183" s="2" t="s">
        <v>21</v>
      </c>
      <c r="I7183" s="2" t="s">
        <v>14186</v>
      </c>
      <c r="J7183" s="3" t="str">
        <f>HYPERLINK("https://www.boe.es/gazeta/dias/1820/10/12/pdfs/GGB-1820-106.pdf#page=3","Abrir facsímil")</f>
        <v>Abrir facsímil</v>
      </c>
      <c r="K7183" s="3" t="s">
        <v>23</v>
      </c>
    </row>
    <row r="7184" spans="1:11" ht="42" customHeight="1">
      <c r="A7184" s="2" t="s">
        <v>14164</v>
      </c>
      <c r="B7184" s="2" t="s">
        <v>14164</v>
      </c>
      <c r="C7184" s="2" t="s">
        <v>47</v>
      </c>
      <c r="D7184" s="2" t="s">
        <v>18</v>
      </c>
      <c r="E7184" s="5">
        <v>-28933</v>
      </c>
      <c r="F7184" s="3" t="s">
        <v>720</v>
      </c>
      <c r="G7184" s="3" t="s">
        <v>20</v>
      </c>
      <c r="H7184" s="2" t="s">
        <v>21</v>
      </c>
      <c r="I7184" s="2" t="s">
        <v>14187</v>
      </c>
      <c r="J7184" s="3" t="str">
        <f>HYPERLINK("https://www.boe.es/gazeta/dias/1820/10/12/pdfs/GGB-1820-106.pdf#page=4","Abrir facsímil")</f>
        <v>Abrir facsímil</v>
      </c>
      <c r="K7184" s="3" t="s">
        <v>23</v>
      </c>
    </row>
    <row r="7185" spans="1:11" ht="42" customHeight="1">
      <c r="A7185" s="2" t="s">
        <v>14164</v>
      </c>
      <c r="B7185" s="2" t="s">
        <v>14164</v>
      </c>
      <c r="C7185" s="2" t="s">
        <v>74</v>
      </c>
      <c r="D7185" s="2" t="s">
        <v>18</v>
      </c>
      <c r="E7185" s="5">
        <v>-28931</v>
      </c>
      <c r="F7185" s="3" t="s">
        <v>724</v>
      </c>
      <c r="G7185" s="3" t="s">
        <v>43</v>
      </c>
      <c r="H7185" s="2" t="s">
        <v>21</v>
      </c>
      <c r="I7185" s="2" t="s">
        <v>14188</v>
      </c>
      <c r="J7185" s="3" t="str">
        <f>HYPERLINK("https://www.boe.es/gazeta/dias/1820/10/14/pdfs/GGB-1820-108.pdf#page=2","Abrir facsímil")</f>
        <v>Abrir facsímil</v>
      </c>
      <c r="K7185" s="3" t="s">
        <v>23</v>
      </c>
    </row>
    <row r="7186" spans="1:11" ht="42" customHeight="1">
      <c r="A7186" s="2" t="s">
        <v>14164</v>
      </c>
      <c r="B7186" s="2" t="s">
        <v>14164</v>
      </c>
      <c r="C7186" s="2" t="s">
        <v>35</v>
      </c>
      <c r="D7186" s="2" t="s">
        <v>36</v>
      </c>
      <c r="E7186" s="5">
        <v>-28926</v>
      </c>
      <c r="F7186" s="3" t="s">
        <v>597</v>
      </c>
      <c r="G7186" s="3" t="s">
        <v>43</v>
      </c>
      <c r="H7186" s="2" t="s">
        <v>21</v>
      </c>
      <c r="I7186" s="2" t="s">
        <v>14189</v>
      </c>
      <c r="J7186" s="3" t="str">
        <f>HYPERLINK("https://www.boe.es/gazeta/dias/1820/10/19/pdfs/GGB-1820-113.pdf#page=2","Abrir facsímil")</f>
        <v>Abrir facsímil</v>
      </c>
      <c r="K7186" s="3" t="s">
        <v>23</v>
      </c>
    </row>
    <row r="7187" spans="1:11" ht="42" customHeight="1">
      <c r="A7187" s="2" t="s">
        <v>14174</v>
      </c>
      <c r="B7187" s="2" t="s">
        <v>14174</v>
      </c>
      <c r="C7187" s="2" t="s">
        <v>35</v>
      </c>
      <c r="D7187" s="2" t="s">
        <v>36</v>
      </c>
      <c r="E7187" s="5">
        <v>-28925</v>
      </c>
      <c r="F7187" s="3" t="s">
        <v>228</v>
      </c>
      <c r="G7187" s="3" t="s">
        <v>62</v>
      </c>
      <c r="H7187" s="2" t="s">
        <v>21</v>
      </c>
      <c r="I7187" s="2" t="s">
        <v>14190</v>
      </c>
      <c r="J7187" s="3" t="str">
        <f>HYPERLINK("https://www.boe.es/gazeta/dias/1820/10/20/pdfs/GGB-1820-114.pdf#page=3","Abrir facsímil")</f>
        <v>Abrir facsímil</v>
      </c>
      <c r="K7187" s="3" t="s">
        <v>23</v>
      </c>
    </row>
    <row r="7188" spans="1:11" ht="42" customHeight="1">
      <c r="A7188" s="2" t="s">
        <v>14164</v>
      </c>
      <c r="B7188" s="2" t="s">
        <v>14164</v>
      </c>
      <c r="C7188" s="2" t="s">
        <v>17</v>
      </c>
      <c r="D7188" s="2" t="s">
        <v>18</v>
      </c>
      <c r="E7188" s="5">
        <v>-28918</v>
      </c>
      <c r="F7188" s="3" t="s">
        <v>160</v>
      </c>
      <c r="G7188" s="3" t="s">
        <v>62</v>
      </c>
      <c r="H7188" s="2" t="s">
        <v>21</v>
      </c>
      <c r="I7188" s="2" t="s">
        <v>14191</v>
      </c>
      <c r="J7188" s="3" t="str">
        <f>HYPERLINK("https://www.boe.es/gazeta/dias/1820/10/27/pdfs/GGB-1820-121.pdf#page=3","Abrir facsímil")</f>
        <v>Abrir facsímil</v>
      </c>
      <c r="K7188" s="3" t="s">
        <v>23</v>
      </c>
    </row>
    <row r="7189" spans="1:11" ht="42" customHeight="1">
      <c r="A7189" s="2" t="s">
        <v>14164</v>
      </c>
      <c r="B7189" s="2" t="s">
        <v>14164</v>
      </c>
      <c r="C7189" s="2" t="s">
        <v>26</v>
      </c>
      <c r="D7189" s="2" t="s">
        <v>27</v>
      </c>
      <c r="E7189" s="5">
        <v>-28915</v>
      </c>
      <c r="F7189" s="3" t="s">
        <v>525</v>
      </c>
      <c r="G7189" s="3" t="s">
        <v>43</v>
      </c>
      <c r="H7189" s="2" t="s">
        <v>21</v>
      </c>
      <c r="I7189" s="2" t="s">
        <v>14192</v>
      </c>
      <c r="J7189" s="3" t="str">
        <f>HYPERLINK("https://www.boe.es/gazeta/dias/1820/10/30/pdfs/GGB-1820-124.pdf#page=2","Abrir facsímil")</f>
        <v>Abrir facsímil</v>
      </c>
      <c r="K7189" s="3" t="s">
        <v>23</v>
      </c>
    </row>
    <row r="7190" spans="1:11" ht="42" customHeight="1">
      <c r="A7190" s="2" t="s">
        <v>14164</v>
      </c>
      <c r="B7190" s="2" t="s">
        <v>14164</v>
      </c>
      <c r="C7190" s="2" t="s">
        <v>47</v>
      </c>
      <c r="D7190" s="2" t="s">
        <v>18</v>
      </c>
      <c r="E7190" s="5">
        <v>-28914</v>
      </c>
      <c r="F7190" s="3" t="s">
        <v>434</v>
      </c>
      <c r="G7190" s="3" t="s">
        <v>62</v>
      </c>
      <c r="H7190" s="2" t="s">
        <v>21</v>
      </c>
      <c r="I7190" s="2" t="s">
        <v>14193</v>
      </c>
      <c r="J7190" s="3" t="str">
        <f>HYPERLINK("https://www.boe.es/gazeta/dias/1820/10/31/pdfs/GGB-1820-125.pdf#page=3","Abrir facsímil")</f>
        <v>Abrir facsímil</v>
      </c>
      <c r="K7190" s="3" t="s">
        <v>23</v>
      </c>
    </row>
    <row r="7191" spans="1:11" ht="42" customHeight="1">
      <c r="A7191" s="2" t="s">
        <v>14164</v>
      </c>
      <c r="B7191" s="2" t="s">
        <v>14164</v>
      </c>
      <c r="C7191" s="2" t="s">
        <v>74</v>
      </c>
      <c r="D7191" s="2" t="s">
        <v>18</v>
      </c>
      <c r="E7191" s="5">
        <v>-28913</v>
      </c>
      <c r="F7191" s="3" t="s">
        <v>230</v>
      </c>
      <c r="G7191" s="3" t="s">
        <v>62</v>
      </c>
      <c r="H7191" s="2" t="s">
        <v>21</v>
      </c>
      <c r="I7191" s="2" t="s">
        <v>14194</v>
      </c>
      <c r="J7191" s="3" t="str">
        <f>HYPERLINK("https://www.boe.es/gazeta/dias/1820/11/01/pdfs/GGB-1820-126.pdf#page=3","Abrir facsímil")</f>
        <v>Abrir facsímil</v>
      </c>
      <c r="K7191" s="3" t="s">
        <v>23</v>
      </c>
    </row>
    <row r="7192" spans="1:11" ht="42" customHeight="1">
      <c r="A7192" s="2" t="s">
        <v>14164</v>
      </c>
      <c r="B7192" s="2" t="s">
        <v>14164</v>
      </c>
      <c r="C7192" s="2" t="s">
        <v>74</v>
      </c>
      <c r="D7192" s="2" t="s">
        <v>18</v>
      </c>
      <c r="E7192" s="5">
        <v>-28912</v>
      </c>
      <c r="F7192" s="3" t="s">
        <v>1329</v>
      </c>
      <c r="G7192" s="3" t="s">
        <v>62</v>
      </c>
      <c r="H7192" s="2" t="s">
        <v>21</v>
      </c>
      <c r="I7192" s="2" t="s">
        <v>14195</v>
      </c>
      <c r="J7192" s="3" t="str">
        <f>HYPERLINK("https://www.boe.es/gazeta/dias/1820/11/02/pdfs/GGB-1820-127.pdf#page=3","Abrir facsímil")</f>
        <v>Abrir facsímil</v>
      </c>
      <c r="K7192" s="3" t="s">
        <v>23</v>
      </c>
    </row>
    <row r="7193" spans="1:11" ht="42" customHeight="1">
      <c r="A7193" s="2" t="s">
        <v>14164</v>
      </c>
      <c r="B7193" s="2" t="s">
        <v>14164</v>
      </c>
      <c r="C7193" s="2" t="s">
        <v>26</v>
      </c>
      <c r="D7193" s="2" t="s">
        <v>27</v>
      </c>
      <c r="E7193" s="5">
        <v>-28911</v>
      </c>
      <c r="F7193" s="3" t="s">
        <v>82</v>
      </c>
      <c r="G7193" s="3" t="s">
        <v>20</v>
      </c>
      <c r="H7193" s="2" t="s">
        <v>21</v>
      </c>
      <c r="I7193" s="2" t="s">
        <v>14196</v>
      </c>
      <c r="J7193" s="3" t="str">
        <f>HYPERLINK("https://www.boe.es/gazeta/dias/1820/11/03/pdfs/GGB-1820-128.pdf#page=4","Abrir facsímil")</f>
        <v>Abrir facsímil</v>
      </c>
      <c r="K7193" s="3" t="s">
        <v>23</v>
      </c>
    </row>
    <row r="7194" spans="1:11" ht="42" customHeight="1">
      <c r="A7194" s="2" t="s">
        <v>14164</v>
      </c>
      <c r="B7194" s="2" t="s">
        <v>14164</v>
      </c>
      <c r="C7194" s="2" t="s">
        <v>26</v>
      </c>
      <c r="D7194" s="2" t="s">
        <v>27</v>
      </c>
      <c r="E7194" s="5">
        <v>-28910</v>
      </c>
      <c r="F7194" s="3" t="s">
        <v>746</v>
      </c>
      <c r="G7194" s="3" t="s">
        <v>20</v>
      </c>
      <c r="H7194" s="2" t="s">
        <v>21</v>
      </c>
      <c r="I7194" s="2" t="s">
        <v>14197</v>
      </c>
      <c r="J7194" s="3" t="str">
        <f>HYPERLINK("https://www.boe.es/gazeta/dias/1820/11/04/pdfs/GGB-1820-129.pdf#page=4","Abrir facsímil")</f>
        <v>Abrir facsímil</v>
      </c>
      <c r="K7194" s="3" t="s">
        <v>23</v>
      </c>
    </row>
    <row r="7195" spans="1:11" ht="42" customHeight="1">
      <c r="A7195" s="2" t="s">
        <v>14198</v>
      </c>
      <c r="B7195" s="2" t="s">
        <v>14199</v>
      </c>
      <c r="C7195" s="2" t="s">
        <v>107</v>
      </c>
      <c r="D7195" s="2" t="s">
        <v>18</v>
      </c>
      <c r="E7195" s="5">
        <v>-29025</v>
      </c>
      <c r="F7195" s="3" t="s">
        <v>902</v>
      </c>
      <c r="G7195" s="3" t="s">
        <v>20</v>
      </c>
      <c r="H7195" s="2" t="s">
        <v>21</v>
      </c>
      <c r="I7195" s="2" t="s">
        <v>14200</v>
      </c>
      <c r="J7195" s="3" t="str">
        <f>HYPERLINK("https://www.boe.es/gazeta/dias/1820/07/12/pdfs/GGB-1820-14.pdf#page=4","Abrir facsímil")</f>
        <v>Abrir facsímil</v>
      </c>
      <c r="K7195" s="3" t="s">
        <v>23</v>
      </c>
    </row>
    <row r="7196" spans="1:11" ht="42" customHeight="1">
      <c r="A7196" s="2" t="s">
        <v>14201</v>
      </c>
      <c r="B7196" s="2" t="s">
        <v>14201</v>
      </c>
      <c r="C7196" s="2" t="s">
        <v>17</v>
      </c>
      <c r="D7196" s="2" t="s">
        <v>18</v>
      </c>
      <c r="E7196" s="5">
        <v>-28970</v>
      </c>
      <c r="F7196" s="3" t="s">
        <v>693</v>
      </c>
      <c r="G7196" s="3" t="s">
        <v>43</v>
      </c>
      <c r="H7196" s="2" t="s">
        <v>21</v>
      </c>
      <c r="I7196" s="2" t="s">
        <v>14202</v>
      </c>
      <c r="J7196" s="3" t="str">
        <f>HYPERLINK("https://www.boe.es/gazeta/dias/1820/09/05/pdfs/GGB-1820-69.pdf#page=2","Abrir facsímil")</f>
        <v>Abrir facsímil</v>
      </c>
      <c r="K7196" s="3" t="s">
        <v>23</v>
      </c>
    </row>
    <row r="7197" spans="1:11" ht="42" customHeight="1">
      <c r="A7197" s="2" t="s">
        <v>14203</v>
      </c>
      <c r="B7197" s="2" t="s">
        <v>14204</v>
      </c>
      <c r="C7197" s="2" t="s">
        <v>26</v>
      </c>
      <c r="D7197" s="2" t="s">
        <v>27</v>
      </c>
      <c r="E7197" s="5">
        <v>-28873</v>
      </c>
      <c r="F7197" s="3" t="s">
        <v>4997</v>
      </c>
      <c r="G7197" s="3" t="s">
        <v>20</v>
      </c>
      <c r="H7197" s="2" t="s">
        <v>21</v>
      </c>
      <c r="I7197" s="2" t="s">
        <v>14205</v>
      </c>
      <c r="J7197" s="3" t="str">
        <f>HYPERLINK("https://www.boe.es/gazeta/dias/1820/12/11/pdfs/GGB-1820-168.pdf#page=4","Abrir facsímil")</f>
        <v>Abrir facsímil</v>
      </c>
      <c r="K7197" s="3" t="s">
        <v>23</v>
      </c>
    </row>
    <row r="7198" spans="1:11" ht="42" customHeight="1">
      <c r="A7198" s="2" t="s">
        <v>14206</v>
      </c>
      <c r="B7198" s="2" t="s">
        <v>14207</v>
      </c>
      <c r="C7198" s="2" t="s">
        <v>35</v>
      </c>
      <c r="D7198" s="2" t="s">
        <v>36</v>
      </c>
      <c r="E7198" s="5">
        <v>-29016</v>
      </c>
      <c r="F7198" s="3" t="s">
        <v>657</v>
      </c>
      <c r="G7198" s="3" t="s">
        <v>20</v>
      </c>
      <c r="H7198" s="2" t="s">
        <v>21</v>
      </c>
      <c r="I7198" s="2" t="s">
        <v>14208</v>
      </c>
      <c r="J7198" s="3" t="str">
        <f>HYPERLINK("https://www.boe.es/gazeta/dias/1820/07/21/pdfs/GGB-1820-23.pdf#page=4","Abrir facsímil")</f>
        <v>Abrir facsímil</v>
      </c>
      <c r="K7198" s="3" t="s">
        <v>23</v>
      </c>
    </row>
    <row r="7199" spans="1:11" ht="42" customHeight="1">
      <c r="A7199" s="2" t="s">
        <v>14209</v>
      </c>
      <c r="B7199" s="2" t="s">
        <v>14210</v>
      </c>
      <c r="C7199" s="2" t="s">
        <v>26</v>
      </c>
      <c r="D7199" s="2" t="s">
        <v>27</v>
      </c>
      <c r="E7199" s="5">
        <v>-29015</v>
      </c>
      <c r="F7199" s="3" t="s">
        <v>359</v>
      </c>
      <c r="G7199" s="3" t="s">
        <v>20</v>
      </c>
      <c r="H7199" s="2" t="s">
        <v>21</v>
      </c>
      <c r="I7199" s="2" t="s">
        <v>14211</v>
      </c>
      <c r="J7199" s="3" t="str">
        <f>HYPERLINK("https://www.boe.es/gazeta/dias/1820/07/22/pdfs/GGB-1820-24.pdf#page=4","Abrir facsímil")</f>
        <v>Abrir facsímil</v>
      </c>
      <c r="K7199" s="3" t="s">
        <v>23</v>
      </c>
    </row>
    <row r="7200" spans="1:11" ht="42" customHeight="1">
      <c r="A7200" s="2" t="s">
        <v>14206</v>
      </c>
      <c r="B7200" s="2" t="s">
        <v>14207</v>
      </c>
      <c r="C7200" s="2" t="s">
        <v>35</v>
      </c>
      <c r="D7200" s="2" t="s">
        <v>36</v>
      </c>
      <c r="E7200" s="5">
        <v>-28944</v>
      </c>
      <c r="F7200" s="3" t="s">
        <v>990</v>
      </c>
      <c r="G7200" s="3" t="s">
        <v>1174</v>
      </c>
      <c r="H7200" s="2" t="s">
        <v>21</v>
      </c>
      <c r="I7200" s="2" t="s">
        <v>14212</v>
      </c>
      <c r="J7200" s="3" t="str">
        <f>HYPERLINK("https://www.boe.es/gazeta/dias/1820/10/01/pdfs/GGB-1820-95.pdf#page=4","Abrir facsímil")</f>
        <v>Abrir facsímil</v>
      </c>
      <c r="K7200" s="3" t="s">
        <v>23</v>
      </c>
    </row>
    <row r="7201" spans="1:11" ht="42" customHeight="1">
      <c r="A7201" s="2" t="s">
        <v>14209</v>
      </c>
      <c r="B7201" s="2" t="s">
        <v>14210</v>
      </c>
      <c r="C7201" s="2" t="s">
        <v>35</v>
      </c>
      <c r="D7201" s="2" t="s">
        <v>36</v>
      </c>
      <c r="E7201" s="5">
        <v>-28942</v>
      </c>
      <c r="F7201" s="3" t="s">
        <v>244</v>
      </c>
      <c r="G7201" s="3" t="s">
        <v>20</v>
      </c>
      <c r="H7201" s="2" t="s">
        <v>21</v>
      </c>
      <c r="I7201" s="2" t="s">
        <v>14213</v>
      </c>
      <c r="J7201" s="3" t="str">
        <f>HYPERLINK("https://www.boe.es/gazeta/dias/1820/10/03/pdfs/GGB-1820-97.pdf#page=4","Abrir facsímil")</f>
        <v>Abrir facsímil</v>
      </c>
      <c r="K7201" s="3" t="s">
        <v>23</v>
      </c>
    </row>
    <row r="7202" spans="1:11" ht="42" customHeight="1">
      <c r="A7202" s="2" t="s">
        <v>14209</v>
      </c>
      <c r="B7202" s="2" t="s">
        <v>14210</v>
      </c>
      <c r="C7202" s="2" t="s">
        <v>35</v>
      </c>
      <c r="D7202" s="2" t="s">
        <v>36</v>
      </c>
      <c r="E7202" s="5">
        <v>-28930</v>
      </c>
      <c r="F7202" s="3" t="s">
        <v>372</v>
      </c>
      <c r="G7202" s="3" t="s">
        <v>20</v>
      </c>
      <c r="H7202" s="2" t="s">
        <v>21</v>
      </c>
      <c r="I7202" s="2" t="s">
        <v>14214</v>
      </c>
      <c r="J7202" s="3" t="str">
        <f>HYPERLINK("https://www.boe.es/gazeta/dias/1820/10/15/pdfs/GGB-1820-109.pdf#page=4","Abrir facsímil")</f>
        <v>Abrir facsímil</v>
      </c>
      <c r="K7202" s="3" t="s">
        <v>23</v>
      </c>
    </row>
    <row r="7203" spans="1:11" ht="42" customHeight="1">
      <c r="A7203" s="2" t="s">
        <v>14209</v>
      </c>
      <c r="B7203" s="2" t="s">
        <v>14210</v>
      </c>
      <c r="C7203" s="2" t="s">
        <v>26</v>
      </c>
      <c r="D7203" s="2" t="s">
        <v>27</v>
      </c>
      <c r="E7203" s="5">
        <v>-28912</v>
      </c>
      <c r="F7203" s="3" t="s">
        <v>1329</v>
      </c>
      <c r="G7203" s="3" t="s">
        <v>20</v>
      </c>
      <c r="H7203" s="2" t="s">
        <v>21</v>
      </c>
      <c r="I7203" s="2" t="s">
        <v>14215</v>
      </c>
      <c r="J7203" s="3" t="str">
        <f>HYPERLINK("https://www.boe.es/gazeta/dias/1820/11/02/pdfs/GGB-1820-127.pdf#page=4","Abrir facsímil")</f>
        <v>Abrir facsímil</v>
      </c>
      <c r="K7203" s="3" t="s">
        <v>23</v>
      </c>
    </row>
    <row r="7204" spans="1:11" ht="42" customHeight="1">
      <c r="A7204" s="2" t="s">
        <v>14209</v>
      </c>
      <c r="B7204" s="2" t="s">
        <v>14210</v>
      </c>
      <c r="C7204" s="2" t="s">
        <v>35</v>
      </c>
      <c r="D7204" s="2" t="s">
        <v>36</v>
      </c>
      <c r="E7204" s="5">
        <v>-28901</v>
      </c>
      <c r="F7204" s="3" t="s">
        <v>1492</v>
      </c>
      <c r="G7204" s="3" t="s">
        <v>20</v>
      </c>
      <c r="H7204" s="2" t="s">
        <v>21</v>
      </c>
      <c r="I7204" s="2" t="s">
        <v>14216</v>
      </c>
      <c r="J7204" s="3" t="str">
        <f>HYPERLINK("https://www.boe.es/gazeta/dias/1820/11/13/pdfs/GGB-1820-139.pdf#page=4","Abrir facsímil")</f>
        <v>Abrir facsímil</v>
      </c>
      <c r="K7204" s="3" t="s">
        <v>23</v>
      </c>
    </row>
    <row r="7205" spans="1:11" ht="42" customHeight="1">
      <c r="A7205" s="2" t="s">
        <v>14209</v>
      </c>
      <c r="B7205" s="2" t="s">
        <v>14210</v>
      </c>
      <c r="C7205" s="2" t="s">
        <v>26</v>
      </c>
      <c r="D7205" s="2" t="s">
        <v>27</v>
      </c>
      <c r="E7205" s="5">
        <v>-28864</v>
      </c>
      <c r="F7205" s="3" t="s">
        <v>1275</v>
      </c>
      <c r="G7205" s="3" t="s">
        <v>38</v>
      </c>
      <c r="H7205" s="2" t="s">
        <v>21</v>
      </c>
      <c r="I7205" s="2" t="s">
        <v>14217</v>
      </c>
      <c r="J7205" s="3" t="str">
        <f>HYPERLINK("https://www.boe.es/gazeta/dias/1820/12/20/pdfs/GGB-1820-177.pdf#page=6","Abrir facsímil")</f>
        <v>Abrir facsímil</v>
      </c>
      <c r="K7205" s="3" t="s">
        <v>23</v>
      </c>
    </row>
    <row r="7206" spans="1:11" ht="42" customHeight="1">
      <c r="A7206" s="2" t="s">
        <v>14218</v>
      </c>
      <c r="B7206" s="2" t="s">
        <v>14219</v>
      </c>
      <c r="C7206" s="2" t="s">
        <v>26</v>
      </c>
      <c r="D7206" s="2" t="s">
        <v>27</v>
      </c>
      <c r="E7206" s="5">
        <v>-28956</v>
      </c>
      <c r="F7206" s="3" t="s">
        <v>190</v>
      </c>
      <c r="G7206" s="3" t="s">
        <v>20</v>
      </c>
      <c r="H7206" s="2" t="s">
        <v>21</v>
      </c>
      <c r="I7206" s="2" t="s">
        <v>14220</v>
      </c>
      <c r="J7206" s="3" t="str">
        <f>HYPERLINK("https://www.boe.es/gazeta/dias/1820/09/19/pdfs/GGB-1820-83.pdf#page=4","Abrir facsímil")</f>
        <v>Abrir facsímil</v>
      </c>
      <c r="K7206" s="3" t="s">
        <v>23</v>
      </c>
    </row>
    <row r="7207" spans="1:11" ht="42" customHeight="1">
      <c r="A7207" s="2" t="s">
        <v>14221</v>
      </c>
      <c r="B7207" s="2" t="s">
        <v>14222</v>
      </c>
      <c r="C7207" s="2" t="s">
        <v>35</v>
      </c>
      <c r="D7207" s="2" t="s">
        <v>36</v>
      </c>
      <c r="E7207" s="5">
        <v>-29092</v>
      </c>
      <c r="F7207" s="3" t="s">
        <v>1261</v>
      </c>
      <c r="G7207" s="3" t="s">
        <v>295</v>
      </c>
      <c r="H7207" s="2" t="s">
        <v>21</v>
      </c>
      <c r="I7207" s="2" t="s">
        <v>14223</v>
      </c>
      <c r="J7207" s="3" t="str">
        <f>HYPERLINK("https://www.boe.es/gazeta/dias/1820/05/06/pdfs/GMD-1820-76.pdf#page=8","Abrir facsímil")</f>
        <v>Abrir facsímil</v>
      </c>
      <c r="K7207" s="3" t="s">
        <v>23</v>
      </c>
    </row>
    <row r="7208" spans="1:11" ht="42" customHeight="1">
      <c r="A7208" s="2" t="s">
        <v>14224</v>
      </c>
      <c r="B7208" s="2" t="s">
        <v>14225</v>
      </c>
      <c r="C7208" s="2" t="s">
        <v>35</v>
      </c>
      <c r="D7208" s="2" t="s">
        <v>36</v>
      </c>
      <c r="E7208" s="5">
        <v>-28924</v>
      </c>
      <c r="F7208" s="3" t="s">
        <v>78</v>
      </c>
      <c r="G7208" s="3" t="s">
        <v>20</v>
      </c>
      <c r="H7208" s="2" t="s">
        <v>21</v>
      </c>
      <c r="I7208" s="2" t="s">
        <v>14226</v>
      </c>
      <c r="J7208" s="3" t="str">
        <f>HYPERLINK("https://www.boe.es/gazeta/dias/1820/10/21/pdfs/GGB-1820-115.pdf#page=4","Abrir facsímil")</f>
        <v>Abrir facsímil</v>
      </c>
      <c r="K7208" s="3" t="s">
        <v>23</v>
      </c>
    </row>
    <row r="7209" spans="1:11" ht="42" customHeight="1">
      <c r="A7209" s="2" t="s">
        <v>14227</v>
      </c>
      <c r="B7209" s="2" t="s">
        <v>14227</v>
      </c>
      <c r="C7209" s="2" t="s">
        <v>35</v>
      </c>
      <c r="D7209" s="2" t="s">
        <v>36</v>
      </c>
      <c r="E7209" s="5">
        <v>-29011</v>
      </c>
      <c r="F7209" s="3" t="s">
        <v>338</v>
      </c>
      <c r="G7209" s="3" t="s">
        <v>62</v>
      </c>
      <c r="H7209" s="2" t="s">
        <v>21</v>
      </c>
      <c r="I7209" s="2" t="s">
        <v>14228</v>
      </c>
      <c r="J7209" s="3" t="str">
        <f>HYPERLINK("https://www.boe.es/gazeta/dias/1820/07/26/pdfs/GGB-1820-28.pdf#page=3","Abrir facsímil")</f>
        <v>Abrir facsímil</v>
      </c>
      <c r="K7209" s="3" t="s">
        <v>23</v>
      </c>
    </row>
    <row r="7210" spans="1:11" ht="42" customHeight="1">
      <c r="A7210" s="2" t="s">
        <v>14227</v>
      </c>
      <c r="B7210" s="2" t="s">
        <v>14227</v>
      </c>
      <c r="C7210" s="2" t="s">
        <v>293</v>
      </c>
      <c r="D7210" s="2" t="s">
        <v>18</v>
      </c>
      <c r="E7210" s="5">
        <v>-28988</v>
      </c>
      <c r="F7210" s="3" t="s">
        <v>618</v>
      </c>
      <c r="G7210" s="3" t="s">
        <v>62</v>
      </c>
      <c r="H7210" s="2" t="s">
        <v>21</v>
      </c>
      <c r="I7210" s="2" t="s">
        <v>14229</v>
      </c>
      <c r="J7210" s="3" t="str">
        <f>HYPERLINK("https://www.boe.es/gazeta/dias/1820/08/18/pdfs/GGB-1820-51.pdf#page=3","Abrir facsímil")</f>
        <v>Abrir facsímil</v>
      </c>
      <c r="K7210" s="3" t="s">
        <v>23</v>
      </c>
    </row>
    <row r="7211" spans="1:11" ht="42" customHeight="1">
      <c r="A7211" s="2" t="s">
        <v>14227</v>
      </c>
      <c r="B7211" s="2" t="s">
        <v>14227</v>
      </c>
      <c r="C7211" s="2" t="s">
        <v>26</v>
      </c>
      <c r="D7211" s="2" t="s">
        <v>27</v>
      </c>
      <c r="E7211" s="5">
        <v>-28970</v>
      </c>
      <c r="F7211" s="3" t="s">
        <v>693</v>
      </c>
      <c r="G7211" s="3" t="s">
        <v>1678</v>
      </c>
      <c r="H7211" s="2" t="s">
        <v>21</v>
      </c>
      <c r="I7211" s="2" t="s">
        <v>14230</v>
      </c>
      <c r="J7211" s="3" t="str">
        <f>HYPERLINK("https://www.boe.es/gazeta/dias/1820/09/05/pdfs/GGB-1820-69.pdf#page=4","Abrir facsímil")</f>
        <v>Abrir facsímil</v>
      </c>
      <c r="K7211" s="3" t="s">
        <v>23</v>
      </c>
    </row>
    <row r="7212" spans="1:11" ht="42" customHeight="1">
      <c r="A7212" s="2" t="s">
        <v>14227</v>
      </c>
      <c r="B7212" s="2" t="s">
        <v>14227</v>
      </c>
      <c r="C7212" s="2" t="s">
        <v>17</v>
      </c>
      <c r="D7212" s="2" t="s">
        <v>18</v>
      </c>
      <c r="E7212" s="5">
        <v>-28934</v>
      </c>
      <c r="F7212" s="3" t="s">
        <v>163</v>
      </c>
      <c r="G7212" s="3" t="s">
        <v>1539</v>
      </c>
      <c r="H7212" s="2" t="s">
        <v>21</v>
      </c>
      <c r="I7212" s="2" t="s">
        <v>14231</v>
      </c>
      <c r="J7212" s="3" t="str">
        <f>HYPERLINK("https://www.boe.es/gazeta/dias/1820/10/11/pdfs/GGB-1820-105.pdf#page=2","Abrir facsímil")</f>
        <v>Abrir facsímil</v>
      </c>
      <c r="K7212" s="3" t="s">
        <v>23</v>
      </c>
    </row>
    <row r="7213" spans="1:11" ht="42" customHeight="1">
      <c r="A7213" s="2" t="s">
        <v>14232</v>
      </c>
      <c r="B7213" s="2" t="s">
        <v>14233</v>
      </c>
      <c r="C7213" s="2" t="s">
        <v>35</v>
      </c>
      <c r="D7213" s="2" t="s">
        <v>36</v>
      </c>
      <c r="E7213" s="5">
        <v>-29092</v>
      </c>
      <c r="F7213" s="3" t="s">
        <v>1261</v>
      </c>
      <c r="G7213" s="3" t="s">
        <v>295</v>
      </c>
      <c r="H7213" s="2" t="s">
        <v>21</v>
      </c>
      <c r="I7213" s="2" t="s">
        <v>14234</v>
      </c>
      <c r="J7213" s="3" t="str">
        <f>HYPERLINK("https://www.boe.es/gazeta/dias/1820/05/06/pdfs/GMD-1820-76.pdf#page=8","Abrir facsímil")</f>
        <v>Abrir facsímil</v>
      </c>
      <c r="K7213" s="3" t="s">
        <v>23</v>
      </c>
    </row>
    <row r="7214" spans="1:11" ht="42" customHeight="1">
      <c r="A7214" s="2" t="s">
        <v>14235</v>
      </c>
      <c r="B7214" s="2" t="s">
        <v>14236</v>
      </c>
      <c r="C7214" s="2" t="s">
        <v>26</v>
      </c>
      <c r="D7214" s="2" t="s">
        <v>27</v>
      </c>
      <c r="E7214" s="5">
        <v>-28976</v>
      </c>
      <c r="F7214" s="3" t="s">
        <v>689</v>
      </c>
      <c r="G7214" s="3" t="s">
        <v>62</v>
      </c>
      <c r="H7214" s="2" t="s">
        <v>21</v>
      </c>
      <c r="I7214" s="2" t="s">
        <v>14237</v>
      </c>
      <c r="J7214" s="3" t="str">
        <f>HYPERLINK("https://www.boe.es/gazeta/dias/1820/08/30/pdfs/GGB-1820-63.pdf#page=3","Abrir facsímil")</f>
        <v>Abrir facsímil</v>
      </c>
      <c r="K7214" s="3" t="s">
        <v>23</v>
      </c>
    </row>
    <row r="7215" spans="1:11" ht="42" customHeight="1">
      <c r="A7215" s="2" t="s">
        <v>14238</v>
      </c>
      <c r="B7215" s="2" t="s">
        <v>14238</v>
      </c>
      <c r="C7215" s="2" t="s">
        <v>26</v>
      </c>
      <c r="D7215" s="2" t="s">
        <v>27</v>
      </c>
      <c r="E7215" s="5">
        <v>-28994</v>
      </c>
      <c r="F7215" s="3" t="s">
        <v>1612</v>
      </c>
      <c r="G7215" s="3" t="s">
        <v>62</v>
      </c>
      <c r="H7215" s="2" t="s">
        <v>21</v>
      </c>
      <c r="I7215" s="2" t="s">
        <v>14239</v>
      </c>
      <c r="J7215" s="3" t="str">
        <f>HYPERLINK("https://www.boe.es/gazeta/dias/1820/08/12/pdfs/GGB-1820-45.pdf#page=3","Abrir facsímil")</f>
        <v>Abrir facsímil</v>
      </c>
      <c r="K7215" s="3" t="s">
        <v>23</v>
      </c>
    </row>
    <row r="7216" spans="1:11" ht="42" customHeight="1">
      <c r="A7216" s="2" t="s">
        <v>14240</v>
      </c>
      <c r="B7216" s="2" t="s">
        <v>14240</v>
      </c>
      <c r="C7216" s="2" t="s">
        <v>26</v>
      </c>
      <c r="D7216" s="2" t="s">
        <v>27</v>
      </c>
      <c r="E7216" s="5">
        <v>-28919</v>
      </c>
      <c r="F7216" s="3" t="s">
        <v>516</v>
      </c>
      <c r="G7216" s="3" t="s">
        <v>43</v>
      </c>
      <c r="H7216" s="2" t="s">
        <v>21</v>
      </c>
      <c r="I7216" s="2" t="s">
        <v>14241</v>
      </c>
      <c r="J7216" s="3" t="str">
        <f>HYPERLINK("https://www.boe.es/gazeta/dias/1820/10/26/pdfs/GGB-1820-120.pdf#page=2","Abrir facsímil")</f>
        <v>Abrir facsímil</v>
      </c>
      <c r="K7216" s="3" t="s">
        <v>23</v>
      </c>
    </row>
    <row r="7217" spans="1:11" ht="42" customHeight="1">
      <c r="A7217" s="2" t="s">
        <v>14242</v>
      </c>
      <c r="B7217" s="2" t="s">
        <v>14242</v>
      </c>
      <c r="C7217" s="2" t="s">
        <v>74</v>
      </c>
      <c r="D7217" s="2" t="s">
        <v>18</v>
      </c>
      <c r="E7217" s="5">
        <v>-28972</v>
      </c>
      <c r="F7217" s="3" t="s">
        <v>522</v>
      </c>
      <c r="G7217" s="3" t="s">
        <v>62</v>
      </c>
      <c r="H7217" s="2" t="s">
        <v>21</v>
      </c>
      <c r="I7217" s="2" t="s">
        <v>14243</v>
      </c>
      <c r="J7217" s="3" t="str">
        <f>HYPERLINK("https://www.boe.es/gazeta/dias/1820/09/03/pdfs/GGB-1820-67.pdf#page=3","Abrir facsímil")</f>
        <v>Abrir facsímil</v>
      </c>
      <c r="K7217" s="3" t="s">
        <v>23</v>
      </c>
    </row>
    <row r="7218" spans="1:11" ht="42" customHeight="1">
      <c r="A7218" s="2" t="s">
        <v>14244</v>
      </c>
      <c r="B7218" s="2" t="s">
        <v>14244</v>
      </c>
      <c r="C7218" s="2" t="s">
        <v>35</v>
      </c>
      <c r="D7218" s="2" t="s">
        <v>36</v>
      </c>
      <c r="E7218" s="5">
        <v>-29018</v>
      </c>
      <c r="F7218" s="3" t="s">
        <v>601</v>
      </c>
      <c r="G7218" s="3" t="s">
        <v>62</v>
      </c>
      <c r="H7218" s="2" t="s">
        <v>21</v>
      </c>
      <c r="I7218" s="2" t="s">
        <v>14245</v>
      </c>
      <c r="J7218" s="3" t="str">
        <f>HYPERLINK("https://www.boe.es/gazeta/dias/1820/07/19/pdfs/GGB-1820-21.pdf#page=3","Abrir facsímil")</f>
        <v>Abrir facsímil</v>
      </c>
      <c r="K7218" s="3" t="s">
        <v>23</v>
      </c>
    </row>
    <row r="7219" spans="1:11" ht="42" customHeight="1">
      <c r="A7219" s="2" t="s">
        <v>14244</v>
      </c>
      <c r="B7219" s="2" t="s">
        <v>14244</v>
      </c>
      <c r="C7219" s="2" t="s">
        <v>17</v>
      </c>
      <c r="D7219" s="2" t="s">
        <v>18</v>
      </c>
      <c r="E7219" s="5">
        <v>-29014</v>
      </c>
      <c r="F7219" s="3" t="s">
        <v>70</v>
      </c>
      <c r="G7219" s="3" t="s">
        <v>62</v>
      </c>
      <c r="H7219" s="2" t="s">
        <v>21</v>
      </c>
      <c r="I7219" s="2" t="s">
        <v>14246</v>
      </c>
      <c r="J7219" s="3" t="str">
        <f>HYPERLINK("https://www.boe.es/gazeta/dias/1820/07/23/pdfs/GGB-1820-25.pdf#page=3","Abrir facsímil")</f>
        <v>Abrir facsímil</v>
      </c>
      <c r="K7219" s="3" t="s">
        <v>23</v>
      </c>
    </row>
    <row r="7220" spans="1:11" ht="42" customHeight="1">
      <c r="A7220" s="2" t="s">
        <v>14244</v>
      </c>
      <c r="B7220" s="2" t="s">
        <v>14244</v>
      </c>
      <c r="C7220" s="2" t="s">
        <v>74</v>
      </c>
      <c r="D7220" s="2" t="s">
        <v>18</v>
      </c>
      <c r="E7220" s="5">
        <v>-29012</v>
      </c>
      <c r="F7220" s="3" t="s">
        <v>72</v>
      </c>
      <c r="G7220" s="3" t="s">
        <v>62</v>
      </c>
      <c r="H7220" s="2" t="s">
        <v>21</v>
      </c>
      <c r="I7220" s="2" t="s">
        <v>14247</v>
      </c>
      <c r="J7220" s="3" t="str">
        <f>HYPERLINK("https://www.boe.es/gazeta/dias/1820/07/25/pdfs/GGB-1820-27.pdf#page=3","Abrir facsímil")</f>
        <v>Abrir facsímil</v>
      </c>
      <c r="K7220" s="3" t="s">
        <v>23</v>
      </c>
    </row>
    <row r="7221" spans="1:11" ht="42" customHeight="1">
      <c r="A7221" s="2" t="s">
        <v>14244</v>
      </c>
      <c r="B7221" s="2" t="s">
        <v>14244</v>
      </c>
      <c r="C7221" s="2" t="s">
        <v>293</v>
      </c>
      <c r="D7221" s="2" t="s">
        <v>18</v>
      </c>
      <c r="E7221" s="5">
        <v>-29009</v>
      </c>
      <c r="F7221" s="3" t="s">
        <v>605</v>
      </c>
      <c r="G7221" s="3" t="s">
        <v>62</v>
      </c>
      <c r="H7221" s="2" t="s">
        <v>21</v>
      </c>
      <c r="I7221" s="2" t="s">
        <v>14248</v>
      </c>
      <c r="J7221" s="3" t="str">
        <f>HYPERLINK("https://www.boe.es/gazeta/dias/1820/07/28/pdfs/GGB-1820-30.pdf#page=3","Abrir facsímil")</f>
        <v>Abrir facsímil</v>
      </c>
      <c r="K7221" s="3" t="s">
        <v>23</v>
      </c>
    </row>
    <row r="7222" spans="1:11" ht="42" customHeight="1">
      <c r="A7222" s="2" t="s">
        <v>14244</v>
      </c>
      <c r="B7222" s="2" t="s">
        <v>14244</v>
      </c>
      <c r="C7222" s="2" t="s">
        <v>26</v>
      </c>
      <c r="D7222" s="2" t="s">
        <v>27</v>
      </c>
      <c r="E7222" s="5">
        <v>-29003</v>
      </c>
      <c r="F7222" s="3" t="s">
        <v>340</v>
      </c>
      <c r="G7222" s="3" t="s">
        <v>20</v>
      </c>
      <c r="H7222" s="2" t="s">
        <v>21</v>
      </c>
      <c r="I7222" s="2" t="s">
        <v>14249</v>
      </c>
      <c r="J7222" s="3" t="str">
        <f>HYPERLINK("https://www.boe.es/gazeta/dias/1820/08/03/pdfs/GGB-1820-36.pdf#page=4","Abrir facsímil")</f>
        <v>Abrir facsímil</v>
      </c>
      <c r="K7222" s="3" t="s">
        <v>23</v>
      </c>
    </row>
    <row r="7223" spans="1:11" ht="42" customHeight="1">
      <c r="A7223" s="2" t="s">
        <v>14244</v>
      </c>
      <c r="B7223" s="2" t="s">
        <v>14244</v>
      </c>
      <c r="C7223" s="2" t="s">
        <v>26</v>
      </c>
      <c r="D7223" s="2" t="s">
        <v>27</v>
      </c>
      <c r="E7223" s="5">
        <v>-29002</v>
      </c>
      <c r="F7223" s="3" t="s">
        <v>124</v>
      </c>
      <c r="G7223" s="3" t="s">
        <v>20</v>
      </c>
      <c r="H7223" s="2" t="s">
        <v>21</v>
      </c>
      <c r="I7223" s="2" t="s">
        <v>14250</v>
      </c>
      <c r="J7223" s="3" t="str">
        <f>HYPERLINK("https://www.boe.es/gazeta/dias/1820/08/04/pdfs/GGB-1820-37.pdf#page=4","Abrir facsímil")</f>
        <v>Abrir facsímil</v>
      </c>
      <c r="K7223" s="3" t="s">
        <v>23</v>
      </c>
    </row>
    <row r="7224" spans="1:11" ht="42" customHeight="1">
      <c r="A7224" s="2" t="s">
        <v>14244</v>
      </c>
      <c r="B7224" s="2" t="s">
        <v>14244</v>
      </c>
      <c r="C7224" s="2" t="s">
        <v>26</v>
      </c>
      <c r="D7224" s="2" t="s">
        <v>27</v>
      </c>
      <c r="E7224" s="5">
        <v>-28998</v>
      </c>
      <c r="F7224" s="3" t="s">
        <v>629</v>
      </c>
      <c r="G7224" s="3" t="s">
        <v>62</v>
      </c>
      <c r="H7224" s="2" t="s">
        <v>21</v>
      </c>
      <c r="I7224" s="2" t="s">
        <v>14251</v>
      </c>
      <c r="J7224" s="3" t="str">
        <f>HYPERLINK("https://www.boe.es/gazeta/dias/1820/08/08/pdfs/GGB-1820-41.pdf#page=3","Abrir facsímil")</f>
        <v>Abrir facsímil</v>
      </c>
      <c r="K7224" s="3" t="s">
        <v>23</v>
      </c>
    </row>
    <row r="7225" spans="1:11" ht="42" customHeight="1">
      <c r="A7225" s="2" t="s">
        <v>14244</v>
      </c>
      <c r="B7225" s="2" t="s">
        <v>14244</v>
      </c>
      <c r="C7225" s="2" t="s">
        <v>74</v>
      </c>
      <c r="D7225" s="2" t="s">
        <v>18</v>
      </c>
      <c r="E7225" s="5">
        <v>-28994</v>
      </c>
      <c r="F7225" s="3" t="s">
        <v>1612</v>
      </c>
      <c r="G7225" s="3" t="s">
        <v>62</v>
      </c>
      <c r="H7225" s="2" t="s">
        <v>21</v>
      </c>
      <c r="I7225" s="2" t="s">
        <v>14252</v>
      </c>
      <c r="J7225" s="3" t="str">
        <f>HYPERLINK("https://www.boe.es/gazeta/dias/1820/08/12/pdfs/GGB-1820-45.pdf#page=3","Abrir facsímil")</f>
        <v>Abrir facsímil</v>
      </c>
      <c r="K7225" s="3" t="s">
        <v>23</v>
      </c>
    </row>
    <row r="7226" spans="1:11" ht="42" customHeight="1">
      <c r="A7226" s="2" t="s">
        <v>14244</v>
      </c>
      <c r="B7226" s="2" t="s">
        <v>14244</v>
      </c>
      <c r="C7226" s="2" t="s">
        <v>17</v>
      </c>
      <c r="D7226" s="2" t="s">
        <v>18</v>
      </c>
      <c r="E7226" s="5">
        <v>-28994</v>
      </c>
      <c r="F7226" s="3" t="s">
        <v>1612</v>
      </c>
      <c r="G7226" s="3" t="s">
        <v>20</v>
      </c>
      <c r="H7226" s="2" t="s">
        <v>21</v>
      </c>
      <c r="I7226" s="2" t="s">
        <v>14253</v>
      </c>
      <c r="J7226" s="3" t="str">
        <f>HYPERLINK("https://www.boe.es/gazeta/dias/1820/08/12/pdfs/GGB-1820-45.pdf#page=4","Abrir facsímil")</f>
        <v>Abrir facsímil</v>
      </c>
      <c r="K7226" s="3" t="s">
        <v>23</v>
      </c>
    </row>
    <row r="7227" spans="1:11" ht="42" customHeight="1">
      <c r="A7227" s="2" t="s">
        <v>14244</v>
      </c>
      <c r="B7227" s="2" t="s">
        <v>14244</v>
      </c>
      <c r="C7227" s="2" t="s">
        <v>293</v>
      </c>
      <c r="D7227" s="2" t="s">
        <v>18</v>
      </c>
      <c r="E7227" s="5">
        <v>-28993</v>
      </c>
      <c r="F7227" s="3" t="s">
        <v>465</v>
      </c>
      <c r="G7227" s="3" t="s">
        <v>62</v>
      </c>
      <c r="H7227" s="2" t="s">
        <v>21</v>
      </c>
      <c r="I7227" s="2" t="s">
        <v>14254</v>
      </c>
      <c r="J7227" s="3" t="str">
        <f>HYPERLINK("https://www.boe.es/gazeta/dias/1820/08/13/pdfs/GGB-1820-46.pdf#page=3","Abrir facsímil")</f>
        <v>Abrir facsímil</v>
      </c>
      <c r="K7227" s="3" t="s">
        <v>23</v>
      </c>
    </row>
    <row r="7228" spans="1:11" ht="42" customHeight="1">
      <c r="A7228" s="2" t="s">
        <v>14244</v>
      </c>
      <c r="B7228" s="2" t="s">
        <v>14244</v>
      </c>
      <c r="C7228" s="2" t="s">
        <v>26</v>
      </c>
      <c r="D7228" s="2" t="s">
        <v>27</v>
      </c>
      <c r="E7228" s="5">
        <v>-28991</v>
      </c>
      <c r="F7228" s="3" t="s">
        <v>213</v>
      </c>
      <c r="G7228" s="3" t="s">
        <v>675</v>
      </c>
      <c r="H7228" s="2" t="s">
        <v>21</v>
      </c>
      <c r="I7228" s="2" t="s">
        <v>14255</v>
      </c>
      <c r="J7228" s="3" t="str">
        <f>HYPERLINK("https://www.boe.es/gazeta/dias/1820/08/15/pdfs/GGB-1820-48.pdf#page=4","Abrir facsímil")</f>
        <v>Abrir facsímil</v>
      </c>
      <c r="K7228" s="3" t="s">
        <v>23</v>
      </c>
    </row>
    <row r="7229" spans="1:11" ht="42" customHeight="1">
      <c r="A7229" s="2" t="s">
        <v>14244</v>
      </c>
      <c r="B7229" s="2" t="s">
        <v>14244</v>
      </c>
      <c r="C7229" s="2" t="s">
        <v>35</v>
      </c>
      <c r="D7229" s="2" t="s">
        <v>36</v>
      </c>
      <c r="E7229" s="5">
        <v>-28991</v>
      </c>
      <c r="F7229" s="3" t="s">
        <v>213</v>
      </c>
      <c r="G7229" s="3" t="s">
        <v>62</v>
      </c>
      <c r="H7229" s="2" t="s">
        <v>21</v>
      </c>
      <c r="I7229" s="2" t="s">
        <v>14256</v>
      </c>
      <c r="J7229" s="3" t="str">
        <f>HYPERLINK("https://www.boe.es/gazeta/dias/1820/08/15/pdfs/GGB-1820-48.pdf#page=3","Abrir facsímil")</f>
        <v>Abrir facsímil</v>
      </c>
      <c r="K7229" s="3" t="s">
        <v>23</v>
      </c>
    </row>
    <row r="7230" spans="1:11" ht="42" customHeight="1">
      <c r="A7230" s="2" t="s">
        <v>14244</v>
      </c>
      <c r="B7230" s="2" t="s">
        <v>14244</v>
      </c>
      <c r="C7230" s="2" t="s">
        <v>26</v>
      </c>
      <c r="D7230" s="2" t="s">
        <v>27</v>
      </c>
      <c r="E7230" s="5">
        <v>-28989</v>
      </c>
      <c r="F7230" s="3" t="s">
        <v>809</v>
      </c>
      <c r="G7230" s="3" t="s">
        <v>62</v>
      </c>
      <c r="H7230" s="2" t="s">
        <v>21</v>
      </c>
      <c r="I7230" s="2" t="s">
        <v>14257</v>
      </c>
      <c r="J7230" s="3" t="str">
        <f>HYPERLINK("https://www.boe.es/gazeta/dias/1820/08/17/pdfs/GGB-1820-50.pdf#page=3","Abrir facsímil")</f>
        <v>Abrir facsímil</v>
      </c>
      <c r="K7230" s="3" t="s">
        <v>23</v>
      </c>
    </row>
    <row r="7231" spans="1:11" ht="42" customHeight="1">
      <c r="A7231" s="2" t="s">
        <v>14244</v>
      </c>
      <c r="B7231" s="2" t="s">
        <v>14244</v>
      </c>
      <c r="C7231" s="2" t="s">
        <v>26</v>
      </c>
      <c r="D7231" s="2" t="s">
        <v>27</v>
      </c>
      <c r="E7231" s="5">
        <v>-28984</v>
      </c>
      <c r="F7231" s="3" t="s">
        <v>520</v>
      </c>
      <c r="G7231" s="3" t="s">
        <v>62</v>
      </c>
      <c r="H7231" s="2" t="s">
        <v>21</v>
      </c>
      <c r="I7231" s="2" t="s">
        <v>14258</v>
      </c>
      <c r="J7231" s="3" t="str">
        <f>HYPERLINK("https://www.boe.es/gazeta/dias/1820/08/22/pdfs/GGB-1820-55.pdf#page=3","Abrir facsímil")</f>
        <v>Abrir facsímil</v>
      </c>
      <c r="K7231" s="3" t="s">
        <v>23</v>
      </c>
    </row>
    <row r="7232" spans="1:11" ht="42" customHeight="1">
      <c r="A7232" s="2" t="s">
        <v>14244</v>
      </c>
      <c r="B7232" s="2" t="s">
        <v>14244</v>
      </c>
      <c r="C7232" s="2" t="s">
        <v>107</v>
      </c>
      <c r="D7232" s="2" t="s">
        <v>18</v>
      </c>
      <c r="E7232" s="5">
        <v>-28983</v>
      </c>
      <c r="F7232" s="3" t="s">
        <v>682</v>
      </c>
      <c r="G7232" s="3" t="s">
        <v>20</v>
      </c>
      <c r="H7232" s="2" t="s">
        <v>21</v>
      </c>
      <c r="I7232" s="2" t="s">
        <v>14259</v>
      </c>
      <c r="J7232" s="3" t="str">
        <f>HYPERLINK("https://www.boe.es/gazeta/dias/1820/08/23/pdfs/GGB-1820-56.pdf#page=4","Abrir facsímil")</f>
        <v>Abrir facsímil</v>
      </c>
      <c r="K7232" s="3" t="s">
        <v>23</v>
      </c>
    </row>
    <row r="7233" spans="1:11" ht="42" customHeight="1">
      <c r="A7233" s="2" t="s">
        <v>14244</v>
      </c>
      <c r="B7233" s="2" t="s">
        <v>14244</v>
      </c>
      <c r="C7233" s="2" t="s">
        <v>26</v>
      </c>
      <c r="D7233" s="2" t="s">
        <v>27</v>
      </c>
      <c r="E7233" s="5">
        <v>-28982</v>
      </c>
      <c r="F7233" s="3" t="s">
        <v>173</v>
      </c>
      <c r="G7233" s="3" t="s">
        <v>62</v>
      </c>
      <c r="H7233" s="2" t="s">
        <v>21</v>
      </c>
      <c r="I7233" s="2" t="s">
        <v>14260</v>
      </c>
      <c r="J7233" s="3" t="str">
        <f>HYPERLINK("https://www.boe.es/gazeta/dias/1820/08/24/pdfs/GGB-1820-57.pdf#page=3","Abrir facsímil")</f>
        <v>Abrir facsímil</v>
      </c>
      <c r="K7233" s="3" t="s">
        <v>23</v>
      </c>
    </row>
    <row r="7234" spans="1:11" ht="42" customHeight="1">
      <c r="A7234" s="2" t="s">
        <v>14244</v>
      </c>
      <c r="B7234" s="2" t="s">
        <v>14244</v>
      </c>
      <c r="C7234" s="2" t="s">
        <v>74</v>
      </c>
      <c r="D7234" s="2" t="s">
        <v>18</v>
      </c>
      <c r="E7234" s="5">
        <v>-28970</v>
      </c>
      <c r="F7234" s="3" t="s">
        <v>693</v>
      </c>
      <c r="G7234" s="3" t="s">
        <v>1678</v>
      </c>
      <c r="H7234" s="2" t="s">
        <v>21</v>
      </c>
      <c r="I7234" s="2" t="s">
        <v>14261</v>
      </c>
      <c r="J7234" s="3" t="str">
        <f>HYPERLINK("https://www.boe.es/gazeta/dias/1820/09/05/pdfs/GGB-1820-69.pdf#page=4","Abrir facsímil")</f>
        <v>Abrir facsímil</v>
      </c>
      <c r="K7234" s="3" t="s">
        <v>23</v>
      </c>
    </row>
    <row r="7235" spans="1:11" ht="42" customHeight="1">
      <c r="A7235" s="2" t="s">
        <v>14244</v>
      </c>
      <c r="B7235" s="2" t="s">
        <v>14244</v>
      </c>
      <c r="C7235" s="2" t="s">
        <v>35</v>
      </c>
      <c r="D7235" s="2" t="s">
        <v>36</v>
      </c>
      <c r="E7235" s="5">
        <v>-28965</v>
      </c>
      <c r="F7235" s="3" t="s">
        <v>1520</v>
      </c>
      <c r="G7235" s="3" t="s">
        <v>62</v>
      </c>
      <c r="H7235" s="2" t="s">
        <v>21</v>
      </c>
      <c r="I7235" s="2" t="s">
        <v>14262</v>
      </c>
      <c r="J7235" s="3" t="str">
        <f>HYPERLINK("https://www.boe.es/gazeta/dias/1820/09/10/pdfs/GGB-1820-74.pdf#page=3","Abrir facsímil")</f>
        <v>Abrir facsímil</v>
      </c>
      <c r="K7235" s="3" t="s">
        <v>23</v>
      </c>
    </row>
    <row r="7236" spans="1:11" ht="42" customHeight="1">
      <c r="A7236" s="2" t="s">
        <v>14244</v>
      </c>
      <c r="B7236" s="2" t="s">
        <v>14244</v>
      </c>
      <c r="C7236" s="2" t="s">
        <v>47</v>
      </c>
      <c r="D7236" s="2" t="s">
        <v>18</v>
      </c>
      <c r="E7236" s="5">
        <v>-28953</v>
      </c>
      <c r="F7236" s="3" t="s">
        <v>367</v>
      </c>
      <c r="G7236" s="3" t="s">
        <v>20</v>
      </c>
      <c r="H7236" s="2" t="s">
        <v>21</v>
      </c>
      <c r="I7236" s="2" t="s">
        <v>14263</v>
      </c>
      <c r="J7236" s="3" t="str">
        <f>HYPERLINK("https://www.boe.es/gazeta/dias/1820/09/22/pdfs/GGB-1820-86.pdf#page=4","Abrir facsímil")</f>
        <v>Abrir facsímil</v>
      </c>
      <c r="K7236" s="3" t="s">
        <v>23</v>
      </c>
    </row>
    <row r="7237" spans="1:11" ht="42" customHeight="1">
      <c r="A7237" s="2" t="s">
        <v>14244</v>
      </c>
      <c r="B7237" s="2" t="s">
        <v>14244</v>
      </c>
      <c r="C7237" s="2" t="s">
        <v>47</v>
      </c>
      <c r="D7237" s="2" t="s">
        <v>18</v>
      </c>
      <c r="E7237" s="5">
        <v>-28951</v>
      </c>
      <c r="F7237" s="3" t="s">
        <v>622</v>
      </c>
      <c r="G7237" s="3" t="s">
        <v>20</v>
      </c>
      <c r="H7237" s="2" t="s">
        <v>21</v>
      </c>
      <c r="I7237" s="2" t="s">
        <v>14264</v>
      </c>
      <c r="J7237" s="3" t="str">
        <f>HYPERLINK("https://www.boe.es/gazeta/dias/1820/09/24/pdfs/GGB-1820-88.pdf#page=4","Abrir facsímil")</f>
        <v>Abrir facsímil</v>
      </c>
      <c r="K7237" s="3" t="s">
        <v>23</v>
      </c>
    </row>
    <row r="7238" spans="1:11" ht="42" customHeight="1">
      <c r="A7238" s="2" t="s">
        <v>14244</v>
      </c>
      <c r="B7238" s="2" t="s">
        <v>14244</v>
      </c>
      <c r="C7238" s="2" t="s">
        <v>111</v>
      </c>
      <c r="D7238" s="2" t="s">
        <v>18</v>
      </c>
      <c r="E7238" s="5">
        <v>-28947</v>
      </c>
      <c r="F7238" s="3" t="s">
        <v>127</v>
      </c>
      <c r="G7238" s="3" t="s">
        <v>43</v>
      </c>
      <c r="H7238" s="2" t="s">
        <v>21</v>
      </c>
      <c r="I7238" s="2" t="s">
        <v>14265</v>
      </c>
      <c r="J7238" s="3" t="str">
        <f>HYPERLINK("https://www.boe.es/gazeta/dias/1820/09/28/pdfs/GGB-1820-92.pdf#page=2","Abrir facsímil")</f>
        <v>Abrir facsímil</v>
      </c>
      <c r="K7238" s="3" t="s">
        <v>23</v>
      </c>
    </row>
    <row r="7239" spans="1:11" ht="42" customHeight="1">
      <c r="A7239" s="2" t="s">
        <v>14244</v>
      </c>
      <c r="B7239" s="2" t="s">
        <v>14244</v>
      </c>
      <c r="C7239" s="2" t="s">
        <v>74</v>
      </c>
      <c r="D7239" s="2" t="s">
        <v>18</v>
      </c>
      <c r="E7239" s="5">
        <v>-28945</v>
      </c>
      <c r="F7239" s="3" t="s">
        <v>99</v>
      </c>
      <c r="G7239" s="3" t="s">
        <v>62</v>
      </c>
      <c r="H7239" s="2" t="s">
        <v>21</v>
      </c>
      <c r="I7239" s="2" t="s">
        <v>14266</v>
      </c>
      <c r="J7239" s="3" t="str">
        <f>HYPERLINK("https://www.boe.es/gazeta/dias/1820/09/30/pdfs/GGB-1820-94.pdf#page=3","Abrir facsímil")</f>
        <v>Abrir facsímil</v>
      </c>
      <c r="K7239" s="3" t="s">
        <v>23</v>
      </c>
    </row>
    <row r="7240" spans="1:11" ht="42" customHeight="1">
      <c r="A7240" s="2" t="s">
        <v>14244</v>
      </c>
      <c r="B7240" s="2" t="s">
        <v>14244</v>
      </c>
      <c r="C7240" s="2" t="s">
        <v>26</v>
      </c>
      <c r="D7240" s="2" t="s">
        <v>27</v>
      </c>
      <c r="E7240" s="5">
        <v>-28942</v>
      </c>
      <c r="F7240" s="3" t="s">
        <v>244</v>
      </c>
      <c r="G7240" s="3" t="s">
        <v>62</v>
      </c>
      <c r="H7240" s="2" t="s">
        <v>21</v>
      </c>
      <c r="I7240" s="2" t="s">
        <v>14267</v>
      </c>
      <c r="J7240" s="3" t="str">
        <f>HYPERLINK("https://www.boe.es/gazeta/dias/1820/10/03/pdfs/GGB-1820-97.pdf#page=3","Abrir facsímil")</f>
        <v>Abrir facsímil</v>
      </c>
      <c r="K7240" s="3" t="s">
        <v>23</v>
      </c>
    </row>
    <row r="7241" spans="1:11" ht="42" customHeight="1">
      <c r="A7241" s="2" t="s">
        <v>14244</v>
      </c>
      <c r="B7241" s="2" t="s">
        <v>14244</v>
      </c>
      <c r="C7241" s="2" t="s">
        <v>17</v>
      </c>
      <c r="D7241" s="2" t="s">
        <v>18</v>
      </c>
      <c r="E7241" s="5">
        <v>-28941</v>
      </c>
      <c r="F7241" s="3" t="s">
        <v>1727</v>
      </c>
      <c r="G7241" s="3" t="s">
        <v>62</v>
      </c>
      <c r="H7241" s="2" t="s">
        <v>21</v>
      </c>
      <c r="I7241" s="2" t="s">
        <v>14268</v>
      </c>
      <c r="J7241" s="3" t="str">
        <f>HYPERLINK("https://www.boe.es/gazeta/dias/1820/10/04/pdfs/GGB-1820-98.pdf#page=3","Abrir facsímil")</f>
        <v>Abrir facsímil</v>
      </c>
      <c r="K7241" s="3" t="s">
        <v>23</v>
      </c>
    </row>
    <row r="7242" spans="1:11" ht="42" customHeight="1">
      <c r="A7242" s="2" t="s">
        <v>14244</v>
      </c>
      <c r="B7242" s="2" t="s">
        <v>14244</v>
      </c>
      <c r="C7242" s="2" t="s">
        <v>35</v>
      </c>
      <c r="D7242" s="2" t="s">
        <v>36</v>
      </c>
      <c r="E7242" s="5">
        <v>-28940</v>
      </c>
      <c r="F7242" s="3" t="s">
        <v>141</v>
      </c>
      <c r="G7242" s="3" t="s">
        <v>142</v>
      </c>
      <c r="H7242" s="2" t="s">
        <v>21</v>
      </c>
      <c r="I7242" s="2" t="s">
        <v>14269</v>
      </c>
      <c r="J7242" s="3" t="str">
        <f>HYPERLINK("https://www.boe.es/gazeta/dias/1820/10/05/pdfs/GGB-1820-99.pdf#page=4","Abrir facsímil")</f>
        <v>Abrir facsímil</v>
      </c>
      <c r="K7242" s="3" t="s">
        <v>23</v>
      </c>
    </row>
    <row r="7243" spans="1:11" ht="42" customHeight="1">
      <c r="A7243" s="2" t="s">
        <v>14244</v>
      </c>
      <c r="B7243" s="2" t="s">
        <v>14244</v>
      </c>
      <c r="C7243" s="2" t="s">
        <v>35</v>
      </c>
      <c r="D7243" s="2" t="s">
        <v>36</v>
      </c>
      <c r="E7243" s="5">
        <v>-28938</v>
      </c>
      <c r="F7243" s="3" t="s">
        <v>716</v>
      </c>
      <c r="G7243" s="3" t="s">
        <v>717</v>
      </c>
      <c r="H7243" s="2" t="s">
        <v>21</v>
      </c>
      <c r="I7243" s="2" t="s">
        <v>14270</v>
      </c>
      <c r="J7243" s="3" t="str">
        <f>HYPERLINK("https://www.boe.es/gazeta/dias/1820/10/07/pdfs/GGB-1820-101.pdf#page=2","Abrir facsímil")</f>
        <v>Abrir facsímil</v>
      </c>
      <c r="K7243" s="3" t="s">
        <v>23</v>
      </c>
    </row>
    <row r="7244" spans="1:11" ht="42" customHeight="1">
      <c r="A7244" s="2" t="s">
        <v>14244</v>
      </c>
      <c r="B7244" s="2" t="s">
        <v>14244</v>
      </c>
      <c r="C7244" s="2" t="s">
        <v>35</v>
      </c>
      <c r="D7244" s="2" t="s">
        <v>36</v>
      </c>
      <c r="E7244" s="5">
        <v>-28937</v>
      </c>
      <c r="F7244" s="3" t="s">
        <v>4254</v>
      </c>
      <c r="G7244" s="3" t="s">
        <v>62</v>
      </c>
      <c r="H7244" s="2" t="s">
        <v>21</v>
      </c>
      <c r="I7244" s="2" t="s">
        <v>14271</v>
      </c>
      <c r="J7244" s="3" t="str">
        <f>HYPERLINK("https://www.boe.es/gazeta/dias/1820/10/08/pdfs/GGB-1820-102.pdf#page=3","Abrir facsímil")</f>
        <v>Abrir facsímil</v>
      </c>
      <c r="K7244" s="3" t="s">
        <v>23</v>
      </c>
    </row>
    <row r="7245" spans="1:11" ht="42" customHeight="1">
      <c r="A7245" s="2" t="s">
        <v>14244</v>
      </c>
      <c r="B7245" s="2" t="s">
        <v>14244</v>
      </c>
      <c r="C7245" s="2" t="s">
        <v>17</v>
      </c>
      <c r="D7245" s="2" t="s">
        <v>18</v>
      </c>
      <c r="E7245" s="5">
        <v>-28936</v>
      </c>
      <c r="F7245" s="3" t="s">
        <v>167</v>
      </c>
      <c r="G7245" s="3" t="s">
        <v>43</v>
      </c>
      <c r="H7245" s="2" t="s">
        <v>21</v>
      </c>
      <c r="I7245" s="2" t="s">
        <v>14272</v>
      </c>
      <c r="J7245" s="3" t="str">
        <f>HYPERLINK("https://www.boe.es/gazeta/dias/1820/10/09/pdfs/GGB-1820-103.pdf#page=2","Abrir facsímil")</f>
        <v>Abrir facsímil</v>
      </c>
      <c r="K7245" s="3" t="s">
        <v>23</v>
      </c>
    </row>
    <row r="7246" spans="1:11" ht="42" customHeight="1">
      <c r="A7246" s="2" t="s">
        <v>14244</v>
      </c>
      <c r="B7246" s="2" t="s">
        <v>14244</v>
      </c>
      <c r="C7246" s="2" t="s">
        <v>111</v>
      </c>
      <c r="D7246" s="2" t="s">
        <v>18</v>
      </c>
      <c r="E7246" s="5">
        <v>-28936</v>
      </c>
      <c r="F7246" s="3" t="s">
        <v>167</v>
      </c>
      <c r="G7246" s="3" t="s">
        <v>20</v>
      </c>
      <c r="H7246" s="2" t="s">
        <v>21</v>
      </c>
      <c r="I7246" s="2" t="s">
        <v>14273</v>
      </c>
      <c r="J7246" s="3" t="str">
        <f>HYPERLINK("https://www.boe.es/gazeta/dias/1820/10/09/pdfs/GGB-1820-103.pdf#page=4","Abrir facsímil")</f>
        <v>Abrir facsímil</v>
      </c>
      <c r="K7246" s="3" t="s">
        <v>23</v>
      </c>
    </row>
    <row r="7247" spans="1:11" ht="42" customHeight="1">
      <c r="A7247" s="2" t="s">
        <v>14244</v>
      </c>
      <c r="B7247" s="2" t="s">
        <v>14244</v>
      </c>
      <c r="C7247" s="2" t="s">
        <v>47</v>
      </c>
      <c r="D7247" s="2" t="s">
        <v>18</v>
      </c>
      <c r="E7247" s="5">
        <v>-28935</v>
      </c>
      <c r="F7247" s="3" t="s">
        <v>2464</v>
      </c>
      <c r="G7247" s="3" t="s">
        <v>43</v>
      </c>
      <c r="H7247" s="2" t="s">
        <v>21</v>
      </c>
      <c r="I7247" s="2" t="s">
        <v>14274</v>
      </c>
      <c r="J7247" s="3" t="str">
        <f>HYPERLINK("https://www.boe.es/gazeta/dias/1820/10/10/pdfs/GGB-1820-104.pdf#page=2","Abrir facsímil")</f>
        <v>Abrir facsímil</v>
      </c>
      <c r="K7247" s="3" t="s">
        <v>23</v>
      </c>
    </row>
    <row r="7248" spans="1:11" ht="42" customHeight="1">
      <c r="A7248" s="2" t="s">
        <v>14244</v>
      </c>
      <c r="B7248" s="2" t="s">
        <v>14244</v>
      </c>
      <c r="C7248" s="2" t="s">
        <v>35</v>
      </c>
      <c r="D7248" s="2" t="s">
        <v>36</v>
      </c>
      <c r="E7248" s="5">
        <v>-28933</v>
      </c>
      <c r="F7248" s="3" t="s">
        <v>720</v>
      </c>
      <c r="G7248" s="3" t="s">
        <v>43</v>
      </c>
      <c r="H7248" s="2" t="s">
        <v>21</v>
      </c>
      <c r="I7248" s="2" t="s">
        <v>14275</v>
      </c>
      <c r="J7248" s="3" t="str">
        <f>HYPERLINK("https://www.boe.es/gazeta/dias/1820/10/12/pdfs/GGB-1820-106.pdf#page=2","Abrir facsímil")</f>
        <v>Abrir facsímil</v>
      </c>
      <c r="K7248" s="3" t="s">
        <v>23</v>
      </c>
    </row>
    <row r="7249" spans="1:11" ht="42" customHeight="1">
      <c r="A7249" s="2" t="s">
        <v>14244</v>
      </c>
      <c r="B7249" s="2" t="s">
        <v>14244</v>
      </c>
      <c r="C7249" s="2" t="s">
        <v>26</v>
      </c>
      <c r="D7249" s="2" t="s">
        <v>27</v>
      </c>
      <c r="E7249" s="5">
        <v>-28933</v>
      </c>
      <c r="F7249" s="3" t="s">
        <v>720</v>
      </c>
      <c r="G7249" s="3" t="s">
        <v>62</v>
      </c>
      <c r="H7249" s="2" t="s">
        <v>21</v>
      </c>
      <c r="I7249" s="2" t="s">
        <v>14276</v>
      </c>
      <c r="J7249" s="3" t="str">
        <f>HYPERLINK("https://www.boe.es/gazeta/dias/1820/10/12/pdfs/GGB-1820-106.pdf#page=3","Abrir facsímil")</f>
        <v>Abrir facsímil</v>
      </c>
      <c r="K7249" s="3" t="s">
        <v>23</v>
      </c>
    </row>
    <row r="7250" spans="1:11" ht="42" customHeight="1">
      <c r="A7250" s="2" t="s">
        <v>14244</v>
      </c>
      <c r="B7250" s="2" t="s">
        <v>14244</v>
      </c>
      <c r="C7250" s="2" t="s">
        <v>293</v>
      </c>
      <c r="D7250" s="2" t="s">
        <v>18</v>
      </c>
      <c r="E7250" s="5">
        <v>-28928</v>
      </c>
      <c r="F7250" s="3" t="s">
        <v>86</v>
      </c>
      <c r="G7250" s="3" t="s">
        <v>20</v>
      </c>
      <c r="H7250" s="2" t="s">
        <v>21</v>
      </c>
      <c r="I7250" s="2" t="s">
        <v>14277</v>
      </c>
      <c r="J7250" s="3" t="str">
        <f>HYPERLINK("https://www.boe.es/gazeta/dias/1820/10/17/pdfs/GGB-1820-111.pdf#page=4","Abrir facsímil")</f>
        <v>Abrir facsímil</v>
      </c>
      <c r="K7250" s="3" t="s">
        <v>23</v>
      </c>
    </row>
    <row r="7251" spans="1:11" ht="42" customHeight="1">
      <c r="A7251" s="2" t="s">
        <v>14244</v>
      </c>
      <c r="B7251" s="2" t="s">
        <v>14244</v>
      </c>
      <c r="C7251" s="2" t="s">
        <v>17</v>
      </c>
      <c r="D7251" s="2" t="s">
        <v>18</v>
      </c>
      <c r="E7251" s="5">
        <v>-28927</v>
      </c>
      <c r="F7251" s="3" t="s">
        <v>345</v>
      </c>
      <c r="G7251" s="3" t="s">
        <v>43</v>
      </c>
      <c r="H7251" s="2" t="s">
        <v>21</v>
      </c>
      <c r="I7251" s="2" t="s">
        <v>14278</v>
      </c>
      <c r="J7251" s="3" t="str">
        <f>HYPERLINK("https://www.boe.es/gazeta/dias/1820/10/18/pdfs/GGB-1820-112.pdf#page=2","Abrir facsímil")</f>
        <v>Abrir facsímil</v>
      </c>
      <c r="K7251" s="3" t="s">
        <v>23</v>
      </c>
    </row>
    <row r="7252" spans="1:11" ht="42" customHeight="1">
      <c r="A7252" s="2" t="s">
        <v>14244</v>
      </c>
      <c r="B7252" s="2" t="s">
        <v>14244</v>
      </c>
      <c r="C7252" s="2" t="s">
        <v>17</v>
      </c>
      <c r="D7252" s="2" t="s">
        <v>18</v>
      </c>
      <c r="E7252" s="5">
        <v>-28924</v>
      </c>
      <c r="F7252" s="3" t="s">
        <v>78</v>
      </c>
      <c r="G7252" s="3" t="s">
        <v>20</v>
      </c>
      <c r="H7252" s="2" t="s">
        <v>21</v>
      </c>
      <c r="I7252" s="2" t="s">
        <v>14279</v>
      </c>
      <c r="J7252" s="3" t="str">
        <f>HYPERLINK("https://www.boe.es/gazeta/dias/1820/10/21/pdfs/GGB-1820-115.pdf#page=4","Abrir facsímil")</f>
        <v>Abrir facsímil</v>
      </c>
      <c r="K7252" s="3" t="s">
        <v>23</v>
      </c>
    </row>
    <row r="7253" spans="1:11" ht="42" customHeight="1">
      <c r="A7253" s="2" t="s">
        <v>14244</v>
      </c>
      <c r="B7253" s="2" t="s">
        <v>14244</v>
      </c>
      <c r="C7253" s="2" t="s">
        <v>35</v>
      </c>
      <c r="D7253" s="2" t="s">
        <v>36</v>
      </c>
      <c r="E7253" s="5">
        <v>-28923</v>
      </c>
      <c r="F7253" s="3" t="s">
        <v>648</v>
      </c>
      <c r="G7253" s="3" t="s">
        <v>128</v>
      </c>
      <c r="H7253" s="2" t="s">
        <v>21</v>
      </c>
      <c r="I7253" s="2" t="s">
        <v>14280</v>
      </c>
      <c r="J7253" s="3" t="str">
        <f>HYPERLINK("https://www.boe.es/gazeta/dias/1820/10/22/pdfs/GGB-1820-116.pdf#page=1","Abrir facsímil")</f>
        <v>Abrir facsímil</v>
      </c>
      <c r="K7253" s="3" t="s">
        <v>23</v>
      </c>
    </row>
    <row r="7254" spans="1:11" ht="42" customHeight="1">
      <c r="A7254" s="2" t="s">
        <v>14244</v>
      </c>
      <c r="B7254" s="2" t="s">
        <v>14244</v>
      </c>
      <c r="C7254" s="2" t="s">
        <v>17</v>
      </c>
      <c r="D7254" s="2" t="s">
        <v>18</v>
      </c>
      <c r="E7254" s="5">
        <v>-28919</v>
      </c>
      <c r="F7254" s="3" t="s">
        <v>516</v>
      </c>
      <c r="G7254" s="3" t="s">
        <v>43</v>
      </c>
      <c r="H7254" s="2" t="s">
        <v>21</v>
      </c>
      <c r="I7254" s="2" t="s">
        <v>14281</v>
      </c>
      <c r="J7254" s="3" t="str">
        <f>HYPERLINK("https://www.boe.es/gazeta/dias/1820/10/26/pdfs/GGB-1820-120.pdf#page=2","Abrir facsímil")</f>
        <v>Abrir facsímil</v>
      </c>
      <c r="K7254" s="3" t="s">
        <v>23</v>
      </c>
    </row>
    <row r="7255" spans="1:11" ht="42" customHeight="1">
      <c r="A7255" s="2" t="s">
        <v>14282</v>
      </c>
      <c r="B7255" s="2" t="s">
        <v>14283</v>
      </c>
      <c r="C7255" s="2" t="s">
        <v>107</v>
      </c>
      <c r="D7255" s="2" t="s">
        <v>18</v>
      </c>
      <c r="E7255" s="5">
        <v>-29014</v>
      </c>
      <c r="F7255" s="3" t="s">
        <v>70</v>
      </c>
      <c r="G7255" s="3" t="s">
        <v>20</v>
      </c>
      <c r="H7255" s="2" t="s">
        <v>21</v>
      </c>
      <c r="I7255" s="2" t="s">
        <v>14284</v>
      </c>
      <c r="J7255" s="3" t="str">
        <f>HYPERLINK("https://www.boe.es/gazeta/dias/1820/07/23/pdfs/GGB-1820-25.pdf#page=4","Abrir facsímil")</f>
        <v>Abrir facsímil</v>
      </c>
      <c r="K7255" s="3" t="s">
        <v>23</v>
      </c>
    </row>
    <row r="7256" spans="1:11" ht="42" customHeight="1">
      <c r="A7256" s="2" t="s">
        <v>14282</v>
      </c>
      <c r="B7256" s="2" t="s">
        <v>14283</v>
      </c>
      <c r="C7256" s="2" t="s">
        <v>107</v>
      </c>
      <c r="D7256" s="2" t="s">
        <v>18</v>
      </c>
      <c r="E7256" s="5">
        <v>-28973</v>
      </c>
      <c r="F7256" s="3" t="s">
        <v>151</v>
      </c>
      <c r="G7256" s="3" t="s">
        <v>62</v>
      </c>
      <c r="H7256" s="2" t="s">
        <v>21</v>
      </c>
      <c r="I7256" s="2" t="s">
        <v>14285</v>
      </c>
      <c r="J7256" s="3" t="str">
        <f>HYPERLINK("https://www.boe.es/gazeta/dias/1820/09/02/pdfs/GGB-1820-66.pdf#page=3","Abrir facsímil")</f>
        <v>Abrir facsímil</v>
      </c>
      <c r="K7256" s="3" t="s">
        <v>23</v>
      </c>
    </row>
    <row r="7257" spans="1:11" ht="42" customHeight="1">
      <c r="A7257" s="2" t="s">
        <v>14282</v>
      </c>
      <c r="B7257" s="2" t="s">
        <v>14283</v>
      </c>
      <c r="C7257" s="2" t="s">
        <v>26</v>
      </c>
      <c r="D7257" s="2" t="s">
        <v>27</v>
      </c>
      <c r="E7257" s="5">
        <v>-28970</v>
      </c>
      <c r="F7257" s="3" t="s">
        <v>693</v>
      </c>
      <c r="G7257" s="3" t="s">
        <v>43</v>
      </c>
      <c r="H7257" s="2" t="s">
        <v>21</v>
      </c>
      <c r="I7257" s="2" t="s">
        <v>14286</v>
      </c>
      <c r="J7257" s="3" t="str">
        <f>HYPERLINK("https://www.boe.es/gazeta/dias/1820/09/05/pdfs/GGB-1820-69.pdf#page=2","Abrir facsímil")</f>
        <v>Abrir facsímil</v>
      </c>
      <c r="K7257" s="3" t="s">
        <v>23</v>
      </c>
    </row>
    <row r="7258" spans="1:11" ht="42" customHeight="1">
      <c r="A7258" s="2" t="s">
        <v>14282</v>
      </c>
      <c r="B7258" s="2" t="s">
        <v>14283</v>
      </c>
      <c r="C7258" s="2" t="s">
        <v>107</v>
      </c>
      <c r="D7258" s="2" t="s">
        <v>18</v>
      </c>
      <c r="E7258" s="5">
        <v>-28965</v>
      </c>
      <c r="F7258" s="3" t="s">
        <v>1520</v>
      </c>
      <c r="G7258" s="3" t="s">
        <v>62</v>
      </c>
      <c r="H7258" s="2" t="s">
        <v>21</v>
      </c>
      <c r="I7258" s="2" t="s">
        <v>14287</v>
      </c>
      <c r="J7258" s="3" t="str">
        <f>HYPERLINK("https://www.boe.es/gazeta/dias/1820/09/10/pdfs/GGB-1820-74.pdf#page=3","Abrir facsímil")</f>
        <v>Abrir facsímil</v>
      </c>
      <c r="K7258" s="3" t="s">
        <v>23</v>
      </c>
    </row>
    <row r="7259" spans="1:11" ht="42" customHeight="1">
      <c r="A7259" s="2" t="s">
        <v>14288</v>
      </c>
      <c r="B7259" s="2" t="s">
        <v>14289</v>
      </c>
      <c r="C7259" s="2" t="s">
        <v>107</v>
      </c>
      <c r="D7259" s="2" t="s">
        <v>18</v>
      </c>
      <c r="E7259" s="5">
        <v>-29000</v>
      </c>
      <c r="F7259" s="3" t="s">
        <v>670</v>
      </c>
      <c r="G7259" s="3" t="s">
        <v>62</v>
      </c>
      <c r="H7259" s="2" t="s">
        <v>21</v>
      </c>
      <c r="I7259" s="2" t="s">
        <v>14290</v>
      </c>
      <c r="J7259" s="3" t="str">
        <f>HYPERLINK("https://www.boe.es/gazeta/dias/1820/08/06/pdfs/GGB-1820-39.pdf#page=3","Abrir facsímil")</f>
        <v>Abrir facsímil</v>
      </c>
      <c r="K7259" s="3" t="s">
        <v>23</v>
      </c>
    </row>
    <row r="7260" spans="1:11" ht="42" customHeight="1">
      <c r="A7260" s="2" t="s">
        <v>14291</v>
      </c>
      <c r="B7260" s="2" t="s">
        <v>14292</v>
      </c>
      <c r="C7260" s="2" t="s">
        <v>26</v>
      </c>
      <c r="D7260" s="2" t="s">
        <v>27</v>
      </c>
      <c r="E7260" s="5">
        <v>-29094</v>
      </c>
      <c r="F7260" s="3" t="s">
        <v>560</v>
      </c>
      <c r="G7260" s="3" t="s">
        <v>38</v>
      </c>
      <c r="H7260" s="2" t="s">
        <v>21</v>
      </c>
      <c r="I7260" s="2" t="s">
        <v>14293</v>
      </c>
      <c r="J7260" s="3" t="str">
        <f>HYPERLINK("https://www.boe.es/gazeta/dias/1820/05/04/pdfs/GMD-1820-75.pdf#page=6","Abrir facsímil")</f>
        <v>Abrir facsímil</v>
      </c>
      <c r="K7260" s="3" t="s">
        <v>23</v>
      </c>
    </row>
    <row r="7261" spans="1:11" ht="42" customHeight="1">
      <c r="A7261" s="2" t="s">
        <v>14294</v>
      </c>
      <c r="B7261" s="2" t="s">
        <v>14295</v>
      </c>
      <c r="C7261" s="2" t="s">
        <v>26</v>
      </c>
      <c r="D7261" s="2" t="s">
        <v>27</v>
      </c>
      <c r="E7261" s="5">
        <v>-28975</v>
      </c>
      <c r="F7261" s="3" t="s">
        <v>182</v>
      </c>
      <c r="G7261" s="3" t="s">
        <v>183</v>
      </c>
      <c r="H7261" s="2" t="s">
        <v>21</v>
      </c>
      <c r="I7261" s="2" t="s">
        <v>14296</v>
      </c>
      <c r="J7261" s="3" t="str">
        <f>HYPERLINK("https://www.boe.es/gazeta/dias/1820/08/31/pdfs/GGB-1820-64.pdf#page=4","Abrir facsímil")</f>
        <v>Abrir facsímil</v>
      </c>
      <c r="K7261" s="3" t="s">
        <v>23</v>
      </c>
    </row>
    <row r="7262" spans="1:11" ht="42" customHeight="1">
      <c r="A7262" s="2" t="s">
        <v>14297</v>
      </c>
      <c r="B7262" s="2" t="s">
        <v>14297</v>
      </c>
      <c r="C7262" s="2" t="s">
        <v>26</v>
      </c>
      <c r="D7262" s="2" t="s">
        <v>27</v>
      </c>
      <c r="E7262" s="5">
        <v>-28999</v>
      </c>
      <c r="F7262" s="3" t="s">
        <v>342</v>
      </c>
      <c r="G7262" s="3" t="s">
        <v>62</v>
      </c>
      <c r="H7262" s="2" t="s">
        <v>21</v>
      </c>
      <c r="I7262" s="2" t="s">
        <v>14298</v>
      </c>
      <c r="J7262" s="3" t="str">
        <f>HYPERLINK("https://www.boe.es/gazeta/dias/1820/08/07/pdfs/GGB-1820-40.pdf#page=3","Abrir facsímil")</f>
        <v>Abrir facsímil</v>
      </c>
      <c r="K7262" s="3" t="s">
        <v>23</v>
      </c>
    </row>
    <row r="7263" spans="1:11" ht="42" customHeight="1">
      <c r="A7263" s="2" t="s">
        <v>14297</v>
      </c>
      <c r="B7263" s="2" t="s">
        <v>14297</v>
      </c>
      <c r="C7263" s="2" t="s">
        <v>47</v>
      </c>
      <c r="D7263" s="2" t="s">
        <v>18</v>
      </c>
      <c r="E7263" s="5">
        <v>-28982</v>
      </c>
      <c r="F7263" s="3" t="s">
        <v>173</v>
      </c>
      <c r="G7263" s="3" t="s">
        <v>529</v>
      </c>
      <c r="H7263" s="2" t="s">
        <v>21</v>
      </c>
      <c r="I7263" s="2" t="s">
        <v>14299</v>
      </c>
      <c r="J7263" s="3" t="str">
        <f>HYPERLINK("https://www.boe.es/gazeta/dias/1820/08/24/pdfs/GGB-1820-57.pdf#page=4","Abrir facsímil")</f>
        <v>Abrir facsímil</v>
      </c>
      <c r="K7263" s="3" t="s">
        <v>23</v>
      </c>
    </row>
    <row r="7264" spans="1:11" ht="42" customHeight="1">
      <c r="A7264" s="2" t="s">
        <v>14297</v>
      </c>
      <c r="B7264" s="2" t="s">
        <v>14297</v>
      </c>
      <c r="C7264" s="2" t="s">
        <v>293</v>
      </c>
      <c r="D7264" s="2" t="s">
        <v>18</v>
      </c>
      <c r="E7264" s="5">
        <v>-28961</v>
      </c>
      <c r="F7264" s="3" t="s">
        <v>242</v>
      </c>
      <c r="G7264" s="3" t="s">
        <v>2442</v>
      </c>
      <c r="H7264" s="2" t="s">
        <v>21</v>
      </c>
      <c r="I7264" s="2" t="s">
        <v>14300</v>
      </c>
      <c r="J7264" s="3" t="str">
        <f>HYPERLINK("https://www.boe.es/gazeta/dias/1820/09/14/pdfs/GGB-1820-78.pdf#page=4","Abrir facsímil")</f>
        <v>Abrir facsímil</v>
      </c>
      <c r="K7264" s="3" t="s">
        <v>23</v>
      </c>
    </row>
    <row r="7265" spans="1:11" ht="42" customHeight="1">
      <c r="A7265" s="2" t="s">
        <v>14297</v>
      </c>
      <c r="B7265" s="2" t="s">
        <v>14297</v>
      </c>
      <c r="C7265" s="2" t="s">
        <v>293</v>
      </c>
      <c r="D7265" s="2" t="s">
        <v>18</v>
      </c>
      <c r="E7265" s="5">
        <v>-28961</v>
      </c>
      <c r="F7265" s="3" t="s">
        <v>242</v>
      </c>
      <c r="G7265" s="3" t="s">
        <v>62</v>
      </c>
      <c r="H7265" s="2" t="s">
        <v>21</v>
      </c>
      <c r="I7265" s="2" t="s">
        <v>14301</v>
      </c>
      <c r="J7265" s="3" t="str">
        <f>HYPERLINK("https://www.boe.es/gazeta/dias/1820/09/14/pdfs/GGB-1820-78.pdf#page=3","Abrir facsímil")</f>
        <v>Abrir facsímil</v>
      </c>
      <c r="K7265" s="3" t="s">
        <v>23</v>
      </c>
    </row>
    <row r="7266" spans="1:11" ht="42" customHeight="1">
      <c r="A7266" s="2" t="s">
        <v>14297</v>
      </c>
      <c r="B7266" s="2" t="s">
        <v>14297</v>
      </c>
      <c r="C7266" s="2" t="s">
        <v>293</v>
      </c>
      <c r="D7266" s="2" t="s">
        <v>18</v>
      </c>
      <c r="E7266" s="5">
        <v>-28943</v>
      </c>
      <c r="F7266" s="3" t="s">
        <v>1403</v>
      </c>
      <c r="G7266" s="3" t="s">
        <v>1710</v>
      </c>
      <c r="H7266" s="2" t="s">
        <v>21</v>
      </c>
      <c r="I7266" s="2" t="s">
        <v>14302</v>
      </c>
      <c r="J7266" s="3" t="str">
        <f>HYPERLINK("https://www.boe.es/gazeta/dias/1820/10/02/pdfs/GGB-1820-96.pdf#page=4","Abrir facsímil")</f>
        <v>Abrir facsímil</v>
      </c>
      <c r="K7266" s="3" t="s">
        <v>23</v>
      </c>
    </row>
    <row r="7267" spans="1:11" ht="42" customHeight="1">
      <c r="A7267" s="2" t="s">
        <v>14297</v>
      </c>
      <c r="B7267" s="2" t="s">
        <v>14297</v>
      </c>
      <c r="C7267" s="2" t="s">
        <v>35</v>
      </c>
      <c r="D7267" s="2" t="s">
        <v>36</v>
      </c>
      <c r="E7267" s="5">
        <v>-28911</v>
      </c>
      <c r="F7267" s="3" t="s">
        <v>82</v>
      </c>
      <c r="G7267" s="3" t="s">
        <v>43</v>
      </c>
      <c r="H7267" s="2" t="s">
        <v>21</v>
      </c>
      <c r="I7267" s="2" t="s">
        <v>14303</v>
      </c>
      <c r="J7267" s="3" t="str">
        <f>HYPERLINK("https://www.boe.es/gazeta/dias/1820/11/03/pdfs/GGB-1820-128.pdf#page=2","Abrir facsímil")</f>
        <v>Abrir facsímil</v>
      </c>
      <c r="K7267" s="3" t="s">
        <v>23</v>
      </c>
    </row>
    <row r="7268" spans="1:11" ht="42" customHeight="1">
      <c r="A7268" s="2" t="s">
        <v>14304</v>
      </c>
      <c r="B7268" s="2" t="s">
        <v>14305</v>
      </c>
      <c r="C7268" s="2" t="s">
        <v>26</v>
      </c>
      <c r="D7268" s="2" t="s">
        <v>310</v>
      </c>
      <c r="E7268" s="5">
        <v>-29102</v>
      </c>
      <c r="F7268" s="3" t="s">
        <v>899</v>
      </c>
      <c r="G7268" s="3" t="s">
        <v>295</v>
      </c>
      <c r="H7268" s="2" t="s">
        <v>21</v>
      </c>
      <c r="I7268" s="2" t="s">
        <v>14306</v>
      </c>
      <c r="J7268" s="3" t="str">
        <f>HYPERLINK("https://www.boe.es/gazeta/dias/1820/04/26/pdfs/GMD-1820-71E.pdf#page=8","Abrir facsímil")</f>
        <v>Abrir facsímil</v>
      </c>
      <c r="K7268" s="3" t="s">
        <v>23</v>
      </c>
    </row>
    <row r="7269" spans="1:11" ht="42" customHeight="1">
      <c r="A7269" s="2" t="s">
        <v>14307</v>
      </c>
      <c r="B7269" s="2" t="s">
        <v>14307</v>
      </c>
      <c r="C7269" s="2" t="s">
        <v>293</v>
      </c>
      <c r="D7269" s="2" t="s">
        <v>18</v>
      </c>
      <c r="E7269" s="5">
        <v>-28994</v>
      </c>
      <c r="F7269" s="3" t="s">
        <v>1612</v>
      </c>
      <c r="G7269" s="3" t="s">
        <v>62</v>
      </c>
      <c r="H7269" s="2" t="s">
        <v>21</v>
      </c>
      <c r="I7269" s="2" t="s">
        <v>14308</v>
      </c>
      <c r="J7269" s="3" t="str">
        <f>HYPERLINK("https://www.boe.es/gazeta/dias/1820/08/12/pdfs/GGB-1820-45.pdf#page=3","Abrir facsímil")</f>
        <v>Abrir facsímil</v>
      </c>
      <c r="K7269" s="3" t="s">
        <v>23</v>
      </c>
    </row>
    <row r="7270" spans="1:11" ht="42" customHeight="1">
      <c r="A7270" s="2" t="s">
        <v>14307</v>
      </c>
      <c r="B7270" s="2" t="s">
        <v>14307</v>
      </c>
      <c r="C7270" s="2" t="s">
        <v>26</v>
      </c>
      <c r="D7270" s="2" t="s">
        <v>27</v>
      </c>
      <c r="E7270" s="5">
        <v>-28994</v>
      </c>
      <c r="F7270" s="3" t="s">
        <v>1612</v>
      </c>
      <c r="G7270" s="3" t="s">
        <v>20</v>
      </c>
      <c r="H7270" s="2" t="s">
        <v>21</v>
      </c>
      <c r="I7270" s="2" t="s">
        <v>14309</v>
      </c>
      <c r="J7270" s="3" t="str">
        <f>HYPERLINK("https://www.boe.es/gazeta/dias/1820/08/12/pdfs/GGB-1820-45.pdf#page=4","Abrir facsímil")</f>
        <v>Abrir facsímil</v>
      </c>
      <c r="K7270" s="3" t="s">
        <v>23</v>
      </c>
    </row>
    <row r="7271" spans="1:11" ht="42" customHeight="1">
      <c r="A7271" s="2" t="s">
        <v>14310</v>
      </c>
      <c r="B7271" s="2" t="s">
        <v>14311</v>
      </c>
      <c r="C7271" s="2" t="s">
        <v>26</v>
      </c>
      <c r="D7271" s="2" t="s">
        <v>27</v>
      </c>
      <c r="E7271" s="5">
        <v>-29176</v>
      </c>
      <c r="F7271" s="3" t="s">
        <v>797</v>
      </c>
      <c r="G7271" s="3" t="s">
        <v>256</v>
      </c>
      <c r="H7271" s="2" t="s">
        <v>21</v>
      </c>
      <c r="I7271" s="2" t="s">
        <v>14312</v>
      </c>
      <c r="J7271" s="3" t="str">
        <f>HYPERLINK("https://www.boe.es/gazeta/dias/1820/02/12/pdfs/GMD-1820-19.pdf#page=5","Abrir facsímil")</f>
        <v>Abrir facsímil</v>
      </c>
      <c r="K7271" s="3" t="s">
        <v>23</v>
      </c>
    </row>
    <row r="7272" spans="1:11" ht="42" customHeight="1">
      <c r="A7272" s="2" t="s">
        <v>14310</v>
      </c>
      <c r="B7272" s="2" t="s">
        <v>14311</v>
      </c>
      <c r="C7272" s="2" t="s">
        <v>26</v>
      </c>
      <c r="D7272" s="2" t="s">
        <v>27</v>
      </c>
      <c r="E7272" s="5">
        <v>-29176</v>
      </c>
      <c r="F7272" s="3" t="s">
        <v>797</v>
      </c>
      <c r="G7272" s="3" t="s">
        <v>38</v>
      </c>
      <c r="H7272" s="2" t="s">
        <v>21</v>
      </c>
      <c r="I7272" s="2" t="s">
        <v>14313</v>
      </c>
      <c r="J7272" s="3" t="str">
        <f>HYPERLINK("https://www.boe.es/gazeta/dias/1820/02/12/pdfs/GMD-1820-19.pdf#page=6","Abrir facsímil")</f>
        <v>Abrir facsímil</v>
      </c>
      <c r="K7272" s="3" t="s">
        <v>23</v>
      </c>
    </row>
    <row r="7273" spans="1:11" ht="42" customHeight="1">
      <c r="A7273" s="2" t="s">
        <v>14314</v>
      </c>
      <c r="B7273" s="2" t="s">
        <v>14314</v>
      </c>
      <c r="C7273" s="2" t="s">
        <v>293</v>
      </c>
      <c r="D7273" s="2" t="s">
        <v>18</v>
      </c>
      <c r="E7273" s="5">
        <v>-28949</v>
      </c>
      <c r="F7273" s="3" t="s">
        <v>178</v>
      </c>
      <c r="G7273" s="3" t="s">
        <v>43</v>
      </c>
      <c r="H7273" s="2" t="s">
        <v>21</v>
      </c>
      <c r="I7273" s="2" t="s">
        <v>14315</v>
      </c>
      <c r="J7273" s="3" t="str">
        <f>HYPERLINK("https://www.boe.es/gazeta/dias/1820/09/26/pdfs/GGB-1820-90.pdf#page=2","Abrir facsímil")</f>
        <v>Abrir facsímil</v>
      </c>
      <c r="K7273" s="3" t="s">
        <v>23</v>
      </c>
    </row>
    <row r="7274" spans="1:11" ht="42" customHeight="1">
      <c r="A7274" s="2" t="s">
        <v>14316</v>
      </c>
      <c r="B7274" s="2" t="s">
        <v>14317</v>
      </c>
      <c r="C7274" s="2" t="s">
        <v>26</v>
      </c>
      <c r="D7274" s="2" t="s">
        <v>27</v>
      </c>
      <c r="E7274" s="5">
        <v>-28909</v>
      </c>
      <c r="F7274" s="3" t="s">
        <v>278</v>
      </c>
      <c r="G7274" s="3" t="s">
        <v>62</v>
      </c>
      <c r="H7274" s="2" t="s">
        <v>21</v>
      </c>
      <c r="I7274" s="2" t="s">
        <v>14318</v>
      </c>
      <c r="J7274" s="3" t="str">
        <f>HYPERLINK("https://www.boe.es/gazeta/dias/1820/11/05/pdfs/GGB-1820-130.pdf#page=3","Abrir facsímil")</f>
        <v>Abrir facsímil</v>
      </c>
      <c r="K7274" s="3" t="s">
        <v>23</v>
      </c>
    </row>
    <row r="7275" spans="1:11" ht="42" customHeight="1">
      <c r="A7275" s="2" t="s">
        <v>14319</v>
      </c>
      <c r="B7275" s="2" t="s">
        <v>14319</v>
      </c>
      <c r="C7275" s="2" t="s">
        <v>26</v>
      </c>
      <c r="D7275" s="2" t="s">
        <v>27</v>
      </c>
      <c r="E7275" s="5">
        <v>-28963</v>
      </c>
      <c r="F7275" s="3" t="s">
        <v>94</v>
      </c>
      <c r="G7275" s="3" t="s">
        <v>43</v>
      </c>
      <c r="H7275" s="2" t="s">
        <v>21</v>
      </c>
      <c r="I7275" s="2" t="s">
        <v>14320</v>
      </c>
      <c r="J7275" s="3" t="str">
        <f>HYPERLINK("https://www.boe.es/gazeta/dias/1820/09/12/pdfs/GGB-1820-76.pdf#page=2","Abrir facsímil")</f>
        <v>Abrir facsímil</v>
      </c>
      <c r="K7275" s="3" t="s">
        <v>23</v>
      </c>
    </row>
    <row r="7276" spans="1:11" ht="42" customHeight="1">
      <c r="A7276" s="2" t="s">
        <v>14319</v>
      </c>
      <c r="B7276" s="2" t="s">
        <v>14319</v>
      </c>
      <c r="C7276" s="2" t="s">
        <v>293</v>
      </c>
      <c r="D7276" s="2" t="s">
        <v>18</v>
      </c>
      <c r="E7276" s="5">
        <v>-28959</v>
      </c>
      <c r="F7276" s="3" t="s">
        <v>37</v>
      </c>
      <c r="G7276" s="3" t="s">
        <v>20</v>
      </c>
      <c r="H7276" s="2" t="s">
        <v>21</v>
      </c>
      <c r="I7276" s="2" t="s">
        <v>14321</v>
      </c>
      <c r="J7276" s="3" t="str">
        <f>HYPERLINK("https://www.boe.es/gazeta/dias/1820/09/16/pdfs/GGB-1820-80.pdf#page=4","Abrir facsímil")</f>
        <v>Abrir facsímil</v>
      </c>
      <c r="K7276" s="3" t="s">
        <v>23</v>
      </c>
    </row>
    <row r="7277" spans="1:11" ht="42" customHeight="1">
      <c r="A7277" s="2" t="s">
        <v>14319</v>
      </c>
      <c r="B7277" s="2" t="s">
        <v>14319</v>
      </c>
      <c r="C7277" s="2" t="s">
        <v>293</v>
      </c>
      <c r="D7277" s="2" t="s">
        <v>18</v>
      </c>
      <c r="E7277" s="5">
        <v>-28958</v>
      </c>
      <c r="F7277" s="3" t="s">
        <v>706</v>
      </c>
      <c r="G7277" s="3" t="s">
        <v>43</v>
      </c>
      <c r="H7277" s="2" t="s">
        <v>21</v>
      </c>
      <c r="I7277" s="2" t="s">
        <v>14322</v>
      </c>
      <c r="J7277" s="3" t="str">
        <f>HYPERLINK("https://www.boe.es/gazeta/dias/1820/09/17/pdfs/GGB-1820-81.pdf#page=2","Abrir facsímil")</f>
        <v>Abrir facsímil</v>
      </c>
      <c r="K7277" s="3" t="s">
        <v>23</v>
      </c>
    </row>
    <row r="7278" spans="1:11" ht="42" customHeight="1">
      <c r="A7278" s="2" t="s">
        <v>14323</v>
      </c>
      <c r="B7278" s="2" t="s">
        <v>14324</v>
      </c>
      <c r="C7278" s="2" t="s">
        <v>47</v>
      </c>
      <c r="D7278" s="2" t="s">
        <v>18</v>
      </c>
      <c r="E7278" s="5">
        <v>-28959</v>
      </c>
      <c r="F7278" s="3" t="s">
        <v>37</v>
      </c>
      <c r="G7278" s="3" t="s">
        <v>38</v>
      </c>
      <c r="H7278" s="2" t="s">
        <v>21</v>
      </c>
      <c r="I7278" s="2" t="s">
        <v>14325</v>
      </c>
      <c r="J7278" s="3" t="str">
        <f>HYPERLINK("https://www.boe.es/gazeta/dias/1820/09/16/pdfs/GGB-1820-80.pdf#page=6","Abrir facsímil")</f>
        <v>Abrir facsímil</v>
      </c>
      <c r="K7278" s="3" t="s">
        <v>23</v>
      </c>
    </row>
    <row r="7279" spans="1:11" ht="42" customHeight="1">
      <c r="A7279" s="2" t="s">
        <v>14326</v>
      </c>
      <c r="B7279" s="2" t="s">
        <v>14326</v>
      </c>
      <c r="C7279" s="2" t="s">
        <v>26</v>
      </c>
      <c r="D7279" s="2" t="s">
        <v>27</v>
      </c>
      <c r="E7279" s="5">
        <v>-29010</v>
      </c>
      <c r="F7279" s="3" t="s">
        <v>664</v>
      </c>
      <c r="G7279" s="3" t="s">
        <v>128</v>
      </c>
      <c r="H7279" s="2" t="s">
        <v>21</v>
      </c>
      <c r="I7279" s="2" t="s">
        <v>14327</v>
      </c>
      <c r="J7279" s="3" t="str">
        <f>HYPERLINK("https://www.boe.es/gazeta/dias/1820/07/27/pdfs/GGB-1820-29.pdf#page=1","Abrir facsímil")</f>
        <v>Abrir facsímil</v>
      </c>
      <c r="K7279" s="3" t="s">
        <v>23</v>
      </c>
    </row>
    <row r="7280" spans="1:11" ht="42" customHeight="1">
      <c r="A7280" s="2" t="s">
        <v>14328</v>
      </c>
      <c r="B7280" s="2" t="s">
        <v>14329</v>
      </c>
      <c r="C7280" s="2" t="s">
        <v>26</v>
      </c>
      <c r="D7280" s="2" t="s">
        <v>27</v>
      </c>
      <c r="E7280" s="5">
        <v>-29187</v>
      </c>
      <c r="F7280" s="3" t="s">
        <v>859</v>
      </c>
      <c r="G7280" s="3" t="s">
        <v>62</v>
      </c>
      <c r="H7280" s="2" t="s">
        <v>21</v>
      </c>
      <c r="I7280" s="2" t="s">
        <v>14330</v>
      </c>
      <c r="J7280" s="3" t="str">
        <f>HYPERLINK("https://www.boe.es/gazeta/dias/1820/02/01/pdfs/GMD-1820-14.pdf#page=3","Abrir facsímil")</f>
        <v>Abrir facsímil</v>
      </c>
      <c r="K7280" s="3" t="s">
        <v>23</v>
      </c>
    </row>
    <row r="7281" spans="1:11" ht="42" customHeight="1">
      <c r="A7281" s="2" t="s">
        <v>14331</v>
      </c>
      <c r="B7281" s="2" t="s">
        <v>14332</v>
      </c>
      <c r="C7281" s="2" t="s">
        <v>17</v>
      </c>
      <c r="D7281" s="2" t="s">
        <v>18</v>
      </c>
      <c r="E7281" s="5">
        <v>-29187</v>
      </c>
      <c r="F7281" s="3" t="s">
        <v>859</v>
      </c>
      <c r="G7281" s="3" t="s">
        <v>256</v>
      </c>
      <c r="H7281" s="2" t="s">
        <v>21</v>
      </c>
      <c r="I7281" s="2" t="s">
        <v>14333</v>
      </c>
      <c r="J7281" s="3" t="str">
        <f>HYPERLINK("https://www.boe.es/gazeta/dias/1820/02/01/pdfs/GMD-1820-14.pdf#page=5","Abrir facsímil")</f>
        <v>Abrir facsímil</v>
      </c>
      <c r="K7281" s="3" t="s">
        <v>23</v>
      </c>
    </row>
    <row r="7282" spans="1:11" ht="42" customHeight="1">
      <c r="A7282" s="2" t="s">
        <v>14334</v>
      </c>
      <c r="B7282" s="2" t="s">
        <v>14335</v>
      </c>
      <c r="C7282" s="2" t="s">
        <v>47</v>
      </c>
      <c r="D7282" s="2" t="s">
        <v>18</v>
      </c>
      <c r="E7282" s="5">
        <v>-29215</v>
      </c>
      <c r="F7282" s="3" t="s">
        <v>827</v>
      </c>
      <c r="G7282" s="3" t="s">
        <v>295</v>
      </c>
      <c r="H7282" s="2" t="s">
        <v>21</v>
      </c>
      <c r="I7282" s="2" t="s">
        <v>14336</v>
      </c>
      <c r="J7282" s="3" t="str">
        <f>HYPERLINK("https://www.boe.es/gazeta/dias/1820/01/04/pdfs/GMD-1820-2.pdf#page=8","Abrir facsímil")</f>
        <v>Abrir facsímil</v>
      </c>
      <c r="K7282" s="3" t="s">
        <v>23</v>
      </c>
    </row>
    <row r="7283" spans="1:11" ht="42" customHeight="1">
      <c r="A7283" s="2" t="s">
        <v>14337</v>
      </c>
      <c r="B7283" s="2" t="s">
        <v>14338</v>
      </c>
      <c r="C7283" s="2" t="s">
        <v>26</v>
      </c>
      <c r="D7283" s="2" t="s">
        <v>27</v>
      </c>
      <c r="E7283" s="5">
        <v>-29002</v>
      </c>
      <c r="F7283" s="3" t="s">
        <v>124</v>
      </c>
      <c r="G7283" s="3" t="s">
        <v>43</v>
      </c>
      <c r="H7283" s="2" t="s">
        <v>21</v>
      </c>
      <c r="I7283" s="2" t="s">
        <v>14339</v>
      </c>
      <c r="J7283" s="3" t="str">
        <f>HYPERLINK("https://www.boe.es/gazeta/dias/1820/08/04/pdfs/GGB-1820-37.pdf#page=2","Abrir facsímil")</f>
        <v>Abrir facsímil</v>
      </c>
      <c r="K7283" s="3" t="s">
        <v>23</v>
      </c>
    </row>
    <row r="7284" spans="1:11" ht="42" customHeight="1">
      <c r="A7284" s="2" t="s">
        <v>14340</v>
      </c>
      <c r="B7284" s="2" t="s">
        <v>14340</v>
      </c>
      <c r="C7284" s="2" t="s">
        <v>35</v>
      </c>
      <c r="D7284" s="2" t="s">
        <v>36</v>
      </c>
      <c r="E7284" s="5">
        <v>-28986</v>
      </c>
      <c r="F7284" s="3" t="s">
        <v>488</v>
      </c>
      <c r="G7284" s="3" t="s">
        <v>128</v>
      </c>
      <c r="H7284" s="2" t="s">
        <v>21</v>
      </c>
      <c r="I7284" s="2" t="s">
        <v>14341</v>
      </c>
      <c r="J7284" s="3" t="str">
        <f>HYPERLINK("https://www.boe.es/gazeta/dias/1820/08/20/pdfs/GGB-1820-53.pdf#page=1","Abrir facsímil")</f>
        <v>Abrir facsímil</v>
      </c>
      <c r="K7284" s="3" t="s">
        <v>23</v>
      </c>
    </row>
    <row r="7285" spans="1:11" ht="42" customHeight="1"/>
    <row r="7286" spans="1:11" ht="42" customHeight="1"/>
    <row r="7287" spans="1:11" ht="42" customHeight="1"/>
    <row r="7288" spans="1:11" ht="42" customHeight="1"/>
    <row r="7289" spans="1:11" ht="42" customHeight="1"/>
    <row r="7290" spans="1:11" ht="42" customHeight="1"/>
    <row r="7291" spans="1:11" ht="42" customHeight="1"/>
    <row r="7292" spans="1:11" ht="42" customHeight="1"/>
    <row r="7293" spans="1:11" ht="42" customHeight="1"/>
    <row r="7294" spans="1:11" ht="42" customHeight="1"/>
    <row r="7295" spans="1:11" ht="42" customHeight="1"/>
    <row r="7296" spans="1:11" ht="42" customHeight="1"/>
    <row r="7297" ht="42" customHeight="1"/>
    <row r="7298" ht="42" customHeight="1"/>
    <row r="7299" ht="42" customHeight="1"/>
    <row r="7300" ht="42" customHeight="1"/>
    <row r="7301" ht="42" customHeight="1"/>
    <row r="7302" ht="42" customHeight="1"/>
    <row r="7303" ht="42" customHeight="1"/>
    <row r="7304" ht="42" customHeight="1"/>
    <row r="7305" ht="42" customHeight="1"/>
    <row r="7306" ht="42" customHeight="1"/>
    <row r="7307" ht="42" customHeight="1"/>
    <row r="7308" ht="42" customHeight="1"/>
    <row r="7309" ht="42" customHeight="1"/>
    <row r="7310" ht="42" customHeight="1"/>
    <row r="7311" ht="42" customHeight="1"/>
    <row r="7312" ht="42" customHeight="1"/>
    <row r="7313" ht="42" customHeight="1"/>
    <row r="7314" ht="42" customHeight="1"/>
    <row r="7315" ht="42" customHeight="1"/>
    <row r="7316" ht="42" customHeight="1"/>
    <row r="7317" ht="42" customHeight="1"/>
    <row r="7318" ht="42" customHeight="1"/>
    <row r="7319" ht="42" customHeight="1"/>
    <row r="7320" ht="42" customHeight="1"/>
    <row r="7321" ht="42" customHeight="1"/>
    <row r="7322" ht="42" customHeight="1"/>
    <row r="7323" ht="42" customHeight="1"/>
    <row r="7324" ht="42" customHeight="1"/>
    <row r="7325" ht="42" customHeight="1"/>
    <row r="7326" ht="42" customHeight="1"/>
    <row r="7327" ht="42" customHeight="1"/>
    <row r="7328" ht="42" customHeight="1"/>
    <row r="7329" ht="42" customHeight="1"/>
    <row r="7330" ht="42" customHeight="1"/>
    <row r="7331" ht="42" customHeight="1"/>
    <row r="7332" ht="42" customHeight="1"/>
    <row r="7333" ht="42" customHeight="1"/>
    <row r="7334" ht="42" customHeight="1"/>
    <row r="7335" ht="42" customHeight="1"/>
    <row r="7336" ht="42" customHeight="1"/>
    <row r="7337" ht="42" customHeight="1"/>
    <row r="7338" ht="42" customHeight="1"/>
    <row r="7339" ht="42" customHeight="1"/>
    <row r="7340" ht="42" customHeight="1"/>
    <row r="7341" ht="42" customHeight="1"/>
    <row r="7342" ht="42" customHeight="1"/>
    <row r="7343" ht="42" customHeight="1"/>
    <row r="7344" ht="42" customHeight="1"/>
    <row r="7345" ht="42" customHeight="1"/>
    <row r="7346" ht="42" customHeight="1"/>
    <row r="7347" ht="42" customHeight="1"/>
    <row r="7348" ht="42" customHeight="1"/>
    <row r="7349" ht="42" customHeight="1"/>
    <row r="7350" ht="42" customHeight="1"/>
    <row r="7351" ht="42" customHeight="1"/>
    <row r="7352" ht="42" customHeight="1"/>
    <row r="7353" ht="42" customHeight="1"/>
    <row r="7354" ht="42" customHeight="1"/>
    <row r="7355" ht="42" customHeight="1"/>
    <row r="7356" ht="42" customHeight="1"/>
    <row r="7357" ht="42" customHeight="1"/>
    <row r="7358" ht="42" customHeight="1"/>
    <row r="7359" ht="42" customHeight="1"/>
    <row r="7360" ht="42" customHeight="1"/>
    <row r="7361" ht="42" customHeight="1"/>
    <row r="7362" ht="42" customHeight="1"/>
    <row r="7363" ht="42" customHeight="1"/>
    <row r="7364" ht="42" customHeight="1"/>
    <row r="7365" ht="42" customHeight="1"/>
    <row r="7366" ht="42" customHeight="1"/>
    <row r="7367" ht="42" customHeight="1"/>
    <row r="7368" ht="42" customHeight="1"/>
    <row r="7369" ht="42" customHeight="1"/>
    <row r="7370" ht="42" customHeight="1"/>
    <row r="7371" ht="42" customHeight="1"/>
    <row r="7372" ht="42" customHeight="1"/>
    <row r="7373" ht="42" customHeight="1"/>
    <row r="7374" ht="42" customHeight="1"/>
    <row r="7375" ht="42" customHeight="1"/>
    <row r="7376" ht="42" customHeight="1"/>
    <row r="7377" ht="42" customHeight="1"/>
    <row r="7378" ht="42" customHeight="1"/>
    <row r="7379" ht="42" customHeight="1"/>
    <row r="7380" ht="42" customHeight="1"/>
    <row r="7381" ht="42" customHeight="1"/>
    <row r="7382" ht="42" customHeight="1"/>
    <row r="7383" ht="42" customHeight="1"/>
    <row r="7384" ht="42" customHeight="1"/>
    <row r="7385" ht="42" customHeight="1"/>
    <row r="7386" ht="42" customHeight="1"/>
    <row r="7387" ht="42" customHeight="1"/>
    <row r="7388" ht="42" customHeight="1"/>
    <row r="7389" ht="42" customHeight="1"/>
    <row r="7390" ht="42" customHeight="1"/>
    <row r="7391" ht="42" customHeight="1"/>
    <row r="7392" ht="42" customHeight="1"/>
    <row r="7393" ht="42" customHeight="1"/>
    <row r="7394" ht="42" customHeight="1"/>
    <row r="7395" ht="42" customHeight="1"/>
    <row r="7396" ht="42" customHeight="1"/>
    <row r="7397" ht="42" customHeight="1"/>
    <row r="7398" ht="42" customHeight="1"/>
    <row r="7399" ht="42" customHeight="1"/>
    <row r="7400" ht="42" customHeight="1"/>
    <row r="7401" ht="42" customHeight="1"/>
    <row r="7402" ht="42" customHeight="1"/>
    <row r="7403" ht="42" customHeight="1"/>
    <row r="7404" ht="42" customHeight="1"/>
    <row r="7405" ht="42" customHeight="1"/>
    <row r="7406" ht="42" customHeight="1"/>
    <row r="7407" ht="42" customHeight="1"/>
    <row r="7408" ht="42" customHeight="1"/>
    <row r="7409" ht="42" customHeight="1"/>
    <row r="7410" ht="42" customHeight="1"/>
    <row r="7411" ht="42" customHeight="1"/>
    <row r="7412" ht="42" customHeight="1"/>
    <row r="7413" ht="42" customHeight="1"/>
    <row r="7414" ht="42" customHeight="1"/>
    <row r="7415" ht="42" customHeight="1"/>
    <row r="7416" ht="42" customHeight="1"/>
    <row r="7417" ht="42" customHeight="1"/>
    <row r="7418" ht="42" customHeight="1"/>
    <row r="7419" ht="42" customHeight="1"/>
    <row r="7420" ht="42" customHeight="1"/>
    <row r="7421" ht="42" customHeight="1"/>
    <row r="7422" ht="42" customHeight="1"/>
    <row r="7423" ht="42" customHeight="1"/>
    <row r="7424" ht="42" customHeight="1"/>
    <row r="7425" ht="42" customHeight="1"/>
    <row r="7426" ht="42" customHeight="1"/>
    <row r="7427" ht="42" customHeight="1"/>
    <row r="7428" ht="42" customHeight="1"/>
    <row r="7429" ht="42" customHeight="1"/>
    <row r="7430" ht="42" customHeight="1"/>
    <row r="7431" ht="42" customHeight="1"/>
    <row r="7432" ht="42" customHeight="1"/>
    <row r="7433" ht="42" customHeight="1"/>
    <row r="7434" ht="42" customHeight="1"/>
    <row r="7435" ht="42" customHeight="1"/>
    <row r="7436" ht="42" customHeight="1"/>
    <row r="7437" ht="42" customHeight="1"/>
    <row r="7438" ht="42" customHeight="1"/>
    <row r="7439" ht="42" customHeight="1"/>
    <row r="7440" ht="42" customHeight="1"/>
    <row r="7441" ht="42" customHeight="1"/>
    <row r="7442" ht="42" customHeight="1"/>
    <row r="7443" ht="42" customHeight="1"/>
    <row r="7444" ht="42" customHeight="1"/>
    <row r="7445" ht="42" customHeight="1"/>
    <row r="7446" ht="42" customHeight="1"/>
    <row r="7447" ht="42" customHeight="1"/>
    <row r="7448" ht="42" customHeight="1"/>
    <row r="7449" ht="42" customHeight="1"/>
    <row r="7450" ht="42" customHeight="1"/>
    <row r="7451" ht="42" customHeight="1"/>
    <row r="7452" ht="42" customHeight="1"/>
    <row r="7453" ht="42" customHeight="1"/>
    <row r="7454" ht="42" customHeight="1"/>
    <row r="7455" ht="42" customHeight="1"/>
    <row r="7456" ht="42" customHeight="1"/>
    <row r="7457" ht="42" customHeight="1"/>
    <row r="7458" ht="42" customHeight="1"/>
    <row r="7459" ht="42" customHeight="1"/>
    <row r="7460" ht="42" customHeight="1"/>
    <row r="7461" ht="42" customHeight="1"/>
    <row r="7462" ht="42" customHeight="1"/>
    <row r="7463" ht="42" customHeight="1"/>
    <row r="7464" ht="42" customHeight="1"/>
    <row r="7465" ht="42" customHeight="1"/>
    <row r="7466" ht="42" customHeight="1"/>
    <row r="7467" ht="42" customHeight="1"/>
    <row r="7468" ht="42" customHeight="1"/>
    <row r="7469" ht="42" customHeight="1"/>
    <row r="7470" ht="42" customHeight="1"/>
    <row r="7471" ht="42" customHeight="1"/>
    <row r="7472" ht="42" customHeight="1"/>
    <row r="7473" ht="42" customHeight="1"/>
    <row r="7474" ht="42" customHeight="1"/>
    <row r="7475" ht="42" customHeight="1"/>
    <row r="7476" ht="42" customHeight="1"/>
    <row r="7477" ht="42" customHeight="1"/>
    <row r="7478" ht="42" customHeight="1"/>
    <row r="7479" ht="42" customHeight="1"/>
    <row r="7480" ht="42" customHeight="1"/>
    <row r="7481" ht="42" customHeight="1"/>
    <row r="7482" ht="42" customHeight="1"/>
    <row r="7483" ht="42" customHeight="1"/>
    <row r="7484" ht="42" customHeight="1"/>
    <row r="7485" ht="42" customHeight="1"/>
    <row r="7486" ht="42" customHeight="1"/>
    <row r="7487" ht="42" customHeight="1"/>
    <row r="7488" ht="42" customHeight="1"/>
    <row r="7489" ht="42" customHeight="1"/>
    <row r="7490" ht="42" customHeight="1"/>
    <row r="7491" ht="42" customHeight="1"/>
    <row r="7492" ht="42" customHeight="1"/>
    <row r="7493" ht="42" customHeight="1"/>
    <row r="7494" ht="42" customHeight="1"/>
    <row r="7495" ht="42" customHeight="1"/>
    <row r="7496" ht="42" customHeight="1"/>
    <row r="7497" ht="42" customHeight="1"/>
    <row r="7498" ht="42" customHeight="1"/>
    <row r="7499" ht="42" customHeight="1"/>
    <row r="7500" ht="42" customHeight="1"/>
    <row r="7501" ht="42" customHeight="1"/>
    <row r="7502" ht="42" customHeight="1"/>
    <row r="7503" ht="42" customHeight="1"/>
    <row r="7504" ht="42" customHeight="1"/>
    <row r="7505" ht="42" customHeight="1"/>
    <row r="7506" ht="42" customHeight="1"/>
    <row r="7507" ht="42" customHeight="1"/>
    <row r="7508" ht="42" customHeight="1"/>
    <row r="7509" ht="42" customHeight="1"/>
    <row r="7510" ht="42" customHeight="1"/>
    <row r="7511" ht="42" customHeight="1"/>
    <row r="7512" ht="42" customHeight="1"/>
    <row r="7513" ht="42" customHeight="1"/>
    <row r="7514" ht="42" customHeight="1"/>
    <row r="7515" ht="42" customHeight="1"/>
    <row r="7516" ht="42" customHeight="1"/>
    <row r="7517" ht="42" customHeight="1"/>
    <row r="7518" ht="42" customHeight="1"/>
    <row r="7519" ht="42" customHeight="1"/>
    <row r="7520" ht="42" customHeight="1"/>
    <row r="7521" ht="42" customHeight="1"/>
    <row r="7522" ht="42" customHeight="1"/>
    <row r="7523" ht="42" customHeight="1"/>
    <row r="7524" ht="42" customHeight="1"/>
    <row r="7525" ht="42" customHeight="1"/>
    <row r="7526" ht="42" customHeight="1"/>
    <row r="7527" ht="42" customHeight="1"/>
    <row r="7528" ht="42" customHeight="1"/>
    <row r="7529" ht="42" customHeight="1"/>
    <row r="7530" ht="42" customHeight="1"/>
    <row r="7531" ht="42" customHeight="1"/>
    <row r="7532" ht="42" customHeight="1"/>
    <row r="7533" ht="42" customHeight="1"/>
    <row r="7534" ht="42" customHeight="1"/>
    <row r="7535" ht="42" customHeight="1"/>
    <row r="7536" ht="42" customHeight="1"/>
    <row r="7537" ht="42" customHeight="1"/>
    <row r="7538" ht="42" customHeight="1"/>
    <row r="7539" ht="42" customHeight="1"/>
    <row r="7540" ht="42" customHeight="1"/>
    <row r="7541" ht="42" customHeight="1"/>
    <row r="7542" ht="42" customHeight="1"/>
    <row r="7543" ht="42" customHeight="1"/>
    <row r="7544" ht="42" customHeight="1"/>
    <row r="7545" ht="42" customHeight="1"/>
    <row r="7546" ht="42" customHeight="1"/>
    <row r="7547" ht="42" customHeight="1"/>
    <row r="7548" ht="42" customHeight="1"/>
    <row r="7549" ht="42" customHeight="1"/>
    <row r="7550" ht="42" customHeight="1"/>
    <row r="7551" ht="42" customHeight="1"/>
    <row r="7552" ht="42" customHeight="1"/>
    <row r="7553" ht="42" customHeight="1"/>
    <row r="7554" ht="42" customHeight="1"/>
    <row r="7555" ht="42" customHeight="1"/>
    <row r="7556" ht="42" customHeight="1"/>
    <row r="7557" ht="42" customHeight="1"/>
    <row r="7558" ht="42" customHeight="1"/>
    <row r="7559" ht="42" customHeight="1"/>
    <row r="7560" ht="42" customHeight="1"/>
    <row r="7561" ht="42" customHeight="1"/>
    <row r="7562" ht="42" customHeight="1"/>
    <row r="7563" ht="42" customHeight="1"/>
    <row r="7564" ht="42" customHeight="1"/>
    <row r="7565" ht="42" customHeight="1"/>
    <row r="7566" ht="42" customHeight="1"/>
    <row r="7567" ht="42" customHeight="1"/>
    <row r="7568" ht="42" customHeight="1"/>
    <row r="7569" ht="42" customHeight="1"/>
    <row r="7570" ht="42" customHeight="1"/>
    <row r="7571" ht="42" customHeight="1"/>
    <row r="7572" ht="42" customHeight="1"/>
    <row r="7573" ht="42" customHeight="1"/>
    <row r="7574" ht="42" customHeight="1"/>
    <row r="7575" ht="42" customHeight="1"/>
    <row r="7576" ht="42" customHeight="1"/>
    <row r="7577" ht="42" customHeight="1"/>
    <row r="7578" ht="42" customHeight="1"/>
    <row r="7579" ht="42" customHeight="1"/>
    <row r="7580" ht="42" customHeight="1"/>
    <row r="7581" ht="42" customHeight="1"/>
    <row r="7582" ht="42" customHeight="1"/>
    <row r="7583" ht="42" customHeight="1"/>
    <row r="7584" ht="42" customHeight="1"/>
    <row r="7585" ht="42" customHeight="1"/>
    <row r="7586" ht="42" customHeight="1"/>
    <row r="7587" ht="42" customHeight="1"/>
    <row r="7588" ht="42" customHeight="1"/>
    <row r="7589" ht="42" customHeight="1"/>
    <row r="7590" ht="42" customHeight="1"/>
    <row r="7591" ht="42" customHeight="1"/>
    <row r="7592" ht="42" customHeight="1"/>
    <row r="7593" ht="42" customHeight="1"/>
    <row r="7594" ht="42" customHeight="1"/>
    <row r="7595" ht="42" customHeight="1"/>
    <row r="7596" ht="42" customHeight="1"/>
    <row r="7597" ht="42" customHeight="1"/>
    <row r="7598" ht="42" customHeight="1"/>
    <row r="7599" ht="42" customHeight="1"/>
    <row r="7600" ht="42" customHeight="1"/>
    <row r="7601" ht="42" customHeight="1"/>
    <row r="7602" ht="42" customHeight="1"/>
    <row r="7603" ht="42" customHeight="1"/>
    <row r="7604" ht="42" customHeight="1"/>
    <row r="7605" ht="42" customHeight="1"/>
    <row r="7606" ht="42" customHeight="1"/>
    <row r="7607" ht="42" customHeight="1"/>
    <row r="7608" ht="42" customHeight="1"/>
    <row r="7609" ht="42" customHeight="1"/>
    <row r="7610" ht="42" customHeight="1"/>
    <row r="7611" ht="42" customHeight="1"/>
    <row r="7612" ht="42" customHeight="1"/>
    <row r="7613" ht="42" customHeight="1"/>
    <row r="7614" ht="42" customHeight="1"/>
    <row r="7615" ht="42" customHeight="1"/>
    <row r="7616" ht="42" customHeight="1"/>
    <row r="7617" ht="42" customHeight="1"/>
    <row r="7618" ht="42" customHeight="1"/>
    <row r="7619" ht="42" customHeight="1"/>
    <row r="7620" ht="42" customHeight="1"/>
    <row r="7621" ht="42" customHeight="1"/>
    <row r="7622" ht="42" customHeight="1"/>
    <row r="7623" ht="42" customHeight="1"/>
    <row r="7624" ht="42" customHeight="1"/>
    <row r="7625" ht="42" customHeight="1"/>
    <row r="7626" ht="42" customHeight="1"/>
    <row r="7627" ht="42" customHeight="1"/>
    <row r="7628" ht="42" customHeight="1"/>
    <row r="7629" ht="42" customHeight="1"/>
    <row r="7630" ht="42" customHeight="1"/>
    <row r="7631" ht="42" customHeight="1"/>
    <row r="7632" ht="42" customHeight="1"/>
    <row r="7633" ht="42" customHeight="1"/>
    <row r="7634" ht="42" customHeight="1"/>
    <row r="7635" ht="42" customHeight="1"/>
    <row r="7636" ht="42" customHeight="1"/>
    <row r="7637" ht="42" customHeight="1"/>
    <row r="7638" ht="42" customHeight="1"/>
    <row r="7639" ht="42" customHeight="1"/>
    <row r="7640" ht="42" customHeight="1"/>
    <row r="7641" ht="42" customHeight="1"/>
    <row r="7642" ht="42" customHeight="1"/>
    <row r="7643" ht="42" customHeight="1"/>
    <row r="7644" ht="42" customHeight="1"/>
    <row r="7645" ht="42" customHeight="1"/>
    <row r="7646" ht="42" customHeight="1"/>
    <row r="7647" ht="42" customHeight="1"/>
    <row r="7648" ht="42" customHeight="1"/>
    <row r="7649" ht="42" customHeight="1"/>
    <row r="7650" ht="42" customHeight="1"/>
    <row r="7651" ht="42" customHeight="1"/>
    <row r="7652" ht="42" customHeight="1"/>
    <row r="7653" ht="42" customHeight="1"/>
    <row r="7654" ht="42" customHeight="1"/>
    <row r="7655" ht="42" customHeight="1"/>
    <row r="7656" ht="42" customHeight="1"/>
    <row r="7657" ht="42" customHeight="1"/>
    <row r="7658" ht="42" customHeight="1"/>
    <row r="7659" ht="42" customHeight="1"/>
    <row r="7660" ht="42" customHeight="1"/>
    <row r="7661" ht="42" customHeight="1"/>
    <row r="7662" ht="42" customHeight="1"/>
    <row r="7663" ht="42" customHeight="1"/>
    <row r="7664" ht="42" customHeight="1"/>
    <row r="7665" ht="42" customHeight="1"/>
    <row r="7666" ht="42" customHeight="1"/>
    <row r="7667" ht="42" customHeight="1"/>
    <row r="7668" ht="42" customHeight="1"/>
    <row r="7669" ht="42" customHeight="1"/>
    <row r="7670" ht="42" customHeight="1"/>
    <row r="7671" ht="42" customHeight="1"/>
    <row r="7672" ht="42" customHeight="1"/>
    <row r="7673" ht="42" customHeight="1"/>
    <row r="7674" ht="42" customHeight="1"/>
    <row r="7675" ht="42" customHeight="1"/>
    <row r="7676" ht="42" customHeight="1"/>
    <row r="7677" ht="42" customHeight="1"/>
    <row r="7678" ht="42" customHeight="1"/>
    <row r="7679" ht="42" customHeight="1"/>
    <row r="7680" ht="42" customHeight="1"/>
    <row r="7681" ht="42" customHeight="1"/>
    <row r="7682" ht="42" customHeight="1"/>
    <row r="7683" ht="42" customHeight="1"/>
    <row r="7684" ht="42" customHeight="1"/>
    <row r="7685" ht="42" customHeight="1"/>
    <row r="7686" ht="42" customHeight="1"/>
    <row r="7687" ht="42" customHeight="1"/>
    <row r="7688" ht="42" customHeight="1"/>
    <row r="7689" ht="42" customHeight="1"/>
    <row r="7690" ht="42" customHeight="1"/>
    <row r="7691" ht="42" customHeight="1"/>
    <row r="7692" ht="42" customHeight="1"/>
    <row r="7693" ht="42" customHeight="1"/>
    <row r="7694" ht="42" customHeight="1"/>
    <row r="7695" ht="42" customHeight="1"/>
    <row r="7696" ht="42" customHeight="1"/>
    <row r="7697" ht="42" customHeight="1"/>
    <row r="7698" ht="42" customHeight="1"/>
    <row r="7699" ht="42" customHeight="1"/>
    <row r="7700" ht="42" customHeight="1"/>
    <row r="7701" ht="42" customHeight="1"/>
    <row r="7702" ht="42" customHeight="1"/>
    <row r="7703" ht="42" customHeight="1"/>
    <row r="7704" ht="42" customHeight="1"/>
    <row r="7705" ht="42" customHeight="1"/>
    <row r="7706" ht="42" customHeight="1"/>
    <row r="7707" ht="42" customHeight="1"/>
    <row r="7708" ht="42" customHeight="1"/>
    <row r="7709" ht="42" customHeight="1"/>
    <row r="7710" ht="42" customHeight="1"/>
    <row r="7711" ht="42" customHeight="1"/>
    <row r="7712" ht="42" customHeight="1"/>
    <row r="7713" ht="42" customHeight="1"/>
    <row r="7714" ht="42" customHeight="1"/>
    <row r="7715" ht="42" customHeight="1"/>
    <row r="7716" ht="42" customHeight="1"/>
    <row r="7717" ht="42" customHeight="1"/>
    <row r="7718" ht="42" customHeight="1"/>
    <row r="7719" ht="42" customHeight="1"/>
    <row r="7720" ht="42" customHeight="1"/>
    <row r="7721" ht="42" customHeight="1"/>
    <row r="7722" ht="42" customHeight="1"/>
    <row r="7723" ht="42" customHeight="1"/>
    <row r="7724" ht="42" customHeight="1"/>
    <row r="7725" ht="42" customHeight="1"/>
    <row r="7726" ht="42" customHeight="1"/>
    <row r="7727" ht="42" customHeight="1"/>
    <row r="7728" ht="42" customHeight="1"/>
    <row r="7729" ht="42" customHeight="1"/>
    <row r="7730" ht="42" customHeight="1"/>
    <row r="7731" ht="42" customHeight="1"/>
    <row r="7732" ht="42" customHeight="1"/>
    <row r="7733" ht="42" customHeight="1"/>
    <row r="7734" ht="42" customHeight="1"/>
    <row r="7735" ht="42" customHeight="1"/>
    <row r="7736" ht="42" customHeight="1"/>
    <row r="7737" ht="42" customHeight="1"/>
    <row r="7738" ht="42" customHeight="1"/>
    <row r="7739" ht="42" customHeight="1"/>
    <row r="7740" ht="42" customHeight="1"/>
    <row r="7741" ht="42" customHeight="1"/>
    <row r="7742" ht="42" customHeight="1"/>
    <row r="7743" ht="42" customHeight="1"/>
    <row r="7744" ht="42" customHeight="1"/>
    <row r="7745" ht="42" customHeight="1"/>
    <row r="7746" ht="42" customHeight="1"/>
    <row r="7747" ht="42" customHeight="1"/>
    <row r="7748" ht="42" customHeight="1"/>
    <row r="7749" ht="42" customHeight="1"/>
    <row r="7750" ht="42" customHeight="1"/>
    <row r="7751" ht="42" customHeight="1"/>
    <row r="7752" ht="42" customHeight="1"/>
    <row r="7753" ht="42" customHeight="1"/>
    <row r="7754" ht="42" customHeight="1"/>
    <row r="7755" ht="42" customHeight="1"/>
    <row r="7756" ht="42" customHeight="1"/>
    <row r="7757" ht="42" customHeight="1"/>
    <row r="7758" ht="42" customHeight="1"/>
    <row r="7759" ht="42" customHeight="1"/>
    <row r="7760" ht="42" customHeight="1"/>
    <row r="7761" ht="42" customHeight="1"/>
    <row r="7762" ht="42" customHeight="1"/>
    <row r="7763" ht="42" customHeight="1"/>
    <row r="7764" ht="42" customHeight="1"/>
    <row r="7765" ht="42" customHeight="1"/>
    <row r="7766" ht="42" customHeight="1"/>
    <row r="7767" ht="42" customHeight="1"/>
    <row r="7768" ht="42" customHeight="1"/>
    <row r="7769" ht="42" customHeight="1"/>
    <row r="7770" ht="42" customHeight="1"/>
    <row r="7771" ht="42" customHeight="1"/>
    <row r="7772" ht="42" customHeight="1"/>
    <row r="7773" ht="42" customHeight="1"/>
    <row r="7774" ht="42" customHeight="1"/>
    <row r="7775" ht="42" customHeight="1"/>
    <row r="7776" ht="42" customHeight="1"/>
    <row r="7777" ht="42" customHeight="1"/>
    <row r="7778" ht="42" customHeight="1"/>
    <row r="7779" ht="42" customHeight="1"/>
    <row r="7780" ht="42" customHeight="1"/>
    <row r="7781" ht="42" customHeight="1"/>
    <row r="7782" ht="42" customHeight="1"/>
    <row r="7783" ht="42" customHeight="1"/>
    <row r="7784" ht="42" customHeight="1"/>
    <row r="7785" ht="42" customHeight="1"/>
    <row r="7786" ht="42" customHeight="1"/>
    <row r="7787" ht="42" customHeight="1"/>
    <row r="7788" ht="42" customHeight="1"/>
    <row r="7789" ht="42" customHeight="1"/>
    <row r="7790" ht="42" customHeight="1"/>
    <row r="7791" ht="42" customHeight="1"/>
    <row r="7792" ht="42" customHeight="1"/>
    <row r="7793" ht="42" customHeight="1"/>
    <row r="7794" ht="42" customHeight="1"/>
    <row r="7795" ht="42" customHeight="1"/>
    <row r="7796" ht="42" customHeight="1"/>
    <row r="7797" ht="42" customHeight="1"/>
    <row r="7798" ht="42" customHeight="1"/>
    <row r="7799" ht="42" customHeight="1"/>
    <row r="7800" ht="42" customHeight="1"/>
    <row r="7801" ht="42" customHeight="1"/>
    <row r="7802" ht="42" customHeight="1"/>
    <row r="7803" ht="42" customHeight="1"/>
    <row r="7804" ht="42" customHeight="1"/>
    <row r="7805" ht="42" customHeight="1"/>
    <row r="7806" ht="42" customHeight="1"/>
    <row r="7807" ht="42" customHeight="1"/>
    <row r="7808" ht="42" customHeight="1"/>
    <row r="7809" ht="42" customHeight="1"/>
    <row r="7810" ht="42" customHeight="1"/>
    <row r="7811" ht="42" customHeight="1"/>
    <row r="7812" ht="42" customHeight="1"/>
    <row r="7813" ht="42" customHeight="1"/>
    <row r="7814" ht="42" customHeight="1"/>
    <row r="7815" ht="42" customHeight="1"/>
    <row r="7816" ht="42" customHeight="1"/>
    <row r="7817" ht="42" customHeight="1"/>
    <row r="7818" ht="42" customHeight="1"/>
    <row r="7819" ht="42" customHeight="1"/>
    <row r="7820" ht="42" customHeight="1"/>
    <row r="7821" ht="42" customHeight="1"/>
    <row r="7822" ht="42" customHeight="1"/>
    <row r="7823" ht="42" customHeight="1"/>
    <row r="7824" ht="42" customHeight="1"/>
    <row r="7825" ht="42" customHeight="1"/>
    <row r="7826" ht="42" customHeight="1"/>
    <row r="7827" ht="42" customHeight="1"/>
    <row r="7828" ht="42" customHeight="1"/>
    <row r="7829" ht="42" customHeight="1"/>
    <row r="7830" ht="42" customHeight="1"/>
    <row r="7831" ht="42" customHeight="1"/>
    <row r="7832" ht="42" customHeight="1"/>
    <row r="7833" ht="42" customHeight="1"/>
    <row r="7834" ht="42" customHeight="1"/>
    <row r="7835" ht="42" customHeight="1"/>
    <row r="7836" ht="42" customHeight="1"/>
    <row r="7837" ht="42" customHeight="1"/>
    <row r="7838" ht="42" customHeight="1"/>
    <row r="7839" ht="42" customHeight="1"/>
    <row r="7840" ht="42" customHeight="1"/>
    <row r="7841" ht="42" customHeight="1"/>
    <row r="7842" ht="42" customHeight="1"/>
    <row r="7843" ht="42" customHeight="1"/>
    <row r="7844" ht="42" customHeight="1"/>
    <row r="7845" ht="42" customHeight="1"/>
    <row r="7846" ht="42" customHeight="1"/>
    <row r="7847" ht="42" customHeight="1"/>
    <row r="7848" ht="42" customHeight="1"/>
    <row r="7849" ht="42" customHeight="1"/>
    <row r="7850" ht="42" customHeight="1"/>
    <row r="7851" ht="42" customHeight="1"/>
    <row r="7852" ht="42" customHeight="1"/>
    <row r="7853" ht="42" customHeight="1"/>
    <row r="7854" ht="42" customHeight="1"/>
    <row r="7855" ht="42" customHeight="1"/>
    <row r="7856" ht="42" customHeight="1"/>
    <row r="7857" ht="42" customHeight="1"/>
    <row r="7858" ht="42" customHeight="1"/>
    <row r="7859" ht="42" customHeight="1"/>
    <row r="7860" ht="42" customHeight="1"/>
    <row r="7861" ht="42" customHeight="1"/>
    <row r="7862" ht="42" customHeight="1"/>
    <row r="7863" ht="42" customHeight="1"/>
    <row r="7864" ht="42" customHeight="1"/>
    <row r="7865" ht="42" customHeight="1"/>
    <row r="7866" ht="42" customHeight="1"/>
    <row r="7867" ht="42" customHeight="1"/>
    <row r="7868" ht="42" customHeight="1"/>
    <row r="7869" ht="42" customHeight="1"/>
    <row r="7870" ht="42" customHeight="1"/>
    <row r="7871" ht="42" customHeight="1"/>
    <row r="7872" ht="42" customHeight="1"/>
    <row r="7873" ht="42" customHeight="1"/>
    <row r="7874" ht="42" customHeight="1"/>
    <row r="7875" ht="42" customHeight="1"/>
    <row r="7876" ht="42" customHeight="1"/>
    <row r="7877" ht="42" customHeight="1"/>
    <row r="7878" ht="42" customHeight="1"/>
    <row r="7879" ht="42" customHeight="1"/>
    <row r="7880" ht="42" customHeight="1"/>
    <row r="7881" ht="42" customHeight="1"/>
    <row r="7882" ht="42" customHeight="1"/>
    <row r="7883" ht="42" customHeight="1"/>
    <row r="7884" ht="42" customHeight="1"/>
    <row r="7885" ht="42" customHeight="1"/>
    <row r="7886" ht="42" customHeight="1"/>
    <row r="7887" ht="42" customHeight="1"/>
    <row r="7888" ht="42" customHeight="1"/>
    <row r="7889" ht="42" customHeight="1"/>
    <row r="7890" ht="42" customHeight="1"/>
    <row r="7891" ht="42" customHeight="1"/>
    <row r="7892" ht="42" customHeight="1"/>
    <row r="7893" ht="42" customHeight="1"/>
    <row r="7894" ht="42" customHeight="1"/>
    <row r="7895" ht="42" customHeight="1"/>
    <row r="7896" ht="42" customHeight="1"/>
    <row r="7897" ht="42" customHeight="1"/>
    <row r="7898" ht="42" customHeight="1"/>
    <row r="7899" ht="42" customHeight="1"/>
    <row r="7900" ht="42" customHeight="1"/>
    <row r="7901" ht="42" customHeight="1"/>
    <row r="7902" ht="42" customHeight="1"/>
    <row r="7903" ht="42" customHeight="1"/>
    <row r="7904" ht="42" customHeight="1"/>
    <row r="7905" ht="42" customHeight="1"/>
    <row r="7906" ht="42" customHeight="1"/>
    <row r="7907" ht="42" customHeight="1"/>
    <row r="7908" ht="42" customHeight="1"/>
    <row r="7909" ht="42" customHeight="1"/>
    <row r="7910" ht="42" customHeight="1"/>
    <row r="7911" ht="42" customHeight="1"/>
    <row r="7912" ht="42" customHeight="1"/>
    <row r="7913" ht="42" customHeight="1"/>
    <row r="7914" ht="42" customHeight="1"/>
    <row r="7915" ht="42" customHeight="1"/>
    <row r="7916" ht="42" customHeight="1"/>
    <row r="7917" ht="42" customHeight="1"/>
    <row r="7918" ht="42" customHeight="1"/>
    <row r="7919" ht="42" customHeight="1"/>
    <row r="7920" ht="42" customHeight="1"/>
    <row r="7921" ht="42" customHeight="1"/>
    <row r="7922" ht="42" customHeight="1"/>
    <row r="7923" ht="42" customHeight="1"/>
    <row r="7924" ht="42" customHeight="1"/>
    <row r="7925" ht="42" customHeight="1"/>
    <row r="7926" ht="42" customHeight="1"/>
    <row r="7927" ht="42" customHeight="1"/>
    <row r="7928" ht="42" customHeight="1"/>
    <row r="7929" ht="42" customHeight="1"/>
    <row r="7930" ht="42" customHeight="1"/>
    <row r="7931" ht="42" customHeight="1"/>
    <row r="7932" ht="42" customHeight="1"/>
    <row r="7933" ht="42" customHeight="1"/>
    <row r="7934" ht="42" customHeight="1"/>
    <row r="7935" ht="42" customHeight="1"/>
    <row r="7936" ht="42" customHeight="1"/>
    <row r="7937" ht="42" customHeight="1"/>
    <row r="7938" ht="42" customHeight="1"/>
    <row r="7939" ht="42" customHeight="1"/>
    <row r="7940" ht="42" customHeight="1"/>
    <row r="7941" ht="42" customHeight="1"/>
    <row r="7942" ht="42" customHeight="1"/>
    <row r="7943" ht="42" customHeight="1"/>
    <row r="7944" ht="42" customHeight="1"/>
    <row r="7945" ht="42" customHeight="1"/>
    <row r="7946" ht="42" customHeight="1"/>
    <row r="7947" ht="42" customHeight="1"/>
    <row r="7948" ht="42" customHeight="1"/>
    <row r="7949" ht="42" customHeight="1"/>
    <row r="7950" ht="42" customHeight="1"/>
    <row r="7951" ht="42" customHeight="1"/>
    <row r="7952" ht="42" customHeight="1"/>
    <row r="7953" ht="42" customHeight="1"/>
    <row r="7954" ht="42" customHeight="1"/>
    <row r="7955" ht="42" customHeight="1"/>
    <row r="7956" ht="42" customHeight="1"/>
    <row r="7957" ht="42" customHeight="1"/>
    <row r="7958" ht="42" customHeight="1"/>
    <row r="7959" ht="42" customHeight="1"/>
    <row r="7960" ht="42" customHeight="1"/>
    <row r="7961" ht="42" customHeight="1"/>
    <row r="7962" ht="42" customHeight="1"/>
    <row r="7963" ht="42" customHeight="1"/>
    <row r="7964" ht="42" customHeight="1"/>
    <row r="7965" ht="42" customHeight="1"/>
    <row r="7966" ht="42" customHeight="1"/>
    <row r="7967" ht="42" customHeight="1"/>
    <row r="7968" ht="42" customHeight="1"/>
    <row r="7969" ht="42" customHeight="1"/>
    <row r="7970" ht="42" customHeight="1"/>
    <row r="7971" ht="42" customHeight="1"/>
    <row r="7972" ht="42" customHeight="1"/>
    <row r="7973" ht="42" customHeight="1"/>
    <row r="7974" ht="42" customHeight="1"/>
    <row r="7975" ht="42" customHeight="1"/>
    <row r="7976" ht="42" customHeight="1"/>
    <row r="7977" ht="42" customHeight="1"/>
    <row r="7978" ht="42" customHeight="1"/>
    <row r="7979" ht="42" customHeight="1"/>
    <row r="7980" ht="42" customHeight="1"/>
    <row r="7981" ht="42" customHeight="1"/>
    <row r="7982" ht="42" customHeight="1"/>
    <row r="7983" ht="42" customHeight="1"/>
    <row r="7984" ht="42" customHeight="1"/>
    <row r="7985" ht="42" customHeight="1"/>
    <row r="7986" ht="42" customHeight="1"/>
    <row r="7987" ht="42" customHeight="1"/>
    <row r="7988" ht="42" customHeight="1"/>
    <row r="7989" ht="42" customHeight="1"/>
    <row r="7990" ht="42" customHeight="1"/>
    <row r="7991" ht="42" customHeight="1"/>
    <row r="7992" ht="42" customHeight="1"/>
    <row r="7993" ht="42" customHeight="1"/>
    <row r="7994" ht="42" customHeight="1"/>
    <row r="7995" ht="42" customHeight="1"/>
    <row r="7996" ht="42" customHeight="1"/>
    <row r="7997" ht="42" customHeight="1"/>
    <row r="7998" ht="42" customHeight="1"/>
    <row r="7999" ht="42" customHeight="1"/>
    <row r="8000" ht="42" customHeight="1"/>
    <row r="8001" ht="42" customHeight="1"/>
    <row r="8002" ht="42" customHeight="1"/>
    <row r="8003" ht="42" customHeight="1"/>
    <row r="8004" ht="42" customHeight="1"/>
    <row r="8005" ht="42" customHeight="1"/>
    <row r="8006" ht="42" customHeight="1"/>
    <row r="8007" ht="42" customHeight="1"/>
    <row r="8008" ht="42" customHeight="1"/>
    <row r="8009" ht="42" customHeight="1"/>
    <row r="8010" ht="42" customHeight="1"/>
    <row r="8011" ht="42" customHeight="1"/>
    <row r="8012" ht="42" customHeight="1"/>
    <row r="8013" ht="42" customHeight="1"/>
    <row r="8014" ht="42" customHeight="1"/>
    <row r="8015" ht="42" customHeight="1"/>
    <row r="8016" ht="42" customHeight="1"/>
    <row r="8017" ht="42" customHeight="1"/>
    <row r="8018" ht="42" customHeight="1"/>
    <row r="8019" ht="42" customHeight="1"/>
    <row r="8020" ht="42" customHeight="1"/>
    <row r="8021" ht="42" customHeight="1"/>
    <row r="8022" ht="42" customHeight="1"/>
    <row r="8023" ht="42" customHeight="1"/>
    <row r="8024" ht="42" customHeight="1"/>
    <row r="8025" ht="42" customHeight="1"/>
    <row r="8026" ht="42" customHeight="1"/>
    <row r="8027" ht="42" customHeight="1"/>
    <row r="8028" ht="42" customHeight="1"/>
    <row r="8029" ht="42" customHeight="1"/>
    <row r="8030" ht="42" customHeight="1"/>
    <row r="8031" ht="42" customHeight="1"/>
    <row r="8032" ht="42" customHeight="1"/>
    <row r="8033" ht="42" customHeight="1"/>
    <row r="8034" ht="42" customHeight="1"/>
    <row r="8035" ht="42" customHeight="1"/>
    <row r="8036" ht="42" customHeight="1"/>
    <row r="8037" ht="42" customHeight="1"/>
    <row r="8038" ht="42" customHeight="1"/>
    <row r="8039" ht="42" customHeight="1"/>
    <row r="8040" ht="42" customHeight="1"/>
    <row r="8041" ht="42" customHeight="1"/>
    <row r="8042" ht="42" customHeight="1"/>
    <row r="8043" ht="42" customHeight="1"/>
    <row r="8044" ht="42" customHeight="1"/>
    <row r="8045" ht="42" customHeight="1"/>
    <row r="8046" ht="42" customHeight="1"/>
    <row r="8047" ht="42" customHeight="1"/>
    <row r="8048" ht="42" customHeight="1"/>
    <row r="8049" ht="42" customHeight="1"/>
    <row r="8050" ht="42" customHeight="1"/>
    <row r="8051" ht="42" customHeight="1"/>
    <row r="8052" ht="42" customHeight="1"/>
    <row r="8053" ht="42" customHeight="1"/>
    <row r="8054" ht="42" customHeight="1"/>
    <row r="8055" ht="42" customHeight="1"/>
    <row r="8056" ht="42" customHeight="1"/>
    <row r="8057" ht="42" customHeight="1"/>
    <row r="8058" ht="42" customHeight="1"/>
    <row r="8059" ht="42" customHeight="1"/>
    <row r="8060" ht="42" customHeight="1"/>
    <row r="8061" ht="42" customHeight="1"/>
    <row r="8062" ht="42" customHeight="1"/>
    <row r="8063" ht="42" customHeight="1"/>
    <row r="8064" ht="42" customHeight="1"/>
    <row r="8065" ht="42" customHeight="1"/>
    <row r="8066" ht="42" customHeight="1"/>
    <row r="8067" ht="42" customHeight="1"/>
    <row r="8068" ht="42" customHeight="1"/>
    <row r="8069" ht="42" customHeight="1"/>
    <row r="8070" ht="42" customHeight="1"/>
    <row r="8071" ht="42" customHeight="1"/>
    <row r="8072" ht="42" customHeight="1"/>
    <row r="8073" ht="42" customHeight="1"/>
    <row r="8074" ht="42" customHeight="1"/>
    <row r="8075" ht="42" customHeight="1"/>
    <row r="8076" ht="42" customHeight="1"/>
    <row r="8077" ht="42" customHeight="1"/>
    <row r="8078" ht="42" customHeight="1"/>
    <row r="8079" ht="42" customHeight="1"/>
    <row r="8080" ht="42" customHeight="1"/>
    <row r="8081" ht="42" customHeight="1"/>
    <row r="8082" ht="42" customHeight="1"/>
    <row r="8083" ht="42" customHeight="1"/>
    <row r="8084" ht="42" customHeight="1"/>
    <row r="8085" ht="42" customHeight="1"/>
    <row r="8086" ht="42" customHeight="1"/>
    <row r="8087" ht="42" customHeight="1"/>
    <row r="8088" ht="42" customHeight="1"/>
    <row r="8089" ht="42" customHeight="1"/>
    <row r="8090" ht="42" customHeight="1"/>
    <row r="8091" ht="42" customHeight="1"/>
    <row r="8092" ht="42" customHeight="1"/>
    <row r="8093" ht="42" customHeight="1"/>
    <row r="8094" ht="42" customHeight="1"/>
    <row r="8095" ht="42" customHeight="1"/>
    <row r="8096" ht="42" customHeight="1"/>
    <row r="8097" ht="42" customHeight="1"/>
    <row r="8098" ht="42" customHeight="1"/>
    <row r="8099" ht="42" customHeight="1"/>
    <row r="8100" ht="42" customHeight="1"/>
    <row r="8101" ht="42" customHeight="1"/>
    <row r="8102" ht="42" customHeight="1"/>
    <row r="8103" ht="42" customHeight="1"/>
    <row r="8104" ht="42" customHeight="1"/>
    <row r="8105" ht="42" customHeight="1"/>
    <row r="8106" ht="42" customHeight="1"/>
    <row r="8107" ht="42" customHeight="1"/>
    <row r="8108" ht="42" customHeight="1"/>
    <row r="8109" ht="42" customHeight="1"/>
    <row r="8110" ht="42" customHeight="1"/>
    <row r="8111" ht="42" customHeight="1"/>
    <row r="8112" ht="42" customHeight="1"/>
    <row r="8113" ht="42" customHeight="1"/>
    <row r="8114" ht="42" customHeight="1"/>
    <row r="8115" ht="42" customHeight="1"/>
    <row r="8116" ht="42" customHeight="1"/>
    <row r="8117" ht="42" customHeight="1"/>
    <row r="8118" ht="42" customHeight="1"/>
    <row r="8119" ht="42" customHeight="1"/>
    <row r="8120" ht="42" customHeight="1"/>
    <row r="8121" ht="42" customHeight="1"/>
    <row r="8122" ht="42" customHeight="1"/>
    <row r="8123" ht="42" customHeight="1"/>
    <row r="8124" ht="42" customHeight="1"/>
    <row r="8125" ht="42" customHeight="1"/>
    <row r="8126" ht="42" customHeight="1"/>
    <row r="8127" ht="42" customHeight="1"/>
    <row r="8128" ht="42" customHeight="1"/>
    <row r="8129" ht="42" customHeight="1"/>
    <row r="8130" ht="42" customHeight="1"/>
    <row r="8131" ht="42" customHeight="1"/>
    <row r="8132" ht="42" customHeight="1"/>
    <row r="8133" ht="42" customHeight="1"/>
    <row r="8134" ht="42" customHeight="1"/>
    <row r="8135" ht="42" customHeight="1"/>
    <row r="8136" ht="42" customHeight="1"/>
    <row r="8137" ht="42" customHeight="1"/>
    <row r="8138" ht="42" customHeight="1"/>
    <row r="8139" ht="42" customHeight="1"/>
    <row r="8140" ht="42" customHeight="1"/>
    <row r="8141" ht="42" customHeight="1"/>
    <row r="8142" ht="42" customHeight="1"/>
    <row r="8143" ht="42" customHeight="1"/>
    <row r="8144" ht="42" customHeight="1"/>
    <row r="8145" ht="42" customHeight="1"/>
    <row r="8146" ht="42" customHeight="1"/>
    <row r="8147" ht="42" customHeight="1"/>
    <row r="8148" ht="42" customHeight="1"/>
    <row r="8149" ht="42" customHeight="1"/>
    <row r="8150" ht="42" customHeight="1"/>
    <row r="8151" ht="42" customHeight="1"/>
    <row r="8152" ht="42" customHeight="1"/>
    <row r="8153" ht="42" customHeight="1"/>
    <row r="8154" ht="42" customHeight="1"/>
    <row r="8155" ht="42" customHeight="1"/>
    <row r="8156" ht="42" customHeight="1"/>
    <row r="8157" ht="42" customHeight="1"/>
    <row r="8158" ht="42" customHeight="1"/>
    <row r="8159" ht="42" customHeight="1"/>
    <row r="8160" ht="42" customHeight="1"/>
    <row r="8161" ht="42" customHeight="1"/>
    <row r="8162" ht="42" customHeight="1"/>
    <row r="8163" ht="42" customHeight="1"/>
    <row r="8164" ht="42" customHeight="1"/>
    <row r="8165" ht="42" customHeight="1"/>
    <row r="8166" ht="42" customHeight="1"/>
    <row r="8167" ht="42" customHeight="1"/>
    <row r="8168" ht="42" customHeight="1"/>
    <row r="8169" ht="42" customHeight="1"/>
    <row r="8170" ht="42" customHeight="1"/>
    <row r="8171" ht="42" customHeight="1"/>
    <row r="8172" ht="42" customHeight="1"/>
    <row r="8173" ht="42" customHeight="1"/>
    <row r="8174" ht="42" customHeight="1"/>
    <row r="8175" ht="42" customHeight="1"/>
    <row r="8176" ht="42" customHeight="1"/>
    <row r="8177" ht="42" customHeight="1"/>
    <row r="8178" ht="42" customHeight="1"/>
    <row r="8179" ht="42" customHeight="1"/>
    <row r="8180" ht="42" customHeight="1"/>
    <row r="8181" ht="42" customHeight="1"/>
    <row r="8182" ht="42" customHeight="1"/>
    <row r="8183" ht="42" customHeight="1"/>
    <row r="8184" ht="42" customHeight="1"/>
    <row r="8185" ht="42" customHeight="1"/>
    <row r="8186" ht="42" customHeight="1"/>
    <row r="8187" ht="42" customHeight="1"/>
    <row r="8188" ht="42" customHeight="1"/>
    <row r="8189" ht="42" customHeight="1"/>
    <row r="8190" ht="42" customHeight="1"/>
    <row r="8191" ht="42" customHeight="1"/>
    <row r="8192" ht="42" customHeight="1"/>
    <row r="8193" ht="42" customHeight="1"/>
    <row r="8194" ht="42" customHeight="1"/>
    <row r="8195" ht="42" customHeight="1"/>
    <row r="8196" ht="42" customHeight="1"/>
    <row r="8197" ht="42" customHeight="1"/>
    <row r="8198" ht="42" customHeight="1"/>
    <row r="8199" ht="42" customHeight="1"/>
    <row r="8200" ht="42" customHeight="1"/>
    <row r="8201" ht="42" customHeight="1"/>
    <row r="8202" ht="42" customHeight="1"/>
    <row r="8203" ht="42" customHeight="1"/>
    <row r="8204" ht="42" customHeight="1"/>
    <row r="8205" ht="42" customHeight="1"/>
    <row r="8206" ht="42" customHeight="1"/>
    <row r="8207" ht="42" customHeight="1"/>
    <row r="8208" ht="42" customHeight="1"/>
    <row r="8209" ht="42" customHeight="1"/>
    <row r="8210" ht="42" customHeight="1"/>
    <row r="8211" ht="42" customHeight="1"/>
    <row r="8212" ht="42" customHeight="1"/>
    <row r="8213" ht="42" customHeight="1"/>
    <row r="8214" ht="42" customHeight="1"/>
    <row r="8215" ht="42" customHeight="1"/>
    <row r="8216" ht="42" customHeight="1"/>
    <row r="8217" ht="42" customHeight="1"/>
    <row r="8218" ht="42" customHeight="1"/>
    <row r="8219" ht="42" customHeight="1"/>
    <row r="8220" ht="42" customHeight="1"/>
    <row r="8221" ht="42" customHeight="1"/>
    <row r="8222" ht="42" customHeight="1"/>
    <row r="8223" ht="42" customHeight="1"/>
    <row r="8224" ht="42" customHeight="1"/>
    <row r="8225" ht="42" customHeight="1"/>
    <row r="8226" ht="42" customHeight="1"/>
    <row r="8227" ht="42" customHeight="1"/>
    <row r="8228" ht="42" customHeight="1"/>
    <row r="8229" ht="42" customHeight="1"/>
    <row r="8230" ht="42" customHeight="1"/>
    <row r="8231" ht="42" customHeight="1"/>
    <row r="8232" ht="42" customHeight="1"/>
    <row r="8233" ht="42" customHeight="1"/>
    <row r="8234" ht="42" customHeight="1"/>
    <row r="8235" ht="42" customHeight="1"/>
    <row r="8236" ht="42" customHeight="1"/>
    <row r="8237" ht="42" customHeight="1"/>
    <row r="8238" ht="42" customHeight="1"/>
    <row r="8239" ht="42" customHeight="1"/>
    <row r="8240" ht="42" customHeight="1"/>
    <row r="8241" ht="42" customHeight="1"/>
    <row r="8242" ht="42" customHeight="1"/>
    <row r="8243" ht="42" customHeight="1"/>
    <row r="8244" ht="42" customHeight="1"/>
    <row r="8245" ht="42" customHeight="1"/>
    <row r="8246" ht="42" customHeight="1"/>
    <row r="8247" ht="42" customHeight="1"/>
    <row r="8248" ht="42" customHeight="1"/>
    <row r="8249" ht="42" customHeight="1"/>
    <row r="8250" ht="42" customHeight="1"/>
    <row r="8251" ht="42" customHeight="1"/>
    <row r="8252" ht="42" customHeight="1"/>
    <row r="8253" ht="42" customHeight="1"/>
    <row r="8254" ht="42" customHeight="1"/>
    <row r="8255" ht="42" customHeight="1"/>
    <row r="8256" ht="42" customHeight="1"/>
    <row r="8257" ht="42" customHeight="1"/>
    <row r="8258" ht="42" customHeight="1"/>
    <row r="8259" ht="42" customHeight="1"/>
    <row r="8260" ht="42" customHeight="1"/>
    <row r="8261" ht="42" customHeight="1"/>
    <row r="8262" ht="42" customHeight="1"/>
    <row r="8263" ht="42" customHeight="1"/>
    <row r="8264" ht="42" customHeight="1"/>
    <row r="8265" ht="42" customHeight="1"/>
    <row r="8266" ht="42" customHeight="1"/>
    <row r="8267" ht="42" customHeight="1"/>
    <row r="8268" ht="42" customHeight="1"/>
    <row r="8269" ht="42" customHeight="1"/>
    <row r="8270" ht="42" customHeight="1"/>
    <row r="8271" ht="42" customHeight="1"/>
    <row r="8272" ht="42" customHeight="1"/>
    <row r="8273" ht="42" customHeight="1"/>
    <row r="8274" ht="42" customHeight="1"/>
    <row r="8275" ht="42" customHeight="1"/>
    <row r="8276" ht="42" customHeight="1"/>
    <row r="8277" ht="42" customHeight="1"/>
    <row r="8278" ht="42" customHeight="1"/>
    <row r="8279" ht="42" customHeight="1"/>
    <row r="8280" ht="42" customHeight="1"/>
    <row r="8281" ht="42" customHeight="1"/>
    <row r="8282" ht="42" customHeight="1"/>
    <row r="8283" ht="42" customHeight="1"/>
    <row r="8284" ht="42" customHeight="1"/>
    <row r="8285" ht="42" customHeight="1"/>
    <row r="8286" ht="42" customHeight="1"/>
    <row r="8287" ht="42" customHeight="1"/>
    <row r="8288" ht="42" customHeight="1"/>
    <row r="8289" ht="42" customHeight="1"/>
    <row r="8290" ht="42" customHeight="1"/>
    <row r="8291" ht="42" customHeight="1"/>
    <row r="8292" ht="42" customHeight="1"/>
    <row r="8293" ht="42" customHeight="1"/>
    <row r="8294" ht="42" customHeight="1"/>
    <row r="8295" ht="42" customHeight="1"/>
    <row r="8296" ht="42" customHeight="1"/>
    <row r="8297" ht="42" customHeight="1"/>
    <row r="8298" ht="42" customHeight="1"/>
    <row r="8299" ht="42" customHeight="1"/>
    <row r="8300" ht="42" customHeight="1"/>
    <row r="8301" ht="42" customHeight="1"/>
    <row r="8302" ht="42" customHeight="1"/>
    <row r="8303" ht="42" customHeight="1"/>
    <row r="8304" ht="42" customHeight="1"/>
    <row r="8305" ht="42" customHeight="1"/>
    <row r="8306" ht="42" customHeight="1"/>
    <row r="8307" ht="42" customHeight="1"/>
    <row r="8308" ht="42" customHeight="1"/>
    <row r="8309" ht="42" customHeight="1"/>
    <row r="8310" ht="42" customHeight="1"/>
    <row r="8311" ht="42" customHeight="1"/>
    <row r="8312" ht="42" customHeight="1"/>
    <row r="8313" ht="42" customHeight="1"/>
    <row r="8314" ht="42" customHeight="1"/>
    <row r="8315" ht="42" customHeight="1"/>
    <row r="8316" ht="42" customHeight="1"/>
    <row r="8317" ht="42" customHeight="1"/>
    <row r="8318" ht="42" customHeight="1"/>
    <row r="8319" ht="42" customHeight="1"/>
    <row r="8320" ht="42" customHeight="1"/>
    <row r="8321" ht="42" customHeight="1"/>
    <row r="8322" ht="42" customHeight="1"/>
    <row r="8323" ht="42" customHeight="1"/>
    <row r="8324" ht="42" customHeight="1"/>
    <row r="8325" ht="42" customHeight="1"/>
    <row r="8326" ht="42" customHeight="1"/>
    <row r="8327" ht="42" customHeight="1"/>
    <row r="8328" ht="42" customHeight="1"/>
    <row r="8329" ht="42" customHeight="1"/>
    <row r="8330" ht="42" customHeight="1"/>
    <row r="8331" ht="42" customHeight="1"/>
    <row r="8332" ht="42" customHeight="1"/>
    <row r="8333" ht="42" customHeight="1"/>
    <row r="8334" ht="42" customHeight="1"/>
    <row r="8335" ht="42" customHeight="1"/>
    <row r="8336" ht="42" customHeight="1"/>
    <row r="8337" ht="42" customHeight="1"/>
    <row r="8338" ht="42" customHeight="1"/>
    <row r="8339" ht="42" customHeight="1"/>
    <row r="8340" ht="42" customHeight="1"/>
    <row r="8341" ht="42" customHeight="1"/>
    <row r="8342" ht="42" customHeight="1"/>
    <row r="8343" ht="42" customHeight="1"/>
    <row r="8344" ht="42" customHeight="1"/>
    <row r="8345" ht="42" customHeight="1"/>
    <row r="8346" ht="42" customHeight="1"/>
    <row r="8347" ht="42" customHeight="1"/>
    <row r="8348" ht="42" customHeight="1"/>
    <row r="8349" ht="42" customHeight="1"/>
    <row r="8350" ht="42" customHeight="1"/>
    <row r="8351" ht="42" customHeight="1"/>
    <row r="8352" ht="42" customHeight="1"/>
    <row r="8353" ht="42" customHeight="1"/>
    <row r="8354" ht="42" customHeight="1"/>
    <row r="8355" ht="42" customHeight="1"/>
    <row r="8356" ht="42" customHeight="1"/>
    <row r="8357" ht="42" customHeight="1"/>
    <row r="8358" ht="42" customHeight="1"/>
    <row r="8359" ht="42" customHeight="1"/>
    <row r="8360" ht="42" customHeight="1"/>
    <row r="8361" ht="42" customHeight="1"/>
    <row r="8362" ht="42" customHeight="1"/>
    <row r="8363" ht="42" customHeight="1"/>
    <row r="8364" ht="42" customHeight="1"/>
    <row r="8365" ht="42" customHeight="1"/>
    <row r="8366" ht="42" customHeight="1"/>
    <row r="8367" ht="42" customHeight="1"/>
    <row r="8368" ht="42" customHeight="1"/>
    <row r="8369" ht="42" customHeight="1"/>
    <row r="8370" ht="42" customHeight="1"/>
    <row r="8371" ht="42" customHeight="1"/>
    <row r="8372" ht="42" customHeight="1"/>
    <row r="8373" ht="42" customHeight="1"/>
    <row r="8374" ht="42" customHeight="1"/>
    <row r="8375" ht="42" customHeight="1"/>
    <row r="8376" ht="42" customHeight="1"/>
    <row r="8377" ht="42" customHeight="1"/>
    <row r="8378" ht="42" customHeight="1"/>
    <row r="8379" ht="42" customHeight="1"/>
    <row r="8380" ht="42" customHeight="1"/>
    <row r="8381" ht="42" customHeight="1"/>
    <row r="8382" ht="42" customHeight="1"/>
    <row r="8383" ht="42" customHeight="1"/>
    <row r="8384" ht="42" customHeight="1"/>
    <row r="8385" ht="42" customHeight="1"/>
    <row r="8386" ht="42" customHeight="1"/>
    <row r="8387" ht="42" customHeight="1"/>
    <row r="8388" ht="42" customHeight="1"/>
    <row r="8389" ht="42" customHeight="1"/>
    <row r="8390" ht="42" customHeight="1"/>
    <row r="8391" ht="42" customHeight="1"/>
    <row r="8392" ht="42" customHeight="1"/>
    <row r="8393" ht="42" customHeight="1"/>
    <row r="8394" ht="42" customHeight="1"/>
    <row r="8395" ht="42" customHeight="1"/>
    <row r="8396" ht="42" customHeight="1"/>
    <row r="8397" ht="42" customHeight="1"/>
    <row r="8398" ht="42" customHeight="1"/>
    <row r="8399" ht="42" customHeight="1"/>
    <row r="8400" ht="42" customHeight="1"/>
    <row r="8401" ht="42" customHeight="1"/>
    <row r="8402" ht="42" customHeight="1"/>
    <row r="8403" ht="42" customHeight="1"/>
    <row r="8404" ht="42" customHeight="1"/>
    <row r="8405" ht="42" customHeight="1"/>
    <row r="8406" ht="42" customHeight="1"/>
    <row r="8407" ht="42" customHeight="1"/>
    <row r="8408" ht="42" customHeight="1"/>
    <row r="8409" ht="42" customHeight="1"/>
    <row r="8410" ht="42" customHeight="1"/>
    <row r="8411" ht="42" customHeight="1"/>
    <row r="8412" ht="42" customHeight="1"/>
    <row r="8413" ht="42" customHeight="1"/>
    <row r="8414" ht="42" customHeight="1"/>
    <row r="8415" ht="42" customHeight="1"/>
    <row r="8416" ht="42" customHeight="1"/>
    <row r="8417" ht="42" customHeight="1"/>
    <row r="8418" ht="42" customHeight="1"/>
    <row r="8419" ht="42" customHeight="1"/>
    <row r="8420" ht="42" customHeight="1"/>
    <row r="8421" ht="42" customHeight="1"/>
    <row r="8422" ht="42" customHeight="1"/>
    <row r="8423" ht="42" customHeight="1"/>
    <row r="8424" ht="42" customHeight="1"/>
    <row r="8425" ht="42" customHeight="1"/>
    <row r="8426" ht="42" customHeight="1"/>
    <row r="8427" ht="42" customHeight="1"/>
    <row r="8428" ht="42" customHeight="1"/>
    <row r="8429" ht="42" customHeight="1"/>
    <row r="8430" ht="42" customHeight="1"/>
    <row r="8431" ht="42" customHeight="1"/>
    <row r="8432" ht="42" customHeight="1"/>
    <row r="8433" ht="42" customHeight="1"/>
    <row r="8434" ht="42" customHeight="1"/>
    <row r="8435" ht="42" customHeight="1"/>
    <row r="8436" ht="42" customHeight="1"/>
    <row r="8437" ht="42" customHeight="1"/>
    <row r="8438" ht="42" customHeight="1"/>
    <row r="8439" ht="42" customHeight="1"/>
    <row r="8440" ht="42" customHeight="1"/>
    <row r="8441" ht="42" customHeight="1"/>
    <row r="8442" ht="42" customHeight="1"/>
    <row r="8443" ht="42" customHeight="1"/>
    <row r="8444" ht="42" customHeight="1"/>
    <row r="8445" ht="42" customHeight="1"/>
    <row r="8446" ht="42" customHeight="1"/>
    <row r="8447" ht="42" customHeight="1"/>
    <row r="8448" ht="42" customHeight="1"/>
    <row r="8449" ht="42" customHeight="1"/>
    <row r="8450" ht="42" customHeight="1"/>
    <row r="8451" ht="42" customHeight="1"/>
    <row r="8452" ht="42" customHeight="1"/>
    <row r="8453" ht="42" customHeight="1"/>
    <row r="8454" ht="42" customHeight="1"/>
    <row r="8455" ht="42" customHeight="1"/>
    <row r="8456" ht="42" customHeight="1"/>
    <row r="8457" ht="42" customHeight="1"/>
    <row r="8458" ht="42" customHeight="1"/>
    <row r="8459" ht="42" customHeight="1"/>
    <row r="8460" ht="42" customHeight="1"/>
    <row r="8461" ht="42" customHeight="1"/>
    <row r="8462" ht="42" customHeight="1"/>
    <row r="8463" ht="42" customHeight="1"/>
    <row r="8464" ht="42" customHeight="1"/>
    <row r="8465" ht="42" customHeight="1"/>
    <row r="8466" ht="42" customHeight="1"/>
    <row r="8467" ht="42" customHeight="1"/>
    <row r="8468" ht="42" customHeight="1"/>
    <row r="8469" ht="42" customHeight="1"/>
    <row r="8470" ht="42" customHeight="1"/>
    <row r="8471" ht="42" customHeight="1"/>
    <row r="8472" ht="42" customHeight="1"/>
    <row r="8473" ht="42" customHeight="1"/>
    <row r="8474" ht="42" customHeight="1"/>
    <row r="8475" ht="42" customHeight="1"/>
    <row r="8476" ht="42" customHeight="1"/>
    <row r="8477" ht="42" customHeight="1"/>
    <row r="8478" ht="42" customHeight="1"/>
    <row r="8479" ht="42" customHeight="1"/>
    <row r="8480" ht="42" customHeight="1"/>
    <row r="8481" ht="42" customHeight="1"/>
    <row r="8482" ht="42" customHeight="1"/>
    <row r="8483" ht="42" customHeight="1"/>
    <row r="8484" ht="42" customHeight="1"/>
    <row r="8485" ht="42" customHeight="1"/>
    <row r="8486" ht="42" customHeight="1"/>
    <row r="8487" ht="42" customHeight="1"/>
    <row r="8488" ht="42" customHeight="1"/>
    <row r="8489" ht="42" customHeight="1"/>
    <row r="8490" ht="42" customHeight="1"/>
    <row r="8491" ht="42" customHeight="1"/>
    <row r="8492" ht="42" customHeight="1"/>
    <row r="8493" ht="42" customHeight="1"/>
    <row r="8494" ht="42" customHeight="1"/>
    <row r="8495" ht="42" customHeight="1"/>
    <row r="8496" ht="42" customHeight="1"/>
    <row r="8497" ht="42" customHeight="1"/>
    <row r="8498" ht="42" customHeight="1"/>
    <row r="8499" ht="42" customHeight="1"/>
    <row r="8500" ht="42" customHeight="1"/>
    <row r="8501" ht="42" customHeight="1"/>
    <row r="8502" ht="42" customHeight="1"/>
    <row r="8503" ht="42" customHeight="1"/>
    <row r="8504" ht="42" customHeight="1"/>
    <row r="8505" ht="42" customHeight="1"/>
    <row r="8506" ht="42" customHeight="1"/>
    <row r="8507" ht="42" customHeight="1"/>
    <row r="8508" ht="42" customHeight="1"/>
    <row r="8509" ht="42" customHeight="1"/>
    <row r="8510" ht="42" customHeight="1"/>
    <row r="8511" ht="42" customHeight="1"/>
    <row r="8512" ht="42" customHeight="1"/>
    <row r="8513" ht="42" customHeight="1"/>
    <row r="8514" ht="42" customHeight="1"/>
    <row r="8515" ht="42" customHeight="1"/>
    <row r="8516" ht="42" customHeight="1"/>
    <row r="8517" ht="42" customHeight="1"/>
    <row r="8518" ht="42" customHeight="1"/>
    <row r="8519" ht="42" customHeight="1"/>
    <row r="8520" ht="42" customHeight="1"/>
    <row r="8521" ht="42" customHeight="1"/>
    <row r="8522" ht="42" customHeight="1"/>
    <row r="8523" ht="42" customHeight="1"/>
    <row r="8524" ht="42" customHeight="1"/>
    <row r="8525" ht="42" customHeight="1"/>
    <row r="8526" ht="42" customHeight="1"/>
    <row r="8527" ht="42" customHeight="1"/>
    <row r="8528" ht="42" customHeight="1"/>
    <row r="8529" ht="42" customHeight="1"/>
    <row r="8530" ht="42" customHeight="1"/>
    <row r="8531" ht="42" customHeight="1"/>
    <row r="8532" ht="42" customHeight="1"/>
    <row r="8533" ht="42" customHeight="1"/>
    <row r="8534" ht="42" customHeight="1"/>
    <row r="8535" ht="42" customHeight="1"/>
    <row r="8536" ht="42" customHeight="1"/>
    <row r="8537" ht="42" customHeight="1"/>
    <row r="8538" ht="42" customHeight="1"/>
    <row r="8539" ht="42" customHeight="1"/>
    <row r="8540" ht="42" customHeight="1"/>
    <row r="8541" ht="42" customHeight="1"/>
    <row r="8542" ht="42" customHeight="1"/>
    <row r="8543" ht="42" customHeight="1"/>
    <row r="8544" ht="42" customHeight="1"/>
    <row r="8545" ht="42" customHeight="1"/>
    <row r="8546" ht="42" customHeight="1"/>
    <row r="8547" ht="42" customHeight="1"/>
    <row r="8548" ht="42" customHeight="1"/>
    <row r="8549" ht="42" customHeight="1"/>
    <row r="8550" ht="42" customHeight="1"/>
    <row r="8551" ht="42" customHeight="1"/>
    <row r="8552" ht="42" customHeight="1"/>
    <row r="8553" ht="42" customHeight="1"/>
    <row r="8554" ht="42" customHeight="1"/>
    <row r="8555" ht="42" customHeight="1"/>
    <row r="8556" ht="42" customHeight="1"/>
    <row r="8557" ht="42" customHeight="1"/>
    <row r="8558" ht="42" customHeight="1"/>
    <row r="8559" ht="42" customHeight="1"/>
    <row r="8560" ht="42" customHeight="1"/>
    <row r="8561" ht="42" customHeight="1"/>
    <row r="8562" ht="42" customHeight="1"/>
    <row r="8563" ht="42" customHeight="1"/>
    <row r="8564" ht="42" customHeight="1"/>
    <row r="8565" ht="42" customHeight="1"/>
    <row r="8566" ht="42" customHeight="1"/>
    <row r="8567" ht="42" customHeight="1"/>
    <row r="8568" ht="42" customHeight="1"/>
    <row r="8569" ht="42" customHeight="1"/>
    <row r="8570" ht="42" customHeight="1"/>
    <row r="8571" ht="42" customHeight="1"/>
    <row r="8572" ht="42" customHeight="1"/>
    <row r="8573" ht="42" customHeight="1"/>
    <row r="8574" ht="42" customHeight="1"/>
    <row r="8575" ht="42" customHeight="1"/>
    <row r="8576" ht="42" customHeight="1"/>
    <row r="8577" ht="42" customHeight="1"/>
    <row r="8578" ht="42" customHeight="1"/>
    <row r="8579" ht="42" customHeight="1"/>
    <row r="8580" ht="42" customHeight="1"/>
    <row r="8581" ht="42" customHeight="1"/>
    <row r="8582" ht="42" customHeight="1"/>
    <row r="8583" ht="42" customHeight="1"/>
    <row r="8584" ht="42" customHeight="1"/>
    <row r="8585" ht="42" customHeight="1"/>
    <row r="8586" ht="42" customHeight="1"/>
    <row r="8587" ht="42" customHeight="1"/>
    <row r="8588" ht="42" customHeight="1"/>
    <row r="8589" ht="42" customHeight="1"/>
    <row r="8590" ht="42" customHeight="1"/>
    <row r="8591" ht="42" customHeight="1"/>
    <row r="8592" ht="42" customHeight="1"/>
    <row r="8593" ht="42" customHeight="1"/>
    <row r="8594" ht="42" customHeight="1"/>
    <row r="8595" ht="42" customHeight="1"/>
    <row r="8596" ht="42" customHeight="1"/>
    <row r="8597" ht="42" customHeight="1"/>
    <row r="8598" ht="42" customHeight="1"/>
    <row r="8599" ht="42" customHeight="1"/>
    <row r="8600" ht="42" customHeight="1"/>
    <row r="8601" ht="42" customHeight="1"/>
    <row r="8602" ht="42" customHeight="1"/>
    <row r="8603" ht="42" customHeight="1"/>
    <row r="8604" ht="42" customHeight="1"/>
    <row r="8605" ht="42" customHeight="1"/>
    <row r="8606" ht="42" customHeight="1"/>
    <row r="8607" ht="42" customHeight="1"/>
    <row r="8608" ht="42" customHeight="1"/>
    <row r="8609" ht="42" customHeight="1"/>
    <row r="8610" ht="42" customHeight="1"/>
    <row r="8611" ht="42" customHeight="1"/>
    <row r="8612" ht="42" customHeight="1"/>
    <row r="8613" ht="42" customHeight="1"/>
    <row r="8614" ht="42" customHeight="1"/>
    <row r="8615" ht="42" customHeight="1"/>
    <row r="8616" ht="42" customHeight="1"/>
    <row r="8617" ht="42" customHeight="1"/>
    <row r="8618" ht="42" customHeight="1"/>
    <row r="8619" ht="42" customHeight="1"/>
    <row r="8620" ht="42" customHeight="1"/>
    <row r="8621" ht="42" customHeight="1"/>
    <row r="8622" ht="42" customHeight="1"/>
    <row r="8623" ht="42" customHeight="1"/>
    <row r="8624" ht="42" customHeight="1"/>
    <row r="8625" ht="42" customHeight="1"/>
    <row r="8626" ht="42" customHeight="1"/>
    <row r="8627" ht="42" customHeight="1"/>
    <row r="8628" ht="42" customHeight="1"/>
    <row r="8629" ht="42" customHeight="1"/>
    <row r="8630" ht="42" customHeight="1"/>
    <row r="8631" ht="42" customHeight="1"/>
    <row r="8632" ht="42" customHeight="1"/>
    <row r="8633" ht="42" customHeight="1"/>
    <row r="8634" ht="42" customHeight="1"/>
    <row r="8635" ht="42" customHeight="1"/>
    <row r="8636" ht="42" customHeight="1"/>
    <row r="8637" ht="42" customHeight="1"/>
    <row r="8638" ht="42" customHeight="1"/>
    <row r="8639" ht="42" customHeight="1"/>
    <row r="8640" ht="42" customHeight="1"/>
    <row r="8641" ht="42" customHeight="1"/>
    <row r="8642" ht="42" customHeight="1"/>
    <row r="8643" ht="42" customHeight="1"/>
    <row r="8644" ht="42" customHeight="1"/>
    <row r="8645" ht="42" customHeight="1"/>
    <row r="8646" ht="42" customHeight="1"/>
    <row r="8647" ht="42" customHeight="1"/>
    <row r="8648" ht="42" customHeight="1"/>
    <row r="8649" ht="42" customHeight="1"/>
    <row r="8650" ht="42" customHeight="1"/>
    <row r="8651" ht="42" customHeight="1"/>
    <row r="8652" ht="42" customHeight="1"/>
    <row r="8653" ht="42" customHeight="1"/>
    <row r="8654" ht="42" customHeight="1"/>
    <row r="8655" ht="42" customHeight="1"/>
    <row r="8656" ht="42" customHeight="1"/>
    <row r="8657" ht="42" customHeight="1"/>
    <row r="8658" ht="42" customHeight="1"/>
    <row r="8659" ht="42" customHeight="1"/>
    <row r="8660" ht="42" customHeight="1"/>
    <row r="8661" ht="42" customHeight="1"/>
    <row r="8662" ht="42" customHeight="1"/>
    <row r="8663" ht="42" customHeight="1"/>
    <row r="8664" ht="42" customHeight="1"/>
    <row r="8665" ht="42" customHeight="1"/>
    <row r="8666" ht="42" customHeight="1"/>
    <row r="8667" ht="42" customHeight="1"/>
    <row r="8668" ht="42" customHeight="1"/>
    <row r="8669" ht="42" customHeight="1"/>
    <row r="8670" ht="42" customHeight="1"/>
    <row r="8671" ht="42" customHeight="1"/>
    <row r="8672" ht="42" customHeight="1"/>
    <row r="8673" ht="42" customHeight="1"/>
    <row r="8674" ht="42" customHeight="1"/>
    <row r="8675" ht="42" customHeight="1"/>
    <row r="8676" ht="42" customHeight="1"/>
    <row r="8677" ht="42" customHeight="1"/>
    <row r="8678" ht="42" customHeight="1"/>
    <row r="8679" ht="42" customHeight="1"/>
    <row r="8680" ht="42" customHeight="1"/>
    <row r="8681" ht="42" customHeight="1"/>
    <row r="8682" ht="42" customHeight="1"/>
    <row r="8683" ht="42" customHeight="1"/>
    <row r="8684" ht="42" customHeight="1"/>
    <row r="8685" ht="42" customHeight="1"/>
    <row r="8686" ht="42" customHeight="1"/>
    <row r="8687" ht="42" customHeight="1"/>
    <row r="8688" ht="42" customHeight="1"/>
    <row r="8689" ht="42" customHeight="1"/>
    <row r="8690" ht="42" customHeight="1"/>
    <row r="8691" ht="42" customHeight="1"/>
    <row r="8692" ht="42" customHeight="1"/>
    <row r="8693" ht="42" customHeight="1"/>
    <row r="8694" ht="42" customHeight="1"/>
    <row r="8695" ht="42" customHeight="1"/>
    <row r="8696" ht="42" customHeight="1"/>
    <row r="8697" ht="42" customHeight="1"/>
    <row r="8698" ht="42" customHeight="1"/>
    <row r="8699" ht="42" customHeight="1"/>
    <row r="8700" ht="42" customHeight="1"/>
    <row r="8701" ht="42" customHeight="1"/>
    <row r="8702" ht="42" customHeight="1"/>
    <row r="8703" ht="42" customHeight="1"/>
    <row r="8704" ht="42" customHeight="1"/>
    <row r="8705" ht="42" customHeight="1"/>
    <row r="8706" ht="42" customHeight="1"/>
    <row r="8707" ht="42" customHeight="1"/>
    <row r="8708" ht="42" customHeight="1"/>
    <row r="8709" ht="42" customHeight="1"/>
    <row r="8710" ht="42" customHeight="1"/>
    <row r="8711" ht="42" customHeight="1"/>
    <row r="8712" ht="42" customHeight="1"/>
    <row r="8713" ht="42" customHeight="1"/>
    <row r="8714" ht="42" customHeight="1"/>
    <row r="8715" ht="42" customHeight="1"/>
    <row r="8716" ht="42" customHeight="1"/>
    <row r="8717" ht="42" customHeight="1"/>
    <row r="8718" ht="42" customHeight="1"/>
    <row r="8719" ht="42" customHeight="1"/>
    <row r="8720" ht="42" customHeight="1"/>
    <row r="8721" ht="42" customHeight="1"/>
    <row r="8722" ht="42" customHeight="1"/>
    <row r="8723" ht="42" customHeight="1"/>
    <row r="8724" ht="42" customHeight="1"/>
    <row r="8725" ht="42" customHeight="1"/>
    <row r="8726" ht="42" customHeight="1"/>
    <row r="8727" ht="42" customHeight="1"/>
    <row r="8728" ht="42" customHeight="1"/>
    <row r="8729" ht="42" customHeight="1"/>
    <row r="8730" ht="42" customHeight="1"/>
    <row r="8731" ht="42" customHeight="1"/>
    <row r="8732" ht="42" customHeight="1"/>
    <row r="8733" ht="42" customHeight="1"/>
    <row r="8734" ht="42" customHeight="1"/>
    <row r="8735" ht="42" customHeight="1"/>
    <row r="8736" ht="42" customHeight="1"/>
    <row r="8737" ht="42" customHeight="1"/>
    <row r="8738" ht="42" customHeight="1"/>
    <row r="8739" ht="42" customHeight="1"/>
    <row r="8740" ht="42" customHeight="1"/>
    <row r="8741" ht="42" customHeight="1"/>
    <row r="8742" ht="42" customHeight="1"/>
    <row r="8743" ht="42" customHeight="1"/>
    <row r="8744" ht="42" customHeight="1"/>
    <row r="8745" ht="42" customHeight="1"/>
    <row r="8746" ht="42" customHeight="1"/>
    <row r="8747" ht="42" customHeight="1"/>
    <row r="8748" ht="42" customHeight="1"/>
    <row r="8749" ht="42" customHeight="1"/>
    <row r="8750" ht="42" customHeight="1"/>
    <row r="8751" ht="42" customHeight="1"/>
    <row r="8752" ht="42" customHeight="1"/>
    <row r="8753" ht="42" customHeight="1"/>
    <row r="8754" ht="42" customHeight="1"/>
    <row r="8755" ht="42" customHeight="1"/>
    <row r="8756" ht="42" customHeight="1"/>
    <row r="8757" ht="42" customHeight="1"/>
    <row r="8758" ht="42" customHeight="1"/>
    <row r="8759" ht="42" customHeight="1"/>
    <row r="8760" ht="42" customHeight="1"/>
    <row r="8761" ht="42" customHeight="1"/>
    <row r="8762" ht="42" customHeight="1"/>
    <row r="8763" ht="42" customHeight="1"/>
    <row r="8764" ht="42" customHeight="1"/>
    <row r="8765" ht="42" customHeight="1"/>
    <row r="8766" ht="42" customHeight="1"/>
    <row r="8767" ht="42" customHeight="1"/>
    <row r="8768" ht="42" customHeight="1"/>
    <row r="8769" ht="42" customHeight="1"/>
    <row r="8770" ht="42" customHeight="1"/>
    <row r="8771" ht="42" customHeight="1"/>
    <row r="8772" ht="42" customHeight="1"/>
    <row r="8773" ht="42" customHeight="1"/>
    <row r="8774" ht="42" customHeight="1"/>
    <row r="8775" ht="42" customHeight="1"/>
    <row r="8776" ht="42" customHeight="1"/>
    <row r="8777" ht="42" customHeight="1"/>
    <row r="8778" ht="42" customHeight="1"/>
    <row r="8779" ht="42" customHeight="1"/>
    <row r="8780" ht="42" customHeight="1"/>
    <row r="8781" ht="42" customHeight="1"/>
    <row r="8782" ht="42" customHeight="1"/>
    <row r="8783" ht="42" customHeight="1"/>
    <row r="8784" ht="42" customHeight="1"/>
    <row r="8785" ht="42" customHeight="1"/>
    <row r="8786" ht="42" customHeight="1"/>
    <row r="8787" ht="42" customHeight="1"/>
    <row r="8788" ht="42" customHeight="1"/>
    <row r="8789" ht="42" customHeight="1"/>
    <row r="8790" ht="42" customHeight="1"/>
    <row r="8791" ht="42" customHeight="1"/>
    <row r="8792" ht="42" customHeight="1"/>
    <row r="8793" ht="42" customHeight="1"/>
    <row r="8794" ht="42" customHeight="1"/>
    <row r="8795" ht="42" customHeight="1"/>
    <row r="8796" ht="42" customHeight="1"/>
    <row r="8797" ht="42" customHeight="1"/>
    <row r="8798" ht="42" customHeight="1"/>
    <row r="8799" ht="42" customHeight="1"/>
    <row r="8800" ht="42" customHeight="1"/>
    <row r="8801" ht="42" customHeight="1"/>
    <row r="8802" ht="42" customHeight="1"/>
    <row r="8803" ht="42" customHeight="1"/>
    <row r="8804" ht="42" customHeight="1"/>
    <row r="8805" ht="42" customHeight="1"/>
    <row r="8806" ht="42" customHeight="1"/>
    <row r="8807" ht="42" customHeight="1"/>
    <row r="8808" ht="42" customHeight="1"/>
    <row r="8809" ht="42" customHeight="1"/>
    <row r="8810" ht="42" customHeight="1"/>
    <row r="8811" ht="42" customHeight="1"/>
    <row r="8812" ht="42" customHeight="1"/>
    <row r="8813" ht="42" customHeight="1"/>
    <row r="8814" ht="42" customHeight="1"/>
    <row r="8815" ht="42" customHeight="1"/>
    <row r="8816" ht="42" customHeight="1"/>
    <row r="8817" ht="42" customHeight="1"/>
    <row r="8818" ht="42" customHeight="1"/>
    <row r="8819" ht="42" customHeight="1"/>
    <row r="8820" ht="42" customHeight="1"/>
    <row r="8821" ht="42" customHeight="1"/>
    <row r="8822" ht="42" customHeight="1"/>
    <row r="8823" ht="42" customHeight="1"/>
    <row r="8824" ht="42" customHeight="1"/>
    <row r="8825" ht="42" customHeight="1"/>
    <row r="8826" ht="42" customHeight="1"/>
    <row r="8827" ht="42" customHeight="1"/>
    <row r="8828" ht="42" customHeight="1"/>
    <row r="8829" ht="42" customHeight="1"/>
    <row r="8830" ht="42" customHeight="1"/>
    <row r="8831" ht="42" customHeight="1"/>
    <row r="8832" ht="42" customHeight="1"/>
    <row r="8833" ht="42" customHeight="1"/>
    <row r="8834" ht="42" customHeight="1"/>
    <row r="8835" ht="42" customHeight="1"/>
    <row r="8836" ht="42" customHeight="1"/>
    <row r="8837" ht="42" customHeight="1"/>
    <row r="8838" ht="42" customHeight="1"/>
    <row r="8839" ht="42" customHeight="1"/>
    <row r="8840" ht="42" customHeight="1"/>
    <row r="8841" ht="42" customHeight="1"/>
    <row r="8842" ht="42" customHeight="1"/>
    <row r="8843" ht="42" customHeight="1"/>
    <row r="8844" ht="42" customHeight="1"/>
    <row r="8845" ht="42" customHeight="1"/>
    <row r="8846" ht="42" customHeight="1"/>
  </sheetData>
  <mergeCells count="4">
    <mergeCell ref="A1:K1"/>
    <mergeCell ref="A2:K2"/>
    <mergeCell ref="A3:K3"/>
    <mergeCell ref="A4:K4"/>
  </mergeCells>
  <conditionalFormatting sqref="K7:K7284">
    <cfRule type="containsText" dxfId="0" priority="1" operator="containsText" text="Revisar"/>
  </conditionalFormatting>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5B9BD5"/>
  </sheetPr>
  <dimension ref="A1:F504"/>
  <sheetViews>
    <sheetView showGridLines="0" workbookViewId="0">
      <pane ySplit="4" topLeftCell="A5" activePane="bottomLeft" state="frozen"/>
      <selection pane="bottomLeft"/>
    </sheetView>
  </sheetViews>
  <sheetFormatPr baseColWidth="10" defaultColWidth="8.796875" defaultRowHeight="13.8"/>
  <cols>
    <col min="1" max="1" width="22" customWidth="1"/>
    <col min="2" max="2" width="38" customWidth="1"/>
    <col min="3" max="3" width="28" customWidth="1"/>
    <col min="4" max="4" width="13" customWidth="1"/>
    <col min="5" max="5" width="20" customWidth="1"/>
    <col min="6" max="6" width="18" customWidth="1"/>
  </cols>
  <sheetData>
    <row r="1" spans="1:6" ht="30" customHeight="1">
      <c r="A1" s="8" t="s">
        <v>14342</v>
      </c>
      <c r="B1" s="8"/>
      <c r="C1" s="8"/>
      <c r="D1" s="8"/>
      <c r="E1" s="8"/>
      <c r="F1" s="8"/>
    </row>
    <row r="2" spans="1:6" ht="22.05" customHeight="1">
      <c r="A2" s="12" t="s">
        <v>14343</v>
      </c>
      <c r="B2" s="12"/>
      <c r="C2" s="12"/>
      <c r="D2" s="12"/>
      <c r="E2" s="12"/>
      <c r="F2" s="12"/>
    </row>
    <row r="4" spans="1:6" ht="30" customHeight="1">
      <c r="A4" s="1" t="s">
        <v>8</v>
      </c>
      <c r="B4" s="1" t="s">
        <v>9</v>
      </c>
      <c r="C4" s="1" t="s">
        <v>14344</v>
      </c>
      <c r="D4" s="1" t="s">
        <v>14345</v>
      </c>
      <c r="E4" s="1" t="s">
        <v>14346</v>
      </c>
      <c r="F4" s="1" t="s">
        <v>14347</v>
      </c>
    </row>
    <row r="5" spans="1:6" ht="31.05" customHeight="1">
      <c r="A5" s="6">
        <v>-29218</v>
      </c>
      <c r="B5" s="2" t="s">
        <v>834</v>
      </c>
      <c r="C5" s="2" t="s">
        <v>14348</v>
      </c>
      <c r="D5" s="3">
        <v>8</v>
      </c>
      <c r="E5" s="3">
        <v>18</v>
      </c>
      <c r="F5" s="3" t="str">
        <f>HYPERLINK("https://www.boe.es/gazeta/dias/1820/01/01/pdfs/GMD-1820-1.pdf","Abrir PDF")</f>
        <v>Abrir PDF</v>
      </c>
    </row>
    <row r="6" spans="1:6" ht="31.05" customHeight="1">
      <c r="A6" s="6">
        <v>-29215</v>
      </c>
      <c r="B6" s="2" t="s">
        <v>827</v>
      </c>
      <c r="C6" s="2" t="s">
        <v>14349</v>
      </c>
      <c r="D6" s="3">
        <v>8</v>
      </c>
      <c r="E6" s="3">
        <v>21</v>
      </c>
      <c r="F6" s="3" t="str">
        <f>HYPERLINK("https://www.boe.es/gazeta/dias/1820/01/04/pdfs/GMD-1820-2.pdf","Abrir PDF")</f>
        <v>Abrir PDF</v>
      </c>
    </row>
    <row r="7" spans="1:6" ht="31.05" customHeight="1">
      <c r="A7" s="6">
        <v>-29213</v>
      </c>
      <c r="B7" s="2" t="s">
        <v>195</v>
      </c>
      <c r="C7" s="2" t="s">
        <v>14350</v>
      </c>
      <c r="D7" s="3">
        <v>12</v>
      </c>
      <c r="E7" s="3">
        <v>44</v>
      </c>
      <c r="F7" s="3" t="str">
        <f>HYPERLINK("https://www.boe.es/gazeta/dias/1820/01/06/pdfs/GMD-1820-3.pdf","Abrir PDF")</f>
        <v>Abrir PDF</v>
      </c>
    </row>
    <row r="8" spans="1:6" ht="31.05" customHeight="1">
      <c r="A8" s="6">
        <v>-29211</v>
      </c>
      <c r="B8" s="2" t="s">
        <v>578</v>
      </c>
      <c r="C8" s="2" t="s">
        <v>14351</v>
      </c>
      <c r="D8" s="3">
        <v>8</v>
      </c>
      <c r="E8" s="3">
        <v>27</v>
      </c>
      <c r="F8" s="3" t="str">
        <f>HYPERLINK("https://www.boe.es/gazeta/dias/1820/01/08/pdfs/GMD-1820-4.pdf","Abrir PDF")</f>
        <v>Abrir PDF</v>
      </c>
    </row>
    <row r="9" spans="1:6" ht="31.05" customHeight="1">
      <c r="A9" s="6">
        <v>-29208</v>
      </c>
      <c r="B9" s="2" t="s">
        <v>770</v>
      </c>
      <c r="C9" s="2" t="s">
        <v>14352</v>
      </c>
      <c r="D9" s="3">
        <v>8</v>
      </c>
      <c r="E9" s="3">
        <v>15</v>
      </c>
      <c r="F9" s="3" t="str">
        <f>HYPERLINK("https://www.boe.es/gazeta/dias/1820/01/11/pdfs/GMD-1820-5.pdf","Abrir PDF")</f>
        <v>Abrir PDF</v>
      </c>
    </row>
    <row r="10" spans="1:6" ht="31.05" customHeight="1">
      <c r="A10" s="6">
        <v>-29206</v>
      </c>
      <c r="B10" s="2" t="s">
        <v>897</v>
      </c>
      <c r="C10" s="2" t="s">
        <v>14353</v>
      </c>
      <c r="D10" s="3">
        <v>8</v>
      </c>
      <c r="E10" s="3">
        <v>28</v>
      </c>
      <c r="F10" s="3" t="str">
        <f>HYPERLINK("https://www.boe.es/gazeta/dias/1820/01/13/pdfs/GMD-1820-6.pdf","Abrir PDF")</f>
        <v>Abrir PDF</v>
      </c>
    </row>
    <row r="11" spans="1:6" ht="31.05" customHeight="1">
      <c r="A11" s="6">
        <v>-29204</v>
      </c>
      <c r="B11" s="2" t="s">
        <v>753</v>
      </c>
      <c r="C11" s="2" t="s">
        <v>14354</v>
      </c>
      <c r="D11" s="3">
        <v>8</v>
      </c>
      <c r="E11" s="3">
        <v>19</v>
      </c>
      <c r="F11" s="3" t="str">
        <f>HYPERLINK("https://www.boe.es/gazeta/dias/1820/01/15/pdfs/GMD-1820-7.pdf","Abrir PDF")</f>
        <v>Abrir PDF</v>
      </c>
    </row>
    <row r="12" spans="1:6" ht="31.05" customHeight="1">
      <c r="A12" s="6">
        <v>-29201</v>
      </c>
      <c r="B12" s="2" t="s">
        <v>411</v>
      </c>
      <c r="C12" s="2" t="s">
        <v>14355</v>
      </c>
      <c r="D12" s="3">
        <v>8</v>
      </c>
      <c r="E12" s="3">
        <v>13</v>
      </c>
      <c r="F12" s="3" t="str">
        <f>HYPERLINK("https://www.boe.es/gazeta/dias/1820/01/18/pdfs/GMD-1820-8.pdf","Abrir PDF")</f>
        <v>Abrir PDF</v>
      </c>
    </row>
    <row r="13" spans="1:6" ht="31.05" customHeight="1">
      <c r="A13" s="6">
        <v>-29199</v>
      </c>
      <c r="B13" s="2" t="s">
        <v>1178</v>
      </c>
      <c r="C13" s="2" t="s">
        <v>14356</v>
      </c>
      <c r="D13" s="3">
        <v>8</v>
      </c>
      <c r="E13" s="3">
        <v>29</v>
      </c>
      <c r="F13" s="3" t="str">
        <f>HYPERLINK("https://www.boe.es/gazeta/dias/1820/01/20/pdfs/GMD-1820-9.pdf","Abrir PDF")</f>
        <v>Abrir PDF</v>
      </c>
    </row>
    <row r="14" spans="1:6" ht="31.05" customHeight="1">
      <c r="A14" s="6">
        <v>-29197</v>
      </c>
      <c r="B14" s="2" t="s">
        <v>48</v>
      </c>
      <c r="C14" s="2" t="s">
        <v>14357</v>
      </c>
      <c r="D14" s="3">
        <v>8</v>
      </c>
      <c r="E14" s="3">
        <v>30</v>
      </c>
      <c r="F14" s="3" t="str">
        <f>HYPERLINK("https://www.boe.es/gazeta/dias/1820/01/22/pdfs/GMD-1820-10.pdf","Abrir PDF")</f>
        <v>Abrir PDF</v>
      </c>
    </row>
    <row r="15" spans="1:6" ht="31.05" customHeight="1">
      <c r="A15" s="6">
        <v>-29194</v>
      </c>
      <c r="B15" s="2" t="s">
        <v>416</v>
      </c>
      <c r="C15" s="2" t="s">
        <v>14358</v>
      </c>
      <c r="D15" s="3">
        <v>8</v>
      </c>
      <c r="E15" s="3">
        <v>22</v>
      </c>
      <c r="F15" s="3" t="str">
        <f>HYPERLINK("https://www.boe.es/gazeta/dias/1820/01/25/pdfs/GMD-1820-11.pdf","Abrir PDF")</f>
        <v>Abrir PDF</v>
      </c>
    </row>
    <row r="16" spans="1:6" ht="31.05" customHeight="1">
      <c r="A16" s="6">
        <v>-29192</v>
      </c>
      <c r="B16" s="2" t="s">
        <v>497</v>
      </c>
      <c r="C16" s="2" t="s">
        <v>14359</v>
      </c>
      <c r="D16" s="3">
        <v>8</v>
      </c>
      <c r="E16" s="3">
        <v>30</v>
      </c>
      <c r="F16" s="3" t="str">
        <f>HYPERLINK("https://www.boe.es/gazeta/dias/1820/01/27/pdfs/GMD-1820-12.pdf","Abrir PDF")</f>
        <v>Abrir PDF</v>
      </c>
    </row>
    <row r="17" spans="1:6" ht="31.05" customHeight="1">
      <c r="A17" s="6">
        <v>-29190</v>
      </c>
      <c r="B17" s="2" t="s">
        <v>537</v>
      </c>
      <c r="C17" s="2" t="s">
        <v>14360</v>
      </c>
      <c r="D17" s="3">
        <v>8</v>
      </c>
      <c r="E17" s="3">
        <v>24</v>
      </c>
      <c r="F17" s="3" t="str">
        <f>HYPERLINK("https://www.boe.es/gazeta/dias/1820/01/29/pdfs/GMD-1820-13.pdf","Abrir PDF")</f>
        <v>Abrir PDF</v>
      </c>
    </row>
    <row r="18" spans="1:6" ht="31.05" customHeight="1">
      <c r="A18" s="6">
        <v>-29187</v>
      </c>
      <c r="B18" s="2" t="s">
        <v>859</v>
      </c>
      <c r="C18" s="2" t="s">
        <v>14361</v>
      </c>
      <c r="D18" s="3">
        <v>8</v>
      </c>
      <c r="E18" s="3">
        <v>28</v>
      </c>
      <c r="F18" s="3" t="str">
        <f>HYPERLINK("https://www.boe.es/gazeta/dias/1820/02/01/pdfs/GMD-1820-14.pdf","Abrir PDF")</f>
        <v>Abrir PDF</v>
      </c>
    </row>
    <row r="19" spans="1:6" ht="31.05" customHeight="1">
      <c r="A19" s="6">
        <v>-29185</v>
      </c>
      <c r="B19" s="2" t="s">
        <v>772</v>
      </c>
      <c r="C19" s="2" t="s">
        <v>14362</v>
      </c>
      <c r="D19" s="3">
        <v>8</v>
      </c>
      <c r="E19" s="3">
        <v>21</v>
      </c>
      <c r="F19" s="3" t="str">
        <f>HYPERLINK("https://www.boe.es/gazeta/dias/1820/02/03/pdfs/GMD-1820-15.pdf","Abrir PDF")</f>
        <v>Abrir PDF</v>
      </c>
    </row>
    <row r="20" spans="1:6" ht="31.05" customHeight="1">
      <c r="A20" s="6">
        <v>-29183</v>
      </c>
      <c r="B20" s="2" t="s">
        <v>476</v>
      </c>
      <c r="C20" s="2" t="s">
        <v>14363</v>
      </c>
      <c r="D20" s="3">
        <v>8</v>
      </c>
      <c r="E20" s="3">
        <v>32</v>
      </c>
      <c r="F20" s="3" t="str">
        <f>HYPERLINK("https://www.boe.es/gazeta/dias/1820/02/05/pdfs/GMD-1820-16.pdf","Abrir PDF")</f>
        <v>Abrir PDF</v>
      </c>
    </row>
    <row r="21" spans="1:6" ht="31.05" customHeight="1">
      <c r="A21" s="6">
        <v>-29180</v>
      </c>
      <c r="B21" s="2" t="s">
        <v>294</v>
      </c>
      <c r="C21" s="2" t="s">
        <v>14364</v>
      </c>
      <c r="D21" s="3">
        <v>8</v>
      </c>
      <c r="E21" s="3">
        <v>7</v>
      </c>
      <c r="F21" s="3" t="str">
        <f>HYPERLINK("https://www.boe.es/gazeta/dias/1820/02/08/pdfs/GMD-1820-17.pdf","Abrir PDF")</f>
        <v>Abrir PDF</v>
      </c>
    </row>
    <row r="22" spans="1:6" ht="31.05" customHeight="1">
      <c r="A22" s="6">
        <v>-29178</v>
      </c>
      <c r="B22" s="2" t="s">
        <v>782</v>
      </c>
      <c r="C22" s="2" t="s">
        <v>14365</v>
      </c>
      <c r="D22" s="3">
        <v>8</v>
      </c>
      <c r="E22" s="3">
        <v>22</v>
      </c>
      <c r="F22" s="3" t="str">
        <f>HYPERLINK("https://www.boe.es/gazeta/dias/1820/02/10/pdfs/GMD-1820-18.pdf","Abrir PDF")</f>
        <v>Abrir PDF</v>
      </c>
    </row>
    <row r="23" spans="1:6" ht="31.05" customHeight="1">
      <c r="A23" s="6">
        <v>-29176</v>
      </c>
      <c r="B23" s="2" t="s">
        <v>797</v>
      </c>
      <c r="C23" s="2" t="s">
        <v>14366</v>
      </c>
      <c r="D23" s="3">
        <v>8</v>
      </c>
      <c r="E23" s="3">
        <v>23</v>
      </c>
      <c r="F23" s="3" t="str">
        <f>HYPERLINK("https://www.boe.es/gazeta/dias/1820/02/12/pdfs/GMD-1820-19.pdf","Abrir PDF")</f>
        <v>Abrir PDF</v>
      </c>
    </row>
    <row r="24" spans="1:6" ht="31.05" customHeight="1">
      <c r="A24" s="6">
        <v>-29173</v>
      </c>
      <c r="B24" s="2" t="s">
        <v>829</v>
      </c>
      <c r="C24" s="2" t="s">
        <v>14367</v>
      </c>
      <c r="D24" s="3">
        <v>8</v>
      </c>
      <c r="E24" s="3">
        <v>11</v>
      </c>
      <c r="F24" s="3" t="str">
        <f>HYPERLINK("https://www.boe.es/gazeta/dias/1820/02/15/pdfs/GMD-1820-20.pdf","Abrir PDF")</f>
        <v>Abrir PDF</v>
      </c>
    </row>
    <row r="25" spans="1:6" ht="31.05" customHeight="1">
      <c r="A25" s="6">
        <v>-29171</v>
      </c>
      <c r="B25" s="2" t="s">
        <v>764</v>
      </c>
      <c r="C25" s="2" t="s">
        <v>14368</v>
      </c>
      <c r="D25" s="3">
        <v>8</v>
      </c>
      <c r="E25" s="3">
        <v>34</v>
      </c>
      <c r="F25" s="3" t="str">
        <f>HYPERLINK("https://www.boe.es/gazeta/dias/1820/02/17/pdfs/GMD-1820-21.pdf","Abrir PDF")</f>
        <v>Abrir PDF</v>
      </c>
    </row>
    <row r="26" spans="1:6" ht="31.05" customHeight="1">
      <c r="A26" s="6">
        <v>-29169</v>
      </c>
      <c r="B26" s="2" t="s">
        <v>962</v>
      </c>
      <c r="C26" s="2" t="s">
        <v>14369</v>
      </c>
      <c r="D26" s="3">
        <v>8</v>
      </c>
      <c r="E26" s="3">
        <v>16</v>
      </c>
      <c r="F26" s="3" t="str">
        <f>HYPERLINK("https://www.boe.es/gazeta/dias/1820/02/19/pdfs/GMD-1820-22.pdf","Abrir PDF")</f>
        <v>Abrir PDF</v>
      </c>
    </row>
    <row r="27" spans="1:6" ht="31.05" customHeight="1">
      <c r="A27" s="6">
        <v>-29166</v>
      </c>
      <c r="B27" s="2" t="s">
        <v>799</v>
      </c>
      <c r="C27" s="2" t="s">
        <v>14370</v>
      </c>
      <c r="D27" s="3">
        <v>8</v>
      </c>
      <c r="E27" s="3">
        <v>16</v>
      </c>
      <c r="F27" s="3" t="str">
        <f>HYPERLINK("https://www.boe.es/gazeta/dias/1820/02/22/pdfs/GMD-1820-23.pdf","Abrir PDF")</f>
        <v>Abrir PDF</v>
      </c>
    </row>
    <row r="28" spans="1:6" ht="31.05" customHeight="1">
      <c r="A28" s="6">
        <v>-29164</v>
      </c>
      <c r="B28" s="2" t="s">
        <v>2516</v>
      </c>
      <c r="C28" s="2" t="s">
        <v>14371</v>
      </c>
      <c r="D28" s="3">
        <v>8</v>
      </c>
      <c r="E28" s="3">
        <v>22</v>
      </c>
      <c r="F28" s="3" t="str">
        <f>HYPERLINK("https://www.boe.es/gazeta/dias/1820/02/24/pdfs/GMD-1820-24.pdf","Abrir PDF")</f>
        <v>Abrir PDF</v>
      </c>
    </row>
    <row r="29" spans="1:6" ht="31.05" customHeight="1">
      <c r="A29" s="6">
        <v>-29162</v>
      </c>
      <c r="B29" s="2" t="s">
        <v>2134</v>
      </c>
      <c r="C29" s="2" t="s">
        <v>14372</v>
      </c>
      <c r="D29" s="3">
        <v>8</v>
      </c>
      <c r="E29" s="3">
        <v>15</v>
      </c>
      <c r="F29" s="3" t="str">
        <f>HYPERLINK("https://www.boe.es/gazeta/dias/1820/02/26/pdfs/GMD-1820-25.pdf","Abrir PDF")</f>
        <v>Abrir PDF</v>
      </c>
    </row>
    <row r="30" spans="1:6" ht="31.05" customHeight="1">
      <c r="A30" s="6">
        <v>-29159</v>
      </c>
      <c r="B30" s="2" t="s">
        <v>1022</v>
      </c>
      <c r="C30" s="2" t="s">
        <v>14373</v>
      </c>
      <c r="D30" s="3">
        <v>8</v>
      </c>
      <c r="E30" s="3">
        <v>26</v>
      </c>
      <c r="F30" s="3" t="str">
        <f>HYPERLINK("https://www.boe.es/gazeta/dias/1820/02/29/pdfs/GMD-1820-26.pdf","Abrir PDF")</f>
        <v>Abrir PDF</v>
      </c>
    </row>
    <row r="31" spans="1:6" ht="31.05" customHeight="1">
      <c r="A31" s="6">
        <v>-29157</v>
      </c>
      <c r="B31" s="2" t="s">
        <v>2658</v>
      </c>
      <c r="C31" s="2" t="s">
        <v>14374</v>
      </c>
      <c r="D31" s="3">
        <v>8</v>
      </c>
      <c r="E31" s="3">
        <v>10</v>
      </c>
      <c r="F31" s="3" t="str">
        <f>HYPERLINK("https://www.boe.es/gazeta/dias/1820/03/02/pdfs/GMD-1820-27.pdf","Abrir PDF")</f>
        <v>Abrir PDF</v>
      </c>
    </row>
    <row r="32" spans="1:6" ht="31.05" customHeight="1">
      <c r="A32" s="6">
        <v>-29155</v>
      </c>
      <c r="B32" s="2" t="s">
        <v>2095</v>
      </c>
      <c r="C32" s="2" t="s">
        <v>14375</v>
      </c>
      <c r="D32" s="3">
        <v>8</v>
      </c>
      <c r="E32" s="3">
        <v>16</v>
      </c>
      <c r="F32" s="3" t="str">
        <f>HYPERLINK("https://www.boe.es/gazeta/dias/1820/03/04/pdfs/GMD-1820-28.pdf","Abrir PDF")</f>
        <v>Abrir PDF</v>
      </c>
    </row>
    <row r="33" spans="1:6" ht="31.05" customHeight="1">
      <c r="A33" s="6">
        <v>-29152</v>
      </c>
      <c r="B33" s="2" t="s">
        <v>1293</v>
      </c>
      <c r="C33" s="2" t="s">
        <v>14376</v>
      </c>
      <c r="D33" s="3">
        <v>8</v>
      </c>
      <c r="E33" s="3">
        <v>16</v>
      </c>
      <c r="F33" s="3" t="str">
        <f>HYPERLINK("https://www.boe.es/gazeta/dias/1820/03/07/pdfs/GMD-1820-29.pdf","Abrir PDF")</f>
        <v>Abrir PDF</v>
      </c>
    </row>
    <row r="34" spans="1:6" ht="31.05" customHeight="1">
      <c r="A34" s="6">
        <v>-29152</v>
      </c>
      <c r="B34" s="2" t="s">
        <v>14377</v>
      </c>
      <c r="C34" s="2" t="s">
        <v>14378</v>
      </c>
      <c r="D34" s="3">
        <v>1</v>
      </c>
      <c r="E34" s="3">
        <v>0</v>
      </c>
      <c r="F34" s="3" t="str">
        <f>HYPERLINK("https://www.boe.es/gazeta/dias/1820/03/07/pdfs/GMD-1820-30E.pdf","Abrir PDF")</f>
        <v>Abrir PDF</v>
      </c>
    </row>
    <row r="35" spans="1:6" ht="31.05" customHeight="1">
      <c r="A35" s="6">
        <v>-29151</v>
      </c>
      <c r="B35" s="2" t="s">
        <v>14379</v>
      </c>
      <c r="C35" s="2" t="s">
        <v>14380</v>
      </c>
      <c r="D35" s="3">
        <v>1</v>
      </c>
      <c r="E35" s="3">
        <v>0</v>
      </c>
      <c r="F35" s="3" t="str">
        <f>HYPERLINK("https://www.boe.es/gazeta/dias/1820/03/08/pdfs/GMD-1820-31E.pdf","Abrir PDF")</f>
        <v>Abrir PDF</v>
      </c>
    </row>
    <row r="36" spans="1:6" ht="31.05" customHeight="1">
      <c r="A36" s="6">
        <v>-29150</v>
      </c>
      <c r="B36" s="2" t="s">
        <v>299</v>
      </c>
      <c r="C36" s="2" t="s">
        <v>14381</v>
      </c>
      <c r="D36" s="3">
        <v>8</v>
      </c>
      <c r="E36" s="3">
        <v>19</v>
      </c>
      <c r="F36" s="3" t="str">
        <f>HYPERLINK("https://www.boe.es/gazeta/dias/1820/03/09/pdfs/GMD-1820-32.pdf","Abrir PDF")</f>
        <v>Abrir PDF</v>
      </c>
    </row>
    <row r="37" spans="1:6" ht="31.05" customHeight="1">
      <c r="A37" s="6">
        <v>-29150</v>
      </c>
      <c r="B37" s="2" t="s">
        <v>4439</v>
      </c>
      <c r="C37" s="2" t="s">
        <v>14382</v>
      </c>
      <c r="D37" s="3">
        <v>1</v>
      </c>
      <c r="E37" s="3">
        <v>1</v>
      </c>
      <c r="F37" s="3" t="str">
        <f>HYPERLINK("https://www.boe.es/gazeta/dias/1820/03/09/pdfs/GMD-1820-33E.pdf","Abrir PDF")</f>
        <v>Abrir PDF</v>
      </c>
    </row>
    <row r="38" spans="1:6" ht="31.05" customHeight="1">
      <c r="A38" s="6">
        <v>-29150</v>
      </c>
      <c r="B38" s="2" t="s">
        <v>4978</v>
      </c>
      <c r="C38" s="2" t="s">
        <v>14383</v>
      </c>
      <c r="D38" s="3">
        <v>1</v>
      </c>
      <c r="E38" s="3">
        <v>10</v>
      </c>
      <c r="F38" s="3" t="str">
        <f>HYPERLINK("https://www.boe.es/gazeta/dias/1820/03/09/pdfs/GMD-1820-34E.pdf","Abrir PDF")</f>
        <v>Abrir PDF</v>
      </c>
    </row>
    <row r="39" spans="1:6" ht="31.05" customHeight="1">
      <c r="A39" s="6">
        <v>-29149</v>
      </c>
      <c r="B39" s="2" t="s">
        <v>5530</v>
      </c>
      <c r="C39" s="2" t="s">
        <v>14384</v>
      </c>
      <c r="D39" s="3">
        <v>2</v>
      </c>
      <c r="E39" s="3">
        <v>4</v>
      </c>
      <c r="F39" s="3" t="str">
        <f>HYPERLINK("https://www.boe.es/gazeta/dias/1820/03/10/pdfs/GMD-1820-35E.pdf","Abrir PDF")</f>
        <v>Abrir PDF</v>
      </c>
    </row>
    <row r="40" spans="1:6" ht="31.05" customHeight="1">
      <c r="A40" s="6">
        <v>-29148</v>
      </c>
      <c r="B40" s="2" t="s">
        <v>493</v>
      </c>
      <c r="C40" s="2" t="s">
        <v>14385</v>
      </c>
      <c r="D40" s="3">
        <v>8</v>
      </c>
      <c r="E40" s="3">
        <v>13</v>
      </c>
      <c r="F40" s="3" t="str">
        <f>HYPERLINK("https://www.boe.es/gazeta/dias/1820/03/11/pdfs/GMD-1820-36.pdf","Abrir PDF")</f>
        <v>Abrir PDF</v>
      </c>
    </row>
    <row r="41" spans="1:6" ht="31.05" customHeight="1">
      <c r="A41" s="6">
        <v>-29147</v>
      </c>
      <c r="B41" s="2" t="s">
        <v>14386</v>
      </c>
      <c r="C41" s="2" t="s">
        <v>14387</v>
      </c>
      <c r="D41" s="3">
        <v>2</v>
      </c>
      <c r="E41" s="3">
        <v>0</v>
      </c>
      <c r="F41" s="3" t="str">
        <f>HYPERLINK("https://www.boe.es/gazeta/dias/1820/03/12/pdfs/GMD-1820-37E.pdf","Abrir PDF")</f>
        <v>Abrir PDF</v>
      </c>
    </row>
    <row r="42" spans="1:6" ht="31.05" customHeight="1">
      <c r="A42" s="6">
        <v>-29147</v>
      </c>
      <c r="B42" s="2" t="s">
        <v>2547</v>
      </c>
      <c r="C42" s="2" t="s">
        <v>14388</v>
      </c>
      <c r="D42" s="3">
        <v>2</v>
      </c>
      <c r="E42" s="3">
        <v>3</v>
      </c>
      <c r="F42" s="3" t="str">
        <f>HYPERLINK("https://www.boe.es/gazeta/dias/1820/03/12/pdfs/GMD-1820-38E.pdf","Abrir PDF")</f>
        <v>Abrir PDF</v>
      </c>
    </row>
    <row r="43" spans="1:6" ht="31.05" customHeight="1">
      <c r="A43" s="6">
        <v>-29145</v>
      </c>
      <c r="B43" s="2" t="s">
        <v>3537</v>
      </c>
      <c r="C43" s="2" t="s">
        <v>14389</v>
      </c>
      <c r="D43" s="3">
        <v>8</v>
      </c>
      <c r="E43" s="3">
        <v>18</v>
      </c>
      <c r="F43" s="3" t="str">
        <f>HYPERLINK("https://www.boe.es/gazeta/dias/1820/03/14/pdfs/GMD-1820-39.pdf","Abrir PDF")</f>
        <v>Abrir PDF</v>
      </c>
    </row>
    <row r="44" spans="1:6" ht="31.05" customHeight="1">
      <c r="A44" s="6">
        <v>-29145</v>
      </c>
      <c r="B44" s="2" t="s">
        <v>392</v>
      </c>
      <c r="C44" s="2" t="s">
        <v>14390</v>
      </c>
      <c r="D44" s="3">
        <v>2</v>
      </c>
      <c r="E44" s="3">
        <v>4</v>
      </c>
      <c r="F44" s="3" t="str">
        <f>HYPERLINK("https://www.boe.es/gazeta/dias/1820/03/14/pdfs/GMD-1820-40E.pdf","Abrir PDF")</f>
        <v>Abrir PDF</v>
      </c>
    </row>
    <row r="45" spans="1:6" ht="31.05" customHeight="1">
      <c r="A45" s="6">
        <v>-29144</v>
      </c>
      <c r="B45" s="2" t="s">
        <v>4273</v>
      </c>
      <c r="C45" s="2" t="s">
        <v>14391</v>
      </c>
      <c r="D45" s="3">
        <v>1</v>
      </c>
      <c r="E45" s="3">
        <v>1</v>
      </c>
      <c r="F45" s="3" t="str">
        <f>HYPERLINK("https://www.boe.es/gazeta/dias/1820/03/15/pdfs/GMD-1820-41E.pdf","Abrir PDF")</f>
        <v>Abrir PDF</v>
      </c>
    </row>
    <row r="46" spans="1:6" ht="31.05" customHeight="1">
      <c r="A46" s="6">
        <v>-29143</v>
      </c>
      <c r="B46" s="2" t="s">
        <v>334</v>
      </c>
      <c r="C46" s="2" t="s">
        <v>14392</v>
      </c>
      <c r="D46" s="3">
        <v>8</v>
      </c>
      <c r="E46" s="3">
        <v>27</v>
      </c>
      <c r="F46" s="3" t="str">
        <f>HYPERLINK("https://www.boe.es/gazeta/dias/1820/03/16/pdfs/GMD-1820-42.pdf","Abrir PDF")</f>
        <v>Abrir PDF</v>
      </c>
    </row>
    <row r="47" spans="1:6" ht="31.05" customHeight="1">
      <c r="A47" s="6">
        <v>-29142</v>
      </c>
      <c r="B47" s="2" t="s">
        <v>2712</v>
      </c>
      <c r="C47" s="2" t="s">
        <v>14393</v>
      </c>
      <c r="D47" s="3">
        <v>4</v>
      </c>
      <c r="E47" s="3">
        <v>18</v>
      </c>
      <c r="F47" s="3" t="str">
        <f>HYPERLINK("https://www.boe.es/gazeta/dias/1820/03/17/pdfs/GMD-1820-43E.pdf","Abrir PDF")</f>
        <v>Abrir PDF</v>
      </c>
    </row>
    <row r="48" spans="1:6" ht="31.05" customHeight="1">
      <c r="A48" s="6">
        <v>-29141</v>
      </c>
      <c r="B48" s="2" t="s">
        <v>319</v>
      </c>
      <c r="C48" s="2" t="s">
        <v>14394</v>
      </c>
      <c r="D48" s="3">
        <v>8</v>
      </c>
      <c r="E48" s="3">
        <v>14</v>
      </c>
      <c r="F48" s="3" t="str">
        <f>HYPERLINK("https://www.boe.es/gazeta/dias/1820/03/18/pdfs/GMD-1820-44.pdf","Abrir PDF")</f>
        <v>Abrir PDF</v>
      </c>
    </row>
    <row r="49" spans="1:6" ht="31.05" customHeight="1">
      <c r="A49" s="6">
        <v>-29140</v>
      </c>
      <c r="B49" s="2" t="s">
        <v>533</v>
      </c>
      <c r="C49" s="2" t="s">
        <v>14395</v>
      </c>
      <c r="D49" s="3">
        <v>2</v>
      </c>
      <c r="E49" s="3">
        <v>16</v>
      </c>
      <c r="F49" s="3" t="str">
        <f>HYPERLINK("https://www.boe.es/gazeta/dias/1820/03/19/pdfs/GMD-1820-45E.pdf","Abrir PDF")</f>
        <v>Abrir PDF</v>
      </c>
    </row>
    <row r="50" spans="1:6" ht="31.05" customHeight="1">
      <c r="A50" s="6">
        <v>-29139</v>
      </c>
      <c r="B50" s="2" t="s">
        <v>6989</v>
      </c>
      <c r="C50" s="2" t="s">
        <v>14396</v>
      </c>
      <c r="D50" s="3">
        <v>1</v>
      </c>
      <c r="E50" s="3">
        <v>3</v>
      </c>
      <c r="F50" s="3" t="str">
        <f>HYPERLINK("https://www.boe.es/gazeta/dias/1820/03/20/pdfs/GMD-1820-47E.pdf","Abrir PDF")</f>
        <v>Abrir PDF</v>
      </c>
    </row>
    <row r="51" spans="1:6" ht="31.05" customHeight="1">
      <c r="A51" s="6">
        <v>-29138</v>
      </c>
      <c r="B51" s="2" t="s">
        <v>200</v>
      </c>
      <c r="C51" s="2" t="s">
        <v>14397</v>
      </c>
      <c r="D51" s="3">
        <v>8</v>
      </c>
      <c r="E51" s="3">
        <v>52</v>
      </c>
      <c r="F51" s="3" t="str">
        <f>HYPERLINK("https://www.boe.es/gazeta/dias/1820/03/21/pdfs/GMD-1820-46.pdf","Abrir PDF")</f>
        <v>Abrir PDF</v>
      </c>
    </row>
    <row r="52" spans="1:6" ht="31.05" customHeight="1">
      <c r="A52" s="6">
        <v>-29138</v>
      </c>
      <c r="B52" s="2" t="s">
        <v>2523</v>
      </c>
      <c r="C52" s="2" t="s">
        <v>14398</v>
      </c>
      <c r="D52" s="3">
        <v>14</v>
      </c>
      <c r="E52" s="3">
        <v>25</v>
      </c>
      <c r="F52" s="3" t="str">
        <f>HYPERLINK("https://www.boe.es/gazeta/dias/1820/03/21/pdfs/GMD-1820-48E.pdf","Abrir PDF")</f>
        <v>Abrir PDF</v>
      </c>
    </row>
    <row r="53" spans="1:6" ht="31.05" customHeight="1">
      <c r="A53" s="6">
        <v>-29138</v>
      </c>
      <c r="B53" s="2" t="s">
        <v>4019</v>
      </c>
      <c r="C53" s="2" t="s">
        <v>14399</v>
      </c>
      <c r="D53" s="3">
        <v>2</v>
      </c>
      <c r="E53" s="3">
        <v>6</v>
      </c>
      <c r="F53" s="3" t="str">
        <f>HYPERLINK("https://www.boe.es/gazeta/dias/1820/03/21/pdfs/GMD-1820-49E.pdf","Abrir PDF")</f>
        <v>Abrir PDF</v>
      </c>
    </row>
    <row r="54" spans="1:6" ht="31.05" customHeight="1">
      <c r="A54" s="6">
        <v>-29137</v>
      </c>
      <c r="B54" s="2" t="s">
        <v>573</v>
      </c>
      <c r="C54" s="2" t="s">
        <v>14400</v>
      </c>
      <c r="D54" s="3">
        <v>3</v>
      </c>
      <c r="E54" s="3">
        <v>9</v>
      </c>
      <c r="F54" s="3" t="str">
        <f>HYPERLINK("https://www.boe.es/gazeta/dias/1820/03/22/pdfs/GMD-1820-50E.pdf","Abrir PDF")</f>
        <v>Abrir PDF</v>
      </c>
    </row>
    <row r="55" spans="1:6" ht="31.05" customHeight="1">
      <c r="A55" s="6">
        <v>-29136</v>
      </c>
      <c r="B55" s="2" t="s">
        <v>2972</v>
      </c>
      <c r="C55" s="2" t="s">
        <v>14401</v>
      </c>
      <c r="D55" s="3">
        <v>8</v>
      </c>
      <c r="E55" s="3">
        <v>35</v>
      </c>
      <c r="F55" s="3" t="str">
        <f>HYPERLINK("https://www.boe.es/gazeta/dias/1820/03/23/pdfs/GMD-1820-51.pdf","Abrir PDF")</f>
        <v>Abrir PDF</v>
      </c>
    </row>
    <row r="56" spans="1:6" ht="31.05" customHeight="1">
      <c r="A56" s="6">
        <v>-29136</v>
      </c>
      <c r="B56" s="2" t="s">
        <v>1089</v>
      </c>
      <c r="C56" s="2" t="s">
        <v>14402</v>
      </c>
      <c r="D56" s="3">
        <v>1</v>
      </c>
      <c r="E56" s="3">
        <v>9</v>
      </c>
      <c r="F56" s="3" t="str">
        <f>HYPERLINK("https://www.boe.es/gazeta/dias/1820/03/23/pdfs/GMD-1820-52E.pdf","Abrir PDF")</f>
        <v>Abrir PDF</v>
      </c>
    </row>
    <row r="57" spans="1:6" ht="31.05" customHeight="1">
      <c r="A57" s="6">
        <v>-29134</v>
      </c>
      <c r="B57" s="2" t="s">
        <v>255</v>
      </c>
      <c r="C57" s="2" t="s">
        <v>14403</v>
      </c>
      <c r="D57" s="3">
        <v>8</v>
      </c>
      <c r="E57" s="3">
        <v>16</v>
      </c>
      <c r="F57" s="3" t="str">
        <f>HYPERLINK("https://www.boe.es/gazeta/dias/1820/03/25/pdfs/GMD-1820-53.pdf","Abrir PDF")</f>
        <v>Abrir PDF</v>
      </c>
    </row>
    <row r="58" spans="1:6" ht="31.05" customHeight="1">
      <c r="A58" s="6">
        <v>-29134</v>
      </c>
      <c r="B58" s="2" t="s">
        <v>2560</v>
      </c>
      <c r="C58" s="2" t="s">
        <v>14404</v>
      </c>
      <c r="D58" s="3">
        <v>2</v>
      </c>
      <c r="E58" s="3">
        <v>7</v>
      </c>
      <c r="F58" s="3" t="str">
        <f>HYPERLINK("https://www.boe.es/gazeta/dias/1820/03/25/pdfs/GMD-1820-54E.pdf","Abrir PDF")</f>
        <v>Abrir PDF</v>
      </c>
    </row>
    <row r="59" spans="1:6" ht="31.05" customHeight="1">
      <c r="A59" s="6">
        <v>-29132</v>
      </c>
      <c r="B59" s="2" t="s">
        <v>311</v>
      </c>
      <c r="C59" s="2" t="s">
        <v>14405</v>
      </c>
      <c r="D59" s="3">
        <v>1</v>
      </c>
      <c r="E59" s="3">
        <v>9</v>
      </c>
      <c r="F59" s="3" t="str">
        <f>HYPERLINK("https://www.boe.es/gazeta/dias/1820/03/27/pdfs/GMD-1820-55E.pdf","Abrir PDF")</f>
        <v>Abrir PDF</v>
      </c>
    </row>
    <row r="60" spans="1:6" ht="31.05" customHeight="1">
      <c r="A60" s="6">
        <v>-29131</v>
      </c>
      <c r="B60" s="2" t="s">
        <v>1193</v>
      </c>
      <c r="C60" s="2" t="s">
        <v>14406</v>
      </c>
      <c r="D60" s="3">
        <v>8</v>
      </c>
      <c r="E60" s="3">
        <v>16</v>
      </c>
      <c r="F60" s="3" t="str">
        <f>HYPERLINK("https://www.boe.es/gazeta/dias/1820/03/28/pdfs/GMD-1820-56.pdf","Abrir PDF")</f>
        <v>Abrir PDF</v>
      </c>
    </row>
    <row r="61" spans="1:6" ht="31.05" customHeight="1">
      <c r="A61" s="6">
        <v>-29130</v>
      </c>
      <c r="B61" s="2" t="s">
        <v>14407</v>
      </c>
      <c r="C61" s="2" t="s">
        <v>14408</v>
      </c>
      <c r="D61" s="3">
        <v>2</v>
      </c>
      <c r="E61" s="3">
        <v>0</v>
      </c>
      <c r="F61" s="3" t="str">
        <f>HYPERLINK("https://www.boe.es/gazeta/dias/1820/03/29/pdfs/GMD-1820-57E.pdf","Abrir PDF")</f>
        <v>Abrir PDF</v>
      </c>
    </row>
    <row r="62" spans="1:6" ht="31.05" customHeight="1">
      <c r="A62" s="6">
        <v>-29129</v>
      </c>
      <c r="B62" s="2" t="s">
        <v>269</v>
      </c>
      <c r="C62" s="2" t="s">
        <v>14409</v>
      </c>
      <c r="D62" s="3">
        <v>12</v>
      </c>
      <c r="E62" s="3">
        <v>27</v>
      </c>
      <c r="F62" s="3" t="str">
        <f>HYPERLINK("https://www.boe.es/gazeta/dias/1820/03/30/pdfs/GMD-1820-58.pdf","Abrir PDF")</f>
        <v>Abrir PDF</v>
      </c>
    </row>
    <row r="63" spans="1:6" ht="31.05" customHeight="1">
      <c r="A63" s="6">
        <v>-29127</v>
      </c>
      <c r="B63" s="2" t="s">
        <v>583</v>
      </c>
      <c r="C63" s="2" t="s">
        <v>14410</v>
      </c>
      <c r="D63" s="3">
        <v>8</v>
      </c>
      <c r="E63" s="3">
        <v>9</v>
      </c>
      <c r="F63" s="3" t="str">
        <f>HYPERLINK("https://www.boe.es/gazeta/dias/1820/04/01/pdfs/GMD-1820-59.pdf","Abrir PDF")</f>
        <v>Abrir PDF</v>
      </c>
    </row>
    <row r="64" spans="1:6" ht="31.05" customHeight="1">
      <c r="A64" s="6">
        <v>-29124</v>
      </c>
      <c r="B64" s="2" t="s">
        <v>4097</v>
      </c>
      <c r="C64" s="2" t="s">
        <v>14411</v>
      </c>
      <c r="D64" s="3">
        <v>8</v>
      </c>
      <c r="E64" s="3">
        <v>16</v>
      </c>
      <c r="F64" s="3" t="str">
        <f>HYPERLINK("https://www.boe.es/gazeta/dias/1820/04/04/pdfs/GMD-1820-60.pdf","Abrir PDF")</f>
        <v>Abrir PDF</v>
      </c>
    </row>
    <row r="65" spans="1:6" ht="31.05" customHeight="1">
      <c r="A65" s="6">
        <v>-29124</v>
      </c>
      <c r="B65" s="2" t="s">
        <v>5540</v>
      </c>
      <c r="C65" s="2" t="s">
        <v>14412</v>
      </c>
      <c r="D65" s="3">
        <v>2</v>
      </c>
      <c r="E65" s="3">
        <v>2</v>
      </c>
      <c r="F65" s="3" t="str">
        <f>HYPERLINK("https://www.boe.es/gazeta/dias/1820/04/04/pdfs/GMD-1820-61E.pdf","Abrir PDF")</f>
        <v>Abrir PDF</v>
      </c>
    </row>
    <row r="66" spans="1:6" ht="31.05" customHeight="1">
      <c r="A66" s="6">
        <v>-29122</v>
      </c>
      <c r="B66" s="2" t="s">
        <v>844</v>
      </c>
      <c r="C66" s="2" t="s">
        <v>14413</v>
      </c>
      <c r="D66" s="3">
        <v>8</v>
      </c>
      <c r="E66" s="3">
        <v>29</v>
      </c>
      <c r="F66" s="3" t="str">
        <f>HYPERLINK("https://www.boe.es/gazeta/dias/1820/04/06/pdfs/GMD-1820-62.pdf","Abrir PDF")</f>
        <v>Abrir PDF</v>
      </c>
    </row>
    <row r="67" spans="1:6" ht="31.05" customHeight="1">
      <c r="A67" s="6">
        <v>-29120</v>
      </c>
      <c r="B67" s="2" t="s">
        <v>852</v>
      </c>
      <c r="C67" s="2" t="s">
        <v>14414</v>
      </c>
      <c r="D67" s="3">
        <v>8</v>
      </c>
      <c r="E67" s="3">
        <v>33</v>
      </c>
      <c r="F67" s="3" t="str">
        <f>HYPERLINK("https://www.boe.es/gazeta/dias/1820/04/08/pdfs/GMD-1820-63.pdf","Abrir PDF")</f>
        <v>Abrir PDF</v>
      </c>
    </row>
    <row r="68" spans="1:6" ht="31.05" customHeight="1">
      <c r="A68" s="6">
        <v>-29117</v>
      </c>
      <c r="B68" s="2" t="s">
        <v>1451</v>
      </c>
      <c r="C68" s="2" t="s">
        <v>14415</v>
      </c>
      <c r="D68" s="3">
        <v>8</v>
      </c>
      <c r="E68" s="3">
        <v>30</v>
      </c>
      <c r="F68" s="3" t="str">
        <f>HYPERLINK("https://www.boe.es/gazeta/dias/1820/04/11/pdfs/GMD-1820-64.pdf","Abrir PDF")</f>
        <v>Abrir PDF</v>
      </c>
    </row>
    <row r="69" spans="1:6" ht="31.05" customHeight="1">
      <c r="A69" s="6">
        <v>-29115</v>
      </c>
      <c r="B69" s="2" t="s">
        <v>289</v>
      </c>
      <c r="C69" s="2" t="s">
        <v>14416</v>
      </c>
      <c r="D69" s="3">
        <v>8</v>
      </c>
      <c r="E69" s="3">
        <v>25</v>
      </c>
      <c r="F69" s="3" t="str">
        <f>HYPERLINK("https://www.boe.es/gazeta/dias/1820/04/13/pdfs/GMD-1820-65.pdf","Abrir PDF")</f>
        <v>Abrir PDF</v>
      </c>
    </row>
    <row r="70" spans="1:6" ht="31.05" customHeight="1">
      <c r="A70" s="6">
        <v>-29113</v>
      </c>
      <c r="B70" s="2" t="s">
        <v>501</v>
      </c>
      <c r="C70" s="2" t="s">
        <v>14417</v>
      </c>
      <c r="D70" s="3">
        <v>8</v>
      </c>
      <c r="E70" s="3">
        <v>12</v>
      </c>
      <c r="F70" s="3" t="str">
        <f>HYPERLINK("https://www.boe.es/gazeta/dias/1820/04/15/pdfs/GMD-1820-66.pdf","Abrir PDF")</f>
        <v>Abrir PDF</v>
      </c>
    </row>
    <row r="71" spans="1:6" ht="31.05" customHeight="1">
      <c r="A71" s="6">
        <v>-29110</v>
      </c>
      <c r="B71" s="2" t="s">
        <v>272</v>
      </c>
      <c r="C71" s="2" t="s">
        <v>14418</v>
      </c>
      <c r="D71" s="3">
        <v>8</v>
      </c>
      <c r="E71" s="3">
        <v>6</v>
      </c>
      <c r="F71" s="3" t="str">
        <f>HYPERLINK("https://www.boe.es/gazeta/dias/1820/04/18/pdfs/GMD-1820-67.pdf","Abrir PDF")</f>
        <v>Abrir PDF</v>
      </c>
    </row>
    <row r="72" spans="1:6" ht="31.05" customHeight="1">
      <c r="A72" s="6">
        <v>-29108</v>
      </c>
      <c r="B72" s="2" t="s">
        <v>304</v>
      </c>
      <c r="C72" s="2" t="s">
        <v>14419</v>
      </c>
      <c r="D72" s="3">
        <v>8</v>
      </c>
      <c r="E72" s="3">
        <v>8</v>
      </c>
      <c r="F72" s="3" t="str">
        <f>HYPERLINK("https://www.boe.es/gazeta/dias/1820/04/20/pdfs/GMD-1820-68.pdf","Abrir PDF")</f>
        <v>Abrir PDF</v>
      </c>
    </row>
    <row r="73" spans="1:6" ht="31.05" customHeight="1">
      <c r="A73" s="6">
        <v>-29106</v>
      </c>
      <c r="B73" s="2" t="s">
        <v>430</v>
      </c>
      <c r="C73" s="2" t="s">
        <v>14420</v>
      </c>
      <c r="D73" s="3">
        <v>8</v>
      </c>
      <c r="E73" s="3">
        <v>8</v>
      </c>
      <c r="F73" s="3" t="str">
        <f>HYPERLINK("https://www.boe.es/gazeta/dias/1820/04/22/pdfs/GMD-1820-69.pdf","Abrir PDF")</f>
        <v>Abrir PDF</v>
      </c>
    </row>
    <row r="74" spans="1:6" ht="31.05" customHeight="1">
      <c r="A74" s="6">
        <v>-29103</v>
      </c>
      <c r="B74" s="2" t="s">
        <v>313</v>
      </c>
      <c r="C74" s="2" t="s">
        <v>14421</v>
      </c>
      <c r="D74" s="3">
        <v>8</v>
      </c>
      <c r="E74" s="3">
        <v>9</v>
      </c>
      <c r="F74" s="3" t="str">
        <f>HYPERLINK("https://www.boe.es/gazeta/dias/1820/04/25/pdfs/GMD-1820-70.pdf","Abrir PDF")</f>
        <v>Abrir PDF</v>
      </c>
    </row>
    <row r="75" spans="1:6" ht="31.05" customHeight="1">
      <c r="A75" s="6">
        <v>-29102</v>
      </c>
      <c r="B75" s="2" t="s">
        <v>899</v>
      </c>
      <c r="C75" s="2" t="s">
        <v>14422</v>
      </c>
      <c r="D75" s="3">
        <v>8</v>
      </c>
      <c r="E75" s="3">
        <v>6</v>
      </c>
      <c r="F75" s="3" t="str">
        <f>HYPERLINK("https://www.boe.es/gazeta/dias/1820/04/26/pdfs/GMD-1820-71E.pdf","Abrir PDF")</f>
        <v>Abrir PDF</v>
      </c>
    </row>
    <row r="76" spans="1:6" ht="31.05" customHeight="1">
      <c r="A76" s="6">
        <v>-29101</v>
      </c>
      <c r="B76" s="2" t="s">
        <v>999</v>
      </c>
      <c r="C76" s="2" t="s">
        <v>14423</v>
      </c>
      <c r="D76" s="3">
        <v>12</v>
      </c>
      <c r="E76" s="3">
        <v>20</v>
      </c>
      <c r="F76" s="3" t="str">
        <f>HYPERLINK("https://www.boe.es/gazeta/dias/1820/04/27/pdfs/GMD-1820-72.pdf","Abrir PDF")</f>
        <v>Abrir PDF</v>
      </c>
    </row>
    <row r="77" spans="1:6" ht="31.05" customHeight="1">
      <c r="A77" s="6">
        <v>-29099</v>
      </c>
      <c r="B77" s="2" t="s">
        <v>871</v>
      </c>
      <c r="C77" s="2" t="s">
        <v>14424</v>
      </c>
      <c r="D77" s="3">
        <v>8</v>
      </c>
      <c r="E77" s="3">
        <v>10</v>
      </c>
      <c r="F77" s="3" t="str">
        <f>HYPERLINK("https://www.boe.es/gazeta/dias/1820/04/29/pdfs/GMD-1820-73.pdf","Abrir PDF")</f>
        <v>Abrir PDF</v>
      </c>
    </row>
    <row r="78" spans="1:6" ht="31.05" customHeight="1">
      <c r="A78" s="6">
        <v>-29096</v>
      </c>
      <c r="B78" s="2" t="s">
        <v>315</v>
      </c>
      <c r="C78" s="2" t="s">
        <v>14425</v>
      </c>
      <c r="D78" s="3">
        <v>8</v>
      </c>
      <c r="E78" s="3">
        <v>8</v>
      </c>
      <c r="F78" s="3" t="str">
        <f>HYPERLINK("https://www.boe.es/gazeta/dias/1820/05/02/pdfs/GMD-1820-74.pdf","Abrir PDF")</f>
        <v>Abrir PDF</v>
      </c>
    </row>
    <row r="79" spans="1:6" ht="31.05" customHeight="1">
      <c r="A79" s="6">
        <v>-29094</v>
      </c>
      <c r="B79" s="2" t="s">
        <v>560</v>
      </c>
      <c r="C79" s="2" t="s">
        <v>14426</v>
      </c>
      <c r="D79" s="3">
        <v>8</v>
      </c>
      <c r="E79" s="3">
        <v>26</v>
      </c>
      <c r="F79" s="3" t="str">
        <f>HYPERLINK("https://www.boe.es/gazeta/dias/1820/05/04/pdfs/GMD-1820-75.pdf","Abrir PDF")</f>
        <v>Abrir PDF</v>
      </c>
    </row>
    <row r="80" spans="1:6" ht="31.05" customHeight="1">
      <c r="A80" s="6">
        <v>-29092</v>
      </c>
      <c r="B80" s="2" t="s">
        <v>1261</v>
      </c>
      <c r="C80" s="2" t="s">
        <v>14427</v>
      </c>
      <c r="D80" s="3">
        <v>8</v>
      </c>
      <c r="E80" s="3">
        <v>14</v>
      </c>
      <c r="F80" s="3" t="str">
        <f>HYPERLINK("https://www.boe.es/gazeta/dias/1820/05/06/pdfs/GMD-1820-76.pdf","Abrir PDF")</f>
        <v>Abrir PDF</v>
      </c>
    </row>
    <row r="81" spans="1:6" ht="31.05" customHeight="1">
      <c r="A81" s="6">
        <v>-29089</v>
      </c>
      <c r="B81" s="2" t="s">
        <v>2128</v>
      </c>
      <c r="C81" s="2" t="s">
        <v>14428</v>
      </c>
      <c r="D81" s="3">
        <v>8</v>
      </c>
      <c r="E81" s="3">
        <v>8</v>
      </c>
      <c r="F81" s="3" t="str">
        <f>HYPERLINK("https://www.boe.es/gazeta/dias/1820/05/09/pdfs/GMD-1820-77.pdf","Abrir PDF")</f>
        <v>Abrir PDF</v>
      </c>
    </row>
    <row r="82" spans="1:6" ht="31.05" customHeight="1">
      <c r="A82" s="6">
        <v>-29087</v>
      </c>
      <c r="B82" s="2" t="s">
        <v>1018</v>
      </c>
      <c r="C82" s="2" t="s">
        <v>14429</v>
      </c>
      <c r="D82" s="3">
        <v>8</v>
      </c>
      <c r="E82" s="3">
        <v>13</v>
      </c>
      <c r="F82" s="3" t="str">
        <f>HYPERLINK("https://www.boe.es/gazeta/dias/1820/05/11/pdfs/GMD-1820-78.pdf","Abrir PDF")</f>
        <v>Abrir PDF</v>
      </c>
    </row>
    <row r="83" spans="1:6" ht="31.05" customHeight="1">
      <c r="A83" s="6">
        <v>-29085</v>
      </c>
      <c r="B83" s="2" t="s">
        <v>1502</v>
      </c>
      <c r="C83" s="2" t="s">
        <v>14430</v>
      </c>
      <c r="D83" s="3">
        <v>12</v>
      </c>
      <c r="E83" s="3">
        <v>13</v>
      </c>
      <c r="F83" s="3" t="str">
        <f>HYPERLINK("https://www.boe.es/gazeta/dias/1820/05/13/pdfs/GMD-1820-79.pdf","Abrir PDF")</f>
        <v>Abrir PDF</v>
      </c>
    </row>
    <row r="84" spans="1:6" ht="31.05" customHeight="1">
      <c r="A84" s="6">
        <v>-29082</v>
      </c>
      <c r="B84" s="2" t="s">
        <v>478</v>
      </c>
      <c r="C84" s="2" t="s">
        <v>14431</v>
      </c>
      <c r="D84" s="3">
        <v>12</v>
      </c>
      <c r="E84" s="3">
        <v>24</v>
      </c>
      <c r="F84" s="3" t="str">
        <f>HYPERLINK("https://www.boe.es/gazeta/dias/1820/05/16/pdfs/GMD-1820-80.pdf","Abrir PDF")</f>
        <v>Abrir PDF</v>
      </c>
    </row>
    <row r="85" spans="1:6" ht="31.05" customHeight="1">
      <c r="A85" s="6">
        <v>-29081</v>
      </c>
      <c r="B85" s="2" t="s">
        <v>6449</v>
      </c>
      <c r="C85" s="2" t="s">
        <v>14432</v>
      </c>
      <c r="D85" s="3">
        <v>2</v>
      </c>
      <c r="E85" s="3">
        <v>1</v>
      </c>
      <c r="F85" s="3" t="str">
        <f>HYPERLINK("https://www.boe.es/gazeta/dias/1820/05/17/pdfs/GMD-1820-81E.pdf","Abrir PDF")</f>
        <v>Abrir PDF</v>
      </c>
    </row>
    <row r="86" spans="1:6" ht="31.05" customHeight="1">
      <c r="A86" s="6">
        <v>-29080</v>
      </c>
      <c r="B86" s="2" t="s">
        <v>1031</v>
      </c>
      <c r="C86" s="2" t="s">
        <v>14433</v>
      </c>
      <c r="D86" s="3">
        <v>8</v>
      </c>
      <c r="E86" s="3">
        <v>15</v>
      </c>
      <c r="F86" s="3" t="str">
        <f>HYPERLINK("https://www.boe.es/gazeta/dias/1820/05/18/pdfs/GMD-1820-82.pdf","Abrir PDF")</f>
        <v>Abrir PDF</v>
      </c>
    </row>
    <row r="87" spans="1:6" ht="31.05" customHeight="1">
      <c r="A87" s="6">
        <v>-29078</v>
      </c>
      <c r="B87" s="2" t="s">
        <v>260</v>
      </c>
      <c r="C87" s="2" t="s">
        <v>14434</v>
      </c>
      <c r="D87" s="3">
        <v>12</v>
      </c>
      <c r="E87" s="3">
        <v>24</v>
      </c>
      <c r="F87" s="3" t="str">
        <f>HYPERLINK("https://www.boe.es/gazeta/dias/1820/05/20/pdfs/GMD-1820-83.pdf","Abrir PDF")</f>
        <v>Abrir PDF</v>
      </c>
    </row>
    <row r="88" spans="1:6" ht="31.05" customHeight="1">
      <c r="A88" s="6">
        <v>-29075</v>
      </c>
      <c r="B88" s="2" t="s">
        <v>1186</v>
      </c>
      <c r="C88" s="2" t="s">
        <v>14435</v>
      </c>
      <c r="D88" s="3">
        <v>12</v>
      </c>
      <c r="E88" s="3">
        <v>7</v>
      </c>
      <c r="F88" s="3" t="str">
        <f>HYPERLINK("https://www.boe.es/gazeta/dias/1820/05/23/pdfs/GMD-1820-84.pdf","Abrir PDF")</f>
        <v>Abrir PDF</v>
      </c>
    </row>
    <row r="89" spans="1:6" ht="31.05" customHeight="1">
      <c r="A89" s="6">
        <v>-29073</v>
      </c>
      <c r="B89" s="2" t="s">
        <v>1928</v>
      </c>
      <c r="C89" s="2" t="s">
        <v>14436</v>
      </c>
      <c r="D89" s="3">
        <v>12</v>
      </c>
      <c r="E89" s="3">
        <v>9</v>
      </c>
      <c r="F89" s="3" t="str">
        <f>HYPERLINK("https://www.boe.es/gazeta/dias/1820/05/25/pdfs/GMD-1820-85.pdf","Abrir PDF")</f>
        <v>Abrir PDF</v>
      </c>
    </row>
    <row r="90" spans="1:6" ht="31.05" customHeight="1">
      <c r="A90" s="6">
        <v>-29071</v>
      </c>
      <c r="B90" s="2" t="s">
        <v>329</v>
      </c>
      <c r="C90" s="2" t="s">
        <v>14437</v>
      </c>
      <c r="D90" s="3">
        <v>8</v>
      </c>
      <c r="E90" s="3">
        <v>13</v>
      </c>
      <c r="F90" s="3" t="str">
        <f>HYPERLINK("https://www.boe.es/gazeta/dias/1820/05/27/pdfs/GMD-1820-86.pdf","Abrir PDF")</f>
        <v>Abrir PDF</v>
      </c>
    </row>
    <row r="91" spans="1:6" ht="31.05" customHeight="1">
      <c r="A91" s="6">
        <v>-29068</v>
      </c>
      <c r="B91" s="2" t="s">
        <v>943</v>
      </c>
      <c r="C91" s="2" t="s">
        <v>14438</v>
      </c>
      <c r="D91" s="3">
        <v>12</v>
      </c>
      <c r="E91" s="3">
        <v>15</v>
      </c>
      <c r="F91" s="3" t="str">
        <f>HYPERLINK("https://www.boe.es/gazeta/dias/1820/05/30/pdfs/GMD-1820-87.pdf","Abrir PDF")</f>
        <v>Abrir PDF</v>
      </c>
    </row>
    <row r="92" spans="1:6" ht="31.05" customHeight="1">
      <c r="A92" s="6">
        <v>-29066</v>
      </c>
      <c r="B92" s="2" t="s">
        <v>1966</v>
      </c>
      <c r="C92" s="2" t="s">
        <v>14439</v>
      </c>
      <c r="D92" s="3">
        <v>8</v>
      </c>
      <c r="E92" s="3">
        <v>8</v>
      </c>
      <c r="F92" s="3" t="str">
        <f>HYPERLINK("https://www.boe.es/gazeta/dias/1820/06/01/pdfs/GMD-1820-88.pdf","Abrir PDF")</f>
        <v>Abrir PDF</v>
      </c>
    </row>
    <row r="93" spans="1:6" ht="31.05" customHeight="1">
      <c r="A93" s="6">
        <v>-29064</v>
      </c>
      <c r="B93" s="2" t="s">
        <v>1264</v>
      </c>
      <c r="C93" s="2" t="s">
        <v>14440</v>
      </c>
      <c r="D93" s="3">
        <v>8</v>
      </c>
      <c r="E93" s="3">
        <v>14</v>
      </c>
      <c r="F93" s="3" t="str">
        <f>HYPERLINK("https://www.boe.es/gazeta/dias/1820/06/03/pdfs/GMD-1820-89.pdf","Abrir PDF")</f>
        <v>Abrir PDF</v>
      </c>
    </row>
    <row r="94" spans="1:6" ht="31.05" customHeight="1">
      <c r="A94" s="6">
        <v>-29061</v>
      </c>
      <c r="B94" s="2" t="s">
        <v>4467</v>
      </c>
      <c r="C94" s="2" t="s">
        <v>14441</v>
      </c>
      <c r="D94" s="3">
        <v>8</v>
      </c>
      <c r="E94" s="3">
        <v>6</v>
      </c>
      <c r="F94" s="3" t="str">
        <f>HYPERLINK("https://www.boe.es/gazeta/dias/1820/06/06/pdfs/GMD-1820-90.pdf","Abrir PDF")</f>
        <v>Abrir PDF</v>
      </c>
    </row>
    <row r="95" spans="1:6" ht="31.05" customHeight="1">
      <c r="A95" s="6">
        <v>-29059</v>
      </c>
      <c r="B95" s="2" t="s">
        <v>1898</v>
      </c>
      <c r="C95" s="2" t="s">
        <v>14442</v>
      </c>
      <c r="D95" s="3">
        <v>8</v>
      </c>
      <c r="E95" s="3">
        <v>6</v>
      </c>
      <c r="F95" s="3" t="str">
        <f>HYPERLINK("https://www.boe.es/gazeta/dias/1820/06/08/pdfs/GMD-1820-91.pdf","Abrir PDF")</f>
        <v>Abrir PDF</v>
      </c>
    </row>
    <row r="96" spans="1:6" ht="31.05" customHeight="1">
      <c r="A96" s="6">
        <v>-29057</v>
      </c>
      <c r="B96" s="2" t="s">
        <v>2141</v>
      </c>
      <c r="C96" s="2" t="s">
        <v>14443</v>
      </c>
      <c r="D96" s="3">
        <v>8</v>
      </c>
      <c r="E96" s="3">
        <v>6</v>
      </c>
      <c r="F96" s="3" t="str">
        <f>HYPERLINK("https://www.boe.es/gazeta/dias/1820/06/10/pdfs/GMD-1820-92.pdf","Abrir PDF")</f>
        <v>Abrir PDF</v>
      </c>
    </row>
    <row r="97" spans="1:6" ht="31.05" customHeight="1">
      <c r="A97" s="6">
        <v>-29054</v>
      </c>
      <c r="B97" s="2" t="s">
        <v>481</v>
      </c>
      <c r="C97" s="2" t="s">
        <v>14444</v>
      </c>
      <c r="D97" s="3">
        <v>12</v>
      </c>
      <c r="E97" s="3">
        <v>24</v>
      </c>
      <c r="F97" s="3" t="str">
        <f>HYPERLINK("https://www.boe.es/gazeta/dias/1820/06/13/pdfs/GMD-1820-93.pdf","Abrir PDF")</f>
        <v>Abrir PDF</v>
      </c>
    </row>
    <row r="98" spans="1:6" ht="31.05" customHeight="1">
      <c r="A98" s="6">
        <v>-29052</v>
      </c>
      <c r="B98" s="2" t="s">
        <v>1231</v>
      </c>
      <c r="C98" s="2" t="s">
        <v>14445</v>
      </c>
      <c r="D98" s="3">
        <v>8</v>
      </c>
      <c r="E98" s="3">
        <v>5</v>
      </c>
      <c r="F98" s="3" t="str">
        <f>HYPERLINK("https://www.boe.es/gazeta/dias/1820/06/15/pdfs/GMD-1820-94.pdf","Abrir PDF")</f>
        <v>Abrir PDF</v>
      </c>
    </row>
    <row r="99" spans="1:6" ht="31.05" customHeight="1">
      <c r="A99" s="6">
        <v>-29050</v>
      </c>
      <c r="B99" s="2" t="s">
        <v>423</v>
      </c>
      <c r="C99" s="2" t="s">
        <v>14446</v>
      </c>
      <c r="D99" s="3">
        <v>8</v>
      </c>
      <c r="E99" s="3">
        <v>15</v>
      </c>
      <c r="F99" s="3" t="str">
        <f>HYPERLINK("https://www.boe.es/gazeta/dias/1820/06/17/pdfs/GMD-1820-95.pdf","Abrir PDF")</f>
        <v>Abrir PDF</v>
      </c>
    </row>
    <row r="100" spans="1:6" ht="31.05" customHeight="1">
      <c r="A100" s="6">
        <v>-29047</v>
      </c>
      <c r="B100" s="2" t="s">
        <v>1033</v>
      </c>
      <c r="C100" s="2" t="s">
        <v>14447</v>
      </c>
      <c r="D100" s="3">
        <v>12</v>
      </c>
      <c r="E100" s="3">
        <v>16</v>
      </c>
      <c r="F100" s="3" t="str">
        <f>HYPERLINK("https://www.boe.es/gazeta/dias/1820/06/20/pdfs/GMD-1820-96.pdf","Abrir PDF")</f>
        <v>Abrir PDF</v>
      </c>
    </row>
    <row r="101" spans="1:6" ht="31.05" customHeight="1">
      <c r="A101" s="6">
        <v>-29045</v>
      </c>
      <c r="B101" s="2" t="s">
        <v>155</v>
      </c>
      <c r="C101" s="2" t="s">
        <v>14448</v>
      </c>
      <c r="D101" s="3">
        <v>8</v>
      </c>
      <c r="E101" s="3">
        <v>40</v>
      </c>
      <c r="F101" s="3" t="str">
        <f>HYPERLINK("https://www.boe.es/gazeta/dias/1820/06/22/pdfs/GMD-1820-97.pdf","Abrir PDF")</f>
        <v>Abrir PDF</v>
      </c>
    </row>
    <row r="102" spans="1:6" ht="31.05" customHeight="1">
      <c r="A102" s="6">
        <v>-29043</v>
      </c>
      <c r="B102" s="2" t="s">
        <v>5696</v>
      </c>
      <c r="C102" s="2" t="s">
        <v>14449</v>
      </c>
      <c r="D102" s="3">
        <v>8</v>
      </c>
      <c r="E102" s="3">
        <v>7</v>
      </c>
      <c r="F102" s="3" t="str">
        <f>HYPERLINK("https://www.boe.es/gazeta/dias/1820/06/24/pdfs/GMD-1820-98.pdf","Abrir PDF")</f>
        <v>Abrir PDF</v>
      </c>
    </row>
    <row r="103" spans="1:6" ht="31.05" customHeight="1">
      <c r="A103" s="6">
        <v>-29040</v>
      </c>
      <c r="B103" s="2" t="s">
        <v>1125</v>
      </c>
      <c r="C103" s="2" t="s">
        <v>14450</v>
      </c>
      <c r="D103" s="3">
        <v>12</v>
      </c>
      <c r="E103" s="3">
        <v>27</v>
      </c>
      <c r="F103" s="3" t="str">
        <f>HYPERLINK("https://www.boe.es/gazeta/dias/1820/06/27/pdfs/GMD-1820-99.pdf","Abrir PDF")</f>
        <v>Abrir PDF</v>
      </c>
    </row>
    <row r="104" spans="1:6" ht="31.05" customHeight="1">
      <c r="A104" s="6">
        <v>-29038</v>
      </c>
      <c r="B104" s="2" t="s">
        <v>957</v>
      </c>
      <c r="C104" s="2" t="s">
        <v>14451</v>
      </c>
      <c r="D104" s="3">
        <v>8</v>
      </c>
      <c r="E104" s="3">
        <v>25</v>
      </c>
      <c r="F104" s="3" t="str">
        <f>HYPERLINK("https://www.boe.es/gazeta/dias/1820/06/29/pdfs/GMD-1820-100.pdf","Abrir PDF")</f>
        <v>Abrir PDF</v>
      </c>
    </row>
    <row r="105" spans="1:6" ht="31.05" customHeight="1">
      <c r="A105" s="6">
        <v>-29036</v>
      </c>
      <c r="B105" s="2" t="s">
        <v>1167</v>
      </c>
      <c r="C105" s="2" t="s">
        <v>14452</v>
      </c>
      <c r="D105" s="3">
        <v>4</v>
      </c>
      <c r="E105" s="3">
        <v>11</v>
      </c>
      <c r="F105" s="3" t="str">
        <f>HYPERLINK("https://www.boe.es/gazeta/dias/1820/07/01/pdfs/GGB-1820-1.pdf","Abrir PDF")</f>
        <v>Abrir PDF</v>
      </c>
    </row>
    <row r="106" spans="1:6" ht="31.05" customHeight="1">
      <c r="A106" s="6">
        <v>-29035</v>
      </c>
      <c r="B106" s="2" t="s">
        <v>2267</v>
      </c>
      <c r="C106" s="2" t="s">
        <v>14453</v>
      </c>
      <c r="D106" s="3">
        <v>4</v>
      </c>
      <c r="E106" s="3">
        <v>8</v>
      </c>
      <c r="F106" s="3" t="str">
        <f>HYPERLINK("https://www.boe.es/gazeta/dias/1820/07/02/pdfs/GGB-1820-2.pdf","Abrir PDF")</f>
        <v>Abrir PDF</v>
      </c>
    </row>
    <row r="107" spans="1:6" ht="31.05" customHeight="1">
      <c r="A107" s="6">
        <v>-29034</v>
      </c>
      <c r="B107" s="2" t="s">
        <v>460</v>
      </c>
      <c r="C107" s="2" t="s">
        <v>14454</v>
      </c>
      <c r="D107" s="3">
        <v>4</v>
      </c>
      <c r="E107" s="3">
        <v>12</v>
      </c>
      <c r="F107" s="3" t="str">
        <f>HYPERLINK("https://www.boe.es/gazeta/dias/1820/07/03/pdfs/GGB-1820-3.pdf","Abrir PDF")</f>
        <v>Abrir PDF</v>
      </c>
    </row>
    <row r="108" spans="1:6" ht="31.05" customHeight="1">
      <c r="A108" s="6">
        <v>-29033</v>
      </c>
      <c r="B108" s="2" t="s">
        <v>1240</v>
      </c>
      <c r="C108" s="2" t="s">
        <v>14455</v>
      </c>
      <c r="D108" s="3">
        <v>4</v>
      </c>
      <c r="E108" s="3">
        <v>3</v>
      </c>
      <c r="F108" s="3" t="str">
        <f>HYPERLINK("https://www.boe.es/gazeta/dias/1820/07/04/pdfs/GGB-1820-4.pdf","Abrir PDF")</f>
        <v>Abrir PDF</v>
      </c>
    </row>
    <row r="109" spans="1:6" ht="31.05" customHeight="1">
      <c r="A109" s="6">
        <v>-29032</v>
      </c>
      <c r="B109" s="2" t="s">
        <v>3052</v>
      </c>
      <c r="C109" s="2" t="s">
        <v>14456</v>
      </c>
      <c r="D109" s="3">
        <v>4</v>
      </c>
      <c r="E109" s="3">
        <v>4</v>
      </c>
      <c r="F109" s="3" t="str">
        <f>HYPERLINK("https://www.boe.es/gazeta/dias/1820/07/05/pdfs/GGB-1820-5.pdf","Abrir PDF")</f>
        <v>Abrir PDF</v>
      </c>
    </row>
    <row r="110" spans="1:6" ht="31.05" customHeight="1">
      <c r="A110" s="6">
        <v>-29031</v>
      </c>
      <c r="B110" s="2" t="s">
        <v>1036</v>
      </c>
      <c r="C110" s="2" t="s">
        <v>14457</v>
      </c>
      <c r="D110" s="3">
        <v>4</v>
      </c>
      <c r="E110" s="3">
        <v>10</v>
      </c>
      <c r="F110" s="3" t="str">
        <f>HYPERLINK("https://www.boe.es/gazeta/dias/1820/07/06/pdfs/GGB-1820-6.pdf","Abrir PDF")</f>
        <v>Abrir PDF</v>
      </c>
    </row>
    <row r="111" spans="1:6" ht="31.05" customHeight="1">
      <c r="A111" s="6">
        <v>-29031</v>
      </c>
      <c r="B111" s="2" t="s">
        <v>5349</v>
      </c>
      <c r="C111" s="2" t="s">
        <v>14458</v>
      </c>
      <c r="D111" s="3">
        <v>1</v>
      </c>
      <c r="E111" s="3">
        <v>4</v>
      </c>
      <c r="F111" s="3" t="str">
        <f>HYPERLINK("https://www.boe.es/gazeta/dias/1820/07/06/pdfs/GGB-1820-7E.pdf","Abrir PDF")</f>
        <v>Abrir PDF</v>
      </c>
    </row>
    <row r="112" spans="1:6" ht="31.05" customHeight="1">
      <c r="A112" s="6">
        <v>-29030</v>
      </c>
      <c r="B112" s="2" t="s">
        <v>789</v>
      </c>
      <c r="C112" s="2" t="s">
        <v>14459</v>
      </c>
      <c r="D112" s="3">
        <v>4</v>
      </c>
      <c r="E112" s="3">
        <v>14</v>
      </c>
      <c r="F112" s="3" t="str">
        <f>HYPERLINK("https://www.boe.es/gazeta/dias/1820/07/07/pdfs/GGB-1820-8.pdf","Abrir PDF")</f>
        <v>Abrir PDF</v>
      </c>
    </row>
    <row r="113" spans="1:6" ht="31.05" customHeight="1">
      <c r="A113" s="6">
        <v>-29029</v>
      </c>
      <c r="B113" s="2" t="s">
        <v>282</v>
      </c>
      <c r="C113" s="2" t="s">
        <v>14460</v>
      </c>
      <c r="D113" s="3">
        <v>4</v>
      </c>
      <c r="E113" s="3">
        <v>44</v>
      </c>
      <c r="F113" s="3" t="str">
        <f>HYPERLINK("https://www.boe.es/gazeta/dias/1820/07/08/pdfs/GGB-1820-9.pdf","Abrir PDF")</f>
        <v>Abrir PDF</v>
      </c>
    </row>
    <row r="114" spans="1:6" ht="31.05" customHeight="1">
      <c r="A114" s="6">
        <v>-29028</v>
      </c>
      <c r="B114" s="2" t="s">
        <v>132</v>
      </c>
      <c r="C114" s="2" t="s">
        <v>14461</v>
      </c>
      <c r="D114" s="3">
        <v>4</v>
      </c>
      <c r="E114" s="3">
        <v>19</v>
      </c>
      <c r="F114" s="3" t="str">
        <f>HYPERLINK("https://www.boe.es/gazeta/dias/1820/07/09/pdfs/GGB-1820-10.pdf","Abrir PDF")</f>
        <v>Abrir PDF</v>
      </c>
    </row>
    <row r="115" spans="1:6" ht="31.05" customHeight="1">
      <c r="A115" s="6">
        <v>-29027</v>
      </c>
      <c r="B115" s="2" t="s">
        <v>937</v>
      </c>
      <c r="C115" s="2" t="s">
        <v>14462</v>
      </c>
      <c r="D115" s="3">
        <v>4</v>
      </c>
      <c r="E115" s="3">
        <v>17</v>
      </c>
      <c r="F115" s="3" t="str">
        <f>HYPERLINK("https://www.boe.es/gazeta/dias/1820/07/10/pdfs/GGB-1820-11.pdf","Abrir PDF")</f>
        <v>Abrir PDF</v>
      </c>
    </row>
    <row r="116" spans="1:6" ht="31.05" customHeight="1">
      <c r="A116" s="6">
        <v>-29027</v>
      </c>
      <c r="B116" s="2" t="s">
        <v>4403</v>
      </c>
      <c r="C116" s="2" t="s">
        <v>14463</v>
      </c>
      <c r="D116" s="3">
        <v>3</v>
      </c>
      <c r="E116" s="3">
        <v>5</v>
      </c>
      <c r="F116" s="3" t="str">
        <f>HYPERLINK("https://www.boe.es/gazeta/dias/1820/07/10/pdfs/GGB-1820-12E.pdf","Abrir PDF")</f>
        <v>Abrir PDF</v>
      </c>
    </row>
    <row r="117" spans="1:6" ht="31.05" customHeight="1">
      <c r="A117" s="6">
        <v>-29026</v>
      </c>
      <c r="B117" s="2" t="s">
        <v>1197</v>
      </c>
      <c r="C117" s="2" t="s">
        <v>14464</v>
      </c>
      <c r="D117" s="3">
        <v>4</v>
      </c>
      <c r="E117" s="3">
        <v>32</v>
      </c>
      <c r="F117" s="3" t="str">
        <f>HYPERLINK("https://www.boe.es/gazeta/dias/1820/07/11/pdfs/GGB-1820-13.pdf","Abrir PDF")</f>
        <v>Abrir PDF</v>
      </c>
    </row>
    <row r="118" spans="1:6" ht="31.05" customHeight="1">
      <c r="A118" s="6">
        <v>-29025</v>
      </c>
      <c r="B118" s="2" t="s">
        <v>902</v>
      </c>
      <c r="C118" s="2" t="s">
        <v>14465</v>
      </c>
      <c r="D118" s="3">
        <v>4</v>
      </c>
      <c r="E118" s="3">
        <v>46</v>
      </c>
      <c r="F118" s="3" t="str">
        <f>HYPERLINK("https://www.boe.es/gazeta/dias/1820/07/12/pdfs/GGB-1820-14.pdf","Abrir PDF")</f>
        <v>Abrir PDF</v>
      </c>
    </row>
    <row r="119" spans="1:6" ht="31.05" customHeight="1">
      <c r="A119" s="6">
        <v>-29024</v>
      </c>
      <c r="B119" s="2" t="s">
        <v>1916</v>
      </c>
      <c r="C119" s="2" t="s">
        <v>14466</v>
      </c>
      <c r="D119" s="3">
        <v>4</v>
      </c>
      <c r="E119" s="3">
        <v>23</v>
      </c>
      <c r="F119" s="3" t="str">
        <f>HYPERLINK("https://www.boe.es/gazeta/dias/1820/07/13/pdfs/GGB-1820-15.pdf","Abrir PDF")</f>
        <v>Abrir PDF</v>
      </c>
    </row>
    <row r="120" spans="1:6" ht="31.05" customHeight="1">
      <c r="A120" s="6">
        <v>-29023</v>
      </c>
      <c r="B120" s="2" t="s">
        <v>1662</v>
      </c>
      <c r="C120" s="2" t="s">
        <v>14467</v>
      </c>
      <c r="D120" s="3">
        <v>4</v>
      </c>
      <c r="E120" s="3">
        <v>31</v>
      </c>
      <c r="F120" s="3" t="str">
        <f>HYPERLINK("https://www.boe.es/gazeta/dias/1820/07/14/pdfs/GGB-1820-16.pdf","Abrir PDF")</f>
        <v>Abrir PDF</v>
      </c>
    </row>
    <row r="121" spans="1:6" ht="31.05" customHeight="1">
      <c r="A121" s="6">
        <v>-29022</v>
      </c>
      <c r="B121" s="2" t="s">
        <v>1310</v>
      </c>
      <c r="C121" s="2" t="s">
        <v>14468</v>
      </c>
      <c r="D121" s="3">
        <v>4</v>
      </c>
      <c r="E121" s="3">
        <v>27</v>
      </c>
      <c r="F121" s="3" t="str">
        <f>HYPERLINK("https://www.boe.es/gazeta/dias/1820/07/15/pdfs/GGB-1820-17.pdf","Abrir PDF")</f>
        <v>Abrir PDF</v>
      </c>
    </row>
    <row r="122" spans="1:6" ht="31.05" customHeight="1">
      <c r="A122" s="6">
        <v>-29021</v>
      </c>
      <c r="B122" s="2" t="s">
        <v>377</v>
      </c>
      <c r="C122" s="2" t="s">
        <v>14469</v>
      </c>
      <c r="D122" s="3">
        <v>4</v>
      </c>
      <c r="E122" s="3">
        <v>30</v>
      </c>
      <c r="F122" s="3" t="str">
        <f>HYPERLINK("https://www.boe.es/gazeta/dias/1820/07/16/pdfs/GGB-1820-18.pdf","Abrir PDF")</f>
        <v>Abrir PDF</v>
      </c>
    </row>
    <row r="123" spans="1:6" ht="31.05" customHeight="1">
      <c r="A123" s="6">
        <v>-29020</v>
      </c>
      <c r="B123" s="2" t="s">
        <v>756</v>
      </c>
      <c r="C123" s="2" t="s">
        <v>14470</v>
      </c>
      <c r="D123" s="3">
        <v>4</v>
      </c>
      <c r="E123" s="3">
        <v>32</v>
      </c>
      <c r="F123" s="3" t="str">
        <f>HYPERLINK("https://www.boe.es/gazeta/dias/1820/07/17/pdfs/GGB-1820-19.pdf","Abrir PDF")</f>
        <v>Abrir PDF</v>
      </c>
    </row>
    <row r="124" spans="1:6" ht="31.05" customHeight="1">
      <c r="A124" s="6">
        <v>-29019</v>
      </c>
      <c r="B124" s="2" t="s">
        <v>655</v>
      </c>
      <c r="C124" s="2" t="s">
        <v>14471</v>
      </c>
      <c r="D124" s="3">
        <v>4</v>
      </c>
      <c r="E124" s="3">
        <v>26</v>
      </c>
      <c r="F124" s="3" t="str">
        <f>HYPERLINK("https://www.boe.es/gazeta/dias/1820/07/18/pdfs/GGB-1820-20.pdf","Abrir PDF")</f>
        <v>Abrir PDF</v>
      </c>
    </row>
    <row r="125" spans="1:6" ht="31.05" customHeight="1">
      <c r="A125" s="6">
        <v>-29018</v>
      </c>
      <c r="B125" s="2" t="s">
        <v>601</v>
      </c>
      <c r="C125" s="2" t="s">
        <v>14472</v>
      </c>
      <c r="D125" s="3">
        <v>4</v>
      </c>
      <c r="E125" s="3">
        <v>30</v>
      </c>
      <c r="F125" s="3" t="str">
        <f>HYPERLINK("https://www.boe.es/gazeta/dias/1820/07/19/pdfs/GGB-1820-21.pdf","Abrir PDF")</f>
        <v>Abrir PDF</v>
      </c>
    </row>
    <row r="126" spans="1:6" ht="31.05" customHeight="1">
      <c r="A126" s="6">
        <v>-29017</v>
      </c>
      <c r="B126" s="2" t="s">
        <v>274</v>
      </c>
      <c r="C126" s="2" t="s">
        <v>14473</v>
      </c>
      <c r="D126" s="3">
        <v>4</v>
      </c>
      <c r="E126" s="3">
        <v>41</v>
      </c>
      <c r="F126" s="3" t="str">
        <f>HYPERLINK("https://www.boe.es/gazeta/dias/1820/07/20/pdfs/GGB-1820-22.pdf","Abrir PDF")</f>
        <v>Abrir PDF</v>
      </c>
    </row>
    <row r="127" spans="1:6" ht="31.05" customHeight="1">
      <c r="A127" s="6">
        <v>-29016</v>
      </c>
      <c r="B127" s="2" t="s">
        <v>657</v>
      </c>
      <c r="C127" s="2" t="s">
        <v>14474</v>
      </c>
      <c r="D127" s="3">
        <v>4</v>
      </c>
      <c r="E127" s="3">
        <v>29</v>
      </c>
      <c r="F127" s="3" t="str">
        <f>HYPERLINK("https://www.boe.es/gazeta/dias/1820/07/21/pdfs/GGB-1820-23.pdf","Abrir PDF")</f>
        <v>Abrir PDF</v>
      </c>
    </row>
    <row r="128" spans="1:6" ht="31.05" customHeight="1">
      <c r="A128" s="6">
        <v>-29015</v>
      </c>
      <c r="B128" s="2" t="s">
        <v>359</v>
      </c>
      <c r="C128" s="2" t="s">
        <v>14475</v>
      </c>
      <c r="D128" s="3">
        <v>4</v>
      </c>
      <c r="E128" s="3">
        <v>58</v>
      </c>
      <c r="F128" s="3" t="str">
        <f>HYPERLINK("https://www.boe.es/gazeta/dias/1820/07/22/pdfs/GGB-1820-24.pdf","Abrir PDF")</f>
        <v>Abrir PDF</v>
      </c>
    </row>
    <row r="129" spans="1:6" ht="31.05" customHeight="1">
      <c r="A129" s="6">
        <v>-29014</v>
      </c>
      <c r="B129" s="2" t="s">
        <v>70</v>
      </c>
      <c r="C129" s="2" t="s">
        <v>14476</v>
      </c>
      <c r="D129" s="3">
        <v>4</v>
      </c>
      <c r="E129" s="3">
        <v>39</v>
      </c>
      <c r="F129" s="3" t="str">
        <f>HYPERLINK("https://www.boe.es/gazeta/dias/1820/07/23/pdfs/GGB-1820-25.pdf","Abrir PDF")</f>
        <v>Abrir PDF</v>
      </c>
    </row>
    <row r="130" spans="1:6" ht="31.05" customHeight="1">
      <c r="A130" s="6">
        <v>-29013</v>
      </c>
      <c r="B130" s="2" t="s">
        <v>52</v>
      </c>
      <c r="C130" s="2" t="s">
        <v>14477</v>
      </c>
      <c r="D130" s="3">
        <v>4</v>
      </c>
      <c r="E130" s="3">
        <v>33</v>
      </c>
      <c r="F130" s="3" t="str">
        <f>HYPERLINK("https://www.boe.es/gazeta/dias/1820/07/24/pdfs/GGB-1820-26.pdf","Abrir PDF")</f>
        <v>Abrir PDF</v>
      </c>
    </row>
    <row r="131" spans="1:6" ht="31.05" customHeight="1">
      <c r="A131" s="6">
        <v>-29012</v>
      </c>
      <c r="B131" s="2" t="s">
        <v>72</v>
      </c>
      <c r="C131" s="2" t="s">
        <v>14478</v>
      </c>
      <c r="D131" s="3">
        <v>4</v>
      </c>
      <c r="E131" s="3">
        <v>46</v>
      </c>
      <c r="F131" s="3" t="str">
        <f>HYPERLINK("https://www.boe.es/gazeta/dias/1820/07/25/pdfs/GGB-1820-27.pdf","Abrir PDF")</f>
        <v>Abrir PDF</v>
      </c>
    </row>
    <row r="132" spans="1:6" ht="31.05" customHeight="1">
      <c r="A132" s="6">
        <v>-29011</v>
      </c>
      <c r="B132" s="2" t="s">
        <v>338</v>
      </c>
      <c r="C132" s="2" t="s">
        <v>14479</v>
      </c>
      <c r="D132" s="3">
        <v>4</v>
      </c>
      <c r="E132" s="3">
        <v>41</v>
      </c>
      <c r="F132" s="3" t="str">
        <f>HYPERLINK("https://www.boe.es/gazeta/dias/1820/07/26/pdfs/GGB-1820-28.pdf","Abrir PDF")</f>
        <v>Abrir PDF</v>
      </c>
    </row>
    <row r="133" spans="1:6" ht="31.05" customHeight="1">
      <c r="A133" s="6">
        <v>-29010</v>
      </c>
      <c r="B133" s="2" t="s">
        <v>664</v>
      </c>
      <c r="C133" s="2" t="s">
        <v>14480</v>
      </c>
      <c r="D133" s="3">
        <v>4</v>
      </c>
      <c r="E133" s="3">
        <v>51</v>
      </c>
      <c r="F133" s="3" t="str">
        <f>HYPERLINK("https://www.boe.es/gazeta/dias/1820/07/27/pdfs/GGB-1820-29.pdf","Abrir PDF")</f>
        <v>Abrir PDF</v>
      </c>
    </row>
    <row r="134" spans="1:6" ht="31.05" customHeight="1">
      <c r="A134" s="6">
        <v>-29009</v>
      </c>
      <c r="B134" s="2" t="s">
        <v>605</v>
      </c>
      <c r="C134" s="2" t="s">
        <v>14481</v>
      </c>
      <c r="D134" s="3">
        <v>4</v>
      </c>
      <c r="E134" s="3">
        <v>48</v>
      </c>
      <c r="F134" s="3" t="str">
        <f>HYPERLINK("https://www.boe.es/gazeta/dias/1820/07/28/pdfs/GGB-1820-30.pdf","Abrir PDF")</f>
        <v>Abrir PDF</v>
      </c>
    </row>
    <row r="135" spans="1:6" ht="31.05" customHeight="1">
      <c r="A135" s="6">
        <v>-29008</v>
      </c>
      <c r="B135" s="2" t="s">
        <v>2250</v>
      </c>
      <c r="C135" s="2" t="s">
        <v>14482</v>
      </c>
      <c r="D135" s="3">
        <v>4</v>
      </c>
      <c r="E135" s="3">
        <v>37</v>
      </c>
      <c r="F135" s="3" t="str">
        <f>HYPERLINK("https://www.boe.es/gazeta/dias/1820/07/29/pdfs/GGB-1820-31.pdf","Abrir PDF")</f>
        <v>Abrir PDF</v>
      </c>
    </row>
    <row r="136" spans="1:6" ht="31.05" customHeight="1">
      <c r="A136" s="6">
        <v>-29007</v>
      </c>
      <c r="B136" s="2" t="s">
        <v>251</v>
      </c>
      <c r="C136" s="2" t="s">
        <v>14483</v>
      </c>
      <c r="D136" s="3">
        <v>4</v>
      </c>
      <c r="E136" s="3">
        <v>36</v>
      </c>
      <c r="F136" s="3" t="str">
        <f>HYPERLINK("https://www.boe.es/gazeta/dias/1820/07/30/pdfs/GGB-1820-32.pdf","Abrir PDF")</f>
        <v>Abrir PDF</v>
      </c>
    </row>
    <row r="137" spans="1:6" ht="31.05" customHeight="1">
      <c r="A137" s="6">
        <v>-29006</v>
      </c>
      <c r="B137" s="2" t="s">
        <v>609</v>
      </c>
      <c r="C137" s="2" t="s">
        <v>14484</v>
      </c>
      <c r="D137" s="3">
        <v>4</v>
      </c>
      <c r="E137" s="3">
        <v>25</v>
      </c>
      <c r="F137" s="3" t="str">
        <f>HYPERLINK("https://www.boe.es/gazeta/dias/1820/07/31/pdfs/GGB-1820-33.pdf","Abrir PDF")</f>
        <v>Abrir PDF</v>
      </c>
    </row>
    <row r="138" spans="1:6" ht="31.05" customHeight="1">
      <c r="A138" s="6">
        <v>-29005</v>
      </c>
      <c r="B138" s="2" t="s">
        <v>1656</v>
      </c>
      <c r="C138" s="2" t="s">
        <v>14485</v>
      </c>
      <c r="D138" s="3">
        <v>4</v>
      </c>
      <c r="E138" s="3">
        <v>26</v>
      </c>
      <c r="F138" s="3" t="str">
        <f>HYPERLINK("https://www.boe.es/gazeta/dias/1820/08/01/pdfs/GGB-1820-34.pdf","Abrir PDF")</f>
        <v>Abrir PDF</v>
      </c>
    </row>
    <row r="139" spans="1:6" ht="31.05" customHeight="1">
      <c r="A139" s="6">
        <v>-29004</v>
      </c>
      <c r="B139" s="2" t="s">
        <v>75</v>
      </c>
      <c r="C139" s="2" t="s">
        <v>14486</v>
      </c>
      <c r="D139" s="3">
        <v>4</v>
      </c>
      <c r="E139" s="3">
        <v>27</v>
      </c>
      <c r="F139" s="3" t="str">
        <f>HYPERLINK("https://www.boe.es/gazeta/dias/1820/08/02/pdfs/GGB-1820-35.pdf","Abrir PDF")</f>
        <v>Abrir PDF</v>
      </c>
    </row>
    <row r="140" spans="1:6" ht="31.05" customHeight="1">
      <c r="A140" s="6">
        <v>-29003</v>
      </c>
      <c r="B140" s="2" t="s">
        <v>340</v>
      </c>
      <c r="C140" s="2" t="s">
        <v>14487</v>
      </c>
      <c r="D140" s="3">
        <v>4</v>
      </c>
      <c r="E140" s="3">
        <v>51</v>
      </c>
      <c r="F140" s="3" t="str">
        <f>HYPERLINK("https://www.boe.es/gazeta/dias/1820/08/03/pdfs/GGB-1820-36.pdf","Abrir PDF")</f>
        <v>Abrir PDF</v>
      </c>
    </row>
    <row r="141" spans="1:6" ht="31.05" customHeight="1">
      <c r="A141" s="6">
        <v>-29002</v>
      </c>
      <c r="B141" s="2" t="s">
        <v>124</v>
      </c>
      <c r="C141" s="2" t="s">
        <v>14488</v>
      </c>
      <c r="D141" s="3">
        <v>4</v>
      </c>
      <c r="E141" s="3">
        <v>54</v>
      </c>
      <c r="F141" s="3" t="str">
        <f>HYPERLINK("https://www.boe.es/gazeta/dias/1820/08/04/pdfs/GGB-1820-37.pdf","Abrir PDF")</f>
        <v>Abrir PDF</v>
      </c>
    </row>
    <row r="142" spans="1:6" ht="31.05" customHeight="1">
      <c r="A142" s="6">
        <v>-29001</v>
      </c>
      <c r="B142" s="2" t="s">
        <v>633</v>
      </c>
      <c r="C142" s="2" t="s">
        <v>14489</v>
      </c>
      <c r="D142" s="3">
        <v>4</v>
      </c>
      <c r="E142" s="3">
        <v>37</v>
      </c>
      <c r="F142" s="3" t="str">
        <f>HYPERLINK("https://www.boe.es/gazeta/dias/1820/08/05/pdfs/GGB-1820-38.pdf","Abrir PDF")</f>
        <v>Abrir PDF</v>
      </c>
    </row>
    <row r="143" spans="1:6" ht="31.05" customHeight="1">
      <c r="A143" s="6">
        <v>-29000</v>
      </c>
      <c r="B143" s="2" t="s">
        <v>670</v>
      </c>
      <c r="C143" s="2" t="s">
        <v>14490</v>
      </c>
      <c r="D143" s="3">
        <v>4</v>
      </c>
      <c r="E143" s="3">
        <v>32</v>
      </c>
      <c r="F143" s="3" t="str">
        <f>HYPERLINK("https://www.boe.es/gazeta/dias/1820/08/06/pdfs/GGB-1820-39.pdf","Abrir PDF")</f>
        <v>Abrir PDF</v>
      </c>
    </row>
    <row r="144" spans="1:6" ht="31.05" customHeight="1">
      <c r="A144" s="6">
        <v>-28999</v>
      </c>
      <c r="B144" s="2" t="s">
        <v>342</v>
      </c>
      <c r="C144" s="2" t="s">
        <v>14491</v>
      </c>
      <c r="D144" s="3">
        <v>4</v>
      </c>
      <c r="E144" s="3">
        <v>31</v>
      </c>
      <c r="F144" s="3" t="str">
        <f>HYPERLINK("https://www.boe.es/gazeta/dias/1820/08/07/pdfs/GGB-1820-40.pdf","Abrir PDF")</f>
        <v>Abrir PDF</v>
      </c>
    </row>
    <row r="145" spans="1:6" ht="31.05" customHeight="1">
      <c r="A145" s="6">
        <v>-28998</v>
      </c>
      <c r="B145" s="2" t="s">
        <v>629</v>
      </c>
      <c r="C145" s="2" t="s">
        <v>14492</v>
      </c>
      <c r="D145" s="3">
        <v>4</v>
      </c>
      <c r="E145" s="3">
        <v>36</v>
      </c>
      <c r="F145" s="3" t="str">
        <f>HYPERLINK("https://www.boe.es/gazeta/dias/1820/08/08/pdfs/GGB-1820-41.pdf","Abrir PDF")</f>
        <v>Abrir PDF</v>
      </c>
    </row>
    <row r="146" spans="1:6" ht="31.05" customHeight="1">
      <c r="A146" s="6">
        <v>-28997</v>
      </c>
      <c r="B146" s="2" t="s">
        <v>1471</v>
      </c>
      <c r="C146" s="2" t="s">
        <v>14493</v>
      </c>
      <c r="D146" s="3">
        <v>4</v>
      </c>
      <c r="E146" s="3">
        <v>22</v>
      </c>
      <c r="F146" s="3" t="str">
        <f>HYPERLINK("https://www.boe.es/gazeta/dias/1820/08/09/pdfs/GGB-1820-42.pdf","Abrir PDF")</f>
        <v>Abrir PDF</v>
      </c>
    </row>
    <row r="147" spans="1:6" ht="31.05" customHeight="1">
      <c r="A147" s="6">
        <v>-28996</v>
      </c>
      <c r="B147" s="2" t="s">
        <v>636</v>
      </c>
      <c r="C147" s="2" t="s">
        <v>14494</v>
      </c>
      <c r="D147" s="3">
        <v>4</v>
      </c>
      <c r="E147" s="3">
        <v>28</v>
      </c>
      <c r="F147" s="3" t="str">
        <f>HYPERLINK("https://www.boe.es/gazeta/dias/1820/08/10/pdfs/GGB-1820-43.pdf","Abrir PDF")</f>
        <v>Abrir PDF</v>
      </c>
    </row>
    <row r="148" spans="1:6" ht="31.05" customHeight="1">
      <c r="A148" s="6">
        <v>-28995</v>
      </c>
      <c r="B148" s="2" t="s">
        <v>672</v>
      </c>
      <c r="C148" s="2" t="s">
        <v>14495</v>
      </c>
      <c r="D148" s="3">
        <v>4</v>
      </c>
      <c r="E148" s="3">
        <v>55</v>
      </c>
      <c r="F148" s="3" t="str">
        <f>HYPERLINK("https://www.boe.es/gazeta/dias/1820/08/11/pdfs/GGB-1820-44.pdf","Abrir PDF")</f>
        <v>Abrir PDF</v>
      </c>
    </row>
    <row r="149" spans="1:6" ht="31.05" customHeight="1">
      <c r="A149" s="6">
        <v>-28994</v>
      </c>
      <c r="B149" s="2" t="s">
        <v>1612</v>
      </c>
      <c r="C149" s="2" t="s">
        <v>14496</v>
      </c>
      <c r="D149" s="3">
        <v>4</v>
      </c>
      <c r="E149" s="3">
        <v>43</v>
      </c>
      <c r="F149" s="3" t="str">
        <f>HYPERLINK("https://www.boe.es/gazeta/dias/1820/08/12/pdfs/GGB-1820-45.pdf","Abrir PDF")</f>
        <v>Abrir PDF</v>
      </c>
    </row>
    <row r="150" spans="1:6" ht="31.05" customHeight="1">
      <c r="A150" s="6">
        <v>-28993</v>
      </c>
      <c r="B150" s="2" t="s">
        <v>465</v>
      </c>
      <c r="C150" s="2" t="s">
        <v>14497</v>
      </c>
      <c r="D150" s="3">
        <v>4</v>
      </c>
      <c r="E150" s="3">
        <v>29</v>
      </c>
      <c r="F150" s="3" t="str">
        <f>HYPERLINK("https://www.boe.es/gazeta/dias/1820/08/13/pdfs/GGB-1820-46.pdf","Abrir PDF")</f>
        <v>Abrir PDF</v>
      </c>
    </row>
    <row r="151" spans="1:6" ht="31.05" customHeight="1">
      <c r="A151" s="6">
        <v>-28992</v>
      </c>
      <c r="B151" s="2" t="s">
        <v>587</v>
      </c>
      <c r="C151" s="2" t="s">
        <v>14498</v>
      </c>
      <c r="D151" s="3">
        <v>4</v>
      </c>
      <c r="E151" s="3">
        <v>26</v>
      </c>
      <c r="F151" s="3" t="str">
        <f>HYPERLINK("https://www.boe.es/gazeta/dias/1820/08/14/pdfs/GGB-1820-47.pdf","Abrir PDF")</f>
        <v>Abrir PDF</v>
      </c>
    </row>
    <row r="152" spans="1:6" ht="31.05" customHeight="1">
      <c r="A152" s="6">
        <v>-28991</v>
      </c>
      <c r="B152" s="2" t="s">
        <v>213</v>
      </c>
      <c r="C152" s="2" t="s">
        <v>14499</v>
      </c>
      <c r="D152" s="3">
        <v>4</v>
      </c>
      <c r="E152" s="3">
        <v>39</v>
      </c>
      <c r="F152" s="3" t="str">
        <f>HYPERLINK("https://www.boe.es/gazeta/dias/1820/08/15/pdfs/GGB-1820-48.pdf","Abrir PDF")</f>
        <v>Abrir PDF</v>
      </c>
    </row>
    <row r="153" spans="1:6" ht="31.05" customHeight="1">
      <c r="A153" s="6">
        <v>-28990</v>
      </c>
      <c r="B153" s="2" t="s">
        <v>61</v>
      </c>
      <c r="C153" s="2" t="s">
        <v>14500</v>
      </c>
      <c r="D153" s="3">
        <v>4</v>
      </c>
      <c r="E153" s="3">
        <v>55</v>
      </c>
      <c r="F153" s="3" t="str">
        <f>HYPERLINK("https://www.boe.es/gazeta/dias/1820/08/16/pdfs/GGB-1820-49.pdf","Abrir PDF")</f>
        <v>Abrir PDF</v>
      </c>
    </row>
    <row r="154" spans="1:6" ht="31.05" customHeight="1">
      <c r="A154" s="6">
        <v>-28989</v>
      </c>
      <c r="B154" s="2" t="s">
        <v>809</v>
      </c>
      <c r="C154" s="2" t="s">
        <v>14501</v>
      </c>
      <c r="D154" s="3">
        <v>4</v>
      </c>
      <c r="E154" s="3">
        <v>32</v>
      </c>
      <c r="F154" s="3" t="str">
        <f>HYPERLINK("https://www.boe.es/gazeta/dias/1820/08/17/pdfs/GGB-1820-50.pdf","Abrir PDF")</f>
        <v>Abrir PDF</v>
      </c>
    </row>
    <row r="155" spans="1:6" ht="31.05" customHeight="1">
      <c r="A155" s="6">
        <v>-28988</v>
      </c>
      <c r="B155" s="2" t="s">
        <v>618</v>
      </c>
      <c r="C155" s="2" t="s">
        <v>14502</v>
      </c>
      <c r="D155" s="3">
        <v>4</v>
      </c>
      <c r="E155" s="3">
        <v>34</v>
      </c>
      <c r="F155" s="3" t="str">
        <f>HYPERLINK("https://www.boe.es/gazeta/dias/1820/08/18/pdfs/GGB-1820-51.pdf","Abrir PDF")</f>
        <v>Abrir PDF</v>
      </c>
    </row>
    <row r="156" spans="1:6" ht="31.05" customHeight="1">
      <c r="A156" s="6">
        <v>-28987</v>
      </c>
      <c r="B156" s="2" t="s">
        <v>680</v>
      </c>
      <c r="C156" s="2" t="s">
        <v>14503</v>
      </c>
      <c r="D156" s="3">
        <v>4</v>
      </c>
      <c r="E156" s="3">
        <v>49</v>
      </c>
      <c r="F156" s="3" t="str">
        <f>HYPERLINK("https://www.boe.es/gazeta/dias/1820/08/19/pdfs/GGB-1820-52.pdf","Abrir PDF")</f>
        <v>Abrir PDF</v>
      </c>
    </row>
    <row r="157" spans="1:6" ht="31.05" customHeight="1">
      <c r="A157" s="6">
        <v>-28986</v>
      </c>
      <c r="B157" s="2" t="s">
        <v>488</v>
      </c>
      <c r="C157" s="2" t="s">
        <v>14504</v>
      </c>
      <c r="D157" s="3">
        <v>4</v>
      </c>
      <c r="E157" s="3">
        <v>38</v>
      </c>
      <c r="F157" s="3" t="str">
        <f>HYPERLINK("https://www.boe.es/gazeta/dias/1820/08/20/pdfs/GGB-1820-53.pdf","Abrir PDF")</f>
        <v>Abrir PDF</v>
      </c>
    </row>
    <row r="158" spans="1:6" ht="31.05" customHeight="1">
      <c r="A158" s="6">
        <v>-28985</v>
      </c>
      <c r="B158" s="2" t="s">
        <v>905</v>
      </c>
      <c r="C158" s="2" t="s">
        <v>14505</v>
      </c>
      <c r="D158" s="3">
        <v>4</v>
      </c>
      <c r="E158" s="3">
        <v>32</v>
      </c>
      <c r="F158" s="3" t="str">
        <f>HYPERLINK("https://www.boe.es/gazeta/dias/1820/08/21/pdfs/GGB-1820-54.pdf","Abrir PDF")</f>
        <v>Abrir PDF</v>
      </c>
    </row>
    <row r="159" spans="1:6" ht="31.05" customHeight="1">
      <c r="A159" s="6">
        <v>-28984</v>
      </c>
      <c r="B159" s="2" t="s">
        <v>520</v>
      </c>
      <c r="C159" s="2" t="s">
        <v>14506</v>
      </c>
      <c r="D159" s="3">
        <v>4</v>
      </c>
      <c r="E159" s="3">
        <v>42</v>
      </c>
      <c r="F159" s="3" t="str">
        <f>HYPERLINK("https://www.boe.es/gazeta/dias/1820/08/22/pdfs/GGB-1820-55.pdf","Abrir PDF")</f>
        <v>Abrir PDF</v>
      </c>
    </row>
    <row r="160" spans="1:6" ht="31.05" customHeight="1">
      <c r="A160" s="6">
        <v>-28983</v>
      </c>
      <c r="B160" s="2" t="s">
        <v>682</v>
      </c>
      <c r="C160" s="2" t="s">
        <v>14507</v>
      </c>
      <c r="D160" s="3">
        <v>4</v>
      </c>
      <c r="E160" s="3">
        <v>36</v>
      </c>
      <c r="F160" s="3" t="str">
        <f>HYPERLINK("https://www.boe.es/gazeta/dias/1820/08/23/pdfs/GGB-1820-56.pdf","Abrir PDF")</f>
        <v>Abrir PDF</v>
      </c>
    </row>
    <row r="161" spans="1:6" ht="31.05" customHeight="1">
      <c r="A161" s="6">
        <v>-28982</v>
      </c>
      <c r="B161" s="2" t="s">
        <v>173</v>
      </c>
      <c r="C161" s="2" t="s">
        <v>14508</v>
      </c>
      <c r="D161" s="3">
        <v>4</v>
      </c>
      <c r="E161" s="3">
        <v>65</v>
      </c>
      <c r="F161" s="3" t="str">
        <f>HYPERLINK("https://www.boe.es/gazeta/dias/1820/08/24/pdfs/GGB-1820-57.pdf","Abrir PDF")</f>
        <v>Abrir PDF</v>
      </c>
    </row>
    <row r="162" spans="1:6" ht="31.05" customHeight="1">
      <c r="A162" s="6">
        <v>-28981</v>
      </c>
      <c r="B162" s="2" t="s">
        <v>42</v>
      </c>
      <c r="C162" s="2" t="s">
        <v>14509</v>
      </c>
      <c r="D162" s="3">
        <v>4</v>
      </c>
      <c r="E162" s="3">
        <v>35</v>
      </c>
      <c r="F162" s="3" t="str">
        <f>HYPERLINK("https://www.boe.es/gazeta/dias/1820/08/25/pdfs/GGB-1820-58.pdf","Abrir PDF")</f>
        <v>Abrir PDF</v>
      </c>
    </row>
    <row r="163" spans="1:6" ht="31.05" customHeight="1">
      <c r="A163" s="6">
        <v>-28980</v>
      </c>
      <c r="B163" s="2" t="s">
        <v>614</v>
      </c>
      <c r="C163" s="2" t="s">
        <v>14510</v>
      </c>
      <c r="D163" s="3">
        <v>4</v>
      </c>
      <c r="E163" s="3">
        <v>21</v>
      </c>
      <c r="F163" s="3" t="str">
        <f>HYPERLINK("https://www.boe.es/gazeta/dias/1820/08/26/pdfs/GGB-1820-59.pdf","Abrir PDF")</f>
        <v>Abrir PDF</v>
      </c>
    </row>
    <row r="164" spans="1:6" ht="31.05" customHeight="1">
      <c r="A164" s="6">
        <v>-28979</v>
      </c>
      <c r="B164" s="2" t="s">
        <v>218</v>
      </c>
      <c r="C164" s="2" t="s">
        <v>14511</v>
      </c>
      <c r="D164" s="3">
        <v>4</v>
      </c>
      <c r="E164" s="3">
        <v>29</v>
      </c>
      <c r="F164" s="3" t="str">
        <f>HYPERLINK("https://www.boe.es/gazeta/dias/1820/08/27/pdfs/GGB-1820-60.pdf","Abrir PDF")</f>
        <v>Abrir PDF</v>
      </c>
    </row>
    <row r="165" spans="1:6" ht="31.05" customHeight="1">
      <c r="A165" s="6">
        <v>-28978</v>
      </c>
      <c r="B165" s="2" t="s">
        <v>203</v>
      </c>
      <c r="C165" s="2" t="s">
        <v>14512</v>
      </c>
      <c r="D165" s="3">
        <v>4</v>
      </c>
      <c r="E165" s="3">
        <v>14</v>
      </c>
      <c r="F165" s="3" t="str">
        <f>HYPERLINK("https://www.boe.es/gazeta/dias/1820/08/28/pdfs/GGB-1820-61.pdf","Abrir PDF")</f>
        <v>Abrir PDF</v>
      </c>
    </row>
    <row r="166" spans="1:6" ht="31.05" customHeight="1">
      <c r="A166" s="6">
        <v>-28977</v>
      </c>
      <c r="B166" s="2" t="s">
        <v>687</v>
      </c>
      <c r="C166" s="2" t="s">
        <v>14513</v>
      </c>
      <c r="D166" s="3">
        <v>4</v>
      </c>
      <c r="E166" s="3">
        <v>42</v>
      </c>
      <c r="F166" s="3" t="str">
        <f>HYPERLINK("https://www.boe.es/gazeta/dias/1820/08/29/pdfs/GGB-1820-62.pdf","Abrir PDF")</f>
        <v>Abrir PDF</v>
      </c>
    </row>
    <row r="167" spans="1:6" ht="31.05" customHeight="1">
      <c r="A167" s="6">
        <v>-28976</v>
      </c>
      <c r="B167" s="2" t="s">
        <v>689</v>
      </c>
      <c r="C167" s="2" t="s">
        <v>14514</v>
      </c>
      <c r="D167" s="3">
        <v>4</v>
      </c>
      <c r="E167" s="3">
        <v>39</v>
      </c>
      <c r="F167" s="3" t="str">
        <f>HYPERLINK("https://www.boe.es/gazeta/dias/1820/08/30/pdfs/GGB-1820-63.pdf","Abrir PDF")</f>
        <v>Abrir PDF</v>
      </c>
    </row>
    <row r="168" spans="1:6" ht="31.05" customHeight="1">
      <c r="A168" s="6">
        <v>-28975</v>
      </c>
      <c r="B168" s="2" t="s">
        <v>182</v>
      </c>
      <c r="C168" s="2" t="s">
        <v>14515</v>
      </c>
      <c r="D168" s="3">
        <v>4</v>
      </c>
      <c r="E168" s="3">
        <v>42</v>
      </c>
      <c r="F168" s="3" t="str">
        <f>HYPERLINK("https://www.boe.es/gazeta/dias/1820/08/31/pdfs/GGB-1820-64.pdf","Abrir PDF")</f>
        <v>Abrir PDF</v>
      </c>
    </row>
    <row r="169" spans="1:6" ht="31.05" customHeight="1">
      <c r="A169" s="6">
        <v>-28974</v>
      </c>
      <c r="B169" s="2" t="s">
        <v>1144</v>
      </c>
      <c r="C169" s="2" t="s">
        <v>14516</v>
      </c>
      <c r="D169" s="3">
        <v>4</v>
      </c>
      <c r="E169" s="3">
        <v>29</v>
      </c>
      <c r="F169" s="3" t="str">
        <f>HYPERLINK("https://www.boe.es/gazeta/dias/1820/09/01/pdfs/GGB-1820-65.pdf","Abrir PDF")</f>
        <v>Abrir PDF</v>
      </c>
    </row>
    <row r="170" spans="1:6" ht="31.05" customHeight="1">
      <c r="A170" s="6">
        <v>-28973</v>
      </c>
      <c r="B170" s="2" t="s">
        <v>151</v>
      </c>
      <c r="C170" s="2" t="s">
        <v>14517</v>
      </c>
      <c r="D170" s="3">
        <v>4</v>
      </c>
      <c r="E170" s="3">
        <v>60</v>
      </c>
      <c r="F170" s="3" t="str">
        <f>HYPERLINK("https://www.boe.es/gazeta/dias/1820/09/02/pdfs/GGB-1820-66.pdf","Abrir PDF")</f>
        <v>Abrir PDF</v>
      </c>
    </row>
    <row r="171" spans="1:6" ht="31.05" customHeight="1">
      <c r="A171" s="6">
        <v>-28972</v>
      </c>
      <c r="B171" s="2" t="s">
        <v>522</v>
      </c>
      <c r="C171" s="2" t="s">
        <v>14518</v>
      </c>
      <c r="D171" s="3">
        <v>4</v>
      </c>
      <c r="E171" s="3">
        <v>33</v>
      </c>
      <c r="F171" s="3" t="str">
        <f>HYPERLINK("https://www.boe.es/gazeta/dias/1820/09/03/pdfs/GGB-1820-67.pdf","Abrir PDF")</f>
        <v>Abrir PDF</v>
      </c>
    </row>
    <row r="172" spans="1:6" ht="31.05" customHeight="1">
      <c r="A172" s="6">
        <v>-28971</v>
      </c>
      <c r="B172" s="2" t="s">
        <v>691</v>
      </c>
      <c r="C172" s="2" t="s">
        <v>14519</v>
      </c>
      <c r="D172" s="3">
        <v>4</v>
      </c>
      <c r="E172" s="3">
        <v>31</v>
      </c>
      <c r="F172" s="3" t="str">
        <f>HYPERLINK("https://www.boe.es/gazeta/dias/1820/09/04/pdfs/GGB-1820-68.pdf","Abrir PDF")</f>
        <v>Abrir PDF</v>
      </c>
    </row>
    <row r="173" spans="1:6" ht="31.05" customHeight="1">
      <c r="A173" s="6">
        <v>-28970</v>
      </c>
      <c r="B173" s="2" t="s">
        <v>693</v>
      </c>
      <c r="C173" s="2" t="s">
        <v>14520</v>
      </c>
      <c r="D173" s="3">
        <v>4</v>
      </c>
      <c r="E173" s="3">
        <v>42</v>
      </c>
      <c r="F173" s="3" t="str">
        <f>HYPERLINK("https://www.boe.es/gazeta/dias/1820/09/05/pdfs/GGB-1820-69.pdf","Abrir PDF")</f>
        <v>Abrir PDF</v>
      </c>
    </row>
    <row r="174" spans="1:6" ht="31.05" customHeight="1">
      <c r="A174" s="6">
        <v>-28969</v>
      </c>
      <c r="B174" s="2" t="s">
        <v>225</v>
      </c>
      <c r="C174" s="2" t="s">
        <v>14521</v>
      </c>
      <c r="D174" s="3">
        <v>4</v>
      </c>
      <c r="E174" s="3">
        <v>42</v>
      </c>
      <c r="F174" s="3" t="str">
        <f>HYPERLINK("https://www.boe.es/gazeta/dias/1820/09/06/pdfs/GGB-1820-70.pdf","Abrir PDF")</f>
        <v>Abrir PDF</v>
      </c>
    </row>
    <row r="175" spans="1:6" ht="31.05" customHeight="1">
      <c r="A175" s="6">
        <v>-28968</v>
      </c>
      <c r="B175" s="2" t="s">
        <v>66</v>
      </c>
      <c r="C175" s="2" t="s">
        <v>14522</v>
      </c>
      <c r="D175" s="3">
        <v>4</v>
      </c>
      <c r="E175" s="3">
        <v>30</v>
      </c>
      <c r="F175" s="3" t="str">
        <f>HYPERLINK("https://www.boe.es/gazeta/dias/1820/09/07/pdfs/GGB-1820-71.pdf","Abrir PDF")</f>
        <v>Abrir PDF</v>
      </c>
    </row>
    <row r="176" spans="1:6" ht="31.05" customHeight="1">
      <c r="A176" s="6">
        <v>-28967</v>
      </c>
      <c r="B176" s="2" t="s">
        <v>238</v>
      </c>
      <c r="C176" s="2" t="s">
        <v>14523</v>
      </c>
      <c r="D176" s="3">
        <v>6</v>
      </c>
      <c r="E176" s="3">
        <v>50</v>
      </c>
      <c r="F176" s="3" t="str">
        <f>HYPERLINK("https://www.boe.es/gazeta/dias/1820/09/08/pdfs/GGB-1820-72.pdf","Abrir PDF")</f>
        <v>Abrir PDF</v>
      </c>
    </row>
    <row r="177" spans="1:6" ht="31.05" customHeight="1">
      <c r="A177" s="6">
        <v>-28966</v>
      </c>
      <c r="B177" s="2" t="s">
        <v>701</v>
      </c>
      <c r="C177" s="2" t="s">
        <v>14524</v>
      </c>
      <c r="D177" s="3">
        <v>4</v>
      </c>
      <c r="E177" s="3">
        <v>34</v>
      </c>
      <c r="F177" s="3" t="str">
        <f>HYPERLINK("https://www.boe.es/gazeta/dias/1820/09/09/pdfs/GGB-1820-73.pdf","Abrir PDF")</f>
        <v>Abrir PDF</v>
      </c>
    </row>
    <row r="178" spans="1:6" ht="31.05" customHeight="1">
      <c r="A178" s="6">
        <v>-28965</v>
      </c>
      <c r="B178" s="2" t="s">
        <v>1520</v>
      </c>
      <c r="C178" s="2" t="s">
        <v>14525</v>
      </c>
      <c r="D178" s="3">
        <v>4</v>
      </c>
      <c r="E178" s="3">
        <v>43</v>
      </c>
      <c r="F178" s="3" t="str">
        <f>HYPERLINK("https://www.boe.es/gazeta/dias/1820/09/10/pdfs/GGB-1820-74.pdf","Abrir PDF")</f>
        <v>Abrir PDF</v>
      </c>
    </row>
    <row r="179" spans="1:6" ht="31.05" customHeight="1">
      <c r="A179" s="6">
        <v>-28964</v>
      </c>
      <c r="B179" s="2" t="s">
        <v>240</v>
      </c>
      <c r="C179" s="2" t="s">
        <v>14526</v>
      </c>
      <c r="D179" s="3">
        <v>4</v>
      </c>
      <c r="E179" s="3">
        <v>39</v>
      </c>
      <c r="F179" s="3" t="str">
        <f>HYPERLINK("https://www.boe.es/gazeta/dias/1820/09/11/pdfs/GGB-1820-75.pdf","Abrir PDF")</f>
        <v>Abrir PDF</v>
      </c>
    </row>
    <row r="180" spans="1:6" ht="31.05" customHeight="1">
      <c r="A180" s="6">
        <v>-28963</v>
      </c>
      <c r="B180" s="2" t="s">
        <v>94</v>
      </c>
      <c r="C180" s="2" t="s">
        <v>14527</v>
      </c>
      <c r="D180" s="3">
        <v>4</v>
      </c>
      <c r="E180" s="3">
        <v>39</v>
      </c>
      <c r="F180" s="3" t="str">
        <f>HYPERLINK("https://www.boe.es/gazeta/dias/1820/09/12/pdfs/GGB-1820-76.pdf","Abrir PDF")</f>
        <v>Abrir PDF</v>
      </c>
    </row>
    <row r="181" spans="1:6" ht="31.05" customHeight="1">
      <c r="A181" s="6">
        <v>-28962</v>
      </c>
      <c r="B181" s="2" t="s">
        <v>90</v>
      </c>
      <c r="C181" s="2" t="s">
        <v>14528</v>
      </c>
      <c r="D181" s="3">
        <v>4</v>
      </c>
      <c r="E181" s="3">
        <v>20</v>
      </c>
      <c r="F181" s="3" t="str">
        <f>HYPERLINK("https://www.boe.es/gazeta/dias/1820/09/13/pdfs/GGB-1820-77.pdf","Abrir PDF")</f>
        <v>Abrir PDF</v>
      </c>
    </row>
    <row r="182" spans="1:6" ht="31.05" customHeight="1">
      <c r="A182" s="6">
        <v>-28961</v>
      </c>
      <c r="B182" s="2" t="s">
        <v>242</v>
      </c>
      <c r="C182" s="2" t="s">
        <v>14529</v>
      </c>
      <c r="D182" s="3">
        <v>4</v>
      </c>
      <c r="E182" s="3">
        <v>45</v>
      </c>
      <c r="F182" s="3" t="str">
        <f>HYPERLINK("https://www.boe.es/gazeta/dias/1820/09/14/pdfs/GGB-1820-78.pdf","Abrir PDF")</f>
        <v>Abrir PDF</v>
      </c>
    </row>
    <row r="183" spans="1:6" ht="31.05" customHeight="1">
      <c r="A183" s="6">
        <v>-28960</v>
      </c>
      <c r="B183" s="2" t="s">
        <v>704</v>
      </c>
      <c r="C183" s="2" t="s">
        <v>14530</v>
      </c>
      <c r="D183" s="3">
        <v>4</v>
      </c>
      <c r="E183" s="3">
        <v>33</v>
      </c>
      <c r="F183" s="3" t="str">
        <f>HYPERLINK("https://www.boe.es/gazeta/dias/1820/09/15/pdfs/GGB-1820-79.pdf","Abrir PDF")</f>
        <v>Abrir PDF</v>
      </c>
    </row>
    <row r="184" spans="1:6" ht="31.05" customHeight="1">
      <c r="A184" s="6">
        <v>-28959</v>
      </c>
      <c r="B184" s="2" t="s">
        <v>37</v>
      </c>
      <c r="C184" s="2" t="s">
        <v>14531</v>
      </c>
      <c r="D184" s="3">
        <v>6</v>
      </c>
      <c r="E184" s="3">
        <v>53</v>
      </c>
      <c r="F184" s="3" t="str">
        <f>HYPERLINK("https://www.boe.es/gazeta/dias/1820/09/16/pdfs/GGB-1820-80.pdf","Abrir PDF")</f>
        <v>Abrir PDF</v>
      </c>
    </row>
    <row r="185" spans="1:6" ht="31.05" customHeight="1">
      <c r="A185" s="6">
        <v>-28958</v>
      </c>
      <c r="B185" s="2" t="s">
        <v>706</v>
      </c>
      <c r="C185" s="2" t="s">
        <v>14532</v>
      </c>
      <c r="D185" s="3">
        <v>4</v>
      </c>
      <c r="E185" s="3">
        <v>46</v>
      </c>
      <c r="F185" s="3" t="str">
        <f>HYPERLINK("https://www.boe.es/gazeta/dias/1820/09/17/pdfs/GGB-1820-81.pdf","Abrir PDF")</f>
        <v>Abrir PDF</v>
      </c>
    </row>
    <row r="186" spans="1:6" ht="31.05" customHeight="1">
      <c r="A186" s="6">
        <v>-28957</v>
      </c>
      <c r="B186" s="2" t="s">
        <v>361</v>
      </c>
      <c r="C186" s="2" t="s">
        <v>14533</v>
      </c>
      <c r="D186" s="3">
        <v>4</v>
      </c>
      <c r="E186" s="3">
        <v>40</v>
      </c>
      <c r="F186" s="3" t="str">
        <f>HYPERLINK("https://www.boe.es/gazeta/dias/1820/09/18/pdfs/GGB-1820-82.pdf","Abrir PDF")</f>
        <v>Abrir PDF</v>
      </c>
    </row>
    <row r="187" spans="1:6" ht="31.05" customHeight="1">
      <c r="A187" s="6">
        <v>-28956</v>
      </c>
      <c r="B187" s="2" t="s">
        <v>190</v>
      </c>
      <c r="C187" s="2" t="s">
        <v>14534</v>
      </c>
      <c r="D187" s="3">
        <v>4</v>
      </c>
      <c r="E187" s="3">
        <v>39</v>
      </c>
      <c r="F187" s="3" t="str">
        <f>HYPERLINK("https://www.boe.es/gazeta/dias/1820/09/19/pdfs/GGB-1820-83.pdf","Abrir PDF")</f>
        <v>Abrir PDF</v>
      </c>
    </row>
    <row r="188" spans="1:6" ht="31.05" customHeight="1">
      <c r="A188" s="6">
        <v>-28955</v>
      </c>
      <c r="B188" s="2" t="s">
        <v>175</v>
      </c>
      <c r="C188" s="2" t="s">
        <v>14535</v>
      </c>
      <c r="D188" s="3">
        <v>4</v>
      </c>
      <c r="E188" s="3">
        <v>34</v>
      </c>
      <c r="F188" s="3" t="str">
        <f>HYPERLINK("https://www.boe.es/gazeta/dias/1820/09/20/pdfs/GGB-1820-84.pdf","Abrir PDF")</f>
        <v>Abrir PDF</v>
      </c>
    </row>
    <row r="189" spans="1:6" ht="31.05" customHeight="1">
      <c r="A189" s="6">
        <v>-28954</v>
      </c>
      <c r="B189" s="2" t="s">
        <v>28</v>
      </c>
      <c r="C189" s="2" t="s">
        <v>14536</v>
      </c>
      <c r="D189" s="3">
        <v>4</v>
      </c>
      <c r="E189" s="3">
        <v>28</v>
      </c>
      <c r="F189" s="3" t="str">
        <f>HYPERLINK("https://www.boe.es/gazeta/dias/1820/09/21/pdfs/GGB-1820-85.pdf","Abrir PDF")</f>
        <v>Abrir PDF</v>
      </c>
    </row>
    <row r="190" spans="1:6" ht="31.05" customHeight="1">
      <c r="A190" s="6">
        <v>-28953</v>
      </c>
      <c r="B190" s="2" t="s">
        <v>367</v>
      </c>
      <c r="C190" s="2" t="s">
        <v>14537</v>
      </c>
      <c r="D190" s="3">
        <v>4</v>
      </c>
      <c r="E190" s="3">
        <v>40</v>
      </c>
      <c r="F190" s="3" t="str">
        <f>HYPERLINK("https://www.boe.es/gazeta/dias/1820/09/22/pdfs/GGB-1820-86.pdf","Abrir PDF")</f>
        <v>Abrir PDF</v>
      </c>
    </row>
    <row r="191" spans="1:6" ht="31.05" customHeight="1">
      <c r="A191" s="6">
        <v>-28952</v>
      </c>
      <c r="B191" s="2" t="s">
        <v>370</v>
      </c>
      <c r="C191" s="2" t="s">
        <v>14538</v>
      </c>
      <c r="D191" s="3">
        <v>4</v>
      </c>
      <c r="E191" s="3">
        <v>43</v>
      </c>
      <c r="F191" s="3" t="str">
        <f>HYPERLINK("https://www.boe.es/gazeta/dias/1820/09/23/pdfs/GGB-1820-87.pdf","Abrir PDF")</f>
        <v>Abrir PDF</v>
      </c>
    </row>
    <row r="192" spans="1:6" ht="31.05" customHeight="1">
      <c r="A192" s="6">
        <v>-28951</v>
      </c>
      <c r="B192" s="2" t="s">
        <v>622</v>
      </c>
      <c r="C192" s="2" t="s">
        <v>14539</v>
      </c>
      <c r="D192" s="3">
        <v>4</v>
      </c>
      <c r="E192" s="3">
        <v>53</v>
      </c>
      <c r="F192" s="3" t="str">
        <f>HYPERLINK("https://www.boe.es/gazeta/dias/1820/09/24/pdfs/GGB-1820-88.pdf","Abrir PDF")</f>
        <v>Abrir PDF</v>
      </c>
    </row>
    <row r="193" spans="1:6" ht="31.05" customHeight="1">
      <c r="A193" s="6">
        <v>-28950</v>
      </c>
      <c r="B193" s="2" t="s">
        <v>1052</v>
      </c>
      <c r="C193" s="2" t="s">
        <v>14540</v>
      </c>
      <c r="D193" s="3">
        <v>4</v>
      </c>
      <c r="E193" s="3">
        <v>71</v>
      </c>
      <c r="F193" s="3" t="str">
        <f>HYPERLINK("https://www.boe.es/gazeta/dias/1820/09/25/pdfs/GGB-1820-89.pdf","Abrir PDF")</f>
        <v>Abrir PDF</v>
      </c>
    </row>
    <row r="194" spans="1:6" ht="31.05" customHeight="1">
      <c r="A194" s="6">
        <v>-28949</v>
      </c>
      <c r="B194" s="2" t="s">
        <v>178</v>
      </c>
      <c r="C194" s="2" t="s">
        <v>14541</v>
      </c>
      <c r="D194" s="3">
        <v>4</v>
      </c>
      <c r="E194" s="3">
        <v>41</v>
      </c>
      <c r="F194" s="3" t="str">
        <f>HYPERLINK("https://www.boe.es/gazeta/dias/1820/09/26/pdfs/GGB-1820-90.pdf","Abrir PDF")</f>
        <v>Abrir PDF</v>
      </c>
    </row>
    <row r="195" spans="1:6" ht="31.05" customHeight="1">
      <c r="A195" s="6">
        <v>-28948</v>
      </c>
      <c r="B195" s="2" t="s">
        <v>1069</v>
      </c>
      <c r="C195" s="2" t="s">
        <v>14542</v>
      </c>
      <c r="D195" s="3">
        <v>4</v>
      </c>
      <c r="E195" s="3">
        <v>41</v>
      </c>
      <c r="F195" s="3" t="str">
        <f>HYPERLINK("https://www.boe.es/gazeta/dias/1820/09/27/pdfs/GGB-1820-91.pdf","Abrir PDF")</f>
        <v>Abrir PDF</v>
      </c>
    </row>
    <row r="196" spans="1:6" ht="31.05" customHeight="1">
      <c r="A196" s="6">
        <v>-28947</v>
      </c>
      <c r="B196" s="2" t="s">
        <v>127</v>
      </c>
      <c r="C196" s="2" t="s">
        <v>14543</v>
      </c>
      <c r="D196" s="3">
        <v>4</v>
      </c>
      <c r="E196" s="3">
        <v>41</v>
      </c>
      <c r="F196" s="3" t="str">
        <f>HYPERLINK("https://www.boe.es/gazeta/dias/1820/09/28/pdfs/GGB-1820-92.pdf","Abrir PDF")</f>
        <v>Abrir PDF</v>
      </c>
    </row>
    <row r="197" spans="1:6" ht="31.05" customHeight="1">
      <c r="A197" s="6">
        <v>-28946</v>
      </c>
      <c r="B197" s="2" t="s">
        <v>1055</v>
      </c>
      <c r="C197" s="2" t="s">
        <v>14544</v>
      </c>
      <c r="D197" s="3">
        <v>4</v>
      </c>
      <c r="E197" s="3">
        <v>32</v>
      </c>
      <c r="F197" s="3" t="str">
        <f>HYPERLINK("https://www.boe.es/gazeta/dias/1820/09/29/pdfs/GGB-1820-93.pdf","Abrir PDF")</f>
        <v>Abrir PDF</v>
      </c>
    </row>
    <row r="198" spans="1:6" ht="31.05" customHeight="1">
      <c r="A198" s="6">
        <v>-28945</v>
      </c>
      <c r="B198" s="2" t="s">
        <v>99</v>
      </c>
      <c r="C198" s="2" t="s">
        <v>14545</v>
      </c>
      <c r="D198" s="3">
        <v>4</v>
      </c>
      <c r="E198" s="3">
        <v>43</v>
      </c>
      <c r="F198" s="3" t="str">
        <f>HYPERLINK("https://www.boe.es/gazeta/dias/1820/09/30/pdfs/GGB-1820-94.pdf","Abrir PDF")</f>
        <v>Abrir PDF</v>
      </c>
    </row>
    <row r="199" spans="1:6" ht="31.05" customHeight="1">
      <c r="A199" s="6">
        <v>-28944</v>
      </c>
      <c r="B199" s="2" t="s">
        <v>990</v>
      </c>
      <c r="C199" s="2" t="s">
        <v>14546</v>
      </c>
      <c r="D199" s="3">
        <v>4</v>
      </c>
      <c r="E199" s="3">
        <v>31</v>
      </c>
      <c r="F199" s="3" t="str">
        <f>HYPERLINK("https://www.boe.es/gazeta/dias/1820/10/01/pdfs/GGB-1820-95.pdf","Abrir PDF")</f>
        <v>Abrir PDF</v>
      </c>
    </row>
    <row r="200" spans="1:6" ht="31.05" customHeight="1">
      <c r="A200" s="6">
        <v>-28943</v>
      </c>
      <c r="B200" s="2" t="s">
        <v>1403</v>
      </c>
      <c r="C200" s="2" t="s">
        <v>14547</v>
      </c>
      <c r="D200" s="3">
        <v>4</v>
      </c>
      <c r="E200" s="3">
        <v>37</v>
      </c>
      <c r="F200" s="3" t="str">
        <f>HYPERLINK("https://www.boe.es/gazeta/dias/1820/10/02/pdfs/GGB-1820-96.pdf","Abrir PDF")</f>
        <v>Abrir PDF</v>
      </c>
    </row>
    <row r="201" spans="1:6" ht="31.05" customHeight="1">
      <c r="A201" s="6">
        <v>-28942</v>
      </c>
      <c r="B201" s="2" t="s">
        <v>244</v>
      </c>
      <c r="C201" s="2" t="s">
        <v>14548</v>
      </c>
      <c r="D201" s="3">
        <v>4</v>
      </c>
      <c r="E201" s="3">
        <v>30</v>
      </c>
      <c r="F201" s="3" t="str">
        <f>HYPERLINK("https://www.boe.es/gazeta/dias/1820/10/03/pdfs/GGB-1820-97.pdf","Abrir PDF")</f>
        <v>Abrir PDF</v>
      </c>
    </row>
    <row r="202" spans="1:6" ht="31.05" customHeight="1">
      <c r="A202" s="6">
        <v>-28941</v>
      </c>
      <c r="B202" s="2" t="s">
        <v>1727</v>
      </c>
      <c r="C202" s="2" t="s">
        <v>14549</v>
      </c>
      <c r="D202" s="3">
        <v>4</v>
      </c>
      <c r="E202" s="3">
        <v>25</v>
      </c>
      <c r="F202" s="3" t="str">
        <f>HYPERLINK("https://www.boe.es/gazeta/dias/1820/10/04/pdfs/GGB-1820-98.pdf","Abrir PDF")</f>
        <v>Abrir PDF</v>
      </c>
    </row>
    <row r="203" spans="1:6" ht="31.05" customHeight="1">
      <c r="A203" s="6">
        <v>-28940</v>
      </c>
      <c r="B203" s="2" t="s">
        <v>141</v>
      </c>
      <c r="C203" s="2" t="s">
        <v>14550</v>
      </c>
      <c r="D203" s="3">
        <v>4</v>
      </c>
      <c r="E203" s="3">
        <v>36</v>
      </c>
      <c r="F203" s="3" t="str">
        <f>HYPERLINK("https://www.boe.es/gazeta/dias/1820/10/05/pdfs/GGB-1820-99.pdf","Abrir PDF")</f>
        <v>Abrir PDF</v>
      </c>
    </row>
    <row r="204" spans="1:6" ht="31.05" customHeight="1">
      <c r="A204" s="6">
        <v>-28939</v>
      </c>
      <c r="B204" s="2" t="s">
        <v>992</v>
      </c>
      <c r="C204" s="2" t="s">
        <v>14551</v>
      </c>
      <c r="D204" s="3">
        <v>4</v>
      </c>
      <c r="E204" s="3">
        <v>30</v>
      </c>
      <c r="F204" s="3" t="str">
        <f>HYPERLINK("https://www.boe.es/gazeta/dias/1820/10/06/pdfs/GGB-1820-100.pdf","Abrir PDF")</f>
        <v>Abrir PDF</v>
      </c>
    </row>
    <row r="205" spans="1:6" ht="31.05" customHeight="1">
      <c r="A205" s="6">
        <v>-28938</v>
      </c>
      <c r="B205" s="2" t="s">
        <v>716</v>
      </c>
      <c r="C205" s="2" t="s">
        <v>14552</v>
      </c>
      <c r="D205" s="3">
        <v>4</v>
      </c>
      <c r="E205" s="3">
        <v>44</v>
      </c>
      <c r="F205" s="3" t="str">
        <f>HYPERLINK("https://www.boe.es/gazeta/dias/1820/10/07/pdfs/GGB-1820-101.pdf","Abrir PDF")</f>
        <v>Abrir PDF</v>
      </c>
    </row>
    <row r="206" spans="1:6" ht="31.05" customHeight="1">
      <c r="A206" s="6">
        <v>-28937</v>
      </c>
      <c r="B206" s="2" t="s">
        <v>4254</v>
      </c>
      <c r="C206" s="2" t="s">
        <v>14553</v>
      </c>
      <c r="D206" s="3">
        <v>4</v>
      </c>
      <c r="E206" s="3">
        <v>23</v>
      </c>
      <c r="F206" s="3" t="str">
        <f>HYPERLINK("https://www.boe.es/gazeta/dias/1820/10/08/pdfs/GGB-1820-102.pdf","Abrir PDF")</f>
        <v>Abrir PDF</v>
      </c>
    </row>
    <row r="207" spans="1:6" ht="31.05" customHeight="1">
      <c r="A207" s="6">
        <v>-28936</v>
      </c>
      <c r="B207" s="2" t="s">
        <v>167</v>
      </c>
      <c r="C207" s="2" t="s">
        <v>14554</v>
      </c>
      <c r="D207" s="3">
        <v>4</v>
      </c>
      <c r="E207" s="3">
        <v>34</v>
      </c>
      <c r="F207" s="3" t="str">
        <f>HYPERLINK("https://www.boe.es/gazeta/dias/1820/10/09/pdfs/GGB-1820-103.pdf","Abrir PDF")</f>
        <v>Abrir PDF</v>
      </c>
    </row>
    <row r="208" spans="1:6" ht="31.05" customHeight="1">
      <c r="A208" s="6">
        <v>-28935</v>
      </c>
      <c r="B208" s="2" t="s">
        <v>2464</v>
      </c>
      <c r="C208" s="2" t="s">
        <v>14555</v>
      </c>
      <c r="D208" s="3">
        <v>4</v>
      </c>
      <c r="E208" s="3">
        <v>37</v>
      </c>
      <c r="F208" s="3" t="str">
        <f>HYPERLINK("https://www.boe.es/gazeta/dias/1820/10/10/pdfs/GGB-1820-104.pdf","Abrir PDF")</f>
        <v>Abrir PDF</v>
      </c>
    </row>
    <row r="209" spans="1:6" ht="31.05" customHeight="1">
      <c r="A209" s="6">
        <v>-28934</v>
      </c>
      <c r="B209" s="2" t="s">
        <v>163</v>
      </c>
      <c r="C209" s="2" t="s">
        <v>14556</v>
      </c>
      <c r="D209" s="3">
        <v>4</v>
      </c>
      <c r="E209" s="3">
        <v>40</v>
      </c>
      <c r="F209" s="3" t="str">
        <f>HYPERLINK("https://www.boe.es/gazeta/dias/1820/10/11/pdfs/GGB-1820-105.pdf","Abrir PDF")</f>
        <v>Abrir PDF</v>
      </c>
    </row>
    <row r="210" spans="1:6" ht="31.05" customHeight="1">
      <c r="A210" s="6">
        <v>-28933</v>
      </c>
      <c r="B210" s="2" t="s">
        <v>720</v>
      </c>
      <c r="C210" s="2" t="s">
        <v>14557</v>
      </c>
      <c r="D210" s="3">
        <v>4</v>
      </c>
      <c r="E210" s="3">
        <v>43</v>
      </c>
      <c r="F210" s="3" t="str">
        <f>HYPERLINK("https://www.boe.es/gazeta/dias/1820/10/12/pdfs/GGB-1820-106.pdf","Abrir PDF")</f>
        <v>Abrir PDF</v>
      </c>
    </row>
    <row r="211" spans="1:6" ht="31.05" customHeight="1">
      <c r="A211" s="6">
        <v>-28932</v>
      </c>
      <c r="B211" s="2" t="s">
        <v>407</v>
      </c>
      <c r="C211" s="2" t="s">
        <v>14558</v>
      </c>
      <c r="D211" s="3">
        <v>4</v>
      </c>
      <c r="E211" s="3">
        <v>31</v>
      </c>
      <c r="F211" s="3" t="str">
        <f>HYPERLINK("https://www.boe.es/gazeta/dias/1820/10/13/pdfs/GGB-1820-107.pdf","Abrir PDF")</f>
        <v>Abrir PDF</v>
      </c>
    </row>
    <row r="212" spans="1:6" ht="31.05" customHeight="1">
      <c r="A212" s="6">
        <v>-28931</v>
      </c>
      <c r="B212" s="2" t="s">
        <v>724</v>
      </c>
      <c r="C212" s="2" t="s">
        <v>14559</v>
      </c>
      <c r="D212" s="3">
        <v>4</v>
      </c>
      <c r="E212" s="3">
        <v>90</v>
      </c>
      <c r="F212" s="3" t="str">
        <f>HYPERLINK("https://www.boe.es/gazeta/dias/1820/10/14/pdfs/GGB-1820-108.pdf","Abrir PDF")</f>
        <v>Abrir PDF</v>
      </c>
    </row>
    <row r="213" spans="1:6" ht="31.05" customHeight="1">
      <c r="A213" s="6">
        <v>-28930</v>
      </c>
      <c r="B213" s="2" t="s">
        <v>372</v>
      </c>
      <c r="C213" s="2" t="s">
        <v>14560</v>
      </c>
      <c r="D213" s="3">
        <v>4</v>
      </c>
      <c r="E213" s="3">
        <v>30</v>
      </c>
      <c r="F213" s="3" t="str">
        <f>HYPERLINK("https://www.boe.es/gazeta/dias/1820/10/15/pdfs/GGB-1820-109.pdf","Abrir PDF")</f>
        <v>Abrir PDF</v>
      </c>
    </row>
    <row r="214" spans="1:6" ht="31.05" customHeight="1">
      <c r="A214" s="6">
        <v>-28929</v>
      </c>
      <c r="B214" s="2" t="s">
        <v>728</v>
      </c>
      <c r="C214" s="2" t="s">
        <v>14561</v>
      </c>
      <c r="D214" s="3">
        <v>4</v>
      </c>
      <c r="E214" s="3">
        <v>32</v>
      </c>
      <c r="F214" s="3" t="str">
        <f>HYPERLINK("https://www.boe.es/gazeta/dias/1820/10/16/pdfs/GGB-1820-110.pdf","Abrir PDF")</f>
        <v>Abrir PDF</v>
      </c>
    </row>
    <row r="215" spans="1:6" ht="31.05" customHeight="1">
      <c r="A215" s="6">
        <v>-28928</v>
      </c>
      <c r="B215" s="2" t="s">
        <v>86</v>
      </c>
      <c r="C215" s="2" t="s">
        <v>14562</v>
      </c>
      <c r="D215" s="3">
        <v>4</v>
      </c>
      <c r="E215" s="3">
        <v>54</v>
      </c>
      <c r="F215" s="3" t="str">
        <f>HYPERLINK("https://www.boe.es/gazeta/dias/1820/10/17/pdfs/GGB-1820-111.pdf","Abrir PDF")</f>
        <v>Abrir PDF</v>
      </c>
    </row>
    <row r="216" spans="1:6" ht="31.05" customHeight="1">
      <c r="A216" s="6">
        <v>-28927</v>
      </c>
      <c r="B216" s="2" t="s">
        <v>345</v>
      </c>
      <c r="C216" s="2" t="s">
        <v>14563</v>
      </c>
      <c r="D216" s="3">
        <v>4</v>
      </c>
      <c r="E216" s="3">
        <v>44</v>
      </c>
      <c r="F216" s="3" t="str">
        <f>HYPERLINK("https://www.boe.es/gazeta/dias/1820/10/18/pdfs/GGB-1820-112.pdf","Abrir PDF")</f>
        <v>Abrir PDF</v>
      </c>
    </row>
    <row r="217" spans="1:6" ht="31.05" customHeight="1">
      <c r="A217" s="6">
        <v>-28926</v>
      </c>
      <c r="B217" s="2" t="s">
        <v>597</v>
      </c>
      <c r="C217" s="2" t="s">
        <v>14564</v>
      </c>
      <c r="D217" s="3">
        <v>4</v>
      </c>
      <c r="E217" s="3">
        <v>40</v>
      </c>
      <c r="F217" s="3" t="str">
        <f>HYPERLINK("https://www.boe.es/gazeta/dias/1820/10/19/pdfs/GGB-1820-113.pdf","Abrir PDF")</f>
        <v>Abrir PDF</v>
      </c>
    </row>
    <row r="218" spans="1:6" ht="31.05" customHeight="1">
      <c r="A218" s="6">
        <v>-28925</v>
      </c>
      <c r="B218" s="2" t="s">
        <v>228</v>
      </c>
      <c r="C218" s="2" t="s">
        <v>14565</v>
      </c>
      <c r="D218" s="3">
        <v>4</v>
      </c>
      <c r="E218" s="3">
        <v>41</v>
      </c>
      <c r="F218" s="3" t="str">
        <f>HYPERLINK("https://www.boe.es/gazeta/dias/1820/10/20/pdfs/GGB-1820-114.pdf","Abrir PDF")</f>
        <v>Abrir PDF</v>
      </c>
    </row>
    <row r="219" spans="1:6" ht="31.05" customHeight="1">
      <c r="A219" s="6">
        <v>-28924</v>
      </c>
      <c r="B219" s="2" t="s">
        <v>78</v>
      </c>
      <c r="C219" s="2" t="s">
        <v>14566</v>
      </c>
      <c r="D219" s="3">
        <v>4</v>
      </c>
      <c r="E219" s="3">
        <v>41</v>
      </c>
      <c r="F219" s="3" t="str">
        <f>HYPERLINK("https://www.boe.es/gazeta/dias/1820/10/21/pdfs/GGB-1820-115.pdf","Abrir PDF")</f>
        <v>Abrir PDF</v>
      </c>
    </row>
    <row r="220" spans="1:6" ht="31.05" customHeight="1">
      <c r="A220" s="6">
        <v>-28923</v>
      </c>
      <c r="B220" s="2" t="s">
        <v>648</v>
      </c>
      <c r="C220" s="2" t="s">
        <v>14567</v>
      </c>
      <c r="D220" s="3">
        <v>4</v>
      </c>
      <c r="E220" s="3">
        <v>35</v>
      </c>
      <c r="F220" s="3" t="str">
        <f>HYPERLINK("https://www.boe.es/gazeta/dias/1820/10/22/pdfs/GGB-1820-116.pdf","Abrir PDF")</f>
        <v>Abrir PDF</v>
      </c>
    </row>
    <row r="221" spans="1:6" ht="31.05" customHeight="1">
      <c r="A221" s="6">
        <v>-28922</v>
      </c>
      <c r="B221" s="2" t="s">
        <v>735</v>
      </c>
      <c r="C221" s="2" t="s">
        <v>14568</v>
      </c>
      <c r="D221" s="3">
        <v>4</v>
      </c>
      <c r="E221" s="3">
        <v>39</v>
      </c>
      <c r="F221" s="3" t="str">
        <f>HYPERLINK("https://www.boe.es/gazeta/dias/1820/10/23/pdfs/GGB-1820-117.pdf","Abrir PDF")</f>
        <v>Abrir PDF</v>
      </c>
    </row>
    <row r="222" spans="1:6" ht="31.05" customHeight="1">
      <c r="A222" s="6">
        <v>-28921</v>
      </c>
      <c r="B222" s="2" t="s">
        <v>738</v>
      </c>
      <c r="C222" s="2" t="s">
        <v>14569</v>
      </c>
      <c r="D222" s="3">
        <v>4</v>
      </c>
      <c r="E222" s="3">
        <v>27</v>
      </c>
      <c r="F222" s="3" t="str">
        <f>HYPERLINK("https://www.boe.es/gazeta/dias/1820/10/24/pdfs/GGB-1820-118.pdf","Abrir PDF")</f>
        <v>Abrir PDF</v>
      </c>
    </row>
    <row r="223" spans="1:6" ht="31.05" customHeight="1">
      <c r="A223" s="6">
        <v>-28920</v>
      </c>
      <c r="B223" s="2" t="s">
        <v>399</v>
      </c>
      <c r="C223" s="2" t="s">
        <v>14570</v>
      </c>
      <c r="D223" s="3">
        <v>4</v>
      </c>
      <c r="E223" s="3">
        <v>29</v>
      </c>
      <c r="F223" s="3" t="str">
        <f>HYPERLINK("https://www.boe.es/gazeta/dias/1820/10/25/pdfs/GGB-1820-119.pdf","Abrir PDF")</f>
        <v>Abrir PDF</v>
      </c>
    </row>
    <row r="224" spans="1:6" ht="31.05" customHeight="1">
      <c r="A224" s="6">
        <v>-28919</v>
      </c>
      <c r="B224" s="2" t="s">
        <v>516</v>
      </c>
      <c r="C224" s="2" t="s">
        <v>14571</v>
      </c>
      <c r="D224" s="3">
        <v>4</v>
      </c>
      <c r="E224" s="3">
        <v>34</v>
      </c>
      <c r="F224" s="3" t="str">
        <f>HYPERLINK("https://www.boe.es/gazeta/dias/1820/10/26/pdfs/GGB-1820-120.pdf","Abrir PDF")</f>
        <v>Abrir PDF</v>
      </c>
    </row>
    <row r="225" spans="1:6" ht="31.05" customHeight="1">
      <c r="A225" s="6">
        <v>-28918</v>
      </c>
      <c r="B225" s="2" t="s">
        <v>160</v>
      </c>
      <c r="C225" s="2" t="s">
        <v>14572</v>
      </c>
      <c r="D225" s="3">
        <v>4</v>
      </c>
      <c r="E225" s="3">
        <v>39</v>
      </c>
      <c r="F225" s="3" t="str">
        <f>HYPERLINK("https://www.boe.es/gazeta/dias/1820/10/27/pdfs/GGB-1820-121.pdf","Abrir PDF")</f>
        <v>Abrir PDF</v>
      </c>
    </row>
    <row r="226" spans="1:6" ht="31.05" customHeight="1">
      <c r="A226" s="6">
        <v>-28917</v>
      </c>
      <c r="B226" s="2" t="s">
        <v>19</v>
      </c>
      <c r="C226" s="2" t="s">
        <v>14573</v>
      </c>
      <c r="D226" s="3">
        <v>4</v>
      </c>
      <c r="E226" s="3">
        <v>37</v>
      </c>
      <c r="F226" s="3" t="str">
        <f>HYPERLINK("https://www.boe.es/gazeta/dias/1820/10/28/pdfs/GGB-1820-122.pdf","Abrir PDF")</f>
        <v>Abrir PDF</v>
      </c>
    </row>
    <row r="227" spans="1:6" ht="31.05" customHeight="1">
      <c r="A227" s="6">
        <v>-28916</v>
      </c>
      <c r="B227" s="2" t="s">
        <v>2688</v>
      </c>
      <c r="C227" s="2" t="s">
        <v>14574</v>
      </c>
      <c r="D227" s="3">
        <v>4</v>
      </c>
      <c r="E227" s="3">
        <v>19</v>
      </c>
      <c r="F227" s="3" t="str">
        <f>HYPERLINK("https://www.boe.es/gazeta/dias/1820/10/29/pdfs/GGB-1820-123.pdf","Abrir PDF")</f>
        <v>Abrir PDF</v>
      </c>
    </row>
    <row r="228" spans="1:6" ht="31.05" customHeight="1">
      <c r="A228" s="6">
        <v>-28915</v>
      </c>
      <c r="B228" s="2" t="s">
        <v>525</v>
      </c>
      <c r="C228" s="2" t="s">
        <v>14575</v>
      </c>
      <c r="D228" s="3">
        <v>4</v>
      </c>
      <c r="E228" s="3">
        <v>26</v>
      </c>
      <c r="F228" s="3" t="str">
        <f>HYPERLINK("https://www.boe.es/gazeta/dias/1820/10/30/pdfs/GGB-1820-124.pdf","Abrir PDF")</f>
        <v>Abrir PDF</v>
      </c>
    </row>
    <row r="229" spans="1:6" ht="31.05" customHeight="1">
      <c r="A229" s="6">
        <v>-28914</v>
      </c>
      <c r="B229" s="2" t="s">
        <v>434</v>
      </c>
      <c r="C229" s="2" t="s">
        <v>14576</v>
      </c>
      <c r="D229" s="3">
        <v>4</v>
      </c>
      <c r="E229" s="3">
        <v>39</v>
      </c>
      <c r="F229" s="3" t="str">
        <f>HYPERLINK("https://www.boe.es/gazeta/dias/1820/10/31/pdfs/GGB-1820-125.pdf","Abrir PDF")</f>
        <v>Abrir PDF</v>
      </c>
    </row>
    <row r="230" spans="1:6" ht="31.05" customHeight="1">
      <c r="A230" s="6">
        <v>-28913</v>
      </c>
      <c r="B230" s="2" t="s">
        <v>230</v>
      </c>
      <c r="C230" s="2" t="s">
        <v>14577</v>
      </c>
      <c r="D230" s="3">
        <v>4</v>
      </c>
      <c r="E230" s="3">
        <v>33</v>
      </c>
      <c r="F230" s="3" t="str">
        <f>HYPERLINK("https://www.boe.es/gazeta/dias/1820/11/01/pdfs/GGB-1820-126.pdf","Abrir PDF")</f>
        <v>Abrir PDF</v>
      </c>
    </row>
    <row r="231" spans="1:6" ht="31.05" customHeight="1">
      <c r="A231" s="6">
        <v>-28912</v>
      </c>
      <c r="B231" s="2" t="s">
        <v>1329</v>
      </c>
      <c r="C231" s="2" t="s">
        <v>14578</v>
      </c>
      <c r="D231" s="3">
        <v>4</v>
      </c>
      <c r="E231" s="3">
        <v>40</v>
      </c>
      <c r="F231" s="3" t="str">
        <f>HYPERLINK("https://www.boe.es/gazeta/dias/1820/11/02/pdfs/GGB-1820-127.pdf","Abrir PDF")</f>
        <v>Abrir PDF</v>
      </c>
    </row>
    <row r="232" spans="1:6" ht="31.05" customHeight="1">
      <c r="A232" s="6">
        <v>-28911</v>
      </c>
      <c r="B232" s="2" t="s">
        <v>82</v>
      </c>
      <c r="C232" s="2" t="s">
        <v>14579</v>
      </c>
      <c r="D232" s="3">
        <v>4</v>
      </c>
      <c r="E232" s="3">
        <v>46</v>
      </c>
      <c r="F232" s="3" t="str">
        <f>HYPERLINK("https://www.boe.es/gazeta/dias/1820/11/03/pdfs/GGB-1820-128.pdf","Abrir PDF")</f>
        <v>Abrir PDF</v>
      </c>
    </row>
    <row r="233" spans="1:6" ht="31.05" customHeight="1">
      <c r="A233" s="6">
        <v>-28910</v>
      </c>
      <c r="B233" s="2" t="s">
        <v>746</v>
      </c>
      <c r="C233" s="2" t="s">
        <v>14580</v>
      </c>
      <c r="D233" s="3">
        <v>4</v>
      </c>
      <c r="E233" s="3">
        <v>38</v>
      </c>
      <c r="F233" s="3" t="str">
        <f>HYPERLINK("https://www.boe.es/gazeta/dias/1820/11/04/pdfs/GGB-1820-129.pdf","Abrir PDF")</f>
        <v>Abrir PDF</v>
      </c>
    </row>
    <row r="234" spans="1:6" ht="31.05" customHeight="1">
      <c r="A234" s="6">
        <v>-28909</v>
      </c>
      <c r="B234" s="2" t="s">
        <v>278</v>
      </c>
      <c r="C234" s="2" t="s">
        <v>14581</v>
      </c>
      <c r="D234" s="3">
        <v>4</v>
      </c>
      <c r="E234" s="3">
        <v>35</v>
      </c>
      <c r="F234" s="3" t="str">
        <f>HYPERLINK("https://www.boe.es/gazeta/dias/1820/11/05/pdfs/GGB-1820-130.pdf","Abrir PDF")</f>
        <v>Abrir PDF</v>
      </c>
    </row>
    <row r="235" spans="1:6" ht="31.05" customHeight="1">
      <c r="A235" s="6">
        <v>-28908</v>
      </c>
      <c r="B235" s="2" t="s">
        <v>1060</v>
      </c>
      <c r="C235" s="2" t="s">
        <v>14582</v>
      </c>
      <c r="D235" s="3">
        <v>4</v>
      </c>
      <c r="E235" s="3">
        <v>47</v>
      </c>
      <c r="F235" s="3" t="str">
        <f>HYPERLINK("https://www.boe.es/gazeta/dias/1820/11/06/pdfs/GGB-1820-131.pdf","Abrir PDF")</f>
        <v>Abrir PDF</v>
      </c>
    </row>
    <row r="236" spans="1:6" ht="31.05" customHeight="1">
      <c r="A236" s="6">
        <v>-28907</v>
      </c>
      <c r="B236" s="2" t="s">
        <v>374</v>
      </c>
      <c r="C236" s="2" t="s">
        <v>14583</v>
      </c>
      <c r="D236" s="3">
        <v>4</v>
      </c>
      <c r="E236" s="3">
        <v>38</v>
      </c>
      <c r="F236" s="3" t="str">
        <f>HYPERLINK("https://www.boe.es/gazeta/dias/1820/11/07/pdfs/GGB-1820-132.pdf","Abrir PDF")</f>
        <v>Abrir PDF</v>
      </c>
    </row>
    <row r="237" spans="1:6" ht="31.05" customHeight="1">
      <c r="A237" s="6">
        <v>-28906</v>
      </c>
      <c r="B237" s="2" t="s">
        <v>232</v>
      </c>
      <c r="C237" s="2" t="s">
        <v>14584</v>
      </c>
      <c r="D237" s="3">
        <v>4</v>
      </c>
      <c r="E237" s="3">
        <v>37</v>
      </c>
      <c r="F237" s="3" t="str">
        <f>HYPERLINK("https://www.boe.es/gazeta/dias/1820/11/08/pdfs/GGB-1820-133.pdf","Abrir PDF")</f>
        <v>Abrir PDF</v>
      </c>
    </row>
    <row r="238" spans="1:6" ht="31.05" customHeight="1">
      <c r="A238" s="6">
        <v>-28905</v>
      </c>
      <c r="B238" s="2" t="s">
        <v>749</v>
      </c>
      <c r="C238" s="2" t="s">
        <v>14585</v>
      </c>
      <c r="D238" s="3">
        <v>4</v>
      </c>
      <c r="E238" s="3">
        <v>33</v>
      </c>
      <c r="F238" s="3" t="str">
        <f>HYPERLINK("https://www.boe.es/gazeta/dias/1820/11/09/pdfs/GGB-1820-134.pdf","Abrir PDF")</f>
        <v>Abrir PDF</v>
      </c>
    </row>
    <row r="239" spans="1:6" ht="31.05" customHeight="1">
      <c r="A239" s="6">
        <v>-28905</v>
      </c>
      <c r="B239" s="2" t="s">
        <v>14586</v>
      </c>
      <c r="C239" s="2" t="s">
        <v>14587</v>
      </c>
      <c r="D239" s="3">
        <v>1</v>
      </c>
      <c r="E239" s="3">
        <v>0</v>
      </c>
      <c r="F239" s="3" t="str">
        <f>HYPERLINK("https://www.boe.es/gazeta/dias/1820/11/09/pdfs/GGB-1820-135E.pdf","Abrir PDF")</f>
        <v>Abrir PDF</v>
      </c>
    </row>
    <row r="240" spans="1:6" ht="31.05" customHeight="1">
      <c r="A240" s="6">
        <v>-28904</v>
      </c>
      <c r="B240" s="2" t="s">
        <v>541</v>
      </c>
      <c r="C240" s="2" t="s">
        <v>14588</v>
      </c>
      <c r="D240" s="3">
        <v>4</v>
      </c>
      <c r="E240" s="3">
        <v>37</v>
      </c>
      <c r="F240" s="3" t="str">
        <f>HYPERLINK("https://www.boe.es/gazeta/dias/1820/11/10/pdfs/GGB-1820-136.pdf","Abrir PDF")</f>
        <v>Abrir PDF</v>
      </c>
    </row>
    <row r="241" spans="1:6" ht="31.05" customHeight="1">
      <c r="A241" s="6">
        <v>-28903</v>
      </c>
      <c r="B241" s="2" t="s">
        <v>2163</v>
      </c>
      <c r="C241" s="2" t="s">
        <v>14589</v>
      </c>
      <c r="D241" s="3">
        <v>4</v>
      </c>
      <c r="E241" s="3">
        <v>14</v>
      </c>
      <c r="F241" s="3" t="str">
        <f>HYPERLINK("https://www.boe.es/gazeta/dias/1820/11/11/pdfs/GGB-1820-137.pdf","Abrir PDF")</f>
        <v>Abrir PDF</v>
      </c>
    </row>
    <row r="242" spans="1:6" ht="31.05" customHeight="1">
      <c r="A242" s="6">
        <v>-28902</v>
      </c>
      <c r="B242" s="2" t="s">
        <v>440</v>
      </c>
      <c r="C242" s="2" t="s">
        <v>14590</v>
      </c>
      <c r="D242" s="3">
        <v>4</v>
      </c>
      <c r="E242" s="3">
        <v>15</v>
      </c>
      <c r="F242" s="3" t="str">
        <f>HYPERLINK("https://www.boe.es/gazeta/dias/1820/11/12/pdfs/GGB-1820-138.pdf","Abrir PDF")</f>
        <v>Abrir PDF</v>
      </c>
    </row>
    <row r="243" spans="1:6" ht="31.05" customHeight="1">
      <c r="A243" s="6">
        <v>-28901</v>
      </c>
      <c r="B243" s="2" t="s">
        <v>1492</v>
      </c>
      <c r="C243" s="2" t="s">
        <v>14591</v>
      </c>
      <c r="D243" s="3">
        <v>4</v>
      </c>
      <c r="E243" s="3">
        <v>17</v>
      </c>
      <c r="F243" s="3" t="str">
        <f>HYPERLINK("https://www.boe.es/gazeta/dias/1820/11/13/pdfs/GGB-1820-139.pdf","Abrir PDF")</f>
        <v>Abrir PDF</v>
      </c>
    </row>
    <row r="244" spans="1:6" ht="31.05" customHeight="1">
      <c r="A244" s="6">
        <v>-28900</v>
      </c>
      <c r="B244" s="2" t="s">
        <v>878</v>
      </c>
      <c r="C244" s="2" t="s">
        <v>14592</v>
      </c>
      <c r="D244" s="3">
        <v>4</v>
      </c>
      <c r="E244" s="3">
        <v>39</v>
      </c>
      <c r="F244" s="3" t="str">
        <f>HYPERLINK("https://www.boe.es/gazeta/dias/1820/11/14/pdfs/GGB-1820-140.pdf","Abrir PDF")</f>
        <v>Abrir PDF</v>
      </c>
    </row>
    <row r="245" spans="1:6" ht="31.05" customHeight="1">
      <c r="A245" s="6">
        <v>-28899</v>
      </c>
      <c r="B245" s="2" t="s">
        <v>285</v>
      </c>
      <c r="C245" s="2" t="s">
        <v>14593</v>
      </c>
      <c r="D245" s="3">
        <v>4</v>
      </c>
      <c r="E245" s="3">
        <v>27</v>
      </c>
      <c r="F245" s="3" t="str">
        <f>HYPERLINK("https://www.boe.es/gazeta/dias/1820/11/15/pdfs/GGB-1820-141.pdf","Abrir PDF")</f>
        <v>Abrir PDF</v>
      </c>
    </row>
    <row r="246" spans="1:6" ht="31.05" customHeight="1">
      <c r="A246" s="6">
        <v>-28898</v>
      </c>
      <c r="B246" s="2" t="s">
        <v>1405</v>
      </c>
      <c r="C246" s="2" t="s">
        <v>14594</v>
      </c>
      <c r="D246" s="3">
        <v>4</v>
      </c>
      <c r="E246" s="3">
        <v>25</v>
      </c>
      <c r="F246" s="3" t="str">
        <f>HYPERLINK("https://www.boe.es/gazeta/dias/1820/11/16/pdfs/GGB-1820-142.pdf","Abrir PDF")</f>
        <v>Abrir PDF</v>
      </c>
    </row>
    <row r="247" spans="1:6" ht="31.05" customHeight="1">
      <c r="A247" s="6">
        <v>-28897</v>
      </c>
      <c r="B247" s="2" t="s">
        <v>1935</v>
      </c>
      <c r="C247" s="2" t="s">
        <v>14595</v>
      </c>
      <c r="D247" s="3">
        <v>4</v>
      </c>
      <c r="E247" s="3">
        <v>11</v>
      </c>
      <c r="F247" s="3" t="str">
        <f>HYPERLINK("https://www.boe.es/gazeta/dias/1820/11/17/pdfs/GGB-1820-143.pdf","Abrir PDF")</f>
        <v>Abrir PDF</v>
      </c>
    </row>
    <row r="248" spans="1:6" ht="31.05" customHeight="1">
      <c r="A248" s="6">
        <v>-28896</v>
      </c>
      <c r="B248" s="2" t="s">
        <v>1268</v>
      </c>
      <c r="C248" s="2" t="s">
        <v>14596</v>
      </c>
      <c r="D248" s="3">
        <v>4</v>
      </c>
      <c r="E248" s="3">
        <v>12</v>
      </c>
      <c r="F248" s="3" t="str">
        <f>HYPERLINK("https://www.boe.es/gazeta/dias/1820/11/18/pdfs/GGB-1820-144.pdf","Abrir PDF")</f>
        <v>Abrir PDF</v>
      </c>
    </row>
    <row r="249" spans="1:6" ht="31.05" customHeight="1">
      <c r="A249" s="6">
        <v>-28896</v>
      </c>
      <c r="B249" s="2" t="s">
        <v>14597</v>
      </c>
      <c r="C249" s="2" t="s">
        <v>14598</v>
      </c>
      <c r="D249" s="3">
        <v>1</v>
      </c>
      <c r="E249" s="3">
        <v>0</v>
      </c>
      <c r="F249" s="3" t="str">
        <f>HYPERLINK("https://www.boe.es/gazeta/dias/1820/11/18/pdfs/GGB-1820-145E.pdf","Abrir PDF")</f>
        <v>Abrir PDF</v>
      </c>
    </row>
    <row r="250" spans="1:6" ht="31.05" customHeight="1">
      <c r="A250" s="6">
        <v>-28895</v>
      </c>
      <c r="B250" s="2" t="s">
        <v>347</v>
      </c>
      <c r="C250" s="2" t="s">
        <v>14599</v>
      </c>
      <c r="D250" s="3">
        <v>4</v>
      </c>
      <c r="E250" s="3">
        <v>32</v>
      </c>
      <c r="F250" s="3" t="str">
        <f>HYPERLINK("https://www.boe.es/gazeta/dias/1820/11/19/pdfs/GGB-1820-146.pdf","Abrir PDF")</f>
        <v>Abrir PDF</v>
      </c>
    </row>
    <row r="251" spans="1:6" ht="31.05" customHeight="1">
      <c r="A251" s="6">
        <v>-28894</v>
      </c>
      <c r="B251" s="2" t="s">
        <v>469</v>
      </c>
      <c r="C251" s="2" t="s">
        <v>14600</v>
      </c>
      <c r="D251" s="3">
        <v>4</v>
      </c>
      <c r="E251" s="3">
        <v>20</v>
      </c>
      <c r="F251" s="3" t="str">
        <f>HYPERLINK("https://www.boe.es/gazeta/dias/1820/11/20/pdfs/GGB-1820-147.pdf","Abrir PDF")</f>
        <v>Abrir PDF</v>
      </c>
    </row>
    <row r="252" spans="1:6" ht="31.05" customHeight="1">
      <c r="A252" s="6">
        <v>-28893</v>
      </c>
      <c r="B252" s="2" t="s">
        <v>546</v>
      </c>
      <c r="C252" s="2" t="s">
        <v>14601</v>
      </c>
      <c r="D252" s="3">
        <v>4</v>
      </c>
      <c r="E252" s="3">
        <v>16</v>
      </c>
      <c r="F252" s="3" t="str">
        <f>HYPERLINK("https://www.boe.es/gazeta/dias/1820/11/21/pdfs/GGB-1820-148.pdf","Abrir PDF")</f>
        <v>Abrir PDF</v>
      </c>
    </row>
    <row r="253" spans="1:6" ht="31.05" customHeight="1">
      <c r="A253" s="6">
        <v>-28892</v>
      </c>
      <c r="B253" s="2" t="s">
        <v>3036</v>
      </c>
      <c r="C253" s="2" t="s">
        <v>14602</v>
      </c>
      <c r="D253" s="3">
        <v>4</v>
      </c>
      <c r="E253" s="3">
        <v>20</v>
      </c>
      <c r="F253" s="3" t="str">
        <f>HYPERLINK("https://www.boe.es/gazeta/dias/1820/11/22/pdfs/GGB-1820-149.pdf","Abrir PDF")</f>
        <v>Abrir PDF</v>
      </c>
    </row>
    <row r="254" spans="1:6" ht="31.05" customHeight="1">
      <c r="A254" s="6">
        <v>-28891</v>
      </c>
      <c r="B254" s="2" t="s">
        <v>965</v>
      </c>
      <c r="C254" s="2" t="s">
        <v>14603</v>
      </c>
      <c r="D254" s="3">
        <v>4</v>
      </c>
      <c r="E254" s="3">
        <v>23</v>
      </c>
      <c r="F254" s="3" t="str">
        <f>HYPERLINK("https://www.boe.es/gazeta/dias/1820/11/23/pdfs/GGB-1820-150.pdf","Abrir PDF")</f>
        <v>Abrir PDF</v>
      </c>
    </row>
    <row r="255" spans="1:6" ht="31.05" customHeight="1">
      <c r="A255" s="6">
        <v>-28890</v>
      </c>
      <c r="B255" s="2" t="s">
        <v>248</v>
      </c>
      <c r="C255" s="2" t="s">
        <v>14604</v>
      </c>
      <c r="D255" s="3">
        <v>4</v>
      </c>
      <c r="E255" s="3">
        <v>19</v>
      </c>
      <c r="F255" s="3" t="str">
        <f>HYPERLINK("https://www.boe.es/gazeta/dias/1820/11/24/pdfs/GGB-1820-151.pdf","Abrir PDF")</f>
        <v>Abrir PDF</v>
      </c>
    </row>
    <row r="256" spans="1:6" ht="31.05" customHeight="1">
      <c r="A256" s="6">
        <v>-28889</v>
      </c>
      <c r="B256" s="2" t="s">
        <v>777</v>
      </c>
      <c r="C256" s="2" t="s">
        <v>14605</v>
      </c>
      <c r="D256" s="3">
        <v>4</v>
      </c>
      <c r="E256" s="3">
        <v>14</v>
      </c>
      <c r="F256" s="3" t="str">
        <f>HYPERLINK("https://www.boe.es/gazeta/dias/1820/11/25/pdfs/GGB-1820-152.pdf","Abrir PDF")</f>
        <v>Abrir PDF</v>
      </c>
    </row>
    <row r="257" spans="1:6" ht="31.05" customHeight="1">
      <c r="A257" s="6">
        <v>-28888</v>
      </c>
      <c r="B257" s="2" t="s">
        <v>112</v>
      </c>
      <c r="C257" s="2" t="s">
        <v>14606</v>
      </c>
      <c r="D257" s="3">
        <v>4</v>
      </c>
      <c r="E257" s="3">
        <v>18</v>
      </c>
      <c r="F257" s="3" t="str">
        <f>HYPERLINK("https://www.boe.es/gazeta/dias/1820/11/26/pdfs/GGB-1820-153.pdf","Abrir PDF")</f>
        <v>Abrir PDF</v>
      </c>
    </row>
    <row r="258" spans="1:6" ht="31.05" customHeight="1">
      <c r="A258" s="6">
        <v>-28887</v>
      </c>
      <c r="B258" s="2" t="s">
        <v>2098</v>
      </c>
      <c r="C258" s="2" t="s">
        <v>14607</v>
      </c>
      <c r="D258" s="3">
        <v>4</v>
      </c>
      <c r="E258" s="3">
        <v>21</v>
      </c>
      <c r="F258" s="3" t="str">
        <f>HYPERLINK("https://www.boe.es/gazeta/dias/1820/11/27/pdfs/GGB-1820-154.pdf","Abrir PDF")</f>
        <v>Abrir PDF</v>
      </c>
    </row>
    <row r="259" spans="1:6" ht="31.05" customHeight="1">
      <c r="A259" s="6">
        <v>-28886</v>
      </c>
      <c r="B259" s="2" t="s">
        <v>874</v>
      </c>
      <c r="C259" s="2" t="s">
        <v>14608</v>
      </c>
      <c r="D259" s="3">
        <v>4</v>
      </c>
      <c r="E259" s="3">
        <v>13</v>
      </c>
      <c r="F259" s="3" t="str">
        <f>HYPERLINK("https://www.boe.es/gazeta/dias/1820/11/28/pdfs/GGB-1820-155.pdf","Abrir PDF")</f>
        <v>Abrir PDF</v>
      </c>
    </row>
    <row r="260" spans="1:6" ht="31.05" customHeight="1">
      <c r="A260" s="6">
        <v>-28885</v>
      </c>
      <c r="B260" s="2" t="s">
        <v>2588</v>
      </c>
      <c r="C260" s="2" t="s">
        <v>14609</v>
      </c>
      <c r="D260" s="3">
        <v>4</v>
      </c>
      <c r="E260" s="3">
        <v>13</v>
      </c>
      <c r="F260" s="3" t="str">
        <f>HYPERLINK("https://www.boe.es/gazeta/dias/1820/11/29/pdfs/GGB-1820-156.pdf","Abrir PDF")</f>
        <v>Abrir PDF</v>
      </c>
    </row>
    <row r="261" spans="1:6" ht="31.05" customHeight="1">
      <c r="A261" s="6">
        <v>-28884</v>
      </c>
      <c r="B261" s="2" t="s">
        <v>882</v>
      </c>
      <c r="C261" s="2" t="s">
        <v>14610</v>
      </c>
      <c r="D261" s="3">
        <v>6</v>
      </c>
      <c r="E261" s="3">
        <v>20</v>
      </c>
      <c r="F261" s="3" t="str">
        <f>HYPERLINK("https://www.boe.es/gazeta/dias/1820/11/30/pdfs/GGB-1820-157.pdf","Abrir PDF")</f>
        <v>Abrir PDF</v>
      </c>
    </row>
    <row r="262" spans="1:6" ht="31.05" customHeight="1">
      <c r="A262" s="6">
        <v>-28883</v>
      </c>
      <c r="B262" s="2" t="s">
        <v>306</v>
      </c>
      <c r="C262" s="2" t="s">
        <v>14611</v>
      </c>
      <c r="D262" s="3">
        <v>4</v>
      </c>
      <c r="E262" s="3">
        <v>18</v>
      </c>
      <c r="F262" s="3" t="str">
        <f>HYPERLINK("https://www.boe.es/gazeta/dias/1820/12/01/pdfs/GGB-1820-158.pdf","Abrir PDF")</f>
        <v>Abrir PDF</v>
      </c>
    </row>
    <row r="263" spans="1:6" ht="31.05" customHeight="1">
      <c r="A263" s="6">
        <v>-28882</v>
      </c>
      <c r="B263" s="2" t="s">
        <v>1245</v>
      </c>
      <c r="C263" s="2" t="s">
        <v>14612</v>
      </c>
      <c r="D263" s="3">
        <v>4</v>
      </c>
      <c r="E263" s="3">
        <v>28</v>
      </c>
      <c r="F263" s="3" t="str">
        <f>HYPERLINK("https://www.boe.es/gazeta/dias/1820/12/02/pdfs/GGB-1820-159.pdf","Abrir PDF")</f>
        <v>Abrir PDF</v>
      </c>
    </row>
    <row r="264" spans="1:6" ht="31.05" customHeight="1">
      <c r="A264" s="6">
        <v>-28881</v>
      </c>
      <c r="B264" s="2" t="s">
        <v>57</v>
      </c>
      <c r="C264" s="2" t="s">
        <v>14613</v>
      </c>
      <c r="D264" s="3">
        <v>4</v>
      </c>
      <c r="E264" s="3">
        <v>20</v>
      </c>
      <c r="F264" s="3" t="str">
        <f>HYPERLINK("https://www.boe.es/gazeta/dias/1820/12/03/pdfs/GGB-1820-160.pdf","Abrir PDF")</f>
        <v>Abrir PDF</v>
      </c>
    </row>
    <row r="265" spans="1:6" ht="31.05" customHeight="1">
      <c r="A265" s="6">
        <v>-28880</v>
      </c>
      <c r="B265" s="2" t="s">
        <v>1574</v>
      </c>
      <c r="C265" s="2" t="s">
        <v>14614</v>
      </c>
      <c r="D265" s="3">
        <v>4</v>
      </c>
      <c r="E265" s="3">
        <v>9</v>
      </c>
      <c r="F265" s="3" t="str">
        <f>HYPERLINK("https://www.boe.es/gazeta/dias/1820/12/04/pdfs/GGB-1820-161.pdf","Abrir PDF")</f>
        <v>Abrir PDF</v>
      </c>
    </row>
    <row r="266" spans="1:6" ht="31.05" customHeight="1">
      <c r="A266" s="6">
        <v>-28879</v>
      </c>
      <c r="B266" s="2" t="s">
        <v>953</v>
      </c>
      <c r="C266" s="2" t="s">
        <v>14615</v>
      </c>
      <c r="D266" s="3">
        <v>4</v>
      </c>
      <c r="E266" s="3">
        <v>16</v>
      </c>
      <c r="F266" s="3" t="str">
        <f>HYPERLINK("https://www.boe.es/gazeta/dias/1820/12/05/pdfs/GGB-1820-162.pdf","Abrir PDF")</f>
        <v>Abrir PDF</v>
      </c>
    </row>
    <row r="267" spans="1:6" ht="31.05" customHeight="1">
      <c r="A267" s="6">
        <v>-28878</v>
      </c>
      <c r="B267" s="2" t="s">
        <v>866</v>
      </c>
      <c r="C267" s="2" t="s">
        <v>14616</v>
      </c>
      <c r="D267" s="3">
        <v>4</v>
      </c>
      <c r="E267" s="3">
        <v>17</v>
      </c>
      <c r="F267" s="3" t="str">
        <f>HYPERLINK("https://www.boe.es/gazeta/dias/1820/12/06/pdfs/GGB-1820-163.pdf","Abrir PDF")</f>
        <v>Abrir PDF</v>
      </c>
    </row>
    <row r="268" spans="1:6" ht="31.05" customHeight="1">
      <c r="A268" s="6">
        <v>-28877</v>
      </c>
      <c r="B268" s="2" t="s">
        <v>5611</v>
      </c>
      <c r="C268" s="2" t="s">
        <v>14617</v>
      </c>
      <c r="D268" s="3">
        <v>4</v>
      </c>
      <c r="E268" s="3">
        <v>6</v>
      </c>
      <c r="F268" s="3" t="str">
        <f>HYPERLINK("https://www.boe.es/gazeta/dias/1820/12/07/pdfs/GGB-1820-164.pdf","Abrir PDF")</f>
        <v>Abrir PDF</v>
      </c>
    </row>
    <row r="269" spans="1:6" ht="31.05" customHeight="1">
      <c r="A269" s="6">
        <v>-28876</v>
      </c>
      <c r="B269" s="2" t="s">
        <v>1919</v>
      </c>
      <c r="C269" s="2" t="s">
        <v>14618</v>
      </c>
      <c r="D269" s="3">
        <v>4</v>
      </c>
      <c r="E269" s="3">
        <v>4</v>
      </c>
      <c r="F269" s="3" t="str">
        <f>HYPERLINK("https://www.boe.es/gazeta/dias/1820/12/08/pdfs/GGB-1820-165.pdf","Abrir PDF")</f>
        <v>Abrir PDF</v>
      </c>
    </row>
    <row r="270" spans="1:6" ht="31.05" customHeight="1">
      <c r="A270" s="6">
        <v>-28875</v>
      </c>
      <c r="B270" s="2" t="s">
        <v>2737</v>
      </c>
      <c r="C270" s="2" t="s">
        <v>14619</v>
      </c>
      <c r="D270" s="3">
        <v>4</v>
      </c>
      <c r="E270" s="3">
        <v>8</v>
      </c>
      <c r="F270" s="3" t="str">
        <f>HYPERLINK("https://www.boe.es/gazeta/dias/1820/12/09/pdfs/GGB-1820-166.pdf","Abrir PDF")</f>
        <v>Abrir PDF</v>
      </c>
    </row>
    <row r="271" spans="1:6" ht="31.05" customHeight="1">
      <c r="A271" s="6">
        <v>-28874</v>
      </c>
      <c r="B271" s="2" t="s">
        <v>103</v>
      </c>
      <c r="C271" s="2" t="s">
        <v>14620</v>
      </c>
      <c r="D271" s="3">
        <v>4</v>
      </c>
      <c r="E271" s="3">
        <v>12</v>
      </c>
      <c r="F271" s="3" t="str">
        <f>HYPERLINK("https://www.boe.es/gazeta/dias/1820/12/10/pdfs/GGB-1820-167.pdf","Abrir PDF")</f>
        <v>Abrir PDF</v>
      </c>
    </row>
    <row r="272" spans="1:6" ht="31.05" customHeight="1">
      <c r="A272" s="6">
        <v>-28873</v>
      </c>
      <c r="B272" s="2" t="s">
        <v>4997</v>
      </c>
      <c r="C272" s="2" t="s">
        <v>14621</v>
      </c>
      <c r="D272" s="3">
        <v>4</v>
      </c>
      <c r="E272" s="3">
        <v>10</v>
      </c>
      <c r="F272" s="3" t="str">
        <f>HYPERLINK("https://www.boe.es/gazeta/dias/1820/12/11/pdfs/GGB-1820-168.pdf","Abrir PDF")</f>
        <v>Abrir PDF</v>
      </c>
    </row>
    <row r="273" spans="1:6" ht="31.05" customHeight="1">
      <c r="A273" s="6">
        <v>-28872</v>
      </c>
      <c r="B273" s="2" t="s">
        <v>1939</v>
      </c>
      <c r="C273" s="2" t="s">
        <v>14622</v>
      </c>
      <c r="D273" s="3">
        <v>4</v>
      </c>
      <c r="E273" s="3">
        <v>16</v>
      </c>
      <c r="F273" s="3" t="str">
        <f>HYPERLINK("https://www.boe.es/gazeta/dias/1820/12/12/pdfs/GGB-1820-169.pdf","Abrir PDF")</f>
        <v>Abrir PDF</v>
      </c>
    </row>
    <row r="274" spans="1:6" ht="31.05" customHeight="1">
      <c r="A274" s="6">
        <v>-28871</v>
      </c>
      <c r="B274" s="2" t="s">
        <v>2368</v>
      </c>
      <c r="C274" s="2" t="s">
        <v>14623</v>
      </c>
      <c r="D274" s="3">
        <v>4</v>
      </c>
      <c r="E274" s="3">
        <v>7</v>
      </c>
      <c r="F274" s="3" t="str">
        <f>HYPERLINK("https://www.boe.es/gazeta/dias/1820/12/13/pdfs/GGB-1820-170.pdf","Abrir PDF")</f>
        <v>Abrir PDF</v>
      </c>
    </row>
    <row r="275" spans="1:6" ht="31.05" customHeight="1">
      <c r="A275" s="6">
        <v>-28870</v>
      </c>
      <c r="B275" s="2" t="s">
        <v>1014</v>
      </c>
      <c r="C275" s="2" t="s">
        <v>14624</v>
      </c>
      <c r="D275" s="3">
        <v>4</v>
      </c>
      <c r="E275" s="3">
        <v>22</v>
      </c>
      <c r="F275" s="3" t="str">
        <f>HYPERLINK("https://www.boe.es/gazeta/dias/1820/12/14/pdfs/GGB-1820-171.pdf","Abrir PDF")</f>
        <v>Abrir PDF</v>
      </c>
    </row>
    <row r="276" spans="1:6" ht="31.05" customHeight="1">
      <c r="A276" s="6">
        <v>-28869</v>
      </c>
      <c r="B276" s="2" t="s">
        <v>449</v>
      </c>
      <c r="C276" s="2" t="s">
        <v>14625</v>
      </c>
      <c r="D276" s="3">
        <v>4</v>
      </c>
      <c r="E276" s="3">
        <v>23</v>
      </c>
      <c r="F276" s="3" t="str">
        <f>HYPERLINK("https://www.boe.es/gazeta/dias/1820/12/15/pdfs/GGB-1820-172.pdf","Abrir PDF")</f>
        <v>Abrir PDF</v>
      </c>
    </row>
    <row r="277" spans="1:6" ht="31.05" customHeight="1">
      <c r="A277" s="6">
        <v>-28868</v>
      </c>
      <c r="B277" s="2" t="s">
        <v>4191</v>
      </c>
      <c r="C277" s="2" t="s">
        <v>14626</v>
      </c>
      <c r="D277" s="3">
        <v>4</v>
      </c>
      <c r="E277" s="3">
        <v>8</v>
      </c>
      <c r="F277" s="3" t="str">
        <f>HYPERLINK("https://www.boe.es/gazeta/dias/1820/12/16/pdfs/GGB-1820-173.pdf","Abrir PDF")</f>
        <v>Abrir PDF</v>
      </c>
    </row>
    <row r="278" spans="1:6" ht="31.05" customHeight="1">
      <c r="A278" s="6">
        <v>-28867</v>
      </c>
      <c r="B278" s="2" t="s">
        <v>590</v>
      </c>
      <c r="C278" s="2" t="s">
        <v>14627</v>
      </c>
      <c r="D278" s="3">
        <v>4</v>
      </c>
      <c r="E278" s="3">
        <v>14</v>
      </c>
      <c r="F278" s="3" t="str">
        <f>HYPERLINK("https://www.boe.es/gazeta/dias/1820/12/17/pdfs/GGB-1820-174.pdf","Abrir PDF")</f>
        <v>Abrir PDF</v>
      </c>
    </row>
    <row r="279" spans="1:6" ht="31.05" customHeight="1">
      <c r="A279" s="6">
        <v>-28866</v>
      </c>
      <c r="B279" s="2" t="s">
        <v>507</v>
      </c>
      <c r="C279" s="2" t="s">
        <v>14628</v>
      </c>
      <c r="D279" s="3">
        <v>4</v>
      </c>
      <c r="E279" s="3">
        <v>32</v>
      </c>
      <c r="F279" s="3" t="str">
        <f>HYPERLINK("https://www.boe.es/gazeta/dias/1820/12/18/pdfs/GGB-1820-175.pdf","Abrir PDF")</f>
        <v>Abrir PDF</v>
      </c>
    </row>
    <row r="280" spans="1:6" ht="31.05" customHeight="1">
      <c r="A280" s="6">
        <v>-28865</v>
      </c>
      <c r="B280" s="2" t="s">
        <v>136</v>
      </c>
      <c r="C280" s="2" t="s">
        <v>14629</v>
      </c>
      <c r="D280" s="3">
        <v>4</v>
      </c>
      <c r="E280" s="3">
        <v>44</v>
      </c>
      <c r="F280" s="3" t="str">
        <f>HYPERLINK("https://www.boe.es/gazeta/dias/1820/12/19/pdfs/GGB-1820-176.pdf","Abrir PDF")</f>
        <v>Abrir PDF</v>
      </c>
    </row>
    <row r="281" spans="1:6" ht="31.05" customHeight="1">
      <c r="A281" s="6">
        <v>-28864</v>
      </c>
      <c r="B281" s="2" t="s">
        <v>1275</v>
      </c>
      <c r="C281" s="2" t="s">
        <v>14630</v>
      </c>
      <c r="D281" s="3">
        <v>6</v>
      </c>
      <c r="E281" s="3">
        <v>22</v>
      </c>
      <c r="F281" s="3" t="str">
        <f>HYPERLINK("https://www.boe.es/gazeta/dias/1820/12/20/pdfs/GGB-1820-177.pdf","Abrir PDF")</f>
        <v>Abrir PDF</v>
      </c>
    </row>
    <row r="282" spans="1:6" ht="31.05" customHeight="1">
      <c r="A282" s="6">
        <v>-28863</v>
      </c>
      <c r="B282" s="2" t="s">
        <v>3630</v>
      </c>
      <c r="C282" s="2" t="s">
        <v>14631</v>
      </c>
      <c r="D282" s="3">
        <v>4</v>
      </c>
      <c r="E282" s="3">
        <v>9</v>
      </c>
      <c r="F282" s="3" t="str">
        <f>HYPERLINK("https://www.boe.es/gazeta/dias/1820/12/21/pdfs/GGB-1820-178.pdf","Abrir PDF")</f>
        <v>Abrir PDF</v>
      </c>
    </row>
    <row r="283" spans="1:6" ht="31.05" customHeight="1">
      <c r="A283" s="6">
        <v>-28862</v>
      </c>
      <c r="B283" s="2" t="s">
        <v>1905</v>
      </c>
      <c r="C283" s="2" t="s">
        <v>14632</v>
      </c>
      <c r="D283" s="3">
        <v>4</v>
      </c>
      <c r="E283" s="3">
        <v>13</v>
      </c>
      <c r="F283" s="3" t="str">
        <f>HYPERLINK("https://www.boe.es/gazeta/dias/1820/12/22/pdfs/GGB-1820-179.pdf","Abrir PDF")</f>
        <v>Abrir PDF</v>
      </c>
    </row>
    <row r="284" spans="1:6" ht="31.05" customHeight="1">
      <c r="A284" s="6">
        <v>-28861</v>
      </c>
      <c r="B284" s="2" t="s">
        <v>894</v>
      </c>
      <c r="C284" s="2" t="s">
        <v>14633</v>
      </c>
      <c r="D284" s="3">
        <v>4</v>
      </c>
      <c r="E284" s="3">
        <v>19</v>
      </c>
      <c r="F284" s="3" t="str">
        <f>HYPERLINK("https://www.boe.es/gazeta/dias/1820/12/23/pdfs/GGB-1820-180.pdf","Abrir PDF")</f>
        <v>Abrir PDF</v>
      </c>
    </row>
    <row r="285" spans="1:6" ht="31.05" customHeight="1">
      <c r="A285" s="6">
        <v>-28860</v>
      </c>
      <c r="B285" s="2" t="s">
        <v>4487</v>
      </c>
      <c r="C285" s="2" t="s">
        <v>14634</v>
      </c>
      <c r="D285" s="3">
        <v>4</v>
      </c>
      <c r="E285" s="3">
        <v>9</v>
      </c>
      <c r="F285" s="3" t="str">
        <f>HYPERLINK("https://www.boe.es/gazeta/dias/1820/12/24/pdfs/GGB-1820-181.pdf","Abrir PDF")</f>
        <v>Abrir PDF</v>
      </c>
    </row>
    <row r="286" spans="1:6" ht="31.05" customHeight="1">
      <c r="A286" s="6">
        <v>-28859</v>
      </c>
      <c r="B286" s="2" t="s">
        <v>265</v>
      </c>
      <c r="C286" s="2" t="s">
        <v>14635</v>
      </c>
      <c r="D286" s="3">
        <v>4</v>
      </c>
      <c r="E286" s="3">
        <v>12</v>
      </c>
      <c r="F286" s="3" t="str">
        <f>HYPERLINK("https://www.boe.es/gazeta/dias/1820/12/25/pdfs/GGB-1820-182.pdf","Abrir PDF")</f>
        <v>Abrir PDF</v>
      </c>
    </row>
    <row r="287" spans="1:6" ht="31.05" customHeight="1">
      <c r="A287" s="6">
        <v>-28858</v>
      </c>
      <c r="B287" s="2" t="s">
        <v>117</v>
      </c>
      <c r="C287" s="2" t="s">
        <v>14636</v>
      </c>
      <c r="D287" s="3">
        <v>4</v>
      </c>
      <c r="E287" s="3">
        <v>30</v>
      </c>
      <c r="F287" s="3" t="str">
        <f>HYPERLINK("https://www.boe.es/gazeta/dias/1820/12/26/pdfs/GGB-1820-183.pdf","Abrir PDF")</f>
        <v>Abrir PDF</v>
      </c>
    </row>
    <row r="288" spans="1:6" ht="31.05" customHeight="1">
      <c r="A288" s="6">
        <v>-28857</v>
      </c>
      <c r="B288" s="2" t="s">
        <v>889</v>
      </c>
      <c r="C288" s="2" t="s">
        <v>14637</v>
      </c>
      <c r="D288" s="3">
        <v>4</v>
      </c>
      <c r="E288" s="3">
        <v>18</v>
      </c>
      <c r="F288" s="3" t="str">
        <f>HYPERLINK("https://www.boe.es/gazeta/dias/1820/12/27/pdfs/GGB-1820-184.pdf","Abrir PDF")</f>
        <v>Abrir PDF</v>
      </c>
    </row>
    <row r="289" spans="1:6" ht="31.05" customHeight="1">
      <c r="A289" s="6">
        <v>-28856</v>
      </c>
      <c r="B289" s="2" t="s">
        <v>1217</v>
      </c>
      <c r="C289" s="2" t="s">
        <v>14638</v>
      </c>
      <c r="D289" s="3">
        <v>4</v>
      </c>
      <c r="E289" s="3">
        <v>7</v>
      </c>
      <c r="F289" s="3" t="str">
        <f>HYPERLINK("https://www.boe.es/gazeta/dias/1820/12/28/pdfs/GGB-1820-185.pdf","Abrir PDF")</f>
        <v>Abrir PDF</v>
      </c>
    </row>
    <row r="290" spans="1:6" ht="31.05" customHeight="1">
      <c r="A290" s="6">
        <v>-28855</v>
      </c>
      <c r="B290" s="2" t="s">
        <v>2055</v>
      </c>
      <c r="C290" s="2" t="s">
        <v>14639</v>
      </c>
      <c r="D290" s="3">
        <v>4</v>
      </c>
      <c r="E290" s="3">
        <v>11</v>
      </c>
      <c r="F290" s="3" t="str">
        <f>HYPERLINK("https://www.boe.es/gazeta/dias/1820/12/29/pdfs/GGB-1820-186.pdf","Abrir PDF")</f>
        <v>Abrir PDF</v>
      </c>
    </row>
    <row r="291" spans="1:6" ht="31.05" customHeight="1">
      <c r="A291" s="6">
        <v>-28854</v>
      </c>
      <c r="B291" s="2" t="s">
        <v>147</v>
      </c>
      <c r="C291" s="2" t="s">
        <v>14640</v>
      </c>
      <c r="D291" s="3">
        <v>4</v>
      </c>
      <c r="E291" s="3">
        <v>25</v>
      </c>
      <c r="F291" s="3" t="str">
        <f>HYPERLINK("https://www.boe.es/gazeta/dias/1820/12/30/pdfs/GGB-1820-187.pdf","Abrir PDF")</f>
        <v>Abrir PDF</v>
      </c>
    </row>
    <row r="292" spans="1:6" ht="31.05" customHeight="1">
      <c r="A292" s="6">
        <v>-28853</v>
      </c>
      <c r="B292" s="2" t="s">
        <v>3379</v>
      </c>
      <c r="C292" s="2" t="s">
        <v>14641</v>
      </c>
      <c r="D292" s="3">
        <v>4</v>
      </c>
      <c r="E292" s="3">
        <v>2</v>
      </c>
      <c r="F292" s="3" t="str">
        <f>HYPERLINK("https://www.boe.es/gazeta/dias/1820/12/31/pdfs/GGB-1820-188.pdf","Abrir PDF")</f>
        <v>Abrir PDF</v>
      </c>
    </row>
    <row r="293" spans="1:6" ht="31.05" customHeight="1">
      <c r="A293" s="4"/>
      <c r="B293" s="2"/>
      <c r="C293" s="2"/>
      <c r="D293" s="3"/>
      <c r="E293" s="3"/>
      <c r="F293" s="3"/>
    </row>
    <row r="294" spans="1:6" ht="31.05" customHeight="1">
      <c r="A294" s="4"/>
      <c r="B294" s="2"/>
      <c r="C294" s="2"/>
      <c r="D294" s="3"/>
      <c r="E294" s="3"/>
      <c r="F294" s="3"/>
    </row>
    <row r="295" spans="1:6" ht="24" customHeight="1">
      <c r="A295" s="13" t="s">
        <v>14642</v>
      </c>
      <c r="B295" s="14"/>
      <c r="C295" s="14"/>
      <c r="D295" s="15"/>
      <c r="E295" s="15"/>
      <c r="F295" s="16"/>
    </row>
    <row r="296" spans="1:6" ht="42" customHeight="1">
      <c r="A296" s="7" t="s">
        <v>14643</v>
      </c>
      <c r="B296" s="17" t="s">
        <v>14644</v>
      </c>
      <c r="C296" s="17"/>
      <c r="D296" s="18"/>
      <c r="E296" s="18"/>
      <c r="F296" s="18"/>
    </row>
    <row r="297" spans="1:6" ht="42" customHeight="1">
      <c r="A297" s="7" t="s">
        <v>14645</v>
      </c>
      <c r="B297" s="17" t="s">
        <v>14646</v>
      </c>
      <c r="C297" s="17"/>
      <c r="D297" s="18"/>
      <c r="E297" s="18"/>
      <c r="F297" s="18"/>
    </row>
    <row r="298" spans="1:6" ht="42" customHeight="1">
      <c r="A298" s="7" t="s">
        <v>14647</v>
      </c>
      <c r="B298" s="17" t="s">
        <v>14648</v>
      </c>
      <c r="C298" s="17"/>
      <c r="D298" s="18"/>
      <c r="E298" s="18"/>
      <c r="F298" s="18"/>
    </row>
    <row r="299" spans="1:6" ht="42" customHeight="1">
      <c r="A299" s="7" t="s">
        <v>14649</v>
      </c>
      <c r="B299" s="17" t="s">
        <v>14650</v>
      </c>
      <c r="C299" s="17"/>
      <c r="D299" s="18"/>
      <c r="E299" s="18"/>
      <c r="F299" s="18"/>
    </row>
    <row r="300" spans="1:6" ht="42" customHeight="1">
      <c r="A300" s="7" t="s">
        <v>14651</v>
      </c>
      <c r="B300" s="17" t="s">
        <v>14652</v>
      </c>
      <c r="C300" s="17"/>
      <c r="D300" s="18"/>
      <c r="E300" s="18"/>
      <c r="F300" s="18"/>
    </row>
    <row r="301" spans="1:6" ht="42" customHeight="1">
      <c r="A301" s="7" t="s">
        <v>10</v>
      </c>
      <c r="B301" s="17" t="s">
        <v>14653</v>
      </c>
      <c r="C301" s="17"/>
      <c r="D301" s="18"/>
      <c r="E301" s="18"/>
      <c r="F301" s="18"/>
    </row>
    <row r="302" spans="1:6" ht="42" customHeight="1">
      <c r="A302" s="7" t="s">
        <v>14654</v>
      </c>
      <c r="B302" s="17" t="s">
        <v>14655</v>
      </c>
      <c r="C302" s="17"/>
      <c r="D302" s="18"/>
      <c r="E302" s="18"/>
      <c r="F302" s="18"/>
    </row>
    <row r="303" spans="1:6" ht="42" customHeight="1">
      <c r="A303" s="7" t="s">
        <v>14656</v>
      </c>
      <c r="B303" s="17" t="s">
        <v>14657</v>
      </c>
      <c r="C303" s="17"/>
      <c r="D303" s="18"/>
      <c r="E303" s="18"/>
      <c r="F303" s="18"/>
    </row>
    <row r="304" spans="1:6" ht="42" customHeight="1">
      <c r="A304" s="7" t="s">
        <v>14658</v>
      </c>
      <c r="B304" s="17" t="s">
        <v>14659</v>
      </c>
      <c r="C304" s="17"/>
      <c r="D304" s="18"/>
      <c r="E304" s="18"/>
      <c r="F304" s="18"/>
    </row>
    <row r="305" ht="31.05" customHeight="1"/>
    <row r="306" ht="31.05" customHeight="1"/>
    <row r="307" ht="31.05" customHeight="1"/>
    <row r="308" ht="31.05" customHeight="1"/>
    <row r="309" ht="31.05" customHeight="1"/>
    <row r="310" ht="31.05" customHeight="1"/>
    <row r="311" ht="31.05" customHeight="1"/>
    <row r="312" ht="31.05" customHeight="1"/>
    <row r="313" ht="31.05" customHeight="1"/>
    <row r="314" ht="31.05" customHeight="1"/>
    <row r="315" ht="31.05" customHeight="1"/>
    <row r="316" ht="31.05" customHeight="1"/>
    <row r="317" ht="31.05" customHeight="1"/>
    <row r="318" ht="31.05" customHeight="1"/>
    <row r="319" ht="31.05" customHeight="1"/>
    <row r="320" ht="31.05" customHeight="1"/>
    <row r="321" ht="31.05" customHeight="1"/>
    <row r="322" ht="31.05" customHeight="1"/>
    <row r="323" ht="31.05" customHeight="1"/>
    <row r="324" ht="31.05" customHeight="1"/>
    <row r="325" ht="31.05" customHeight="1"/>
    <row r="326" ht="31.05" customHeight="1"/>
    <row r="327" ht="31.05" customHeight="1"/>
    <row r="328" ht="31.05" customHeight="1"/>
    <row r="329" ht="31.05" customHeight="1"/>
    <row r="330" ht="31.05" customHeight="1"/>
    <row r="331" ht="31.05" customHeight="1"/>
    <row r="332" ht="31.05" customHeight="1"/>
    <row r="333" ht="31.05" customHeight="1"/>
    <row r="334" ht="31.05" customHeight="1"/>
    <row r="335" ht="31.05" customHeight="1"/>
    <row r="336" ht="31.05" customHeight="1"/>
    <row r="337" ht="31.05" customHeight="1"/>
    <row r="338" ht="31.05" customHeight="1"/>
    <row r="339" ht="31.05" customHeight="1"/>
    <row r="340" ht="31.05" customHeight="1"/>
    <row r="341" ht="31.05" customHeight="1"/>
    <row r="342" ht="31.05" customHeight="1"/>
    <row r="343" ht="31.05" customHeight="1"/>
    <row r="344" ht="31.05" customHeight="1"/>
    <row r="345" ht="31.05" customHeight="1"/>
    <row r="346" ht="31.05" customHeight="1"/>
    <row r="347" ht="31.05" customHeight="1"/>
    <row r="348" ht="31.05" customHeight="1"/>
    <row r="349" ht="31.05" customHeight="1"/>
    <row r="350" ht="31.05" customHeight="1"/>
    <row r="351" ht="31.05" customHeight="1"/>
    <row r="352" ht="31.05" customHeight="1"/>
    <row r="353" ht="31.05" customHeight="1"/>
    <row r="354" ht="31.05" customHeight="1"/>
    <row r="355" ht="31.05" customHeight="1"/>
    <row r="356" ht="31.05" customHeight="1"/>
    <row r="357" ht="31.05" customHeight="1"/>
    <row r="358" ht="31.05" customHeight="1"/>
    <row r="359" ht="31.05" customHeight="1"/>
    <row r="360" ht="31.05" customHeight="1"/>
    <row r="361" ht="31.05" customHeight="1"/>
    <row r="362" ht="31.05" customHeight="1"/>
    <row r="363" ht="31.05" customHeight="1"/>
    <row r="364" ht="31.05" customHeight="1"/>
    <row r="365" ht="31.05" customHeight="1"/>
    <row r="366" ht="31.05" customHeight="1"/>
    <row r="367" ht="31.05" customHeight="1"/>
    <row r="368" ht="31.05" customHeight="1"/>
    <row r="369" ht="31.05" customHeight="1"/>
    <row r="370" ht="31.05" customHeight="1"/>
    <row r="371" ht="31.05" customHeight="1"/>
    <row r="372" ht="31.05" customHeight="1"/>
    <row r="373" ht="31.05" customHeight="1"/>
    <row r="374" ht="31.05" customHeight="1"/>
    <row r="375" ht="31.05" customHeight="1"/>
    <row r="376" ht="31.05" customHeight="1"/>
    <row r="377" ht="31.05" customHeight="1"/>
    <row r="378" ht="31.05" customHeight="1"/>
    <row r="379" ht="31.05" customHeight="1"/>
    <row r="380" ht="31.05" customHeight="1"/>
    <row r="381" ht="31.05" customHeight="1"/>
    <row r="382" ht="31.05" customHeight="1"/>
    <row r="383" ht="31.05" customHeight="1"/>
    <row r="384" ht="31.05" customHeight="1"/>
    <row r="385" ht="31.05" customHeight="1"/>
    <row r="386" ht="31.05" customHeight="1"/>
    <row r="387" ht="31.05" customHeight="1"/>
    <row r="388" ht="31.05" customHeight="1"/>
    <row r="389" ht="31.05" customHeight="1"/>
    <row r="390" ht="31.05" customHeight="1"/>
    <row r="391" ht="31.05" customHeight="1"/>
    <row r="392" ht="31.05" customHeight="1"/>
    <row r="393" ht="31.05" customHeight="1"/>
    <row r="394" ht="31.05" customHeight="1"/>
    <row r="395" ht="31.05" customHeight="1"/>
    <row r="396" ht="31.05" customHeight="1"/>
    <row r="397" ht="31.05" customHeight="1"/>
    <row r="398" ht="31.05" customHeight="1"/>
    <row r="399" ht="31.05" customHeight="1"/>
    <row r="400" ht="31.05" customHeight="1"/>
    <row r="401" ht="31.05" customHeight="1"/>
    <row r="402" ht="31.05" customHeight="1"/>
    <row r="403" ht="31.05" customHeight="1"/>
    <row r="404" ht="31.05" customHeight="1"/>
    <row r="405" ht="31.05" customHeight="1"/>
    <row r="406" ht="31.05" customHeight="1"/>
    <row r="407" ht="31.05" customHeight="1"/>
    <row r="408" ht="31.05" customHeight="1"/>
    <row r="409" ht="31.05" customHeight="1"/>
    <row r="410" ht="31.05" customHeight="1"/>
    <row r="411" ht="31.05" customHeight="1"/>
    <row r="412" ht="31.05" customHeight="1"/>
    <row r="413" ht="31.05" customHeight="1"/>
    <row r="414" ht="31.05" customHeight="1"/>
    <row r="415" ht="31.05" customHeight="1"/>
    <row r="416" ht="31.05" customHeight="1"/>
    <row r="417" ht="31.05" customHeight="1"/>
    <row r="418" ht="31.05" customHeight="1"/>
    <row r="419" ht="31.05" customHeight="1"/>
    <row r="420" ht="31.05" customHeight="1"/>
    <row r="421" ht="31.05" customHeight="1"/>
    <row r="422" ht="31.05" customHeight="1"/>
    <row r="423" ht="31.05" customHeight="1"/>
    <row r="424" ht="31.05" customHeight="1"/>
    <row r="425" ht="31.05" customHeight="1"/>
    <row r="426" ht="31.05" customHeight="1"/>
    <row r="427" ht="31.05" customHeight="1"/>
    <row r="428" ht="31.05" customHeight="1"/>
    <row r="429" ht="31.05" customHeight="1"/>
    <row r="430" ht="31.05" customHeight="1"/>
    <row r="431" ht="31.05" customHeight="1"/>
    <row r="432" ht="31.05" customHeight="1"/>
    <row r="433" ht="31.05" customHeight="1"/>
    <row r="434" ht="31.05" customHeight="1"/>
    <row r="435" ht="31.05" customHeight="1"/>
    <row r="436" ht="31.05" customHeight="1"/>
    <row r="437" ht="31.05" customHeight="1"/>
    <row r="438" ht="31.05" customHeight="1"/>
    <row r="439" ht="31.05" customHeight="1"/>
    <row r="440" ht="31.05" customHeight="1"/>
    <row r="441" ht="31.05" customHeight="1"/>
    <row r="442" ht="31.05" customHeight="1"/>
    <row r="443" ht="31.05" customHeight="1"/>
    <row r="444" ht="31.05" customHeight="1"/>
    <row r="445" ht="31.05" customHeight="1"/>
    <row r="446" ht="31.05" customHeight="1"/>
    <row r="447" ht="31.05" customHeight="1"/>
    <row r="448" ht="31.05" customHeight="1"/>
    <row r="449" ht="31.05" customHeight="1"/>
    <row r="450" ht="31.05" customHeight="1"/>
    <row r="451" ht="31.05" customHeight="1"/>
    <row r="452" ht="31.05" customHeight="1"/>
    <row r="453" ht="31.05" customHeight="1"/>
    <row r="454" ht="31.05" customHeight="1"/>
    <row r="455" ht="31.05" customHeight="1"/>
    <row r="456" ht="31.05" customHeight="1"/>
    <row r="457" ht="31.05" customHeight="1"/>
    <row r="458" ht="31.05" customHeight="1"/>
    <row r="459" ht="31.05" customHeight="1"/>
    <row r="460" ht="31.05" customHeight="1"/>
    <row r="461" ht="31.05" customHeight="1"/>
    <row r="462" ht="31.05" customHeight="1"/>
    <row r="463" ht="31.05" customHeight="1"/>
    <row r="464" ht="31.05" customHeight="1"/>
    <row r="465" ht="31.05" customHeight="1"/>
    <row r="466" ht="31.05" customHeight="1"/>
    <row r="467" ht="31.05" customHeight="1"/>
    <row r="468" ht="31.05" customHeight="1"/>
    <row r="469" ht="31.05" customHeight="1"/>
    <row r="470" ht="31.05" customHeight="1"/>
    <row r="471" ht="31.05" customHeight="1"/>
    <row r="472" ht="31.05" customHeight="1"/>
    <row r="473" ht="31.05" customHeight="1"/>
    <row r="474" ht="31.05" customHeight="1"/>
    <row r="475" ht="31.05" customHeight="1"/>
    <row r="476" ht="31.05" customHeight="1"/>
    <row r="477" ht="31.05" customHeight="1"/>
    <row r="478" ht="31.05" customHeight="1"/>
    <row r="479" ht="31.05" customHeight="1"/>
    <row r="480" ht="31.05" customHeight="1"/>
    <row r="481" ht="31.05" customHeight="1"/>
    <row r="482" ht="31.05" customHeight="1"/>
    <row r="483" ht="31.05" customHeight="1"/>
    <row r="484" ht="31.05" customHeight="1"/>
    <row r="485" ht="31.05" customHeight="1"/>
    <row r="486" ht="31.05" customHeight="1"/>
    <row r="487" ht="31.05" customHeight="1"/>
    <row r="488" ht="31.05" customHeight="1"/>
    <row r="489" ht="31.05" customHeight="1"/>
    <row r="490" ht="31.05" customHeight="1"/>
    <row r="491" ht="31.05" customHeight="1"/>
    <row r="492" ht="31.05" customHeight="1"/>
    <row r="495" ht="24" customHeight="1"/>
    <row r="496" ht="42" customHeight="1"/>
    <row r="497" ht="42" customHeight="1"/>
    <row r="498" ht="42" customHeight="1"/>
    <row r="499" ht="42" customHeight="1"/>
    <row r="500" ht="42" customHeight="1"/>
    <row r="501" ht="42" customHeight="1"/>
    <row r="502" ht="42" customHeight="1"/>
    <row r="503" ht="42" customHeight="1"/>
    <row r="504" ht="42" customHeight="1"/>
  </sheetData>
  <mergeCells count="12">
    <mergeCell ref="B303:F303"/>
    <mergeCell ref="B304:F304"/>
    <mergeCell ref="B298:F298"/>
    <mergeCell ref="B299:F299"/>
    <mergeCell ref="B300:F300"/>
    <mergeCell ref="B301:F301"/>
    <mergeCell ref="B302:F302"/>
    <mergeCell ref="A1:F1"/>
    <mergeCell ref="A2:F2"/>
    <mergeCell ref="A295:F295"/>
    <mergeCell ref="B296:F296"/>
    <mergeCell ref="B297:F297"/>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Índice anual</vt:lpstr>
      <vt:lpstr>Fuentes y criterio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Ignacio Koblischek</cp:lastModifiedBy>
  <dcterms:created xsi:type="dcterms:W3CDTF">2026-09-29T11:33:44Z</dcterms:created>
  <dcterms:modified xsi:type="dcterms:W3CDTF">2026-09-29T11:33:45Z</dcterms:modified>
</cp:coreProperties>
</file>